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ata\"/>
    </mc:Choice>
  </mc:AlternateContent>
  <bookViews>
    <workbookView xWindow="0" yWindow="0" windowWidth="38400" windowHeight="18420" tabRatio="611" firstSheet="35" activeTab="48"/>
  </bookViews>
  <sheets>
    <sheet name="1.1 Crime Index " sheetId="108" r:id="rId1"/>
    <sheet name="1.2 Crime Index Ratio" sheetId="111" r:id="rId2"/>
    <sheet name="1.3Joh" sheetId="55" r:id="rId3"/>
    <sheet name="1.3Ked" sheetId="56" r:id="rId4"/>
    <sheet name="1.3Kel" sheetId="57" r:id="rId5"/>
    <sheet name="1.3Mel &amp; N9" sheetId="58" r:id="rId6"/>
    <sheet name="1.3Phg" sheetId="59" r:id="rId7"/>
    <sheet name="1.3Prk" sheetId="46" r:id="rId8"/>
    <sheet name="1.3Pls_PP" sheetId="47" r:id="rId9"/>
    <sheet name="1.3Sbh" sheetId="63" r:id="rId10"/>
    <sheet name="1.3Sbh (2)" sheetId="64" r:id="rId11"/>
    <sheet name="1.3Swk" sheetId="69" r:id="rId12"/>
    <sheet name="1.3Swk (2)" sheetId="70" r:id="rId13"/>
    <sheet name="1.3Swk (3)" sheetId="71" r:id="rId14"/>
    <sheet name="1.3Sel" sheetId="72" r:id="rId15"/>
    <sheet name="1.3Trg" sheetId="73" r:id="rId16"/>
    <sheet name="1.3KL" sheetId="74" r:id="rId17"/>
    <sheet name="1.4 Type of Crime " sheetId="109" r:id="rId18"/>
    <sheet name="1.5Johor" sheetId="78" r:id="rId19"/>
    <sheet name="1.5Kedah" sheetId="79" r:id="rId20"/>
    <sheet name="1.5Kelantan" sheetId="80" r:id="rId21"/>
    <sheet name="1.5Melaka" sheetId="81" r:id="rId22"/>
    <sheet name="1.5Pahang" sheetId="82" r:id="rId23"/>
    <sheet name="1.5Perak" sheetId="83" r:id="rId24"/>
    <sheet name="1.5Perlis" sheetId="84" r:id="rId25"/>
    <sheet name="1.5Sabah" sheetId="85" r:id="rId26"/>
    <sheet name="1.5Sabah (2)" sheetId="86" r:id="rId27"/>
    <sheet name="1.5Sarawak" sheetId="87" r:id="rId28"/>
    <sheet name="1.5Sarawak (2)" sheetId="88" r:id="rId29"/>
    <sheet name="1.5Sarawak (3)" sheetId="89" r:id="rId30"/>
    <sheet name="1.5Selangor" sheetId="90" r:id="rId31"/>
    <sheet name="1.5Terengganu" sheetId="91" r:id="rId32"/>
    <sheet name="1.5W.P. KL" sheetId="92" r:id="rId33"/>
    <sheet name="1.6" sheetId="110" r:id="rId34"/>
    <sheet name="1.7Johor" sheetId="93" r:id="rId35"/>
    <sheet name="1.7Kedah" sheetId="94" r:id="rId36"/>
    <sheet name="1.7Kelantan" sheetId="95" r:id="rId37"/>
    <sheet name="1.7Melaka &amp; N9 " sheetId="96" r:id="rId38"/>
    <sheet name="1.7Pahang" sheetId="97" r:id="rId39"/>
    <sheet name="1.7Perak" sheetId="98" r:id="rId40"/>
    <sheet name="1.7Perlis &amp; PP " sheetId="99" r:id="rId41"/>
    <sheet name="1.7Sabah" sheetId="100" r:id="rId42"/>
    <sheet name="1.7Sabah (2)" sheetId="101" r:id="rId43"/>
    <sheet name="1.7Sarawak" sheetId="102" r:id="rId44"/>
    <sheet name="1.7Sarawak (2)" sheetId="103" r:id="rId45"/>
    <sheet name="1.7Sarawak (3)" sheetId="104" r:id="rId46"/>
    <sheet name="1.7Selangor" sheetId="105" r:id="rId47"/>
    <sheet name="1.7Terengganu" sheetId="106" r:id="rId48"/>
    <sheet name="1.7 KL" sheetId="107" r:id="rId49"/>
  </sheets>
  <definedNames>
    <definedName name="_xlnm.Print_Area" localSheetId="2">'1.3Joh'!$A$1:$H$72</definedName>
    <definedName name="_xlnm.Print_Area" localSheetId="3">'1.3Ked'!$A$1:$H$60</definedName>
    <definedName name="_xlnm.Print_Area" localSheetId="4">'1.3Kel'!$A$1:$H$56</definedName>
    <definedName name="_xlnm.Print_Area" localSheetId="16">'1.3KL'!$A$1:$H$43</definedName>
    <definedName name="_xlnm.Print_Area" localSheetId="5">'1.3Mel &amp; N9'!$A$1:$H$65</definedName>
    <definedName name="_xlnm.Print_Area" localSheetId="6">'1.3Phg'!$A$1:$H$60</definedName>
    <definedName name="_xlnm.Print_Area" localSheetId="8">'1.3Pls_PP'!$A$1:$H$56</definedName>
    <definedName name="_xlnm.Print_Area" localSheetId="7">'1.3Prk'!$A$1:$H$76</definedName>
    <definedName name="_xlnm.Print_Area" localSheetId="14">'1.3Sel'!$A$1:$H$76</definedName>
    <definedName name="_xlnm.Print_Area" localSheetId="11">'1.3Swk'!$A$1:$H$50</definedName>
    <definedName name="_xlnm.Print_Area" localSheetId="12">'1.3Swk (2)'!$A$1:$H$54</definedName>
    <definedName name="_xlnm.Print_Area" localSheetId="13">'1.3Swk (3)'!$A$1:$H$54</definedName>
    <definedName name="_xlnm.Print_Area" localSheetId="15">'1.3Trg'!$A$1:$H$46</definedName>
    <definedName name="_xlnm.Print_Area" localSheetId="21">'1.5Melaka'!$A$1:$N$69</definedName>
  </definedNames>
  <calcPr calcId="152511" calcMode="manual"/>
</workbook>
</file>

<file path=xl/calcChain.xml><?xml version="1.0" encoding="utf-8"?>
<calcChain xmlns="http://schemas.openxmlformats.org/spreadsheetml/2006/main">
  <c r="E16" i="85" l="1"/>
  <c r="E20" i="82"/>
  <c r="E16" i="82"/>
  <c r="E17" i="82"/>
  <c r="E15" i="81"/>
  <c r="I16" i="81"/>
  <c r="E16" i="81" s="1"/>
  <c r="F16" i="81"/>
  <c r="F17" i="81"/>
  <c r="E17" i="81" s="1"/>
  <c r="I17" i="78" l="1"/>
  <c r="F14" i="109"/>
  <c r="E58" i="86"/>
  <c r="E48" i="85"/>
  <c r="E33" i="82" l="1"/>
  <c r="K17" i="92"/>
  <c r="K17" i="79"/>
  <c r="K17" i="78"/>
  <c r="G13" i="98"/>
  <c r="H13" i="98"/>
  <c r="I13" i="98"/>
  <c r="J13" i="98"/>
  <c r="K13" i="98"/>
  <c r="G14" i="98"/>
  <c r="H14" i="98"/>
  <c r="I14" i="98"/>
  <c r="J14" i="98"/>
  <c r="K14" i="98"/>
  <c r="G15" i="98"/>
  <c r="H15" i="98"/>
  <c r="I15" i="98"/>
  <c r="J15" i="98"/>
  <c r="K15" i="98"/>
  <c r="F14" i="98"/>
  <c r="F15" i="98"/>
  <c r="F13" i="98"/>
  <c r="J15" i="106"/>
  <c r="K15" i="102"/>
  <c r="J15" i="100"/>
  <c r="J15" i="95"/>
  <c r="J26" i="110" s="1"/>
  <c r="E15" i="98" l="1"/>
  <c r="E19" i="93"/>
  <c r="G17" i="55"/>
  <c r="G15" i="99" l="1"/>
  <c r="E49" i="87"/>
  <c r="E45" i="87"/>
  <c r="E41" i="87"/>
  <c r="E37" i="87"/>
  <c r="E33" i="87"/>
  <c r="E29" i="87"/>
  <c r="E25" i="87"/>
  <c r="E21" i="87"/>
  <c r="C7" i="107"/>
  <c r="C10" i="107"/>
  <c r="C13" i="107"/>
  <c r="C16" i="107"/>
  <c r="C19" i="107"/>
  <c r="C22" i="107"/>
  <c r="E19" i="106"/>
  <c r="E23" i="106"/>
  <c r="E27" i="106"/>
  <c r="E31" i="106"/>
  <c r="E35" i="106"/>
  <c r="E39" i="106"/>
  <c r="E43" i="106"/>
  <c r="E19" i="105"/>
  <c r="E23" i="105"/>
  <c r="E27" i="105"/>
  <c r="E31" i="105"/>
  <c r="E35" i="105"/>
  <c r="E39" i="105"/>
  <c r="E43" i="105"/>
  <c r="E47" i="105"/>
  <c r="E51" i="105"/>
  <c r="E55" i="105"/>
  <c r="E59" i="105"/>
  <c r="E63" i="105"/>
  <c r="E67" i="105"/>
  <c r="E71" i="105"/>
  <c r="E75" i="105"/>
  <c r="E19" i="102"/>
  <c r="E23" i="102"/>
  <c r="E27" i="102"/>
  <c r="E31" i="102"/>
  <c r="E35" i="102"/>
  <c r="E39" i="102"/>
  <c r="E43" i="102"/>
  <c r="E47" i="102"/>
  <c r="E17" i="103"/>
  <c r="E21" i="103"/>
  <c r="E25" i="103"/>
  <c r="E29" i="103"/>
  <c r="E33" i="103"/>
  <c r="E37" i="103"/>
  <c r="E41" i="103"/>
  <c r="E45" i="103"/>
  <c r="E49" i="103"/>
  <c r="E53" i="103"/>
  <c r="E18" i="104"/>
  <c r="E22" i="104"/>
  <c r="E26" i="104"/>
  <c r="E30" i="104"/>
  <c r="E34" i="104"/>
  <c r="E38" i="104"/>
  <c r="E42" i="104"/>
  <c r="E46" i="104"/>
  <c r="E50" i="104"/>
  <c r="E54" i="104"/>
  <c r="E52" i="99"/>
  <c r="E51" i="99"/>
  <c r="E50" i="99"/>
  <c r="E48" i="99"/>
  <c r="E47" i="99"/>
  <c r="E46" i="99"/>
  <c r="E44" i="99"/>
  <c r="E43" i="99"/>
  <c r="E42" i="99"/>
  <c r="E40" i="99"/>
  <c r="E39" i="99"/>
  <c r="E38" i="99"/>
  <c r="E36" i="99"/>
  <c r="E35" i="99"/>
  <c r="E34" i="99"/>
  <c r="E27" i="99"/>
  <c r="E23" i="99"/>
  <c r="E19" i="99"/>
  <c r="E75" i="98"/>
  <c r="E74" i="98"/>
  <c r="E73" i="98"/>
  <c r="E71" i="98"/>
  <c r="E70" i="98"/>
  <c r="E69" i="98"/>
  <c r="E67" i="98"/>
  <c r="E66" i="98"/>
  <c r="E65" i="98"/>
  <c r="E63" i="98"/>
  <c r="E62" i="98"/>
  <c r="E61" i="98"/>
  <c r="E59" i="98"/>
  <c r="E58" i="98"/>
  <c r="E57" i="98"/>
  <c r="E55" i="98"/>
  <c r="E54" i="98"/>
  <c r="E53" i="98"/>
  <c r="E51" i="98"/>
  <c r="E50" i="98"/>
  <c r="E49" i="98"/>
  <c r="E47" i="98"/>
  <c r="E46" i="98"/>
  <c r="E45" i="98"/>
  <c r="E43" i="98"/>
  <c r="E42" i="98"/>
  <c r="E41" i="98"/>
  <c r="E39" i="98"/>
  <c r="E38" i="98"/>
  <c r="E37" i="98"/>
  <c r="E35" i="98"/>
  <c r="E34" i="98"/>
  <c r="E33" i="98"/>
  <c r="E31" i="98"/>
  <c r="E30" i="98"/>
  <c r="E29" i="98"/>
  <c r="E27" i="98"/>
  <c r="E26" i="98"/>
  <c r="E25" i="98"/>
  <c r="E23" i="98"/>
  <c r="E22" i="98"/>
  <c r="E21" i="98"/>
  <c r="E19" i="98"/>
  <c r="E18" i="98"/>
  <c r="E17" i="98"/>
  <c r="E19" i="97"/>
  <c r="E23" i="97"/>
  <c r="E22" i="97"/>
  <c r="E27" i="97"/>
  <c r="E31" i="97"/>
  <c r="E35" i="97"/>
  <c r="E39" i="97"/>
  <c r="E43" i="97"/>
  <c r="E47" i="97"/>
  <c r="E51" i="97"/>
  <c r="E55" i="97"/>
  <c r="E59" i="97"/>
  <c r="E64" i="96"/>
  <c r="E60" i="96"/>
  <c r="E56" i="96"/>
  <c r="E52" i="96"/>
  <c r="E48" i="96"/>
  <c r="E44" i="96"/>
  <c r="E40" i="96"/>
  <c r="E36" i="96"/>
  <c r="E19" i="96"/>
  <c r="E23" i="96"/>
  <c r="E27" i="96"/>
  <c r="E19" i="95"/>
  <c r="E23" i="95"/>
  <c r="E27" i="95"/>
  <c r="E31" i="95"/>
  <c r="E35" i="95"/>
  <c r="E39" i="95"/>
  <c r="E43" i="95"/>
  <c r="E42" i="95"/>
  <c r="E47" i="95"/>
  <c r="E51" i="95"/>
  <c r="E55" i="95"/>
  <c r="E19" i="94"/>
  <c r="E23" i="94"/>
  <c r="E27" i="94"/>
  <c r="E31" i="94"/>
  <c r="E35" i="94"/>
  <c r="E39" i="94"/>
  <c r="E43" i="94"/>
  <c r="E47" i="94"/>
  <c r="E51" i="94"/>
  <c r="E55" i="94"/>
  <c r="E59" i="94"/>
  <c r="E71" i="93"/>
  <c r="E67" i="93"/>
  <c r="E63" i="93"/>
  <c r="E55" i="93"/>
  <c r="E51" i="93"/>
  <c r="E47" i="93"/>
  <c r="E43" i="93"/>
  <c r="E39" i="93"/>
  <c r="E35" i="93"/>
  <c r="E31" i="93"/>
  <c r="E27" i="93"/>
  <c r="E23" i="93"/>
  <c r="E40" i="92" l="1"/>
  <c r="E21" i="92"/>
  <c r="E25" i="92"/>
  <c r="E29" i="92"/>
  <c r="E33" i="92"/>
  <c r="E37" i="92"/>
  <c r="E41" i="92"/>
  <c r="E21" i="91"/>
  <c r="E25" i="91"/>
  <c r="E29" i="91"/>
  <c r="E33" i="91"/>
  <c r="E37" i="91"/>
  <c r="E41" i="91"/>
  <c r="E45" i="91"/>
  <c r="E21" i="90"/>
  <c r="E25" i="90"/>
  <c r="E29" i="90"/>
  <c r="E33" i="90"/>
  <c r="E37" i="90"/>
  <c r="E41" i="90"/>
  <c r="E45" i="90"/>
  <c r="E49" i="90"/>
  <c r="E53" i="90"/>
  <c r="E57" i="90"/>
  <c r="E61" i="90"/>
  <c r="E65" i="90"/>
  <c r="E69" i="90"/>
  <c r="E73" i="90"/>
  <c r="E77" i="90"/>
  <c r="E19" i="88"/>
  <c r="E23" i="88"/>
  <c r="E27" i="88"/>
  <c r="E31" i="88"/>
  <c r="E35" i="88"/>
  <c r="E39" i="88"/>
  <c r="E43" i="88"/>
  <c r="E47" i="88"/>
  <c r="E51" i="88"/>
  <c r="E55" i="88"/>
  <c r="E19" i="89"/>
  <c r="E23" i="89"/>
  <c r="E27" i="89"/>
  <c r="E31" i="89"/>
  <c r="E35" i="89"/>
  <c r="E39" i="89"/>
  <c r="E43" i="89"/>
  <c r="E47" i="89"/>
  <c r="E51" i="89"/>
  <c r="E55" i="89"/>
  <c r="E21" i="84"/>
  <c r="E25" i="84"/>
  <c r="E29" i="84"/>
  <c r="E54" i="84"/>
  <c r="E50" i="84"/>
  <c r="E46" i="84"/>
  <c r="E42" i="84"/>
  <c r="E38" i="84"/>
  <c r="E77" i="83"/>
  <c r="E76" i="83"/>
  <c r="E75" i="83"/>
  <c r="E73" i="83"/>
  <c r="E72" i="83"/>
  <c r="E71" i="83"/>
  <c r="E69" i="83"/>
  <c r="E68" i="83"/>
  <c r="E67" i="83"/>
  <c r="E65" i="83"/>
  <c r="E64" i="83"/>
  <c r="E63" i="83"/>
  <c r="E61" i="83"/>
  <c r="E60" i="83"/>
  <c r="E59" i="83"/>
  <c r="E57" i="83"/>
  <c r="E56" i="83"/>
  <c r="E55" i="83"/>
  <c r="E53" i="83"/>
  <c r="E52" i="83"/>
  <c r="E51" i="83"/>
  <c r="E49" i="83"/>
  <c r="E48" i="83"/>
  <c r="E47" i="83"/>
  <c r="E45" i="83"/>
  <c r="E44" i="83"/>
  <c r="E43" i="83"/>
  <c r="E41" i="83"/>
  <c r="E40" i="83"/>
  <c r="E39" i="83"/>
  <c r="E37" i="83"/>
  <c r="E36" i="83"/>
  <c r="E35" i="83"/>
  <c r="E33" i="83"/>
  <c r="E32" i="83"/>
  <c r="E31" i="83"/>
  <c r="E29" i="83"/>
  <c r="E28" i="83"/>
  <c r="E27" i="83"/>
  <c r="E25" i="83"/>
  <c r="E24" i="83"/>
  <c r="E23" i="83"/>
  <c r="E21" i="83"/>
  <c r="E20" i="83"/>
  <c r="E19" i="83"/>
  <c r="E21" i="82"/>
  <c r="E25" i="82"/>
  <c r="E29" i="82"/>
  <c r="E37" i="82"/>
  <c r="E41" i="82"/>
  <c r="E45" i="82"/>
  <c r="E49" i="82"/>
  <c r="E53" i="82"/>
  <c r="E57" i="82"/>
  <c r="E61" i="82"/>
  <c r="E38" i="81"/>
  <c r="E42" i="81"/>
  <c r="E46" i="81"/>
  <c r="E50" i="81"/>
  <c r="E54" i="81"/>
  <c r="E58" i="81"/>
  <c r="E62" i="81"/>
  <c r="E66" i="81"/>
  <c r="E21" i="80"/>
  <c r="E25" i="80"/>
  <c r="E29" i="80"/>
  <c r="E33" i="80"/>
  <c r="E37" i="80"/>
  <c r="E41" i="80"/>
  <c r="E45" i="80"/>
  <c r="E49" i="80"/>
  <c r="E53" i="80"/>
  <c r="E57" i="80"/>
  <c r="E21" i="79"/>
  <c r="E25" i="79"/>
  <c r="E29" i="79"/>
  <c r="E33" i="79"/>
  <c r="E37" i="79"/>
  <c r="E41" i="79"/>
  <c r="E45" i="79"/>
  <c r="E49" i="79"/>
  <c r="E53" i="79"/>
  <c r="E57" i="79"/>
  <c r="E61" i="79"/>
  <c r="E73" i="78"/>
  <c r="E69" i="78"/>
  <c r="E65" i="78"/>
  <c r="E57" i="78"/>
  <c r="E53" i="78"/>
  <c r="E49" i="78"/>
  <c r="E45" i="78"/>
  <c r="E41" i="78"/>
  <c r="E37" i="78"/>
  <c r="E33" i="78"/>
  <c r="E29" i="78"/>
  <c r="E25" i="78"/>
  <c r="E21" i="78"/>
  <c r="H13" i="100" l="1"/>
  <c r="I13" i="100"/>
  <c r="J13" i="100"/>
  <c r="G14" i="100"/>
  <c r="G53" i="110" s="1"/>
  <c r="H14" i="100"/>
  <c r="I14" i="100"/>
  <c r="J14" i="100"/>
  <c r="K14" i="100"/>
  <c r="K53" i="110" s="1"/>
  <c r="G15" i="100"/>
  <c r="G54" i="110" s="1"/>
  <c r="H15" i="100"/>
  <c r="I15" i="100"/>
  <c r="K15" i="100"/>
  <c r="K54" i="110" s="1"/>
  <c r="F14" i="100"/>
  <c r="F15" i="100"/>
  <c r="F54" i="110" s="1"/>
  <c r="E15" i="101"/>
  <c r="G11" i="64" s="1"/>
  <c r="E57" i="101"/>
  <c r="G53" i="64" s="1"/>
  <c r="E56" i="101"/>
  <c r="G52" i="64" s="1"/>
  <c r="E53" i="101"/>
  <c r="G49" i="64" s="1"/>
  <c r="E52" i="101"/>
  <c r="G48" i="64" s="1"/>
  <c r="E49" i="101"/>
  <c r="G45" i="64" s="1"/>
  <c r="E48" i="101"/>
  <c r="G44" i="64" s="1"/>
  <c r="E45" i="101"/>
  <c r="G41" i="64" s="1"/>
  <c r="E44" i="101"/>
  <c r="G40" i="64" s="1"/>
  <c r="E41" i="101"/>
  <c r="G37" i="64" s="1"/>
  <c r="E40" i="101"/>
  <c r="G36" i="64" s="1"/>
  <c r="E37" i="101"/>
  <c r="G33" i="64" s="1"/>
  <c r="E36" i="101"/>
  <c r="G32" i="64" s="1"/>
  <c r="E33" i="101"/>
  <c r="G29" i="64" s="1"/>
  <c r="E32" i="101"/>
  <c r="G28" i="64" s="1"/>
  <c r="E29" i="101"/>
  <c r="G25" i="64" s="1"/>
  <c r="E28" i="101"/>
  <c r="G24" i="64" s="1"/>
  <c r="E25" i="101"/>
  <c r="G21" i="64" s="1"/>
  <c r="E24" i="101"/>
  <c r="G20" i="64" s="1"/>
  <c r="E21" i="101"/>
  <c r="G17" i="64" s="1"/>
  <c r="E20" i="101"/>
  <c r="G16" i="64" s="1"/>
  <c r="E17" i="101"/>
  <c r="G13" i="64" s="1"/>
  <c r="E16" i="101"/>
  <c r="G12" i="64" s="1"/>
  <c r="E51" i="100"/>
  <c r="G49" i="63" s="1"/>
  <c r="E50" i="100"/>
  <c r="G48" i="63" s="1"/>
  <c r="E47" i="100"/>
  <c r="G45" i="63" s="1"/>
  <c r="E46" i="100"/>
  <c r="G44" i="63" s="1"/>
  <c r="E43" i="100"/>
  <c r="G41" i="63" s="1"/>
  <c r="E42" i="100"/>
  <c r="G40" i="63" s="1"/>
  <c r="E39" i="100"/>
  <c r="G37" i="63" s="1"/>
  <c r="E38" i="100"/>
  <c r="G36" i="63" s="1"/>
  <c r="E35" i="100"/>
  <c r="G33" i="63" s="1"/>
  <c r="E34" i="100"/>
  <c r="G32" i="63" s="1"/>
  <c r="E31" i="100"/>
  <c r="G29" i="63" s="1"/>
  <c r="E30" i="100"/>
  <c r="G28" i="63" s="1"/>
  <c r="E27" i="100"/>
  <c r="G25" i="63" s="1"/>
  <c r="E26" i="100"/>
  <c r="G24" i="63" s="1"/>
  <c r="E23" i="100"/>
  <c r="G21" i="63" s="1"/>
  <c r="E22" i="100"/>
  <c r="G20" i="63" s="1"/>
  <c r="E18" i="100"/>
  <c r="G16" i="63" s="1"/>
  <c r="E19" i="100"/>
  <c r="G17" i="63" s="1"/>
  <c r="E59" i="86"/>
  <c r="F53" i="64" s="1"/>
  <c r="E57" i="86"/>
  <c r="E55" i="86"/>
  <c r="F49" i="64" s="1"/>
  <c r="E53" i="86"/>
  <c r="E51" i="86"/>
  <c r="E49" i="86"/>
  <c r="E47" i="86"/>
  <c r="E45" i="86"/>
  <c r="E43" i="86"/>
  <c r="E41" i="86"/>
  <c r="E39" i="86"/>
  <c r="E37" i="86"/>
  <c r="E35" i="86"/>
  <c r="E33" i="86"/>
  <c r="E31" i="86"/>
  <c r="E29" i="86"/>
  <c r="E27" i="86"/>
  <c r="E25" i="86"/>
  <c r="E23" i="86"/>
  <c r="E21" i="86"/>
  <c r="E19" i="86"/>
  <c r="F13" i="64" s="1"/>
  <c r="E18" i="86"/>
  <c r="E17" i="86"/>
  <c r="E53" i="85"/>
  <c r="F49" i="63" s="1"/>
  <c r="E51" i="85"/>
  <c r="F47" i="63" s="1"/>
  <c r="E49" i="85"/>
  <c r="F45" i="63" s="1"/>
  <c r="E47" i="85"/>
  <c r="F43" i="63" s="1"/>
  <c r="E45" i="85"/>
  <c r="F41" i="63" s="1"/>
  <c r="E43" i="85"/>
  <c r="E41" i="85"/>
  <c r="F37" i="63" s="1"/>
  <c r="E39" i="85"/>
  <c r="E37" i="85"/>
  <c r="F33" i="63" s="1"/>
  <c r="E35" i="85"/>
  <c r="E33" i="85"/>
  <c r="F29" i="63" s="1"/>
  <c r="E31" i="85"/>
  <c r="E29" i="85"/>
  <c r="F25" i="63" s="1"/>
  <c r="E27" i="85"/>
  <c r="F23" i="63" s="1"/>
  <c r="E25" i="85"/>
  <c r="E23" i="85"/>
  <c r="E21" i="85"/>
  <c r="F17" i="63" s="1"/>
  <c r="G17" i="74"/>
  <c r="G21" i="74"/>
  <c r="G25" i="74"/>
  <c r="G29" i="74"/>
  <c r="G33" i="74"/>
  <c r="G37" i="74"/>
  <c r="F17" i="74"/>
  <c r="F21" i="74"/>
  <c r="F25" i="74"/>
  <c r="F29" i="74"/>
  <c r="F33" i="74"/>
  <c r="F37" i="74"/>
  <c r="G17" i="73"/>
  <c r="G21" i="73"/>
  <c r="G25" i="73"/>
  <c r="G29" i="73"/>
  <c r="G33" i="73"/>
  <c r="G37" i="73"/>
  <c r="G41" i="73"/>
  <c r="F17" i="73"/>
  <c r="F21" i="73"/>
  <c r="F25" i="73"/>
  <c r="F29" i="73"/>
  <c r="F33" i="73"/>
  <c r="F37" i="73"/>
  <c r="F41" i="73"/>
  <c r="G17" i="72"/>
  <c r="G21" i="72"/>
  <c r="G25" i="72"/>
  <c r="G29" i="72"/>
  <c r="G33" i="72"/>
  <c r="G37" i="72"/>
  <c r="G41" i="72"/>
  <c r="G45" i="72"/>
  <c r="G49" i="72"/>
  <c r="G53" i="72"/>
  <c r="G57" i="72"/>
  <c r="G61" i="72"/>
  <c r="G65" i="72"/>
  <c r="G69" i="72"/>
  <c r="G73" i="72"/>
  <c r="F33" i="72"/>
  <c r="F17" i="72"/>
  <c r="F21" i="72"/>
  <c r="F25" i="72"/>
  <c r="F29" i="72"/>
  <c r="F37" i="72"/>
  <c r="F41" i="72"/>
  <c r="F45" i="72"/>
  <c r="F49" i="72"/>
  <c r="F53" i="72"/>
  <c r="F57" i="72"/>
  <c r="F61" i="72"/>
  <c r="F65" i="72"/>
  <c r="F69" i="72"/>
  <c r="F73" i="72"/>
  <c r="G15" i="71"/>
  <c r="G19" i="71"/>
  <c r="G23" i="71"/>
  <c r="G27" i="71"/>
  <c r="G31" i="71"/>
  <c r="G35" i="71"/>
  <c r="G39" i="71"/>
  <c r="G43" i="71"/>
  <c r="G47" i="71"/>
  <c r="G51" i="71"/>
  <c r="F15" i="71"/>
  <c r="F19" i="71"/>
  <c r="F23" i="71"/>
  <c r="F27" i="71"/>
  <c r="F31" i="71"/>
  <c r="F35" i="71"/>
  <c r="F39" i="71"/>
  <c r="F43" i="71"/>
  <c r="F47" i="71"/>
  <c r="F51" i="71"/>
  <c r="G15" i="70"/>
  <c r="G19" i="70"/>
  <c r="G23" i="70"/>
  <c r="G27" i="70"/>
  <c r="G31" i="70"/>
  <c r="G35" i="70"/>
  <c r="G39" i="70"/>
  <c r="G43" i="70"/>
  <c r="G47" i="70"/>
  <c r="G51" i="70"/>
  <c r="F15" i="70"/>
  <c r="F19" i="70"/>
  <c r="F23" i="70"/>
  <c r="F27" i="70"/>
  <c r="F31" i="70"/>
  <c r="F35" i="70"/>
  <c r="F39" i="70"/>
  <c r="F43" i="70"/>
  <c r="F47" i="70"/>
  <c r="F51" i="70"/>
  <c r="G17" i="69"/>
  <c r="G21" i="69"/>
  <c r="G25" i="69"/>
  <c r="G29" i="69"/>
  <c r="G33" i="69"/>
  <c r="G37" i="69"/>
  <c r="G41" i="69"/>
  <c r="G45" i="69"/>
  <c r="F17" i="69"/>
  <c r="F21" i="69"/>
  <c r="F25" i="69"/>
  <c r="F29" i="69"/>
  <c r="F33" i="69"/>
  <c r="F37" i="69"/>
  <c r="F41" i="69"/>
  <c r="F45" i="69"/>
  <c r="F12" i="64"/>
  <c r="F15" i="64"/>
  <c r="F17" i="64"/>
  <c r="F19" i="64"/>
  <c r="F21" i="64"/>
  <c r="F23" i="64"/>
  <c r="F25" i="64"/>
  <c r="F27" i="64"/>
  <c r="F29" i="64"/>
  <c r="F31" i="64"/>
  <c r="F33" i="64"/>
  <c r="F35" i="64"/>
  <c r="F37" i="64"/>
  <c r="F39" i="64"/>
  <c r="F41" i="64"/>
  <c r="F43" i="64"/>
  <c r="F45" i="64"/>
  <c r="F47" i="64"/>
  <c r="F51" i="64"/>
  <c r="F11" i="64"/>
  <c r="F19" i="63"/>
  <c r="F21" i="63"/>
  <c r="F27" i="63"/>
  <c r="F31" i="63"/>
  <c r="F35" i="63"/>
  <c r="F39" i="63"/>
  <c r="G34" i="47"/>
  <c r="G38" i="47"/>
  <c r="G42" i="47"/>
  <c r="G46" i="47"/>
  <c r="G50" i="47"/>
  <c r="F34" i="47"/>
  <c r="F38" i="47"/>
  <c r="F42" i="47"/>
  <c r="F46" i="47"/>
  <c r="F50" i="47"/>
  <c r="G17" i="47"/>
  <c r="G21" i="47"/>
  <c r="G25" i="47"/>
  <c r="F17" i="47"/>
  <c r="F21" i="47"/>
  <c r="F25" i="47"/>
  <c r="G68" i="46"/>
  <c r="G69" i="46"/>
  <c r="G71" i="46"/>
  <c r="G72" i="46"/>
  <c r="G73" i="46"/>
  <c r="G16" i="46"/>
  <c r="G17" i="46"/>
  <c r="G19" i="46"/>
  <c r="G20" i="46"/>
  <c r="G21" i="46"/>
  <c r="G23" i="46"/>
  <c r="G24" i="46"/>
  <c r="G25" i="46"/>
  <c r="G27" i="46"/>
  <c r="G28" i="46"/>
  <c r="G29" i="46"/>
  <c r="G31" i="46"/>
  <c r="G32" i="46"/>
  <c r="G33" i="46"/>
  <c r="G35" i="46"/>
  <c r="G36" i="46"/>
  <c r="G37" i="46"/>
  <c r="G39" i="46"/>
  <c r="G40" i="46"/>
  <c r="G41" i="46"/>
  <c r="G43" i="46"/>
  <c r="G44" i="46"/>
  <c r="G45" i="46"/>
  <c r="G47" i="46"/>
  <c r="G48" i="46"/>
  <c r="G49" i="46"/>
  <c r="G51" i="46"/>
  <c r="G52" i="46"/>
  <c r="G53" i="46"/>
  <c r="G55" i="46"/>
  <c r="G56" i="46"/>
  <c r="G57" i="46"/>
  <c r="G59" i="46"/>
  <c r="G60" i="46"/>
  <c r="G61" i="46"/>
  <c r="G63" i="46"/>
  <c r="G64" i="46"/>
  <c r="G65" i="46"/>
  <c r="G67" i="46"/>
  <c r="G15" i="46"/>
  <c r="F40" i="110"/>
  <c r="F16" i="46"/>
  <c r="F17" i="46"/>
  <c r="F19" i="46"/>
  <c r="F20" i="46"/>
  <c r="F21" i="46"/>
  <c r="F23" i="46"/>
  <c r="F24" i="46"/>
  <c r="F25" i="46"/>
  <c r="F27" i="46"/>
  <c r="F28" i="46"/>
  <c r="F29" i="46"/>
  <c r="F31" i="46"/>
  <c r="F32" i="46"/>
  <c r="F33" i="46"/>
  <c r="F35" i="46"/>
  <c r="F36" i="46"/>
  <c r="F37" i="46"/>
  <c r="F39" i="46"/>
  <c r="F40" i="46"/>
  <c r="F41" i="46"/>
  <c r="F43" i="46"/>
  <c r="F44" i="46"/>
  <c r="F45" i="46"/>
  <c r="F47" i="46"/>
  <c r="F48" i="46"/>
  <c r="F49" i="46"/>
  <c r="F51" i="46"/>
  <c r="F52" i="46"/>
  <c r="F53" i="46"/>
  <c r="F55" i="46"/>
  <c r="F56" i="46"/>
  <c r="F57" i="46"/>
  <c r="F59" i="46"/>
  <c r="F60" i="46"/>
  <c r="F61" i="46"/>
  <c r="F63" i="46"/>
  <c r="F64" i="46"/>
  <c r="F65" i="46"/>
  <c r="F67" i="46"/>
  <c r="F68" i="46"/>
  <c r="F69" i="46"/>
  <c r="F71" i="46"/>
  <c r="F72" i="46"/>
  <c r="F73" i="46"/>
  <c r="F15" i="46"/>
  <c r="G17" i="59"/>
  <c r="G21" i="59"/>
  <c r="G25" i="59"/>
  <c r="G29" i="59"/>
  <c r="G33" i="59"/>
  <c r="G37" i="59"/>
  <c r="G41" i="59"/>
  <c r="G45" i="59"/>
  <c r="G49" i="59"/>
  <c r="G53" i="59"/>
  <c r="G57" i="59"/>
  <c r="F17" i="59"/>
  <c r="F21" i="59"/>
  <c r="F25" i="59"/>
  <c r="F29" i="59"/>
  <c r="F33" i="59"/>
  <c r="F37" i="59"/>
  <c r="F41" i="59"/>
  <c r="F45" i="59"/>
  <c r="F49" i="59"/>
  <c r="F53" i="59"/>
  <c r="F57" i="59"/>
  <c r="G34" i="58"/>
  <c r="G38" i="58"/>
  <c r="G42" i="58"/>
  <c r="G46" i="58"/>
  <c r="G50" i="58"/>
  <c r="G54" i="58"/>
  <c r="G58" i="58"/>
  <c r="G62" i="58"/>
  <c r="F34" i="58"/>
  <c r="F38" i="58"/>
  <c r="F42" i="58"/>
  <c r="F46" i="58"/>
  <c r="F50" i="58"/>
  <c r="F54" i="58"/>
  <c r="F58" i="58"/>
  <c r="F62" i="58"/>
  <c r="E29" i="81"/>
  <c r="E25" i="81"/>
  <c r="F21" i="58" s="1"/>
  <c r="E21" i="81"/>
  <c r="G17" i="58"/>
  <c r="G21" i="58"/>
  <c r="G25" i="58"/>
  <c r="F17" i="58"/>
  <c r="F25" i="58"/>
  <c r="G53" i="57"/>
  <c r="H52" i="57"/>
  <c r="G17" i="57"/>
  <c r="G21" i="57"/>
  <c r="G25" i="57"/>
  <c r="G29" i="57"/>
  <c r="G33" i="57"/>
  <c r="G37" i="57"/>
  <c r="G41" i="57"/>
  <c r="G45" i="57"/>
  <c r="G49" i="57"/>
  <c r="F17" i="57"/>
  <c r="F21" i="57"/>
  <c r="F25" i="57"/>
  <c r="F29" i="57"/>
  <c r="F33" i="57"/>
  <c r="F37" i="57"/>
  <c r="F41" i="57"/>
  <c r="F45" i="57"/>
  <c r="F49" i="57"/>
  <c r="F53" i="57"/>
  <c r="G17" i="56"/>
  <c r="G21" i="56"/>
  <c r="G25" i="56"/>
  <c r="G29" i="56"/>
  <c r="G33" i="56"/>
  <c r="G37" i="56"/>
  <c r="G41" i="56"/>
  <c r="G45" i="56"/>
  <c r="G49" i="56"/>
  <c r="G53" i="56"/>
  <c r="G57" i="56"/>
  <c r="F17" i="56"/>
  <c r="F21" i="56"/>
  <c r="F25" i="56"/>
  <c r="F29" i="56"/>
  <c r="F33" i="56"/>
  <c r="F37" i="56"/>
  <c r="F41" i="56"/>
  <c r="F45" i="56"/>
  <c r="F49" i="56"/>
  <c r="F53" i="56"/>
  <c r="F57" i="56"/>
  <c r="E40" i="78"/>
  <c r="F36" i="55" s="1"/>
  <c r="G21" i="55"/>
  <c r="G25" i="55"/>
  <c r="G29" i="55"/>
  <c r="G33" i="55"/>
  <c r="G37" i="55"/>
  <c r="G41" i="55"/>
  <c r="G45" i="55"/>
  <c r="G49" i="55"/>
  <c r="G53" i="55"/>
  <c r="G56" i="55"/>
  <c r="G57" i="55"/>
  <c r="G61" i="55"/>
  <c r="G65" i="55"/>
  <c r="G69" i="55"/>
  <c r="F29" i="55"/>
  <c r="F17" i="55"/>
  <c r="F21" i="55"/>
  <c r="F25" i="55"/>
  <c r="F33" i="55"/>
  <c r="F37" i="55"/>
  <c r="F41" i="55"/>
  <c r="F45" i="55"/>
  <c r="F49" i="55"/>
  <c r="F53" i="55"/>
  <c r="F56" i="55"/>
  <c r="F57" i="55"/>
  <c r="F61" i="55"/>
  <c r="F65" i="55"/>
  <c r="F69" i="55"/>
  <c r="J64" i="110"/>
  <c r="J66" i="110"/>
  <c r="H52" i="110"/>
  <c r="I52" i="110"/>
  <c r="J52" i="110"/>
  <c r="H53" i="110"/>
  <c r="I53" i="110"/>
  <c r="J53" i="110"/>
  <c r="H54" i="110"/>
  <c r="I54" i="110"/>
  <c r="J45" i="110"/>
  <c r="J32" i="110"/>
  <c r="J29" i="110"/>
  <c r="J24" i="110"/>
  <c r="J25" i="110"/>
  <c r="F15" i="93"/>
  <c r="G15" i="93"/>
  <c r="G18" i="110" s="1"/>
  <c r="H15" i="93"/>
  <c r="H18" i="110" s="1"/>
  <c r="I15" i="93"/>
  <c r="I18" i="110" s="1"/>
  <c r="J15" i="93"/>
  <c r="J18" i="110" s="1"/>
  <c r="K15" i="93"/>
  <c r="K18" i="110" s="1"/>
  <c r="F15" i="94"/>
  <c r="F22" i="110" s="1"/>
  <c r="G15" i="94"/>
  <c r="G22" i="110" s="1"/>
  <c r="H15" i="94"/>
  <c r="H22" i="110" s="1"/>
  <c r="I15" i="94"/>
  <c r="I22" i="110" s="1"/>
  <c r="J15" i="94"/>
  <c r="J22" i="110" s="1"/>
  <c r="K15" i="94"/>
  <c r="K22" i="110" s="1"/>
  <c r="F15" i="95"/>
  <c r="G15" i="95"/>
  <c r="G26" i="110" s="1"/>
  <c r="H15" i="95"/>
  <c r="H26" i="110" s="1"/>
  <c r="I15" i="95"/>
  <c r="I26" i="110" s="1"/>
  <c r="K15" i="95"/>
  <c r="K26" i="110" s="1"/>
  <c r="F15" i="96"/>
  <c r="G15" i="96"/>
  <c r="G30" i="110" s="1"/>
  <c r="H15" i="96"/>
  <c r="H30" i="110" s="1"/>
  <c r="I15" i="96"/>
  <c r="I30" i="110" s="1"/>
  <c r="K15" i="96"/>
  <c r="K30" i="110" s="1"/>
  <c r="F32" i="96"/>
  <c r="G32" i="96"/>
  <c r="G34" i="110" s="1"/>
  <c r="H32" i="96"/>
  <c r="H34" i="110" s="1"/>
  <c r="I32" i="96"/>
  <c r="I34" i="110" s="1"/>
  <c r="K32" i="96"/>
  <c r="K34" i="110" s="1"/>
  <c r="F15" i="97"/>
  <c r="G15" i="97"/>
  <c r="G38" i="110" s="1"/>
  <c r="H15" i="97"/>
  <c r="H38" i="110" s="1"/>
  <c r="I15" i="97"/>
  <c r="I38" i="110" s="1"/>
  <c r="K15" i="97"/>
  <c r="K38" i="110" s="1"/>
  <c r="G40" i="110"/>
  <c r="H40" i="110"/>
  <c r="I40" i="110"/>
  <c r="J40" i="110"/>
  <c r="K40" i="110"/>
  <c r="G41" i="110"/>
  <c r="H41" i="110"/>
  <c r="I41" i="110"/>
  <c r="J41" i="110"/>
  <c r="K41" i="110"/>
  <c r="G42" i="110"/>
  <c r="H42" i="110"/>
  <c r="I42" i="110"/>
  <c r="J42" i="110"/>
  <c r="K42" i="110"/>
  <c r="F15" i="99"/>
  <c r="G46" i="110"/>
  <c r="H15" i="99"/>
  <c r="H46" i="110" s="1"/>
  <c r="I15" i="99"/>
  <c r="I46" i="110" s="1"/>
  <c r="J15" i="99"/>
  <c r="K15" i="99"/>
  <c r="K46" i="110" s="1"/>
  <c r="F32" i="99"/>
  <c r="F50" i="110" s="1"/>
  <c r="G32" i="99"/>
  <c r="G50" i="110" s="1"/>
  <c r="H32" i="99"/>
  <c r="H50" i="110" s="1"/>
  <c r="I32" i="99"/>
  <c r="I50" i="110" s="1"/>
  <c r="J32" i="99"/>
  <c r="J50" i="110" s="1"/>
  <c r="K32" i="99"/>
  <c r="K50" i="110" s="1"/>
  <c r="F15" i="102"/>
  <c r="G15" i="102"/>
  <c r="G58" i="110" s="1"/>
  <c r="H15" i="102"/>
  <c r="H58" i="110" s="1"/>
  <c r="I15" i="102"/>
  <c r="I58" i="110" s="1"/>
  <c r="K58" i="110"/>
  <c r="F15" i="105"/>
  <c r="F62" i="110" s="1"/>
  <c r="G15" i="105"/>
  <c r="G62" i="110" s="1"/>
  <c r="H15" i="105"/>
  <c r="H62" i="110" s="1"/>
  <c r="I15" i="105"/>
  <c r="I62" i="110" s="1"/>
  <c r="J15" i="105"/>
  <c r="J62" i="110" s="1"/>
  <c r="K15" i="105"/>
  <c r="K62" i="110" s="1"/>
  <c r="F15" i="106"/>
  <c r="G15" i="106"/>
  <c r="G66" i="110" s="1"/>
  <c r="H15" i="106"/>
  <c r="H66" i="110" s="1"/>
  <c r="I15" i="106"/>
  <c r="I66" i="110" s="1"/>
  <c r="K15" i="106"/>
  <c r="K66" i="110" s="1"/>
  <c r="D4" i="107"/>
  <c r="E4" i="107"/>
  <c r="G70" i="110" s="1"/>
  <c r="F4" i="107"/>
  <c r="H70" i="110" s="1"/>
  <c r="G4" i="107"/>
  <c r="I70" i="110" s="1"/>
  <c r="H4" i="107"/>
  <c r="J70" i="110" s="1"/>
  <c r="I4" i="107"/>
  <c r="K70" i="110" s="1"/>
  <c r="F15" i="92"/>
  <c r="K69" i="109"/>
  <c r="K71" i="109"/>
  <c r="F69" i="109"/>
  <c r="H65" i="109"/>
  <c r="K65" i="109"/>
  <c r="H67" i="109"/>
  <c r="K67" i="109"/>
  <c r="N61" i="109"/>
  <c r="N62" i="109"/>
  <c r="H53" i="109"/>
  <c r="H49" i="109"/>
  <c r="K49" i="109"/>
  <c r="H50" i="109"/>
  <c r="K45" i="109"/>
  <c r="H46" i="109"/>
  <c r="K41" i="109"/>
  <c r="N41" i="109"/>
  <c r="N42" i="109"/>
  <c r="K43" i="109"/>
  <c r="N43" i="109"/>
  <c r="K37" i="109"/>
  <c r="K38" i="109"/>
  <c r="K39" i="109"/>
  <c r="K33" i="109"/>
  <c r="H34" i="109"/>
  <c r="K35" i="109"/>
  <c r="K29" i="109"/>
  <c r="K30" i="109"/>
  <c r="K31" i="109"/>
  <c r="K25" i="109"/>
  <c r="K26" i="109"/>
  <c r="K27" i="109"/>
  <c r="K21" i="109"/>
  <c r="K22" i="109"/>
  <c r="K23" i="109"/>
  <c r="K17" i="109"/>
  <c r="K18" i="109"/>
  <c r="K19" i="109"/>
  <c r="F15" i="83"/>
  <c r="F41" i="109" s="1"/>
  <c r="F32" i="84"/>
  <c r="F49" i="109" s="1"/>
  <c r="G15" i="84"/>
  <c r="G45" i="109" s="1"/>
  <c r="H45" i="109"/>
  <c r="I15" i="84"/>
  <c r="I45" i="109" s="1"/>
  <c r="L15" i="84"/>
  <c r="L45" i="109" s="1"/>
  <c r="M15" i="84"/>
  <c r="M45" i="109" s="1"/>
  <c r="G16" i="84"/>
  <c r="G46" i="109" s="1"/>
  <c r="I16" i="84"/>
  <c r="I46" i="109" s="1"/>
  <c r="K46" i="109"/>
  <c r="L16" i="84"/>
  <c r="L46" i="109" s="1"/>
  <c r="M16" i="84"/>
  <c r="M46" i="109" s="1"/>
  <c r="G17" i="84"/>
  <c r="H17" i="84"/>
  <c r="H47" i="109" s="1"/>
  <c r="I17" i="84"/>
  <c r="I47" i="109" s="1"/>
  <c r="K47" i="109"/>
  <c r="L17" i="84"/>
  <c r="L47" i="109" s="1"/>
  <c r="M17" i="84"/>
  <c r="M47" i="109" s="1"/>
  <c r="F16" i="84"/>
  <c r="F46" i="109" s="1"/>
  <c r="F17" i="84"/>
  <c r="F47" i="109" s="1"/>
  <c r="F15" i="84"/>
  <c r="F45" i="109" s="1"/>
  <c r="G15" i="85"/>
  <c r="G53" i="109" s="1"/>
  <c r="I15" i="85"/>
  <c r="I53" i="109" s="1"/>
  <c r="J15" i="85"/>
  <c r="K53" i="109"/>
  <c r="L15" i="85"/>
  <c r="L53" i="109" s="1"/>
  <c r="M15" i="85"/>
  <c r="M53" i="109" s="1"/>
  <c r="H16" i="85"/>
  <c r="H54" i="109" s="1"/>
  <c r="I16" i="85"/>
  <c r="I54" i="109" s="1"/>
  <c r="J16" i="85"/>
  <c r="K54" i="109"/>
  <c r="L16" i="85"/>
  <c r="L54" i="109" s="1"/>
  <c r="G17" i="85"/>
  <c r="G55" i="109" s="1"/>
  <c r="H17" i="85"/>
  <c r="H55" i="109" s="1"/>
  <c r="I17" i="85"/>
  <c r="I55" i="109" s="1"/>
  <c r="J17" i="85"/>
  <c r="K55" i="109"/>
  <c r="L17" i="85"/>
  <c r="L55" i="109" s="1"/>
  <c r="M17" i="85"/>
  <c r="M55" i="109" s="1"/>
  <c r="F17" i="85"/>
  <c r="F15" i="85"/>
  <c r="F53" i="109" s="1"/>
  <c r="G15" i="87"/>
  <c r="G57" i="109" s="1"/>
  <c r="H15" i="87"/>
  <c r="H57" i="109" s="1"/>
  <c r="I15" i="87"/>
  <c r="I57" i="109" s="1"/>
  <c r="J15" i="87"/>
  <c r="K15" i="87"/>
  <c r="K57" i="109" s="1"/>
  <c r="L15" i="87"/>
  <c r="L57" i="109" s="1"/>
  <c r="M15" i="87"/>
  <c r="M57" i="109" s="1"/>
  <c r="H16" i="87"/>
  <c r="H58" i="109" s="1"/>
  <c r="I16" i="87"/>
  <c r="I58" i="109" s="1"/>
  <c r="J16" i="87"/>
  <c r="K58" i="109"/>
  <c r="L16" i="87"/>
  <c r="L58" i="109" s="1"/>
  <c r="G17" i="87"/>
  <c r="G59" i="109" s="1"/>
  <c r="H17" i="87"/>
  <c r="H59" i="109" s="1"/>
  <c r="I17" i="87"/>
  <c r="I59" i="109" s="1"/>
  <c r="J17" i="87"/>
  <c r="K59" i="109"/>
  <c r="L17" i="87"/>
  <c r="L59" i="109" s="1"/>
  <c r="M17" i="87"/>
  <c r="M59" i="109" s="1"/>
  <c r="F17" i="87"/>
  <c r="F59" i="109" s="1"/>
  <c r="F15" i="87"/>
  <c r="F57" i="109" s="1"/>
  <c r="F15" i="90"/>
  <c r="F61" i="109" s="1"/>
  <c r="F15" i="91"/>
  <c r="F65" i="109" s="1"/>
  <c r="F17" i="92"/>
  <c r="G17" i="92"/>
  <c r="G71" i="109" s="1"/>
  <c r="I17" i="92"/>
  <c r="I71" i="109" s="1"/>
  <c r="L17" i="92"/>
  <c r="L71" i="109" s="1"/>
  <c r="M17" i="92"/>
  <c r="M71" i="109" s="1"/>
  <c r="F17" i="91"/>
  <c r="F67" i="109" s="1"/>
  <c r="G17" i="91"/>
  <c r="G67" i="109" s="1"/>
  <c r="I17" i="91"/>
  <c r="I67" i="109" s="1"/>
  <c r="L17" i="91"/>
  <c r="L67" i="109" s="1"/>
  <c r="M17" i="91"/>
  <c r="M67" i="109" s="1"/>
  <c r="F17" i="90"/>
  <c r="F63" i="109" s="1"/>
  <c r="G17" i="90"/>
  <c r="G63" i="109" s="1"/>
  <c r="H17" i="90"/>
  <c r="H63" i="109" s="1"/>
  <c r="I17" i="90"/>
  <c r="I63" i="109" s="1"/>
  <c r="K17" i="90"/>
  <c r="K63" i="109" s="1"/>
  <c r="L17" i="90"/>
  <c r="L63" i="109" s="1"/>
  <c r="M17" i="90"/>
  <c r="M63" i="109" s="1"/>
  <c r="E17" i="87"/>
  <c r="K51" i="109"/>
  <c r="H34" i="84"/>
  <c r="H51" i="109" s="1"/>
  <c r="F34" i="84"/>
  <c r="F51" i="109" s="1"/>
  <c r="G34" i="84"/>
  <c r="G51" i="109" s="1"/>
  <c r="I34" i="84"/>
  <c r="I51" i="109" s="1"/>
  <c r="L34" i="84"/>
  <c r="L51" i="109" s="1"/>
  <c r="M34" i="84"/>
  <c r="M51" i="109" s="1"/>
  <c r="F17" i="83"/>
  <c r="F43" i="109" s="1"/>
  <c r="G17" i="83"/>
  <c r="G43" i="109" s="1"/>
  <c r="H17" i="83"/>
  <c r="H43" i="109" s="1"/>
  <c r="I17" i="83"/>
  <c r="I43" i="109" s="1"/>
  <c r="L17" i="83"/>
  <c r="L43" i="109" s="1"/>
  <c r="M17" i="83"/>
  <c r="M43" i="109" s="1"/>
  <c r="F17" i="82"/>
  <c r="G17" i="82"/>
  <c r="G39" i="109" s="1"/>
  <c r="H17" i="82"/>
  <c r="H39" i="109" s="1"/>
  <c r="I17" i="82"/>
  <c r="I39" i="109" s="1"/>
  <c r="L17" i="82"/>
  <c r="L39" i="109" s="1"/>
  <c r="M17" i="82"/>
  <c r="M39" i="109" s="1"/>
  <c r="F34" i="81"/>
  <c r="G34" i="81"/>
  <c r="G35" i="109" s="1"/>
  <c r="H34" i="81"/>
  <c r="I34" i="81"/>
  <c r="I35" i="109" s="1"/>
  <c r="L34" i="81"/>
  <c r="L35" i="109" s="1"/>
  <c r="M34" i="81"/>
  <c r="M35" i="109" s="1"/>
  <c r="F31" i="109"/>
  <c r="G17" i="81"/>
  <c r="G31" i="109" s="1"/>
  <c r="H17" i="81"/>
  <c r="I17" i="81"/>
  <c r="I31" i="109" s="1"/>
  <c r="L17" i="81"/>
  <c r="L31" i="109" s="1"/>
  <c r="M17" i="81"/>
  <c r="M31" i="109" s="1"/>
  <c r="F17" i="80"/>
  <c r="F27" i="109" s="1"/>
  <c r="G17" i="80"/>
  <c r="G27" i="109" s="1"/>
  <c r="H17" i="80"/>
  <c r="H27" i="109" s="1"/>
  <c r="I17" i="80"/>
  <c r="I27" i="109" s="1"/>
  <c r="L17" i="80"/>
  <c r="L27" i="109" s="1"/>
  <c r="M17" i="80"/>
  <c r="M27" i="109" s="1"/>
  <c r="F17" i="79"/>
  <c r="G17" i="79"/>
  <c r="G23" i="109" s="1"/>
  <c r="H17" i="79"/>
  <c r="H23" i="109" s="1"/>
  <c r="I17" i="79"/>
  <c r="I23" i="109" s="1"/>
  <c r="L17" i="79"/>
  <c r="L23" i="109" s="1"/>
  <c r="M17" i="79"/>
  <c r="M23" i="109" s="1"/>
  <c r="F17" i="78"/>
  <c r="F19" i="109" s="1"/>
  <c r="G17" i="78"/>
  <c r="G19" i="109" s="1"/>
  <c r="H17" i="78"/>
  <c r="H19" i="109" s="1"/>
  <c r="I19" i="109"/>
  <c r="L17" i="78"/>
  <c r="L19" i="109" s="1"/>
  <c r="M17" i="78"/>
  <c r="M19" i="109" s="1"/>
  <c r="E59" i="82"/>
  <c r="F55" i="59" s="1"/>
  <c r="E55" i="82"/>
  <c r="F51" i="59" s="1"/>
  <c r="E51" i="82"/>
  <c r="F47" i="59" s="1"/>
  <c r="E47" i="82"/>
  <c r="F43" i="59" s="1"/>
  <c r="E43" i="82"/>
  <c r="F39" i="59" s="1"/>
  <c r="E19" i="82"/>
  <c r="F15" i="59" s="1"/>
  <c r="K15" i="90"/>
  <c r="K61" i="109" s="1"/>
  <c r="L16" i="92"/>
  <c r="L70" i="109" s="1"/>
  <c r="K16" i="92"/>
  <c r="K70" i="109" s="1"/>
  <c r="L15" i="92"/>
  <c r="L69" i="109" s="1"/>
  <c r="I16" i="92"/>
  <c r="I70" i="109" s="1"/>
  <c r="H16" i="92"/>
  <c r="H70" i="109" s="1"/>
  <c r="I15" i="92"/>
  <c r="I69" i="109" s="1"/>
  <c r="H15" i="92"/>
  <c r="H69" i="109" s="1"/>
  <c r="L16" i="91"/>
  <c r="L66" i="109" s="1"/>
  <c r="K16" i="91"/>
  <c r="K66" i="109" s="1"/>
  <c r="L15" i="91"/>
  <c r="L65" i="109" s="1"/>
  <c r="I16" i="91"/>
  <c r="I66" i="109" s="1"/>
  <c r="H16" i="91"/>
  <c r="H66" i="109" s="1"/>
  <c r="I15" i="91"/>
  <c r="I65" i="109" s="1"/>
  <c r="L16" i="90"/>
  <c r="L62" i="109" s="1"/>
  <c r="K16" i="90"/>
  <c r="K62" i="109" s="1"/>
  <c r="L15" i="90"/>
  <c r="L61" i="109" s="1"/>
  <c r="I16" i="90"/>
  <c r="I62" i="109" s="1"/>
  <c r="H16" i="90"/>
  <c r="H62" i="109" s="1"/>
  <c r="I15" i="90"/>
  <c r="I61" i="109" s="1"/>
  <c r="H15" i="90"/>
  <c r="H61" i="109" s="1"/>
  <c r="M32" i="84"/>
  <c r="M49" i="109" s="1"/>
  <c r="L33" i="84"/>
  <c r="L50" i="109" s="1"/>
  <c r="K33" i="84"/>
  <c r="K50" i="109" s="1"/>
  <c r="L32" i="84"/>
  <c r="L49" i="109" s="1"/>
  <c r="I33" i="84"/>
  <c r="I50" i="109" s="1"/>
  <c r="I32" i="84"/>
  <c r="I49" i="109" s="1"/>
  <c r="M16" i="83"/>
  <c r="M42" i="109" s="1"/>
  <c r="M15" i="83"/>
  <c r="M41" i="109" s="1"/>
  <c r="L16" i="83"/>
  <c r="L42" i="109" s="1"/>
  <c r="K16" i="83"/>
  <c r="K42" i="109" s="1"/>
  <c r="L15" i="83"/>
  <c r="L41" i="109" s="1"/>
  <c r="I16" i="83"/>
  <c r="I42" i="109" s="1"/>
  <c r="H16" i="83"/>
  <c r="H42" i="109" s="1"/>
  <c r="I15" i="83"/>
  <c r="I41" i="109" s="1"/>
  <c r="H15" i="83"/>
  <c r="H41" i="109" s="1"/>
  <c r="G16" i="83"/>
  <c r="G42" i="109" s="1"/>
  <c r="G15" i="83"/>
  <c r="E15" i="83" s="1"/>
  <c r="F16" i="83"/>
  <c r="F42" i="109" s="1"/>
  <c r="L16" i="82"/>
  <c r="L38" i="109" s="1"/>
  <c r="L15" i="82"/>
  <c r="L37" i="109" s="1"/>
  <c r="I16" i="82"/>
  <c r="I38" i="109" s="1"/>
  <c r="H16" i="82"/>
  <c r="H38" i="109" s="1"/>
  <c r="I15" i="82"/>
  <c r="I37" i="109" s="1"/>
  <c r="H15" i="82"/>
  <c r="H37" i="109" s="1"/>
  <c r="L33" i="81"/>
  <c r="L34" i="109" s="1"/>
  <c r="K33" i="81"/>
  <c r="K34" i="109" s="1"/>
  <c r="L32" i="81"/>
  <c r="L33" i="109" s="1"/>
  <c r="I33" i="81"/>
  <c r="I34" i="109" s="1"/>
  <c r="I32" i="81"/>
  <c r="I33" i="109" s="1"/>
  <c r="H32" i="81"/>
  <c r="H33" i="109" s="1"/>
  <c r="L16" i="81"/>
  <c r="L30" i="109" s="1"/>
  <c r="L15" i="81"/>
  <c r="L29" i="109" s="1"/>
  <c r="I30" i="109"/>
  <c r="H16" i="81"/>
  <c r="H30" i="109" s="1"/>
  <c r="I15" i="81"/>
  <c r="I29" i="109" s="1"/>
  <c r="H15" i="81"/>
  <c r="H29" i="109" s="1"/>
  <c r="L16" i="80"/>
  <c r="L26" i="109" s="1"/>
  <c r="L15" i="80"/>
  <c r="L25" i="109" s="1"/>
  <c r="I16" i="80"/>
  <c r="I26" i="109" s="1"/>
  <c r="H16" i="80"/>
  <c r="H26" i="109" s="1"/>
  <c r="I15" i="80"/>
  <c r="I25" i="109" s="1"/>
  <c r="H15" i="80"/>
  <c r="H25" i="109" s="1"/>
  <c r="L16" i="79"/>
  <c r="L22" i="109" s="1"/>
  <c r="L15" i="79"/>
  <c r="L21" i="109" s="1"/>
  <c r="I16" i="79"/>
  <c r="I22" i="109" s="1"/>
  <c r="I15" i="79"/>
  <c r="I21" i="109" s="1"/>
  <c r="H16" i="79"/>
  <c r="H22" i="109" s="1"/>
  <c r="H15" i="79"/>
  <c r="H21" i="109" s="1"/>
  <c r="L16" i="78"/>
  <c r="L18" i="109" s="1"/>
  <c r="L15" i="78"/>
  <c r="L17" i="109" s="1"/>
  <c r="I16" i="78"/>
  <c r="I18" i="109" s="1"/>
  <c r="I15" i="78"/>
  <c r="I17" i="109" s="1"/>
  <c r="H16" i="78"/>
  <c r="H18" i="109" s="1"/>
  <c r="H15" i="78"/>
  <c r="H17" i="109" s="1"/>
  <c r="M16" i="90"/>
  <c r="M62" i="109" s="1"/>
  <c r="G13" i="57" l="1"/>
  <c r="E13" i="108" s="1"/>
  <c r="G13" i="59"/>
  <c r="E22" i="108" s="1"/>
  <c r="E14" i="100"/>
  <c r="E19" i="109"/>
  <c r="K13" i="109"/>
  <c r="G13" i="58"/>
  <c r="E16" i="108" s="1"/>
  <c r="F13" i="59"/>
  <c r="F30" i="47"/>
  <c r="D31" i="108" s="1"/>
  <c r="D22" i="108"/>
  <c r="G13" i="74"/>
  <c r="E46" i="108" s="1"/>
  <c r="G30" i="47"/>
  <c r="E31" i="108" s="1"/>
  <c r="G12" i="46"/>
  <c r="E24" i="108" s="1"/>
  <c r="E15" i="97"/>
  <c r="G30" i="58"/>
  <c r="E19" i="108" s="1"/>
  <c r="H14" i="109"/>
  <c r="E17" i="92"/>
  <c r="F13" i="72"/>
  <c r="D40" i="108" s="1"/>
  <c r="F13" i="47"/>
  <c r="D28" i="108" s="1"/>
  <c r="E17" i="84"/>
  <c r="H15" i="109"/>
  <c r="M15" i="109"/>
  <c r="F13" i="55"/>
  <c r="I13" i="109"/>
  <c r="E63" i="109"/>
  <c r="I15" i="109"/>
  <c r="L15" i="109"/>
  <c r="K14" i="109"/>
  <c r="H13" i="109"/>
  <c r="E15" i="106"/>
  <c r="F66" i="110"/>
  <c r="E15" i="99"/>
  <c r="F46" i="110"/>
  <c r="E15" i="96"/>
  <c r="E17" i="78"/>
  <c r="E17" i="80"/>
  <c r="E34" i="81"/>
  <c r="E17" i="83"/>
  <c r="E17" i="90"/>
  <c r="E17" i="85"/>
  <c r="F71" i="109"/>
  <c r="E15" i="95"/>
  <c r="F26" i="110"/>
  <c r="E15" i="93"/>
  <c r="F18" i="110"/>
  <c r="F38" i="110"/>
  <c r="F13" i="56"/>
  <c r="D10" i="108" s="1"/>
  <c r="G13" i="72"/>
  <c r="E40" i="108" s="1"/>
  <c r="E16" i="83"/>
  <c r="E17" i="91"/>
  <c r="F35" i="109"/>
  <c r="G41" i="109"/>
  <c r="F55" i="109"/>
  <c r="E55" i="109" s="1"/>
  <c r="E15" i="105"/>
  <c r="E32" i="99"/>
  <c r="F13" i="57"/>
  <c r="D13" i="108" s="1"/>
  <c r="E15" i="102"/>
  <c r="F58" i="110"/>
  <c r="L14" i="109"/>
  <c r="E17" i="79"/>
  <c r="F23" i="109"/>
  <c r="F39" i="109"/>
  <c r="G47" i="109"/>
  <c r="G15" i="109" s="1"/>
  <c r="C4" i="107"/>
  <c r="F70" i="110"/>
  <c r="E14" i="98"/>
  <c r="F30" i="110"/>
  <c r="G13" i="46"/>
  <c r="E25" i="108" s="1"/>
  <c r="E32" i="96"/>
  <c r="G13" i="56"/>
  <c r="E10" i="108" s="1"/>
  <c r="F13" i="69"/>
  <c r="D37" i="108" s="1"/>
  <c r="E15" i="94"/>
  <c r="F34" i="110"/>
  <c r="G13" i="69"/>
  <c r="E37" i="108" s="1"/>
  <c r="F13" i="73"/>
  <c r="D43" i="108" s="1"/>
  <c r="F13" i="74"/>
  <c r="D46" i="108" s="1"/>
  <c r="F13" i="58"/>
  <c r="D16" i="108" s="1"/>
  <c r="G13" i="73"/>
  <c r="E43" i="108" s="1"/>
  <c r="G13" i="47"/>
  <c r="E28" i="108" s="1"/>
  <c r="C28" i="108" s="1"/>
  <c r="D28" i="111" s="1"/>
  <c r="C28" i="111" s="1"/>
  <c r="E15" i="100"/>
  <c r="F53" i="110"/>
  <c r="G13" i="63"/>
  <c r="E34" i="108" s="1"/>
  <c r="G12" i="63"/>
  <c r="E33" i="108" s="1"/>
  <c r="F13" i="63"/>
  <c r="D34" i="108" s="1"/>
  <c r="E13" i="98"/>
  <c r="F41" i="110"/>
  <c r="F42" i="110"/>
  <c r="F14" i="110" s="1"/>
  <c r="K15" i="109"/>
  <c r="I14" i="109"/>
  <c r="L13" i="109"/>
  <c r="E34" i="84"/>
  <c r="F30" i="58"/>
  <c r="D19" i="108" s="1"/>
  <c r="E62" i="58"/>
  <c r="E58" i="58"/>
  <c r="E54" i="58"/>
  <c r="E60" i="81"/>
  <c r="F56" i="58" s="1"/>
  <c r="E56" i="81"/>
  <c r="F52" i="58" s="1"/>
  <c r="E52" i="81"/>
  <c r="F48" i="58" s="1"/>
  <c r="E48" i="81"/>
  <c r="F44" i="58" s="1"/>
  <c r="E44" i="81"/>
  <c r="F40" i="58" s="1"/>
  <c r="E40" i="81"/>
  <c r="F36" i="58" s="1"/>
  <c r="E64" i="81"/>
  <c r="F60" i="58" s="1"/>
  <c r="E36" i="81"/>
  <c r="F32" i="58" s="1"/>
  <c r="F28" i="58" s="1"/>
  <c r="D17" i="108" s="1"/>
  <c r="E39" i="82"/>
  <c r="F35" i="59" s="1"/>
  <c r="E35" i="82"/>
  <c r="F31" i="59" s="1"/>
  <c r="E31" i="82"/>
  <c r="F27" i="59" s="1"/>
  <c r="E27" i="82"/>
  <c r="F23" i="59" s="1"/>
  <c r="E23" i="82"/>
  <c r="F19" i="59" s="1"/>
  <c r="F11" i="46"/>
  <c r="D23" i="108" s="1"/>
  <c r="F12" i="46"/>
  <c r="D24" i="108" s="1"/>
  <c r="F13" i="46"/>
  <c r="D25" i="108" s="1"/>
  <c r="G11" i="46"/>
  <c r="E23" i="108" s="1"/>
  <c r="E59" i="109"/>
  <c r="E51" i="109"/>
  <c r="E47" i="109"/>
  <c r="E46" i="109"/>
  <c r="E57" i="109"/>
  <c r="E53" i="109"/>
  <c r="E45" i="109"/>
  <c r="C16" i="108" l="1"/>
  <c r="D16" i="111" s="1"/>
  <c r="C16" i="111" s="1"/>
  <c r="C13" i="108"/>
  <c r="D13" i="111" s="1"/>
  <c r="C13" i="111" s="1"/>
  <c r="F11" i="59"/>
  <c r="D20" i="108" s="1"/>
  <c r="C22" i="108"/>
  <c r="D22" i="111" s="1"/>
  <c r="C22" i="111" s="1"/>
  <c r="C31" i="108"/>
  <c r="D31" i="111" s="1"/>
  <c r="C31" i="111" s="1"/>
  <c r="C46" i="108"/>
  <c r="D46" i="111" s="1"/>
  <c r="C46" i="111" s="1"/>
  <c r="C34" i="108"/>
  <c r="D34" i="111" s="1"/>
  <c r="C34" i="111" s="1"/>
  <c r="C24" i="108"/>
  <c r="D24" i="111" s="1"/>
  <c r="C24" i="111" s="1"/>
  <c r="C25" i="108"/>
  <c r="D25" i="111" s="1"/>
  <c r="C25" i="111" s="1"/>
  <c r="C19" i="108"/>
  <c r="D19" i="111" s="1"/>
  <c r="C19" i="111" s="1"/>
  <c r="C40" i="108"/>
  <c r="D40" i="111" s="1"/>
  <c r="C40" i="111" s="1"/>
  <c r="F15" i="109"/>
  <c r="E15" i="109" s="1"/>
  <c r="C10" i="108"/>
  <c r="D10" i="111" s="1"/>
  <c r="C10" i="111" s="1"/>
  <c r="C23" i="108"/>
  <c r="D23" i="111" s="1"/>
  <c r="C23" i="111" s="1"/>
  <c r="C43" i="108"/>
  <c r="D43" i="111" s="1"/>
  <c r="C43" i="111" s="1"/>
  <c r="C37" i="108"/>
  <c r="D37" i="111" s="1"/>
  <c r="C37" i="111" s="1"/>
  <c r="K14" i="110"/>
  <c r="E70" i="110"/>
  <c r="E66" i="110"/>
  <c r="E62" i="110"/>
  <c r="E58" i="110"/>
  <c r="E54" i="110"/>
  <c r="E53" i="110"/>
  <c r="E50" i="110"/>
  <c r="E46" i="110"/>
  <c r="E42" i="110"/>
  <c r="E41" i="110"/>
  <c r="E40" i="110"/>
  <c r="F30" i="99"/>
  <c r="F48" i="110" s="1"/>
  <c r="G30" i="99"/>
  <c r="G48" i="110" s="1"/>
  <c r="H30" i="99"/>
  <c r="H48" i="110" s="1"/>
  <c r="I30" i="99"/>
  <c r="I48" i="110" s="1"/>
  <c r="J30" i="99"/>
  <c r="J48" i="110" s="1"/>
  <c r="K30" i="99"/>
  <c r="K48" i="110" s="1"/>
  <c r="F31" i="99"/>
  <c r="F49" i="110" s="1"/>
  <c r="G31" i="99"/>
  <c r="G49" i="110" s="1"/>
  <c r="H31" i="99"/>
  <c r="H49" i="110" s="1"/>
  <c r="I31" i="99"/>
  <c r="I49" i="110" s="1"/>
  <c r="J31" i="99"/>
  <c r="J49" i="110" s="1"/>
  <c r="K31" i="99"/>
  <c r="K49" i="110" s="1"/>
  <c r="E71" i="109"/>
  <c r="E67" i="109"/>
  <c r="E43" i="109"/>
  <c r="E42" i="109"/>
  <c r="E41" i="109"/>
  <c r="E49" i="110" l="1"/>
  <c r="E48" i="110"/>
  <c r="E50" i="58"/>
  <c r="E46" i="58"/>
  <c r="E42" i="58"/>
  <c r="E38" i="58"/>
  <c r="E34" i="58"/>
  <c r="E17" i="59"/>
  <c r="E21" i="59"/>
  <c r="E25" i="59"/>
  <c r="E29" i="59"/>
  <c r="E33" i="59"/>
  <c r="E37" i="59"/>
  <c r="E41" i="59"/>
  <c r="E45" i="59"/>
  <c r="E49" i="59"/>
  <c r="E53" i="59"/>
  <c r="E57" i="59"/>
  <c r="E17" i="46"/>
  <c r="E16" i="46"/>
  <c r="E15" i="46"/>
  <c r="E21" i="46"/>
  <c r="E20" i="46"/>
  <c r="E19" i="46"/>
  <c r="E25" i="46"/>
  <c r="E24" i="46"/>
  <c r="E23" i="46"/>
  <c r="E29" i="46"/>
  <c r="E28" i="46"/>
  <c r="E27" i="46"/>
  <c r="E33" i="46"/>
  <c r="E32" i="46"/>
  <c r="E31" i="46"/>
  <c r="E37" i="46"/>
  <c r="E36" i="46"/>
  <c r="E35" i="46"/>
  <c r="E41" i="46"/>
  <c r="E40" i="46"/>
  <c r="E39" i="46"/>
  <c r="E45" i="46"/>
  <c r="E44" i="46"/>
  <c r="E43" i="46"/>
  <c r="E49" i="46"/>
  <c r="E48" i="46"/>
  <c r="E47" i="46"/>
  <c r="E53" i="46"/>
  <c r="E52" i="46"/>
  <c r="E51" i="46"/>
  <c r="E57" i="46"/>
  <c r="E56" i="46"/>
  <c r="E55" i="46"/>
  <c r="E61" i="46"/>
  <c r="E60" i="46"/>
  <c r="E59" i="46"/>
  <c r="E65" i="46"/>
  <c r="E64" i="46"/>
  <c r="E63" i="46"/>
  <c r="E71" i="46"/>
  <c r="E69" i="46"/>
  <c r="E68" i="46"/>
  <c r="E67" i="46"/>
  <c r="E73" i="46"/>
  <c r="E72" i="46"/>
  <c r="E17" i="47"/>
  <c r="E21" i="47"/>
  <c r="E25" i="47"/>
  <c r="E42" i="47"/>
  <c r="E46" i="47"/>
  <c r="E50" i="47"/>
  <c r="E17" i="63"/>
  <c r="E21" i="63"/>
  <c r="E25" i="63"/>
  <c r="E29" i="63"/>
  <c r="E33" i="63"/>
  <c r="E37" i="63"/>
  <c r="E41" i="63"/>
  <c r="E45" i="63"/>
  <c r="E49" i="63"/>
  <c r="E13" i="64"/>
  <c r="E12" i="64"/>
  <c r="E11" i="64"/>
  <c r="E17" i="64"/>
  <c r="E21" i="64"/>
  <c r="E25" i="64"/>
  <c r="E29" i="64"/>
  <c r="E33" i="64"/>
  <c r="E37" i="64"/>
  <c r="E41" i="64"/>
  <c r="E45" i="64"/>
  <c r="E49" i="64"/>
  <c r="E53" i="64"/>
  <c r="E45" i="69"/>
  <c r="E41" i="69"/>
  <c r="E37" i="69"/>
  <c r="E33" i="69"/>
  <c r="E29" i="69"/>
  <c r="E25" i="69"/>
  <c r="E21" i="69"/>
  <c r="E17" i="69"/>
  <c r="E51" i="70"/>
  <c r="E47" i="70"/>
  <c r="E43" i="70"/>
  <c r="E39" i="70"/>
  <c r="E35" i="70"/>
  <c r="E31" i="70"/>
  <c r="E27" i="70"/>
  <c r="E23" i="70"/>
  <c r="E19" i="70"/>
  <c r="E15" i="70"/>
  <c r="E51" i="71"/>
  <c r="E47" i="71"/>
  <c r="E43" i="71"/>
  <c r="E39" i="71"/>
  <c r="E35" i="71"/>
  <c r="E31" i="71"/>
  <c r="E27" i="71"/>
  <c r="E23" i="71"/>
  <c r="E19" i="71"/>
  <c r="E15" i="71"/>
  <c r="E73" i="72"/>
  <c r="E69" i="72"/>
  <c r="E65" i="72"/>
  <c r="E61" i="72"/>
  <c r="E57" i="72"/>
  <c r="E53" i="72"/>
  <c r="E49" i="72"/>
  <c r="E45" i="72"/>
  <c r="E41" i="72"/>
  <c r="E37" i="72"/>
  <c r="E33" i="72"/>
  <c r="E29" i="72"/>
  <c r="E25" i="72"/>
  <c r="E21" i="72"/>
  <c r="E17" i="72"/>
  <c r="E41" i="73"/>
  <c r="E37" i="73"/>
  <c r="E33" i="73"/>
  <c r="E29" i="73"/>
  <c r="E25" i="73"/>
  <c r="E21" i="73"/>
  <c r="E17" i="73"/>
  <c r="E37" i="74"/>
  <c r="E33" i="74"/>
  <c r="E29" i="74"/>
  <c r="E25" i="74"/>
  <c r="E21" i="74"/>
  <c r="E17" i="74"/>
  <c r="E17" i="55"/>
  <c r="G13" i="55"/>
  <c r="E7" i="108" s="1"/>
  <c r="E4" i="108" s="1"/>
  <c r="D7" i="108"/>
  <c r="D4" i="108" s="1"/>
  <c r="E38" i="47"/>
  <c r="E34" i="47"/>
  <c r="E2" i="107"/>
  <c r="G68" i="110" s="1"/>
  <c r="F2" i="107"/>
  <c r="H68" i="110" s="1"/>
  <c r="G2" i="107"/>
  <c r="I68" i="110" s="1"/>
  <c r="H2" i="107"/>
  <c r="J68" i="110" s="1"/>
  <c r="I2" i="107"/>
  <c r="K68" i="110" s="1"/>
  <c r="E3" i="107"/>
  <c r="G69" i="110" s="1"/>
  <c r="F3" i="107"/>
  <c r="H69" i="110" s="1"/>
  <c r="G3" i="107"/>
  <c r="I69" i="110" s="1"/>
  <c r="H3" i="107"/>
  <c r="J69" i="110" s="1"/>
  <c r="I3" i="107"/>
  <c r="K69" i="110" s="1"/>
  <c r="D2" i="107"/>
  <c r="F68" i="110" s="1"/>
  <c r="D3" i="107"/>
  <c r="F69" i="110" s="1"/>
  <c r="F16" i="92"/>
  <c r="F70" i="109" s="1"/>
  <c r="G15" i="92"/>
  <c r="G69" i="109" s="1"/>
  <c r="M15" i="92"/>
  <c r="M69" i="109" s="1"/>
  <c r="G16" i="92"/>
  <c r="G70" i="109" s="1"/>
  <c r="M16" i="92"/>
  <c r="M70" i="109" s="1"/>
  <c r="E68" i="110" l="1"/>
  <c r="E30" i="47"/>
  <c r="E70" i="109"/>
  <c r="C7" i="108"/>
  <c r="D7" i="111" s="1"/>
  <c r="E69" i="110"/>
  <c r="E13" i="74"/>
  <c r="E13" i="73"/>
  <c r="E13" i="72"/>
  <c r="E13" i="69"/>
  <c r="E13" i="63"/>
  <c r="C4" i="108" s="1"/>
  <c r="E13" i="47"/>
  <c r="E11" i="46"/>
  <c r="E12" i="46"/>
  <c r="E13" i="46"/>
  <c r="G13" i="106"/>
  <c r="G64" i="110" s="1"/>
  <c r="H13" i="106"/>
  <c r="H64" i="110" s="1"/>
  <c r="I13" i="106"/>
  <c r="I64" i="110" s="1"/>
  <c r="K13" i="106"/>
  <c r="K64" i="110" s="1"/>
  <c r="G14" i="106"/>
  <c r="G65" i="110" s="1"/>
  <c r="H14" i="106"/>
  <c r="H65" i="110" s="1"/>
  <c r="I14" i="106"/>
  <c r="I65" i="110" s="1"/>
  <c r="J14" i="106"/>
  <c r="J65" i="110" s="1"/>
  <c r="K14" i="106"/>
  <c r="K65" i="110" s="1"/>
  <c r="F13" i="106"/>
  <c r="F64" i="110" s="1"/>
  <c r="F14" i="106"/>
  <c r="F65" i="110" s="1"/>
  <c r="G15" i="91"/>
  <c r="G65" i="109" s="1"/>
  <c r="M15" i="91"/>
  <c r="M65" i="109" s="1"/>
  <c r="G16" i="91"/>
  <c r="G66" i="109" s="1"/>
  <c r="M16" i="91"/>
  <c r="M66" i="109" s="1"/>
  <c r="F16" i="91"/>
  <c r="F66" i="109" s="1"/>
  <c r="D4" i="111" l="1"/>
  <c r="C4" i="111" s="1"/>
  <c r="C7" i="111"/>
  <c r="E65" i="109"/>
  <c r="E66" i="109"/>
  <c r="E65" i="110"/>
  <c r="E64" i="110"/>
  <c r="G15" i="90"/>
  <c r="M15" i="90"/>
  <c r="M61" i="109" s="1"/>
  <c r="G16" i="90"/>
  <c r="G62" i="109" s="1"/>
  <c r="F16" i="90"/>
  <c r="F62" i="109" s="1"/>
  <c r="G13" i="105"/>
  <c r="G60" i="110" s="1"/>
  <c r="H13" i="105"/>
  <c r="H60" i="110" s="1"/>
  <c r="I13" i="105"/>
  <c r="I60" i="110" s="1"/>
  <c r="J13" i="105"/>
  <c r="J60" i="110" s="1"/>
  <c r="K13" i="105"/>
  <c r="K60" i="110" s="1"/>
  <c r="G14" i="105"/>
  <c r="G61" i="110" s="1"/>
  <c r="H14" i="105"/>
  <c r="H61" i="110" s="1"/>
  <c r="I14" i="105"/>
  <c r="I61" i="110" s="1"/>
  <c r="J14" i="105"/>
  <c r="J61" i="110" s="1"/>
  <c r="K14" i="105"/>
  <c r="K61" i="110" s="1"/>
  <c r="F13" i="105"/>
  <c r="F60" i="110" s="1"/>
  <c r="F14" i="105"/>
  <c r="F61" i="110" s="1"/>
  <c r="E61" i="110" l="1"/>
  <c r="E62" i="109"/>
  <c r="E60" i="110"/>
  <c r="G61" i="109"/>
  <c r="E61" i="109" s="1"/>
  <c r="E15" i="90"/>
  <c r="E16" i="90"/>
  <c r="G13" i="102"/>
  <c r="G56" i="110" s="1"/>
  <c r="H13" i="102"/>
  <c r="H56" i="110" s="1"/>
  <c r="I13" i="102"/>
  <c r="I56" i="110" s="1"/>
  <c r="J13" i="102"/>
  <c r="J56" i="110" s="1"/>
  <c r="K13" i="102"/>
  <c r="K56" i="110" s="1"/>
  <c r="G14" i="102"/>
  <c r="G57" i="110" s="1"/>
  <c r="H14" i="102"/>
  <c r="H57" i="110" s="1"/>
  <c r="I14" i="102"/>
  <c r="I57" i="110" s="1"/>
  <c r="J14" i="102"/>
  <c r="J57" i="110" s="1"/>
  <c r="K14" i="102"/>
  <c r="K57" i="110" s="1"/>
  <c r="F13" i="102"/>
  <c r="F56" i="110" s="1"/>
  <c r="F14" i="102"/>
  <c r="F57" i="110" s="1"/>
  <c r="M54" i="88"/>
  <c r="G54" i="88"/>
  <c r="F54" i="88"/>
  <c r="M50" i="88"/>
  <c r="G50" i="88"/>
  <c r="M46" i="88"/>
  <c r="M42" i="88"/>
  <c r="G42" i="88"/>
  <c r="F42" i="88"/>
  <c r="M48" i="87"/>
  <c r="G48" i="87"/>
  <c r="M44" i="87"/>
  <c r="G44" i="87"/>
  <c r="M40" i="87"/>
  <c r="G40" i="87"/>
  <c r="M36" i="87"/>
  <c r="G36" i="87"/>
  <c r="M32" i="87"/>
  <c r="G32" i="87"/>
  <c r="G28" i="87"/>
  <c r="M24" i="87"/>
  <c r="F24" i="87"/>
  <c r="F16" i="87" s="1"/>
  <c r="F58" i="109" s="1"/>
  <c r="G20" i="87"/>
  <c r="G16" i="87" s="1"/>
  <c r="G58" i="109" s="1"/>
  <c r="K55" i="101"/>
  <c r="F55" i="101"/>
  <c r="E55" i="101" s="1"/>
  <c r="G51" i="64" s="1"/>
  <c r="E51" i="64" s="1"/>
  <c r="K51" i="101"/>
  <c r="F51" i="101"/>
  <c r="E51" i="101" s="1"/>
  <c r="G47" i="64" s="1"/>
  <c r="E47" i="64" s="1"/>
  <c r="K47" i="101"/>
  <c r="F47" i="101"/>
  <c r="E47" i="101" s="1"/>
  <c r="G43" i="64" s="1"/>
  <c r="E43" i="64" s="1"/>
  <c r="K43" i="101"/>
  <c r="F43" i="101"/>
  <c r="E43" i="101" s="1"/>
  <c r="G39" i="64" s="1"/>
  <c r="E39" i="64" s="1"/>
  <c r="K39" i="101"/>
  <c r="F39" i="101"/>
  <c r="E39" i="101" s="1"/>
  <c r="G35" i="64" s="1"/>
  <c r="E35" i="64" s="1"/>
  <c r="K35" i="101"/>
  <c r="F35" i="101"/>
  <c r="E35" i="101" s="1"/>
  <c r="G31" i="64" s="1"/>
  <c r="E31" i="64" s="1"/>
  <c r="K31" i="101"/>
  <c r="F31" i="101"/>
  <c r="E31" i="101" s="1"/>
  <c r="G27" i="64" s="1"/>
  <c r="E27" i="64" s="1"/>
  <c r="K27" i="101"/>
  <c r="F27" i="101"/>
  <c r="E27" i="101" s="1"/>
  <c r="G23" i="64" s="1"/>
  <c r="E23" i="64" s="1"/>
  <c r="K23" i="101"/>
  <c r="F23" i="101"/>
  <c r="E23" i="101" s="1"/>
  <c r="G19" i="64" s="1"/>
  <c r="E19" i="64" s="1"/>
  <c r="K19" i="101"/>
  <c r="F19" i="101"/>
  <c r="E19" i="101" s="1"/>
  <c r="G15" i="64" s="1"/>
  <c r="E15" i="64" s="1"/>
  <c r="K49" i="100"/>
  <c r="F49" i="100"/>
  <c r="E49" i="100" s="1"/>
  <c r="G47" i="63" s="1"/>
  <c r="E47" i="63" s="1"/>
  <c r="K45" i="100"/>
  <c r="F45" i="100"/>
  <c r="E45" i="100" s="1"/>
  <c r="G43" i="63" s="1"/>
  <c r="E43" i="63" s="1"/>
  <c r="K41" i="100"/>
  <c r="F41" i="100"/>
  <c r="E41" i="100" s="1"/>
  <c r="G39" i="63" s="1"/>
  <c r="E39" i="63" s="1"/>
  <c r="K37" i="100"/>
  <c r="F37" i="100"/>
  <c r="E37" i="100" s="1"/>
  <c r="G35" i="63" s="1"/>
  <c r="E35" i="63" s="1"/>
  <c r="K33" i="100"/>
  <c r="G33" i="100"/>
  <c r="F33" i="100"/>
  <c r="K29" i="100"/>
  <c r="F29" i="100"/>
  <c r="K25" i="100"/>
  <c r="G25" i="100"/>
  <c r="F25" i="100"/>
  <c r="E25" i="100" s="1"/>
  <c r="G23" i="63" s="1"/>
  <c r="E23" i="63" s="1"/>
  <c r="K21" i="100"/>
  <c r="F21" i="100"/>
  <c r="E21" i="100" s="1"/>
  <c r="G19" i="63" s="1"/>
  <c r="E19" i="63" s="1"/>
  <c r="K17" i="100"/>
  <c r="F17" i="100"/>
  <c r="F13" i="100" s="1"/>
  <c r="M58" i="86"/>
  <c r="G58" i="86"/>
  <c r="F58" i="86"/>
  <c r="M54" i="86"/>
  <c r="G54" i="86"/>
  <c r="F54" i="86"/>
  <c r="M50" i="86"/>
  <c r="G50" i="86"/>
  <c r="F50" i="86"/>
  <c r="M46" i="86"/>
  <c r="G46" i="86"/>
  <c r="F46" i="86"/>
  <c r="E46" i="86" s="1"/>
  <c r="F40" i="64" s="1"/>
  <c r="E40" i="64" s="1"/>
  <c r="M42" i="86"/>
  <c r="G42" i="86"/>
  <c r="F42" i="86"/>
  <c r="M38" i="86"/>
  <c r="G38" i="86"/>
  <c r="F38" i="86"/>
  <c r="M34" i="86"/>
  <c r="G34" i="86"/>
  <c r="F34" i="86"/>
  <c r="G30" i="86"/>
  <c r="F30" i="86"/>
  <c r="M26" i="86"/>
  <c r="G26" i="86"/>
  <c r="F26" i="86"/>
  <c r="M22" i="86"/>
  <c r="G22" i="86"/>
  <c r="F22" i="86"/>
  <c r="M52" i="85"/>
  <c r="G52" i="85"/>
  <c r="F52" i="85"/>
  <c r="E52" i="85" s="1"/>
  <c r="F48" i="63" s="1"/>
  <c r="E48" i="63" s="1"/>
  <c r="M48" i="85"/>
  <c r="G48" i="85"/>
  <c r="F44" i="63" s="1"/>
  <c r="E44" i="63" s="1"/>
  <c r="M44" i="85"/>
  <c r="G44" i="85"/>
  <c r="F44" i="85"/>
  <c r="M40" i="85"/>
  <c r="G40" i="85"/>
  <c r="F40" i="85"/>
  <c r="E40" i="85" s="1"/>
  <c r="F36" i="63" s="1"/>
  <c r="E36" i="63" s="1"/>
  <c r="M36" i="85"/>
  <c r="G36" i="85"/>
  <c r="F36" i="85"/>
  <c r="M32" i="85"/>
  <c r="G32" i="85"/>
  <c r="F32" i="85"/>
  <c r="M28" i="85"/>
  <c r="G28" i="85"/>
  <c r="E28" i="85" s="1"/>
  <c r="F24" i="63" s="1"/>
  <c r="E24" i="63" s="1"/>
  <c r="M24" i="85"/>
  <c r="G24" i="85"/>
  <c r="F24" i="85"/>
  <c r="M20" i="85"/>
  <c r="M16" i="85" s="1"/>
  <c r="M54" i="109" s="1"/>
  <c r="G20" i="85"/>
  <c r="E28" i="84"/>
  <c r="F24" i="47" s="1"/>
  <c r="E27" i="84"/>
  <c r="F23" i="47" s="1"/>
  <c r="E24" i="84"/>
  <c r="F20" i="47" s="1"/>
  <c r="E23" i="84"/>
  <c r="F19" i="47" s="1"/>
  <c r="E19" i="84"/>
  <c r="F15" i="47" s="1"/>
  <c r="E20" i="84"/>
  <c r="F16" i="47" s="1"/>
  <c r="E26" i="99"/>
  <c r="G24" i="47" s="1"/>
  <c r="E22" i="99"/>
  <c r="G20" i="47" s="1"/>
  <c r="E18" i="99"/>
  <c r="G16" i="47" s="1"/>
  <c r="G49" i="47"/>
  <c r="G45" i="47"/>
  <c r="G44" i="47"/>
  <c r="G41" i="47"/>
  <c r="G40" i="47"/>
  <c r="G37" i="47"/>
  <c r="G36" i="47"/>
  <c r="G32" i="47"/>
  <c r="G33" i="47"/>
  <c r="G32" i="84"/>
  <c r="M53" i="84"/>
  <c r="G53" i="84"/>
  <c r="F53" i="84"/>
  <c r="M49" i="84"/>
  <c r="G49" i="84"/>
  <c r="F49" i="84"/>
  <c r="M45" i="84"/>
  <c r="G45" i="84"/>
  <c r="F45" i="84"/>
  <c r="M41" i="84"/>
  <c r="G41" i="84"/>
  <c r="F41" i="84"/>
  <c r="E41" i="84" s="1"/>
  <c r="M37" i="84"/>
  <c r="G37" i="84"/>
  <c r="F37" i="84"/>
  <c r="E20" i="47" l="1"/>
  <c r="E57" i="110"/>
  <c r="G28" i="47"/>
  <c r="E29" i="108" s="1"/>
  <c r="F52" i="110"/>
  <c r="F33" i="84"/>
  <c r="F50" i="109" s="1"/>
  <c r="E53" i="84"/>
  <c r="F49" i="47" s="1"/>
  <c r="E49" i="47" s="1"/>
  <c r="G29" i="47"/>
  <c r="E30" i="108" s="1"/>
  <c r="F12" i="47"/>
  <c r="D27" i="108" s="1"/>
  <c r="E16" i="47"/>
  <c r="E24" i="85"/>
  <c r="F20" i="63" s="1"/>
  <c r="E20" i="63" s="1"/>
  <c r="F16" i="85"/>
  <c r="E36" i="85"/>
  <c r="F32" i="63" s="1"/>
  <c r="E32" i="63" s="1"/>
  <c r="E30" i="86"/>
  <c r="F24" i="64" s="1"/>
  <c r="E24" i="64" s="1"/>
  <c r="E42" i="86"/>
  <c r="F36" i="64" s="1"/>
  <c r="E36" i="64" s="1"/>
  <c r="F52" i="64"/>
  <c r="E52" i="64" s="1"/>
  <c r="K13" i="100"/>
  <c r="K52" i="110" s="1"/>
  <c r="G13" i="100"/>
  <c r="G52" i="110" s="1"/>
  <c r="E33" i="100"/>
  <c r="G31" i="63" s="1"/>
  <c r="E31" i="63" s="1"/>
  <c r="M16" i="87"/>
  <c r="M58" i="109" s="1"/>
  <c r="E58" i="109" s="1"/>
  <c r="E56" i="110"/>
  <c r="E24" i="47"/>
  <c r="E32" i="85"/>
  <c r="F28" i="63" s="1"/>
  <c r="E28" i="63" s="1"/>
  <c r="E54" i="86"/>
  <c r="F48" i="64" s="1"/>
  <c r="E48" i="64" s="1"/>
  <c r="E32" i="84"/>
  <c r="G49" i="109"/>
  <c r="E49" i="109" s="1"/>
  <c r="E49" i="84"/>
  <c r="F45" i="47" s="1"/>
  <c r="E45" i="47" s="1"/>
  <c r="G12" i="47"/>
  <c r="E27" i="108" s="1"/>
  <c r="F11" i="47"/>
  <c r="D26" i="108" s="1"/>
  <c r="E26" i="86"/>
  <c r="F20" i="64" s="1"/>
  <c r="E20" i="64" s="1"/>
  <c r="E38" i="86"/>
  <c r="F32" i="64" s="1"/>
  <c r="E32" i="64" s="1"/>
  <c r="E20" i="85"/>
  <c r="F16" i="63" s="1"/>
  <c r="G16" i="85"/>
  <c r="G54" i="109" s="1"/>
  <c r="E44" i="85"/>
  <c r="F40" i="63" s="1"/>
  <c r="E40" i="63" s="1"/>
  <c r="E22" i="86"/>
  <c r="F16" i="64" s="1"/>
  <c r="E16" i="64" s="1"/>
  <c r="E34" i="86"/>
  <c r="F28" i="64" s="1"/>
  <c r="E28" i="64" s="1"/>
  <c r="E50" i="86"/>
  <c r="F44" i="64" s="1"/>
  <c r="E44" i="64" s="1"/>
  <c r="E29" i="100"/>
  <c r="G27" i="63" s="1"/>
  <c r="E27" i="63" s="1"/>
  <c r="G33" i="84"/>
  <c r="F37" i="47"/>
  <c r="E37" i="47" s="1"/>
  <c r="E45" i="84"/>
  <c r="F41" i="47" s="1"/>
  <c r="E41" i="47" s="1"/>
  <c r="M33" i="84"/>
  <c r="M50" i="109" s="1"/>
  <c r="E14" i="102"/>
  <c r="E13" i="102"/>
  <c r="G14" i="99"/>
  <c r="G45" i="110" s="1"/>
  <c r="H14" i="99"/>
  <c r="H45" i="110" s="1"/>
  <c r="I14" i="99"/>
  <c r="I45" i="110" s="1"/>
  <c r="K14" i="99"/>
  <c r="K45" i="110" s="1"/>
  <c r="F14" i="99"/>
  <c r="F45" i="110" s="1"/>
  <c r="E33" i="84" l="1"/>
  <c r="G50" i="109"/>
  <c r="E12" i="47"/>
  <c r="E50" i="109"/>
  <c r="E45" i="110"/>
  <c r="F54" i="109"/>
  <c r="E54" i="109" s="1"/>
  <c r="C27" i="108"/>
  <c r="D27" i="111" s="1"/>
  <c r="C27" i="111" s="1"/>
  <c r="E52" i="110"/>
  <c r="F12" i="63"/>
  <c r="D33" i="108" s="1"/>
  <c r="C33" i="108" s="1"/>
  <c r="D33" i="111" s="1"/>
  <c r="C33" i="111" s="1"/>
  <c r="E16" i="63"/>
  <c r="E12" i="63" s="1"/>
  <c r="E13" i="100"/>
  <c r="E16" i="84"/>
  <c r="E14" i="99"/>
  <c r="H13" i="97"/>
  <c r="H36" i="110" s="1"/>
  <c r="I13" i="97"/>
  <c r="I36" i="110" s="1"/>
  <c r="J13" i="97"/>
  <c r="J36" i="110" s="1"/>
  <c r="G14" i="97"/>
  <c r="G37" i="110" s="1"/>
  <c r="H14" i="97"/>
  <c r="H37" i="110" s="1"/>
  <c r="I14" i="97"/>
  <c r="I37" i="110" s="1"/>
  <c r="J14" i="97"/>
  <c r="J37" i="110" s="1"/>
  <c r="K14" i="97"/>
  <c r="K37" i="110" s="1"/>
  <c r="F14" i="97"/>
  <c r="F37" i="110" s="1"/>
  <c r="K57" i="97"/>
  <c r="G57" i="97"/>
  <c r="F57" i="97"/>
  <c r="K53" i="97"/>
  <c r="F53" i="97"/>
  <c r="K49" i="97"/>
  <c r="F49" i="97"/>
  <c r="K45" i="97"/>
  <c r="F45" i="97"/>
  <c r="G41" i="97"/>
  <c r="F41" i="97"/>
  <c r="K37" i="97"/>
  <c r="G37" i="97"/>
  <c r="F37" i="97"/>
  <c r="K33" i="97"/>
  <c r="G33" i="97"/>
  <c r="F33" i="97"/>
  <c r="K29" i="97"/>
  <c r="F29" i="97"/>
  <c r="K25" i="97"/>
  <c r="F25" i="97"/>
  <c r="K21" i="97"/>
  <c r="F21" i="97"/>
  <c r="K17" i="97"/>
  <c r="F17" i="97"/>
  <c r="G15" i="82"/>
  <c r="G37" i="109" s="1"/>
  <c r="M15" i="82"/>
  <c r="M37" i="109" s="1"/>
  <c r="F15" i="82"/>
  <c r="F37" i="109" s="1"/>
  <c r="M60" i="82"/>
  <c r="G60" i="82"/>
  <c r="F60" i="82"/>
  <c r="M56" i="82"/>
  <c r="G56" i="82"/>
  <c r="F56" i="82"/>
  <c r="M52" i="82"/>
  <c r="G52" i="82"/>
  <c r="F52" i="82"/>
  <c r="M48" i="82"/>
  <c r="G48" i="82"/>
  <c r="F48" i="82"/>
  <c r="M44" i="82"/>
  <c r="G44" i="82"/>
  <c r="F44" i="82"/>
  <c r="M40" i="82"/>
  <c r="G40" i="82"/>
  <c r="F40" i="82"/>
  <c r="M36" i="82"/>
  <c r="G36" i="82"/>
  <c r="F36" i="82"/>
  <c r="M32" i="82"/>
  <c r="G32" i="82"/>
  <c r="F32" i="82"/>
  <c r="M28" i="82"/>
  <c r="G28" i="82"/>
  <c r="F28" i="82"/>
  <c r="M24" i="82"/>
  <c r="E24" i="82" s="1"/>
  <c r="F20" i="59" s="1"/>
  <c r="M20" i="82"/>
  <c r="G20" i="82"/>
  <c r="F20" i="82"/>
  <c r="E28" i="82" l="1"/>
  <c r="F16" i="59"/>
  <c r="E44" i="82"/>
  <c r="F40" i="59" s="1"/>
  <c r="E60" i="82"/>
  <c r="F56" i="59" s="1"/>
  <c r="F24" i="59"/>
  <c r="E40" i="82"/>
  <c r="F36" i="59" s="1"/>
  <c r="E56" i="82"/>
  <c r="F52" i="59" s="1"/>
  <c r="E52" i="82"/>
  <c r="F48" i="59" s="1"/>
  <c r="E48" i="82"/>
  <c r="F44" i="59" s="1"/>
  <c r="E32" i="82"/>
  <c r="F28" i="59" s="1"/>
  <c r="E36" i="82"/>
  <c r="F32" i="59" s="1"/>
  <c r="M16" i="82"/>
  <c r="M38" i="109" s="1"/>
  <c r="F13" i="97"/>
  <c r="F36" i="110" s="1"/>
  <c r="K13" i="97"/>
  <c r="K36" i="110" s="1"/>
  <c r="G13" i="97"/>
  <c r="G36" i="110" s="1"/>
  <c r="G16" i="82"/>
  <c r="G38" i="109" s="1"/>
  <c r="F16" i="82"/>
  <c r="F38" i="109" s="1"/>
  <c r="G32" i="81"/>
  <c r="G33" i="109" s="1"/>
  <c r="M32" i="81"/>
  <c r="M33" i="109" s="1"/>
  <c r="F32" i="81"/>
  <c r="F33" i="109" s="1"/>
  <c r="M65" i="81"/>
  <c r="G65" i="81"/>
  <c r="F65" i="81"/>
  <c r="M61" i="81"/>
  <c r="G61" i="81"/>
  <c r="F61" i="81"/>
  <c r="M57" i="81"/>
  <c r="G57" i="81"/>
  <c r="F57" i="81"/>
  <c r="M53" i="81"/>
  <c r="G53" i="81"/>
  <c r="F53" i="81"/>
  <c r="G49" i="81"/>
  <c r="F49" i="81"/>
  <c r="M45" i="81"/>
  <c r="G45" i="81"/>
  <c r="M41" i="81"/>
  <c r="G41" i="81"/>
  <c r="F41" i="81"/>
  <c r="M37" i="81"/>
  <c r="G37" i="81"/>
  <c r="F37" i="81"/>
  <c r="H30" i="96"/>
  <c r="H32" i="110" s="1"/>
  <c r="I30" i="96"/>
  <c r="I32" i="110" s="1"/>
  <c r="G31" i="96"/>
  <c r="G33" i="110" s="1"/>
  <c r="H31" i="96"/>
  <c r="H33" i="110" s="1"/>
  <c r="I31" i="96"/>
  <c r="I33" i="110" s="1"/>
  <c r="J31" i="96"/>
  <c r="J33" i="110" s="1"/>
  <c r="K31" i="96"/>
  <c r="K33" i="110" s="1"/>
  <c r="F31" i="96"/>
  <c r="F33" i="110" s="1"/>
  <c r="K62" i="96"/>
  <c r="F62" i="96"/>
  <c r="K58" i="96"/>
  <c r="G58" i="96"/>
  <c r="F58" i="96"/>
  <c r="K54" i="96"/>
  <c r="F54" i="96"/>
  <c r="K50" i="96"/>
  <c r="F50" i="96"/>
  <c r="K46" i="96"/>
  <c r="G46" i="96"/>
  <c r="G30" i="96" s="1"/>
  <c r="G32" i="110" s="1"/>
  <c r="F46" i="96"/>
  <c r="K42" i="96"/>
  <c r="F42" i="96"/>
  <c r="K38" i="96"/>
  <c r="F38" i="96"/>
  <c r="K34" i="96"/>
  <c r="F34" i="96"/>
  <c r="E38" i="109" l="1"/>
  <c r="F12" i="59"/>
  <c r="D21" i="108" s="1"/>
  <c r="F30" i="96"/>
  <c r="F32" i="110" s="1"/>
  <c r="M33" i="81"/>
  <c r="M34" i="109" s="1"/>
  <c r="K30" i="96"/>
  <c r="K32" i="110" s="1"/>
  <c r="E49" i="81"/>
  <c r="F45" i="58" s="1"/>
  <c r="E53" i="81"/>
  <c r="F49" i="58" s="1"/>
  <c r="E57" i="81"/>
  <c r="F53" i="58" s="1"/>
  <c r="E61" i="81"/>
  <c r="F57" i="58" s="1"/>
  <c r="E65" i="81"/>
  <c r="F61" i="58" s="1"/>
  <c r="F33" i="81"/>
  <c r="G33" i="81"/>
  <c r="G34" i="109" s="1"/>
  <c r="E37" i="81"/>
  <c r="F33" i="58" s="1"/>
  <c r="E41" i="81"/>
  <c r="F37" i="58" s="1"/>
  <c r="E45" i="81"/>
  <c r="F41" i="58" s="1"/>
  <c r="H13" i="96"/>
  <c r="H28" i="110" s="1"/>
  <c r="I13" i="96"/>
  <c r="I28" i="110" s="1"/>
  <c r="J13" i="96"/>
  <c r="J28" i="110" s="1"/>
  <c r="K26" i="96"/>
  <c r="I26" i="96"/>
  <c r="H26" i="96"/>
  <c r="G26" i="96"/>
  <c r="F26" i="96"/>
  <c r="K25" i="96"/>
  <c r="G25" i="96"/>
  <c r="G13" i="96" s="1"/>
  <c r="G28" i="110" s="1"/>
  <c r="F25" i="96"/>
  <c r="K22" i="96"/>
  <c r="I22" i="96"/>
  <c r="H22" i="96"/>
  <c r="G22" i="96"/>
  <c r="F22" i="96"/>
  <c r="K21" i="96"/>
  <c r="F21" i="96"/>
  <c r="K18" i="96"/>
  <c r="K14" i="96" s="1"/>
  <c r="K29" i="110" s="1"/>
  <c r="I18" i="96"/>
  <c r="H18" i="96"/>
  <c r="G18" i="96"/>
  <c r="F18" i="96"/>
  <c r="F14" i="96" s="1"/>
  <c r="F29" i="110" s="1"/>
  <c r="K17" i="96"/>
  <c r="F17" i="96"/>
  <c r="G15" i="81"/>
  <c r="G29" i="109" s="1"/>
  <c r="M15" i="81"/>
  <c r="M29" i="109" s="1"/>
  <c r="F15" i="81"/>
  <c r="F29" i="109" s="1"/>
  <c r="M28" i="81"/>
  <c r="G28" i="81"/>
  <c r="F28" i="81"/>
  <c r="E28" i="81" s="1"/>
  <c r="F24" i="58" s="1"/>
  <c r="M24" i="81"/>
  <c r="G24" i="81"/>
  <c r="F24" i="81"/>
  <c r="M20" i="81"/>
  <c r="M16" i="81" s="1"/>
  <c r="M30" i="109" s="1"/>
  <c r="G20" i="81"/>
  <c r="F20" i="81"/>
  <c r="H14" i="96" l="1"/>
  <c r="H29" i="110" s="1"/>
  <c r="G14" i="96"/>
  <c r="G29" i="110" s="1"/>
  <c r="F29" i="58"/>
  <c r="D18" i="108" s="1"/>
  <c r="I14" i="96"/>
  <c r="I29" i="110" s="1"/>
  <c r="E33" i="81"/>
  <c r="F34" i="109"/>
  <c r="K13" i="96"/>
  <c r="K28" i="110" s="1"/>
  <c r="F13" i="96"/>
  <c r="F28" i="110" s="1"/>
  <c r="F30" i="109"/>
  <c r="E20" i="81"/>
  <c r="F16" i="58" s="1"/>
  <c r="G16" i="81"/>
  <c r="G30" i="109" s="1"/>
  <c r="E24" i="81"/>
  <c r="F20" i="58" s="1"/>
  <c r="F12" i="58" s="1"/>
  <c r="D15" i="108" s="1"/>
  <c r="H13" i="95"/>
  <c r="H24" i="110" s="1"/>
  <c r="I13" i="95"/>
  <c r="I24" i="110" s="1"/>
  <c r="G14" i="95"/>
  <c r="G25" i="110" s="1"/>
  <c r="H14" i="95"/>
  <c r="H25" i="110" s="1"/>
  <c r="I14" i="95"/>
  <c r="I25" i="110" s="1"/>
  <c r="K14" i="95"/>
  <c r="K25" i="110" s="1"/>
  <c r="F14" i="95"/>
  <c r="F25" i="110" s="1"/>
  <c r="F53" i="95"/>
  <c r="K49" i="95"/>
  <c r="F49" i="95"/>
  <c r="K45" i="95"/>
  <c r="G45" i="95"/>
  <c r="F45" i="95"/>
  <c r="F41" i="95"/>
  <c r="K37" i="95"/>
  <c r="F37" i="95"/>
  <c r="K33" i="95"/>
  <c r="F33" i="95"/>
  <c r="K29" i="95"/>
  <c r="G29" i="95"/>
  <c r="G13" i="95" s="1"/>
  <c r="G24" i="110" s="1"/>
  <c r="F29" i="95"/>
  <c r="K25" i="95"/>
  <c r="F25" i="95"/>
  <c r="K21" i="95"/>
  <c r="F21" i="95"/>
  <c r="K17" i="95"/>
  <c r="F17" i="95"/>
  <c r="G15" i="80"/>
  <c r="G25" i="109" s="1"/>
  <c r="M15" i="80"/>
  <c r="M25" i="109" s="1"/>
  <c r="G16" i="80"/>
  <c r="G26" i="109" s="1"/>
  <c r="M16" i="80"/>
  <c r="M26" i="109" s="1"/>
  <c r="F15" i="80"/>
  <c r="F25" i="109" s="1"/>
  <c r="F16" i="80"/>
  <c r="F26" i="109" s="1"/>
  <c r="E19" i="80"/>
  <c r="F15" i="57" s="1"/>
  <c r="E20" i="80"/>
  <c r="F16" i="57" s="1"/>
  <c r="E23" i="80"/>
  <c r="F19" i="57" s="1"/>
  <c r="E24" i="80"/>
  <c r="F20" i="57" s="1"/>
  <c r="E27" i="80"/>
  <c r="F23" i="57" s="1"/>
  <c r="E28" i="80"/>
  <c r="F24" i="57" s="1"/>
  <c r="E31" i="80"/>
  <c r="F27" i="57" s="1"/>
  <c r="E32" i="80"/>
  <c r="F28" i="57" s="1"/>
  <c r="E35" i="80"/>
  <c r="F31" i="57" s="1"/>
  <c r="E36" i="80"/>
  <c r="F32" i="57" s="1"/>
  <c r="E39" i="80"/>
  <c r="F35" i="57" s="1"/>
  <c r="E40" i="80"/>
  <c r="F36" i="57" s="1"/>
  <c r="E43" i="80"/>
  <c r="F39" i="57" s="1"/>
  <c r="E44" i="80"/>
  <c r="F40" i="57" s="1"/>
  <c r="E47" i="80"/>
  <c r="F43" i="57" s="1"/>
  <c r="E48" i="80"/>
  <c r="F44" i="57" s="1"/>
  <c r="E51" i="80"/>
  <c r="F47" i="57" s="1"/>
  <c r="E52" i="80"/>
  <c r="F48" i="57" s="1"/>
  <c r="E55" i="80"/>
  <c r="F51" i="57" s="1"/>
  <c r="E56" i="80"/>
  <c r="F52" i="57" s="1"/>
  <c r="F11" i="57" l="1"/>
  <c r="D11" i="108" s="1"/>
  <c r="F12" i="57"/>
  <c r="D12" i="108" s="1"/>
  <c r="K13" i="95"/>
  <c r="K24" i="110" s="1"/>
  <c r="F13" i="95"/>
  <c r="F24" i="110" s="1"/>
  <c r="G13" i="94"/>
  <c r="G20" i="110" s="1"/>
  <c r="H13" i="94"/>
  <c r="H20" i="110" s="1"/>
  <c r="I13" i="94"/>
  <c r="I20" i="110" s="1"/>
  <c r="J13" i="94"/>
  <c r="J20" i="110" s="1"/>
  <c r="K13" i="94"/>
  <c r="K20" i="110" s="1"/>
  <c r="G14" i="94"/>
  <c r="G21" i="110" s="1"/>
  <c r="H14" i="94"/>
  <c r="H21" i="110" s="1"/>
  <c r="I14" i="94"/>
  <c r="I21" i="110" s="1"/>
  <c r="J14" i="94"/>
  <c r="J21" i="110" s="1"/>
  <c r="K14" i="94"/>
  <c r="K21" i="110" s="1"/>
  <c r="F13" i="94"/>
  <c r="F20" i="110" s="1"/>
  <c r="F14" i="94"/>
  <c r="F21" i="110" s="1"/>
  <c r="G15" i="79"/>
  <c r="G21" i="109" s="1"/>
  <c r="M15" i="79"/>
  <c r="M21" i="109" s="1"/>
  <c r="G16" i="79"/>
  <c r="G22" i="109" s="1"/>
  <c r="M16" i="79"/>
  <c r="M22" i="109" s="1"/>
  <c r="F15" i="79"/>
  <c r="F21" i="109" s="1"/>
  <c r="F16" i="79"/>
  <c r="F22" i="109" s="1"/>
  <c r="G13" i="93" l="1"/>
  <c r="G16" i="110" s="1"/>
  <c r="H13" i="93"/>
  <c r="H16" i="110" s="1"/>
  <c r="I13" i="93"/>
  <c r="I16" i="110" s="1"/>
  <c r="J13" i="93"/>
  <c r="J16" i="110" s="1"/>
  <c r="K13" i="93"/>
  <c r="K16" i="110" s="1"/>
  <c r="G14" i="93"/>
  <c r="G17" i="110" s="1"/>
  <c r="G13" i="110" s="1"/>
  <c r="H14" i="93"/>
  <c r="H17" i="110" s="1"/>
  <c r="I14" i="93"/>
  <c r="I17" i="110" s="1"/>
  <c r="J14" i="93"/>
  <c r="J17" i="110" s="1"/>
  <c r="K14" i="93"/>
  <c r="K17" i="110" s="1"/>
  <c r="K13" i="110" s="1"/>
  <c r="F13" i="93"/>
  <c r="F16" i="110" s="1"/>
  <c r="F14" i="93"/>
  <c r="F17" i="110" s="1"/>
  <c r="E70" i="93"/>
  <c r="G68" i="55" s="1"/>
  <c r="E69" i="93"/>
  <c r="G67" i="55" s="1"/>
  <c r="E66" i="93"/>
  <c r="G64" i="55" s="1"/>
  <c r="E65" i="93"/>
  <c r="G63" i="55" s="1"/>
  <c r="E62" i="93"/>
  <c r="G60" i="55" s="1"/>
  <c r="E61" i="93"/>
  <c r="G59" i="55" s="1"/>
  <c r="E57" i="93"/>
  <c r="G55" i="55" s="1"/>
  <c r="E54" i="93"/>
  <c r="G52" i="55" s="1"/>
  <c r="E53" i="93"/>
  <c r="G51" i="55" s="1"/>
  <c r="E50" i="93"/>
  <c r="G48" i="55" s="1"/>
  <c r="E49" i="93"/>
  <c r="G47" i="55" s="1"/>
  <c r="E46" i="93"/>
  <c r="G44" i="55" s="1"/>
  <c r="E45" i="93"/>
  <c r="G43" i="55" s="1"/>
  <c r="E42" i="93"/>
  <c r="G40" i="55" s="1"/>
  <c r="E41" i="93"/>
  <c r="G39" i="55" s="1"/>
  <c r="E38" i="93"/>
  <c r="G36" i="55" s="1"/>
  <c r="E37" i="93"/>
  <c r="G35" i="55" s="1"/>
  <c r="E34" i="93"/>
  <c r="G32" i="55" s="1"/>
  <c r="E33" i="93"/>
  <c r="G31" i="55" s="1"/>
  <c r="E30" i="93"/>
  <c r="G28" i="55" s="1"/>
  <c r="E29" i="93"/>
  <c r="G27" i="55" s="1"/>
  <c r="E26" i="93"/>
  <c r="G24" i="55" s="1"/>
  <c r="E25" i="93"/>
  <c r="G23" i="55" s="1"/>
  <c r="E22" i="93"/>
  <c r="G20" i="55" s="1"/>
  <c r="E21" i="93"/>
  <c r="G19" i="55" s="1"/>
  <c r="M16" i="78"/>
  <c r="M18" i="109" s="1"/>
  <c r="M14" i="109" s="1"/>
  <c r="E14" i="109" s="1"/>
  <c r="G16" i="78"/>
  <c r="G18" i="109" s="1"/>
  <c r="M15" i="78"/>
  <c r="M17" i="109" s="1"/>
  <c r="M13" i="109" s="1"/>
  <c r="G15" i="78"/>
  <c r="G17" i="109" s="1"/>
  <c r="F15" i="78"/>
  <c r="F17" i="109" s="1"/>
  <c r="E17" i="109" s="1"/>
  <c r="F16" i="78"/>
  <c r="F18" i="109" s="1"/>
  <c r="E72" i="78"/>
  <c r="F68" i="55" s="1"/>
  <c r="E71" i="78"/>
  <c r="F67" i="55" s="1"/>
  <c r="E68" i="78"/>
  <c r="F64" i="55" s="1"/>
  <c r="E67" i="78"/>
  <c r="F63" i="55" s="1"/>
  <c r="E64" i="78"/>
  <c r="F60" i="55" s="1"/>
  <c r="E63" i="78"/>
  <c r="F59" i="55" s="1"/>
  <c r="E59" i="78"/>
  <c r="F55" i="55" s="1"/>
  <c r="E56" i="78"/>
  <c r="F52" i="55" s="1"/>
  <c r="E55" i="78"/>
  <c r="F51" i="55" s="1"/>
  <c r="E52" i="78"/>
  <c r="F48" i="55" s="1"/>
  <c r="E51" i="78"/>
  <c r="F47" i="55" s="1"/>
  <c r="E48" i="78"/>
  <c r="F44" i="55" s="1"/>
  <c r="E47" i="78"/>
  <c r="F43" i="55" s="1"/>
  <c r="E44" i="78"/>
  <c r="F40" i="55" s="1"/>
  <c r="E43" i="78"/>
  <c r="F39" i="55" s="1"/>
  <c r="E39" i="78"/>
  <c r="F35" i="55" s="1"/>
  <c r="E36" i="78"/>
  <c r="F32" i="55" s="1"/>
  <c r="E35" i="78"/>
  <c r="F31" i="55" s="1"/>
  <c r="E32" i="78"/>
  <c r="F28" i="55" s="1"/>
  <c r="E31" i="78"/>
  <c r="F27" i="55" s="1"/>
  <c r="E28" i="78"/>
  <c r="F24" i="55" s="1"/>
  <c r="E27" i="78"/>
  <c r="F23" i="55" s="1"/>
  <c r="E24" i="78"/>
  <c r="F20" i="55" s="1"/>
  <c r="E20" i="55" s="1"/>
  <c r="E23" i="78"/>
  <c r="F19" i="55" s="1"/>
  <c r="E19" i="78"/>
  <c r="F15" i="55" s="1"/>
  <c r="F11" i="55" s="1"/>
  <c r="D5" i="108" s="1"/>
  <c r="E20" i="78"/>
  <c r="F16" i="55" s="1"/>
  <c r="E38" i="110"/>
  <c r="E37" i="110"/>
  <c r="E36" i="110"/>
  <c r="E34" i="110"/>
  <c r="E33" i="110"/>
  <c r="E32" i="110"/>
  <c r="E30" i="110"/>
  <c r="E29" i="110"/>
  <c r="E28" i="110"/>
  <c r="E26" i="110"/>
  <c r="E25" i="110"/>
  <c r="E24" i="110"/>
  <c r="E22" i="110"/>
  <c r="E21" i="110"/>
  <c r="E20" i="110"/>
  <c r="E18" i="110"/>
  <c r="E17" i="110"/>
  <c r="J14" i="110"/>
  <c r="I14" i="110"/>
  <c r="H14" i="110"/>
  <c r="G14" i="110"/>
  <c r="J13" i="110"/>
  <c r="I13" i="110"/>
  <c r="H13" i="110"/>
  <c r="F13" i="110"/>
  <c r="E39" i="109"/>
  <c r="E37" i="109"/>
  <c r="E35" i="109"/>
  <c r="E34" i="109"/>
  <c r="E33" i="109"/>
  <c r="E31" i="109"/>
  <c r="E30" i="109"/>
  <c r="E29" i="109"/>
  <c r="E27" i="109"/>
  <c r="E26" i="109"/>
  <c r="E25" i="109"/>
  <c r="E23" i="109"/>
  <c r="E22" i="109"/>
  <c r="E21" i="109"/>
  <c r="E18" i="109"/>
  <c r="G14" i="109"/>
  <c r="G13" i="109"/>
  <c r="E16" i="110" l="1"/>
  <c r="E14" i="110"/>
  <c r="F12" i="55"/>
  <c r="D6" i="108" s="1"/>
  <c r="F13" i="109"/>
  <c r="E14" i="93"/>
  <c r="E13" i="93"/>
  <c r="E13" i="109"/>
  <c r="E13" i="110"/>
  <c r="E16" i="78"/>
  <c r="E15" i="78"/>
  <c r="C21" i="107"/>
  <c r="G36" i="74" s="1"/>
  <c r="C20" i="107"/>
  <c r="G35" i="74" s="1"/>
  <c r="C18" i="107"/>
  <c r="G32" i="74" s="1"/>
  <c r="C17" i="107"/>
  <c r="G31" i="74" s="1"/>
  <c r="C15" i="107"/>
  <c r="G28" i="74" s="1"/>
  <c r="C14" i="107"/>
  <c r="G27" i="74" s="1"/>
  <c r="C12" i="107"/>
  <c r="G24" i="74" s="1"/>
  <c r="C11" i="107"/>
  <c r="G23" i="74" s="1"/>
  <c r="C9" i="107"/>
  <c r="G20" i="74" s="1"/>
  <c r="C8" i="107"/>
  <c r="G19" i="74" s="1"/>
  <c r="C6" i="107"/>
  <c r="G16" i="74" s="1"/>
  <c r="C5" i="107"/>
  <c r="G15" i="74" s="1"/>
  <c r="C2" i="107"/>
  <c r="E42" i="106"/>
  <c r="G40" i="73" s="1"/>
  <c r="E41" i="106"/>
  <c r="G39" i="73" s="1"/>
  <c r="E38" i="106"/>
  <c r="G36" i="73" s="1"/>
  <c r="E37" i="106"/>
  <c r="G35" i="73" s="1"/>
  <c r="E34" i="106"/>
  <c r="G32" i="73" s="1"/>
  <c r="E33" i="106"/>
  <c r="G31" i="73" s="1"/>
  <c r="E30" i="106"/>
  <c r="G28" i="73" s="1"/>
  <c r="E29" i="106"/>
  <c r="G27" i="73" s="1"/>
  <c r="E26" i="106"/>
  <c r="G24" i="73" s="1"/>
  <c r="E25" i="106"/>
  <c r="G23" i="73" s="1"/>
  <c r="E22" i="106"/>
  <c r="G20" i="73" s="1"/>
  <c r="E21" i="106"/>
  <c r="G19" i="73" s="1"/>
  <c r="E18" i="106"/>
  <c r="G16" i="73" s="1"/>
  <c r="E17" i="106"/>
  <c r="G15" i="73" s="1"/>
  <c r="L15" i="106"/>
  <c r="E13" i="106"/>
  <c r="E74" i="105"/>
  <c r="G72" i="72" s="1"/>
  <c r="E73" i="105"/>
  <c r="G71" i="72" s="1"/>
  <c r="E70" i="105"/>
  <c r="G68" i="72" s="1"/>
  <c r="E69" i="105"/>
  <c r="G67" i="72" s="1"/>
  <c r="E66" i="105"/>
  <c r="G64" i="72" s="1"/>
  <c r="E65" i="105"/>
  <c r="G63" i="72" s="1"/>
  <c r="E62" i="105"/>
  <c r="G60" i="72" s="1"/>
  <c r="E61" i="105"/>
  <c r="G59" i="72" s="1"/>
  <c r="E58" i="105"/>
  <c r="G56" i="72" s="1"/>
  <c r="E57" i="105"/>
  <c r="G55" i="72" s="1"/>
  <c r="E54" i="105"/>
  <c r="G52" i="72" s="1"/>
  <c r="E53" i="105"/>
  <c r="G51" i="72" s="1"/>
  <c r="E50" i="105"/>
  <c r="G48" i="72" s="1"/>
  <c r="E49" i="105"/>
  <c r="G47" i="72" s="1"/>
  <c r="E46" i="105"/>
  <c r="G44" i="72" s="1"/>
  <c r="E45" i="105"/>
  <c r="G43" i="72" s="1"/>
  <c r="E42" i="105"/>
  <c r="G40" i="72" s="1"/>
  <c r="E41" i="105"/>
  <c r="G39" i="72" s="1"/>
  <c r="E38" i="105"/>
  <c r="G36" i="72" s="1"/>
  <c r="E37" i="105"/>
  <c r="G35" i="72" s="1"/>
  <c r="E34" i="105"/>
  <c r="G32" i="72" s="1"/>
  <c r="E33" i="105"/>
  <c r="G31" i="72" s="1"/>
  <c r="E30" i="105"/>
  <c r="G28" i="72" s="1"/>
  <c r="E29" i="105"/>
  <c r="G27" i="72" s="1"/>
  <c r="E26" i="105"/>
  <c r="G24" i="72" s="1"/>
  <c r="E25" i="105"/>
  <c r="G23" i="72" s="1"/>
  <c r="E22" i="105"/>
  <c r="G20" i="72" s="1"/>
  <c r="E21" i="105"/>
  <c r="G19" i="72" s="1"/>
  <c r="E18" i="105"/>
  <c r="G16" i="72" s="1"/>
  <c r="E17" i="105"/>
  <c r="G15" i="72" s="1"/>
  <c r="G11" i="72" s="1"/>
  <c r="E38" i="108" s="1"/>
  <c r="E13" i="105"/>
  <c r="E53" i="104"/>
  <c r="G50" i="71" s="1"/>
  <c r="E52" i="104"/>
  <c r="G49" i="71" s="1"/>
  <c r="E49" i="104"/>
  <c r="G46" i="71" s="1"/>
  <c r="E48" i="104"/>
  <c r="G45" i="71" s="1"/>
  <c r="E45" i="104"/>
  <c r="G42" i="71" s="1"/>
  <c r="E44" i="104"/>
  <c r="G41" i="71" s="1"/>
  <c r="E41" i="104"/>
  <c r="G38" i="71" s="1"/>
  <c r="E40" i="104"/>
  <c r="G37" i="71" s="1"/>
  <c r="E37" i="104"/>
  <c r="G34" i="71" s="1"/>
  <c r="E36" i="104"/>
  <c r="G33" i="71" s="1"/>
  <c r="E33" i="104"/>
  <c r="G30" i="71" s="1"/>
  <c r="E32" i="104"/>
  <c r="G29" i="71" s="1"/>
  <c r="E29" i="104"/>
  <c r="G26" i="71" s="1"/>
  <c r="E28" i="104"/>
  <c r="G25" i="71" s="1"/>
  <c r="E25" i="104"/>
  <c r="G22" i="71" s="1"/>
  <c r="E24" i="104"/>
  <c r="G21" i="71" s="1"/>
  <c r="E21" i="104"/>
  <c r="G18" i="71" s="1"/>
  <c r="E20" i="104"/>
  <c r="G17" i="71" s="1"/>
  <c r="E17" i="104"/>
  <c r="G14" i="71" s="1"/>
  <c r="E16" i="104"/>
  <c r="G13" i="71" s="1"/>
  <c r="E52" i="103"/>
  <c r="G50" i="70" s="1"/>
  <c r="E51" i="103"/>
  <c r="G49" i="70" s="1"/>
  <c r="E48" i="103"/>
  <c r="G46" i="70" s="1"/>
  <c r="E47" i="103"/>
  <c r="G45" i="70" s="1"/>
  <c r="E44" i="103"/>
  <c r="G42" i="70" s="1"/>
  <c r="E43" i="103"/>
  <c r="G41" i="70" s="1"/>
  <c r="E40" i="103"/>
  <c r="G38" i="70" s="1"/>
  <c r="E39" i="103"/>
  <c r="G37" i="70" s="1"/>
  <c r="E36" i="103"/>
  <c r="G34" i="70" s="1"/>
  <c r="E35" i="103"/>
  <c r="G33" i="70" s="1"/>
  <c r="E32" i="103"/>
  <c r="G30" i="70" s="1"/>
  <c r="E31" i="103"/>
  <c r="G29" i="70" s="1"/>
  <c r="E28" i="103"/>
  <c r="G26" i="70" s="1"/>
  <c r="E27" i="103"/>
  <c r="G25" i="70" s="1"/>
  <c r="E24" i="103"/>
  <c r="G22" i="70" s="1"/>
  <c r="E23" i="103"/>
  <c r="G21" i="70" s="1"/>
  <c r="E20" i="103"/>
  <c r="G18" i="70" s="1"/>
  <c r="E19" i="103"/>
  <c r="G17" i="70" s="1"/>
  <c r="E16" i="103"/>
  <c r="G14" i="70" s="1"/>
  <c r="E15" i="103"/>
  <c r="G13" i="70" s="1"/>
  <c r="E46" i="102"/>
  <c r="G44" i="69" s="1"/>
  <c r="E45" i="102"/>
  <c r="G43" i="69" s="1"/>
  <c r="E42" i="102"/>
  <c r="G40" i="69" s="1"/>
  <c r="E41" i="102"/>
  <c r="G39" i="69" s="1"/>
  <c r="E38" i="102"/>
  <c r="G36" i="69" s="1"/>
  <c r="E37" i="102"/>
  <c r="G35" i="69" s="1"/>
  <c r="E34" i="102"/>
  <c r="G32" i="69" s="1"/>
  <c r="E33" i="102"/>
  <c r="G31" i="69" s="1"/>
  <c r="E30" i="102"/>
  <c r="G28" i="69" s="1"/>
  <c r="E29" i="102"/>
  <c r="G27" i="69" s="1"/>
  <c r="E26" i="102"/>
  <c r="G24" i="69" s="1"/>
  <c r="E25" i="102"/>
  <c r="G23" i="69" s="1"/>
  <c r="E22" i="102"/>
  <c r="G20" i="69" s="1"/>
  <c r="E21" i="102"/>
  <c r="G19" i="69" s="1"/>
  <c r="E18" i="102"/>
  <c r="G16" i="69" s="1"/>
  <c r="E17" i="102"/>
  <c r="G15" i="69" s="1"/>
  <c r="G11" i="69" s="1"/>
  <c r="E35" i="108" s="1"/>
  <c r="E17" i="100"/>
  <c r="G15" i="63" s="1"/>
  <c r="G11" i="63" s="1"/>
  <c r="E32" i="108" s="1"/>
  <c r="L32" i="99"/>
  <c r="E30" i="99"/>
  <c r="K25" i="99"/>
  <c r="E25" i="99" s="1"/>
  <c r="G23" i="47" s="1"/>
  <c r="E23" i="47" s="1"/>
  <c r="K21" i="99"/>
  <c r="F21" i="99"/>
  <c r="K17" i="99"/>
  <c r="F17" i="99"/>
  <c r="J13" i="99"/>
  <c r="J44" i="110" s="1"/>
  <c r="J12" i="110" s="1"/>
  <c r="I13" i="99"/>
  <c r="I44" i="110" s="1"/>
  <c r="I12" i="110" s="1"/>
  <c r="H13" i="99"/>
  <c r="H44" i="110" s="1"/>
  <c r="H12" i="110" s="1"/>
  <c r="G13" i="99"/>
  <c r="G44" i="110" s="1"/>
  <c r="G12" i="110" s="1"/>
  <c r="E58" i="97"/>
  <c r="G56" i="59" s="1"/>
  <c r="E56" i="59" s="1"/>
  <c r="E57" i="97"/>
  <c r="G55" i="59" s="1"/>
  <c r="E55" i="59" s="1"/>
  <c r="E54" i="97"/>
  <c r="G52" i="59" s="1"/>
  <c r="E52" i="59" s="1"/>
  <c r="E53" i="97"/>
  <c r="G51" i="59" s="1"/>
  <c r="E51" i="59" s="1"/>
  <c r="E50" i="97"/>
  <c r="G48" i="59" s="1"/>
  <c r="E48" i="59" s="1"/>
  <c r="E49" i="97"/>
  <c r="G47" i="59" s="1"/>
  <c r="E47" i="59" s="1"/>
  <c r="E46" i="97"/>
  <c r="G44" i="59" s="1"/>
  <c r="E44" i="59" s="1"/>
  <c r="E45" i="97"/>
  <c r="G43" i="59" s="1"/>
  <c r="E43" i="59" s="1"/>
  <c r="E42" i="97"/>
  <c r="G40" i="59" s="1"/>
  <c r="E40" i="59" s="1"/>
  <c r="E41" i="97"/>
  <c r="G39" i="59" s="1"/>
  <c r="E39" i="59" s="1"/>
  <c r="E38" i="97"/>
  <c r="G36" i="59" s="1"/>
  <c r="E36" i="59" s="1"/>
  <c r="E37" i="97"/>
  <c r="G35" i="59" s="1"/>
  <c r="E35" i="59" s="1"/>
  <c r="E34" i="97"/>
  <c r="G32" i="59" s="1"/>
  <c r="E32" i="59" s="1"/>
  <c r="E33" i="97"/>
  <c r="G31" i="59" s="1"/>
  <c r="E31" i="59" s="1"/>
  <c r="E30" i="97"/>
  <c r="G28" i="59" s="1"/>
  <c r="E28" i="59" s="1"/>
  <c r="E29" i="97"/>
  <c r="G27" i="59" s="1"/>
  <c r="E27" i="59" s="1"/>
  <c r="E25" i="97"/>
  <c r="G23" i="59" s="1"/>
  <c r="E23" i="59" s="1"/>
  <c r="G20" i="59"/>
  <c r="E20" i="59" s="1"/>
  <c r="E21" i="97"/>
  <c r="G19" i="59" s="1"/>
  <c r="E19" i="59" s="1"/>
  <c r="E18" i="97"/>
  <c r="G16" i="59" s="1"/>
  <c r="E17" i="97"/>
  <c r="G15" i="59" s="1"/>
  <c r="E13" i="97"/>
  <c r="E63" i="96"/>
  <c r="G61" i="58" s="1"/>
  <c r="E61" i="58" s="1"/>
  <c r="E62" i="96"/>
  <c r="G60" i="58" s="1"/>
  <c r="E60" i="58" s="1"/>
  <c r="E59" i="96"/>
  <c r="G57" i="58" s="1"/>
  <c r="E57" i="58" s="1"/>
  <c r="E58" i="96"/>
  <c r="G56" i="58" s="1"/>
  <c r="E56" i="58" s="1"/>
  <c r="E55" i="96"/>
  <c r="G53" i="58" s="1"/>
  <c r="E53" i="58" s="1"/>
  <c r="E54" i="96"/>
  <c r="G52" i="58" s="1"/>
  <c r="E52" i="58" s="1"/>
  <c r="E51" i="96"/>
  <c r="G49" i="58" s="1"/>
  <c r="E49" i="58" s="1"/>
  <c r="E50" i="96"/>
  <c r="G48" i="58" s="1"/>
  <c r="E48" i="58" s="1"/>
  <c r="E47" i="96"/>
  <c r="G45" i="58" s="1"/>
  <c r="E45" i="58" s="1"/>
  <c r="E46" i="96"/>
  <c r="G44" i="58" s="1"/>
  <c r="E44" i="58" s="1"/>
  <c r="E43" i="96"/>
  <c r="G41" i="58" s="1"/>
  <c r="E41" i="58" s="1"/>
  <c r="E42" i="96"/>
  <c r="G40" i="58" s="1"/>
  <c r="E40" i="58" s="1"/>
  <c r="E39" i="96"/>
  <c r="G37" i="58" s="1"/>
  <c r="E37" i="58" s="1"/>
  <c r="E38" i="96"/>
  <c r="G36" i="58" s="1"/>
  <c r="E36" i="58" s="1"/>
  <c r="E35" i="96"/>
  <c r="G33" i="58" s="1"/>
  <c r="E34" i="96"/>
  <c r="G32" i="58" s="1"/>
  <c r="E31" i="96"/>
  <c r="E30" i="96"/>
  <c r="E26" i="96"/>
  <c r="G24" i="58" s="1"/>
  <c r="E25" i="96"/>
  <c r="G23" i="58" s="1"/>
  <c r="E22" i="96"/>
  <c r="G20" i="58" s="1"/>
  <c r="E21" i="96"/>
  <c r="G19" i="58" s="1"/>
  <c r="E18" i="96"/>
  <c r="G16" i="58" s="1"/>
  <c r="E17" i="96"/>
  <c r="G15" i="58" s="1"/>
  <c r="E14" i="96"/>
  <c r="E13" i="96"/>
  <c r="E54" i="95"/>
  <c r="G52" i="57" s="1"/>
  <c r="E53" i="95"/>
  <c r="G51" i="57" s="1"/>
  <c r="E50" i="95"/>
  <c r="G48" i="57" s="1"/>
  <c r="E49" i="95"/>
  <c r="G47" i="57" s="1"/>
  <c r="E46" i="95"/>
  <c r="G44" i="57" s="1"/>
  <c r="E45" i="95"/>
  <c r="G43" i="57" s="1"/>
  <c r="G40" i="57"/>
  <c r="E41" i="95"/>
  <c r="G39" i="57" s="1"/>
  <c r="E38" i="95"/>
  <c r="G36" i="57" s="1"/>
  <c r="E37" i="95"/>
  <c r="G35" i="57" s="1"/>
  <c r="E34" i="95"/>
  <c r="G32" i="57" s="1"/>
  <c r="E33" i="95"/>
  <c r="G31" i="57" s="1"/>
  <c r="E30" i="95"/>
  <c r="G28" i="57" s="1"/>
  <c r="E29" i="95"/>
  <c r="G27" i="57" s="1"/>
  <c r="E26" i="95"/>
  <c r="G24" i="57" s="1"/>
  <c r="E25" i="95"/>
  <c r="G23" i="57" s="1"/>
  <c r="E22" i="95"/>
  <c r="G20" i="57" s="1"/>
  <c r="E21" i="95"/>
  <c r="G19" i="57" s="1"/>
  <c r="E18" i="95"/>
  <c r="G16" i="57" s="1"/>
  <c r="G12" i="57" s="1"/>
  <c r="E12" i="108" s="1"/>
  <c r="C12" i="108" s="1"/>
  <c r="D12" i="111" s="1"/>
  <c r="C12" i="111" s="1"/>
  <c r="E17" i="95"/>
  <c r="G15" i="57" s="1"/>
  <c r="L15" i="95"/>
  <c r="E13" i="95"/>
  <c r="E58" i="94"/>
  <c r="G56" i="56" s="1"/>
  <c r="E57" i="94"/>
  <c r="G55" i="56" s="1"/>
  <c r="E54" i="94"/>
  <c r="G52" i="56" s="1"/>
  <c r="E53" i="94"/>
  <c r="G51" i="56" s="1"/>
  <c r="E50" i="94"/>
  <c r="G48" i="56" s="1"/>
  <c r="E49" i="94"/>
  <c r="G47" i="56" s="1"/>
  <c r="E46" i="94"/>
  <c r="G44" i="56" s="1"/>
  <c r="E45" i="94"/>
  <c r="G43" i="56" s="1"/>
  <c r="E42" i="94"/>
  <c r="G40" i="56" s="1"/>
  <c r="E41" i="94"/>
  <c r="G39" i="56" s="1"/>
  <c r="E38" i="94"/>
  <c r="G36" i="56" s="1"/>
  <c r="E37" i="94"/>
  <c r="G35" i="56" s="1"/>
  <c r="E34" i="94"/>
  <c r="G32" i="56" s="1"/>
  <c r="E33" i="94"/>
  <c r="G31" i="56" s="1"/>
  <c r="E30" i="94"/>
  <c r="G28" i="56" s="1"/>
  <c r="E29" i="94"/>
  <c r="G27" i="56" s="1"/>
  <c r="E26" i="94"/>
  <c r="G24" i="56" s="1"/>
  <c r="E25" i="94"/>
  <c r="G23" i="56" s="1"/>
  <c r="E22" i="94"/>
  <c r="G20" i="56" s="1"/>
  <c r="E21" i="94"/>
  <c r="G19" i="56" s="1"/>
  <c r="E18" i="94"/>
  <c r="G16" i="56" s="1"/>
  <c r="G12" i="56" s="1"/>
  <c r="E9" i="108" s="1"/>
  <c r="E17" i="94"/>
  <c r="G15" i="56" s="1"/>
  <c r="G11" i="56" s="1"/>
  <c r="E8" i="108" s="1"/>
  <c r="E14" i="94"/>
  <c r="E13" i="94"/>
  <c r="E18" i="93"/>
  <c r="G16" i="55" s="1"/>
  <c r="G12" i="55" s="1"/>
  <c r="E6" i="108" s="1"/>
  <c r="E17" i="93"/>
  <c r="G15" i="55" s="1"/>
  <c r="G11" i="55" s="1"/>
  <c r="E5" i="108" s="1"/>
  <c r="F36" i="74"/>
  <c r="E39" i="92"/>
  <c r="F35" i="74" s="1"/>
  <c r="E36" i="92"/>
  <c r="F32" i="74" s="1"/>
  <c r="E32" i="74" s="1"/>
  <c r="E35" i="92"/>
  <c r="F31" i="74" s="1"/>
  <c r="E31" i="74" s="1"/>
  <c r="E32" i="92"/>
  <c r="F28" i="74" s="1"/>
  <c r="E28" i="74" s="1"/>
  <c r="E31" i="92"/>
  <c r="F27" i="74" s="1"/>
  <c r="E27" i="74" s="1"/>
  <c r="E28" i="92"/>
  <c r="F24" i="74" s="1"/>
  <c r="E27" i="92"/>
  <c r="F23" i="74" s="1"/>
  <c r="E24" i="92"/>
  <c r="F20" i="74" s="1"/>
  <c r="E23" i="92"/>
  <c r="F19" i="74" s="1"/>
  <c r="E20" i="92"/>
  <c r="F16" i="74" s="1"/>
  <c r="E19" i="92"/>
  <c r="F15" i="74" s="1"/>
  <c r="E16" i="92"/>
  <c r="E15" i="92"/>
  <c r="E44" i="91"/>
  <c r="F40" i="73" s="1"/>
  <c r="E40" i="73" s="1"/>
  <c r="E43" i="91"/>
  <c r="F39" i="73" s="1"/>
  <c r="E39" i="73" s="1"/>
  <c r="E40" i="91"/>
  <c r="F36" i="73" s="1"/>
  <c r="E39" i="91"/>
  <c r="F35" i="73" s="1"/>
  <c r="E35" i="73" s="1"/>
  <c r="E36" i="91"/>
  <c r="F32" i="73" s="1"/>
  <c r="E32" i="73" s="1"/>
  <c r="E35" i="91"/>
  <c r="F31" i="73" s="1"/>
  <c r="E31" i="73" s="1"/>
  <c r="E32" i="91"/>
  <c r="F28" i="73" s="1"/>
  <c r="E31" i="91"/>
  <c r="F27" i="73" s="1"/>
  <c r="E27" i="73" s="1"/>
  <c r="E28" i="91"/>
  <c r="F24" i="73" s="1"/>
  <c r="E24" i="73" s="1"/>
  <c r="E27" i="91"/>
  <c r="F23" i="73" s="1"/>
  <c r="E23" i="73" s="1"/>
  <c r="E24" i="91"/>
  <c r="F20" i="73" s="1"/>
  <c r="E23" i="91"/>
  <c r="F19" i="73" s="1"/>
  <c r="E19" i="73" s="1"/>
  <c r="E20" i="91"/>
  <c r="F16" i="73" s="1"/>
  <c r="E19" i="91"/>
  <c r="F15" i="73" s="1"/>
  <c r="E16" i="91"/>
  <c r="E15" i="91"/>
  <c r="E76" i="90"/>
  <c r="F72" i="72" s="1"/>
  <c r="E72" i="72" s="1"/>
  <c r="E75" i="90"/>
  <c r="F71" i="72" s="1"/>
  <c r="E71" i="72" s="1"/>
  <c r="E72" i="90"/>
  <c r="F68" i="72" s="1"/>
  <c r="E71" i="90"/>
  <c r="F67" i="72" s="1"/>
  <c r="E67" i="72" s="1"/>
  <c r="E68" i="90"/>
  <c r="F64" i="72" s="1"/>
  <c r="E64" i="72" s="1"/>
  <c r="E67" i="90"/>
  <c r="F63" i="72" s="1"/>
  <c r="E63" i="72" s="1"/>
  <c r="E64" i="90"/>
  <c r="F60" i="72" s="1"/>
  <c r="E63" i="90"/>
  <c r="F59" i="72" s="1"/>
  <c r="E59" i="72" s="1"/>
  <c r="E60" i="90"/>
  <c r="F56" i="72" s="1"/>
  <c r="E56" i="72" s="1"/>
  <c r="E59" i="90"/>
  <c r="F55" i="72" s="1"/>
  <c r="E55" i="72" s="1"/>
  <c r="E56" i="90"/>
  <c r="F52" i="72" s="1"/>
  <c r="E55" i="90"/>
  <c r="F51" i="72" s="1"/>
  <c r="E51" i="72" s="1"/>
  <c r="E52" i="90"/>
  <c r="F48" i="72" s="1"/>
  <c r="E48" i="72" s="1"/>
  <c r="E51" i="90"/>
  <c r="F47" i="72" s="1"/>
  <c r="E47" i="72" s="1"/>
  <c r="E48" i="90"/>
  <c r="F44" i="72" s="1"/>
  <c r="E47" i="90"/>
  <c r="F43" i="72" s="1"/>
  <c r="E43" i="72" s="1"/>
  <c r="E44" i="90"/>
  <c r="F40" i="72" s="1"/>
  <c r="E40" i="72" s="1"/>
  <c r="E43" i="90"/>
  <c r="F39" i="72" s="1"/>
  <c r="E39" i="72" s="1"/>
  <c r="E40" i="90"/>
  <c r="F36" i="72" s="1"/>
  <c r="E39" i="90"/>
  <c r="F35" i="72" s="1"/>
  <c r="E35" i="72" s="1"/>
  <c r="E36" i="90"/>
  <c r="F32" i="72" s="1"/>
  <c r="E32" i="72" s="1"/>
  <c r="E35" i="90"/>
  <c r="F31" i="72" s="1"/>
  <c r="E31" i="72" s="1"/>
  <c r="E32" i="90"/>
  <c r="F28" i="72" s="1"/>
  <c r="E31" i="90"/>
  <c r="F27" i="72" s="1"/>
  <c r="E27" i="72" s="1"/>
  <c r="E28" i="90"/>
  <c r="F24" i="72" s="1"/>
  <c r="E24" i="72" s="1"/>
  <c r="E27" i="90"/>
  <c r="F23" i="72" s="1"/>
  <c r="E23" i="72" s="1"/>
  <c r="E24" i="90"/>
  <c r="F20" i="72" s="1"/>
  <c r="E23" i="90"/>
  <c r="F19" i="72" s="1"/>
  <c r="E19" i="72" s="1"/>
  <c r="E20" i="90"/>
  <c r="F16" i="72" s="1"/>
  <c r="E19" i="90"/>
  <c r="F15" i="72" s="1"/>
  <c r="N17" i="90"/>
  <c r="N63" i="109" s="1"/>
  <c r="E54" i="89"/>
  <c r="F50" i="71" s="1"/>
  <c r="E50" i="71" s="1"/>
  <c r="E53" i="89"/>
  <c r="F49" i="71" s="1"/>
  <c r="E49" i="71" s="1"/>
  <c r="E50" i="89"/>
  <c r="F46" i="71" s="1"/>
  <c r="E46" i="71" s="1"/>
  <c r="E49" i="89"/>
  <c r="F45" i="71" s="1"/>
  <c r="E46" i="89"/>
  <c r="F42" i="71" s="1"/>
  <c r="E42" i="71" s="1"/>
  <c r="E45" i="89"/>
  <c r="F41" i="71" s="1"/>
  <c r="E41" i="71" s="1"/>
  <c r="E42" i="89"/>
  <c r="F38" i="71" s="1"/>
  <c r="E38" i="71" s="1"/>
  <c r="E41" i="89"/>
  <c r="F37" i="71" s="1"/>
  <c r="E38" i="89"/>
  <c r="F34" i="71" s="1"/>
  <c r="E34" i="71" s="1"/>
  <c r="E37" i="89"/>
  <c r="F33" i="71" s="1"/>
  <c r="E33" i="71" s="1"/>
  <c r="E34" i="89"/>
  <c r="F30" i="71" s="1"/>
  <c r="E30" i="71" s="1"/>
  <c r="E33" i="89"/>
  <c r="F29" i="71" s="1"/>
  <c r="E30" i="89"/>
  <c r="F26" i="71" s="1"/>
  <c r="E26" i="71" s="1"/>
  <c r="E29" i="89"/>
  <c r="F25" i="71" s="1"/>
  <c r="E25" i="71" s="1"/>
  <c r="E26" i="89"/>
  <c r="F22" i="71" s="1"/>
  <c r="E22" i="71" s="1"/>
  <c r="E25" i="89"/>
  <c r="F21" i="71" s="1"/>
  <c r="E22" i="89"/>
  <c r="F18" i="71" s="1"/>
  <c r="E18" i="71" s="1"/>
  <c r="E21" i="89"/>
  <c r="F17" i="71" s="1"/>
  <c r="E17" i="71" s="1"/>
  <c r="E18" i="89"/>
  <c r="F14" i="71" s="1"/>
  <c r="E14" i="71" s="1"/>
  <c r="E17" i="89"/>
  <c r="F13" i="71" s="1"/>
  <c r="E54" i="88"/>
  <c r="F50" i="70" s="1"/>
  <c r="E50" i="70" s="1"/>
  <c r="E53" i="88"/>
  <c r="F49" i="70" s="1"/>
  <c r="E49" i="70" s="1"/>
  <c r="E50" i="88"/>
  <c r="F46" i="70" s="1"/>
  <c r="E46" i="70" s="1"/>
  <c r="E49" i="88"/>
  <c r="F45" i="70" s="1"/>
  <c r="E46" i="88"/>
  <c r="F42" i="70" s="1"/>
  <c r="E42" i="70" s="1"/>
  <c r="E45" i="88"/>
  <c r="F41" i="70" s="1"/>
  <c r="E41" i="70" s="1"/>
  <c r="E42" i="88"/>
  <c r="F38" i="70" s="1"/>
  <c r="E38" i="70" s="1"/>
  <c r="E41" i="88"/>
  <c r="F37" i="70" s="1"/>
  <c r="E38" i="88"/>
  <c r="F34" i="70" s="1"/>
  <c r="E34" i="70" s="1"/>
  <c r="E37" i="88"/>
  <c r="F33" i="70" s="1"/>
  <c r="E33" i="70" s="1"/>
  <c r="E34" i="88"/>
  <c r="F30" i="70" s="1"/>
  <c r="E30" i="70" s="1"/>
  <c r="E33" i="88"/>
  <c r="F29" i="70" s="1"/>
  <c r="E30" i="88"/>
  <c r="F26" i="70" s="1"/>
  <c r="E26" i="70" s="1"/>
  <c r="E29" i="88"/>
  <c r="F25" i="70" s="1"/>
  <c r="E25" i="70" s="1"/>
  <c r="E26" i="88"/>
  <c r="F22" i="70" s="1"/>
  <c r="E22" i="70" s="1"/>
  <c r="E25" i="88"/>
  <c r="F21" i="70" s="1"/>
  <c r="E22" i="88"/>
  <c r="F18" i="70" s="1"/>
  <c r="E18" i="70" s="1"/>
  <c r="E21" i="88"/>
  <c r="F17" i="70" s="1"/>
  <c r="E18" i="88"/>
  <c r="F14" i="70" s="1"/>
  <c r="E14" i="70" s="1"/>
  <c r="E17" i="88"/>
  <c r="F13" i="70" s="1"/>
  <c r="E48" i="87"/>
  <c r="F44" i="69" s="1"/>
  <c r="E47" i="87"/>
  <c r="F43" i="69" s="1"/>
  <c r="E43" i="69" s="1"/>
  <c r="E44" i="87"/>
  <c r="F40" i="69" s="1"/>
  <c r="E40" i="69" s="1"/>
  <c r="E43" i="87"/>
  <c r="F39" i="69" s="1"/>
  <c r="E40" i="87"/>
  <c r="F36" i="69" s="1"/>
  <c r="E39" i="87"/>
  <c r="F35" i="69" s="1"/>
  <c r="E35" i="69" s="1"/>
  <c r="E36" i="87"/>
  <c r="F32" i="69" s="1"/>
  <c r="E32" i="69" s="1"/>
  <c r="E35" i="87"/>
  <c r="F31" i="69" s="1"/>
  <c r="E32" i="87"/>
  <c r="F28" i="69" s="1"/>
  <c r="E31" i="87"/>
  <c r="F27" i="69" s="1"/>
  <c r="E27" i="69" s="1"/>
  <c r="E28" i="87"/>
  <c r="F24" i="69" s="1"/>
  <c r="E24" i="69" s="1"/>
  <c r="E27" i="87"/>
  <c r="F23" i="69" s="1"/>
  <c r="E24" i="87"/>
  <c r="F20" i="69" s="1"/>
  <c r="E23" i="87"/>
  <c r="F19" i="69" s="1"/>
  <c r="E19" i="69" s="1"/>
  <c r="E20" i="87"/>
  <c r="F16" i="69" s="1"/>
  <c r="E19" i="87"/>
  <c r="F15" i="69" s="1"/>
  <c r="N17" i="87"/>
  <c r="E19" i="85"/>
  <c r="F15" i="63" s="1"/>
  <c r="N17" i="85"/>
  <c r="E15" i="85"/>
  <c r="E52" i="84"/>
  <c r="F48" i="47" s="1"/>
  <c r="E48" i="47" s="1"/>
  <c r="E48" i="84"/>
  <c r="F44" i="47" s="1"/>
  <c r="E44" i="47" s="1"/>
  <c r="E44" i="84"/>
  <c r="F40" i="47" s="1"/>
  <c r="E40" i="47" s="1"/>
  <c r="E40" i="84"/>
  <c r="F36" i="47" s="1"/>
  <c r="E36" i="47" s="1"/>
  <c r="E37" i="84"/>
  <c r="F33" i="47" s="1"/>
  <c r="E36" i="84"/>
  <c r="F32" i="47" s="1"/>
  <c r="E15" i="82"/>
  <c r="E32" i="81"/>
  <c r="E27" i="81"/>
  <c r="F23" i="58" s="1"/>
  <c r="E23" i="81"/>
  <c r="F19" i="58" s="1"/>
  <c r="E19" i="81"/>
  <c r="F15" i="58" s="1"/>
  <c r="E15" i="80"/>
  <c r="E60" i="79"/>
  <c r="F56" i="56" s="1"/>
  <c r="E59" i="79"/>
  <c r="F55" i="56" s="1"/>
  <c r="E56" i="79"/>
  <c r="F52" i="56" s="1"/>
  <c r="E55" i="79"/>
  <c r="F51" i="56" s="1"/>
  <c r="E52" i="79"/>
  <c r="F48" i="56" s="1"/>
  <c r="E51" i="79"/>
  <c r="F47" i="56" s="1"/>
  <c r="E48" i="79"/>
  <c r="F44" i="56" s="1"/>
  <c r="E47" i="79"/>
  <c r="F43" i="56" s="1"/>
  <c r="E44" i="79"/>
  <c r="F40" i="56" s="1"/>
  <c r="E43" i="79"/>
  <c r="F39" i="56" s="1"/>
  <c r="E40" i="79"/>
  <c r="F36" i="56" s="1"/>
  <c r="E39" i="79"/>
  <c r="F35" i="56" s="1"/>
  <c r="E36" i="79"/>
  <c r="F32" i="56" s="1"/>
  <c r="E35" i="79"/>
  <c r="F31" i="56" s="1"/>
  <c r="E32" i="79"/>
  <c r="F28" i="56" s="1"/>
  <c r="E31" i="79"/>
  <c r="F27" i="56" s="1"/>
  <c r="E28" i="79"/>
  <c r="F24" i="56" s="1"/>
  <c r="E27" i="79"/>
  <c r="F23" i="56" s="1"/>
  <c r="E24" i="79"/>
  <c r="F20" i="56" s="1"/>
  <c r="E23" i="79"/>
  <c r="F19" i="56" s="1"/>
  <c r="E20" i="79"/>
  <c r="F16" i="56" s="1"/>
  <c r="E19" i="79"/>
  <c r="F15" i="56" s="1"/>
  <c r="E16" i="79"/>
  <c r="E15" i="79"/>
  <c r="G12" i="74" l="1"/>
  <c r="E45" i="108" s="1"/>
  <c r="E20" i="74"/>
  <c r="G11" i="74"/>
  <c r="E44" i="108" s="1"/>
  <c r="E36" i="74"/>
  <c r="E35" i="74"/>
  <c r="E19" i="74"/>
  <c r="E23" i="74"/>
  <c r="E24" i="74"/>
  <c r="G12" i="69"/>
  <c r="E36" i="108" s="1"/>
  <c r="E20" i="69"/>
  <c r="E28" i="69"/>
  <c r="E36" i="69"/>
  <c r="E44" i="69"/>
  <c r="F11" i="74"/>
  <c r="D44" i="108" s="1"/>
  <c r="E15" i="74"/>
  <c r="F28" i="47"/>
  <c r="D29" i="108" s="1"/>
  <c r="C29" i="108" s="1"/>
  <c r="D29" i="111" s="1"/>
  <c r="C29" i="111" s="1"/>
  <c r="E32" i="47"/>
  <c r="E28" i="47" s="1"/>
  <c r="F11" i="63"/>
  <c r="D32" i="108" s="1"/>
  <c r="C32" i="108" s="1"/>
  <c r="D32" i="111" s="1"/>
  <c r="C32" i="111" s="1"/>
  <c r="E15" i="63"/>
  <c r="E11" i="63" s="1"/>
  <c r="F11" i="69"/>
  <c r="D35" i="108" s="1"/>
  <c r="C35" i="108" s="1"/>
  <c r="D35" i="111" s="1"/>
  <c r="C35" i="111" s="1"/>
  <c r="E17" i="70"/>
  <c r="F12" i="72"/>
  <c r="D39" i="108" s="1"/>
  <c r="E16" i="72"/>
  <c r="F12" i="73"/>
  <c r="D42" i="108" s="1"/>
  <c r="E16" i="73"/>
  <c r="F12" i="74"/>
  <c r="D45" i="108" s="1"/>
  <c r="C45" i="108" s="1"/>
  <c r="D45" i="111" s="1"/>
  <c r="C45" i="111" s="1"/>
  <c r="E16" i="74"/>
  <c r="F12" i="69"/>
  <c r="D36" i="108" s="1"/>
  <c r="E16" i="69"/>
  <c r="E12" i="69" s="1"/>
  <c r="F11" i="56"/>
  <c r="D8" i="108" s="1"/>
  <c r="C8" i="108" s="1"/>
  <c r="D8" i="111" s="1"/>
  <c r="C8" i="111" s="1"/>
  <c r="F29" i="47"/>
  <c r="D30" i="108" s="1"/>
  <c r="C30" i="108" s="1"/>
  <c r="D30" i="111" s="1"/>
  <c r="C30" i="111" s="1"/>
  <c r="E33" i="47"/>
  <c r="E29" i="47" s="1"/>
  <c r="G11" i="57"/>
  <c r="E11" i="108" s="1"/>
  <c r="C11" i="108" s="1"/>
  <c r="D11" i="111" s="1"/>
  <c r="C11" i="111" s="1"/>
  <c r="G11" i="58"/>
  <c r="E14" i="108" s="1"/>
  <c r="G28" i="58"/>
  <c r="E17" i="108" s="1"/>
  <c r="C17" i="108" s="1"/>
  <c r="D17" i="111" s="1"/>
  <c r="C17" i="111" s="1"/>
  <c r="E32" i="58"/>
  <c r="G12" i="72"/>
  <c r="E39" i="108" s="1"/>
  <c r="G12" i="73"/>
  <c r="E42" i="108" s="1"/>
  <c r="C5" i="108"/>
  <c r="D5" i="111" s="1"/>
  <c r="C5" i="111" s="1"/>
  <c r="E16" i="55"/>
  <c r="F11" i="72"/>
  <c r="D38" i="108" s="1"/>
  <c r="C38" i="108" s="1"/>
  <c r="D38" i="111" s="1"/>
  <c r="C38" i="111" s="1"/>
  <c r="E15" i="72"/>
  <c r="E11" i="72" s="1"/>
  <c r="F11" i="73"/>
  <c r="D41" i="108" s="1"/>
  <c r="E15" i="73"/>
  <c r="E11" i="73" s="1"/>
  <c r="E16" i="59"/>
  <c r="F12" i="56"/>
  <c r="D9" i="108" s="1"/>
  <c r="C9" i="108" s="1"/>
  <c r="D9" i="111" s="1"/>
  <c r="C9" i="111" s="1"/>
  <c r="F11" i="58"/>
  <c r="D14" i="108" s="1"/>
  <c r="E15" i="69"/>
  <c r="E23" i="69"/>
  <c r="E31" i="69"/>
  <c r="E39" i="69"/>
  <c r="E13" i="70"/>
  <c r="E21" i="70"/>
  <c r="E29" i="70"/>
  <c r="E37" i="70"/>
  <c r="E45" i="70"/>
  <c r="E13" i="71"/>
  <c r="E21" i="71"/>
  <c r="E29" i="71"/>
  <c r="E37" i="71"/>
  <c r="E45" i="71"/>
  <c r="E20" i="72"/>
  <c r="E28" i="72"/>
  <c r="E36" i="72"/>
  <c r="E44" i="72"/>
  <c r="E52" i="72"/>
  <c r="E60" i="72"/>
  <c r="E68" i="72"/>
  <c r="E20" i="73"/>
  <c r="E28" i="73"/>
  <c r="E36" i="73"/>
  <c r="G12" i="58"/>
  <c r="E15" i="108" s="1"/>
  <c r="C15" i="108" s="1"/>
  <c r="D15" i="111" s="1"/>
  <c r="C15" i="111" s="1"/>
  <c r="G29" i="58"/>
  <c r="E18" i="108" s="1"/>
  <c r="C18" i="108" s="1"/>
  <c r="D18" i="111" s="1"/>
  <c r="C18" i="111" s="1"/>
  <c r="E33" i="58"/>
  <c r="G11" i="59"/>
  <c r="E20" i="108" s="1"/>
  <c r="C20" i="108" s="1"/>
  <c r="D20" i="111" s="1"/>
  <c r="C20" i="111" s="1"/>
  <c r="E15" i="59"/>
  <c r="G11" i="73"/>
  <c r="E41" i="108" s="1"/>
  <c r="E15" i="55"/>
  <c r="C6" i="108"/>
  <c r="D6" i="111" s="1"/>
  <c r="C6" i="111" s="1"/>
  <c r="E17" i="99"/>
  <c r="G15" i="47" s="1"/>
  <c r="F13" i="99"/>
  <c r="F44" i="110" s="1"/>
  <c r="E21" i="99"/>
  <c r="G19" i="47" s="1"/>
  <c r="E19" i="47" s="1"/>
  <c r="E15" i="84"/>
  <c r="E15" i="87"/>
  <c r="E16" i="87"/>
  <c r="K13" i="99"/>
  <c r="K44" i="110" s="1"/>
  <c r="K12" i="110" s="1"/>
  <c r="E14" i="105"/>
  <c r="E14" i="95"/>
  <c r="E16" i="80"/>
  <c r="E31" i="99"/>
  <c r="E14" i="97"/>
  <c r="E14" i="106"/>
  <c r="C3" i="107"/>
  <c r="E26" i="97"/>
  <c r="G24" i="59" s="1"/>
  <c r="E24" i="59" s="1"/>
  <c r="C44" i="108" l="1"/>
  <c r="D44" i="111" s="1"/>
  <c r="C44" i="111" s="1"/>
  <c r="E12" i="74"/>
  <c r="E11" i="74"/>
  <c r="C36" i="108"/>
  <c r="D36" i="111" s="1"/>
  <c r="C36" i="111" s="1"/>
  <c r="C14" i="108"/>
  <c r="D14" i="111" s="1"/>
  <c r="C14" i="111" s="1"/>
  <c r="C41" i="108"/>
  <c r="D41" i="111" s="1"/>
  <c r="C41" i="111" s="1"/>
  <c r="E12" i="73"/>
  <c r="D3" i="108"/>
  <c r="E11" i="69"/>
  <c r="G12" i="59"/>
  <c r="E21" i="108" s="1"/>
  <c r="C21" i="108" s="1"/>
  <c r="D21" i="111" s="1"/>
  <c r="C21" i="111" s="1"/>
  <c r="C42" i="108"/>
  <c r="D42" i="111" s="1"/>
  <c r="C42" i="111" s="1"/>
  <c r="E12" i="72"/>
  <c r="D2" i="108"/>
  <c r="G11" i="47"/>
  <c r="E26" i="108" s="1"/>
  <c r="C26" i="108" s="1"/>
  <c r="D26" i="111" s="1"/>
  <c r="C26" i="111" s="1"/>
  <c r="E15" i="47"/>
  <c r="E11" i="47" s="1"/>
  <c r="E44" i="110"/>
  <c r="F12" i="110"/>
  <c r="E12" i="110" s="1"/>
  <c r="C39" i="108"/>
  <c r="D39" i="111" s="1"/>
  <c r="C39" i="111" s="1"/>
  <c r="E13" i="99"/>
  <c r="D2" i="111" l="1"/>
  <c r="C2" i="111" s="1"/>
  <c r="E2" i="108"/>
  <c r="C2" i="108" s="1"/>
  <c r="E3" i="108"/>
  <c r="C3" i="108" s="1"/>
  <c r="D3" i="111"/>
  <c r="C3" i="111" s="1"/>
  <c r="E53" i="57"/>
  <c r="E49" i="57"/>
  <c r="E45" i="57"/>
  <c r="E41" i="57"/>
  <c r="E37" i="57"/>
  <c r="E33" i="57"/>
  <c r="E29" i="57"/>
  <c r="E25" i="57"/>
  <c r="E21" i="57"/>
  <c r="E17" i="57"/>
  <c r="E13" i="57" l="1"/>
  <c r="E13" i="59"/>
  <c r="E30" i="58"/>
  <c r="E25" i="58"/>
  <c r="E21" i="58"/>
  <c r="E17" i="58"/>
  <c r="E13" i="58" l="1"/>
  <c r="E21" i="55" l="1"/>
  <c r="E23" i="55"/>
  <c r="E29" i="58" l="1"/>
  <c r="E24" i="58"/>
  <c r="E23" i="58"/>
  <c r="E20" i="58"/>
  <c r="E19" i="58"/>
  <c r="E16" i="58"/>
  <c r="E15" i="58"/>
  <c r="E15" i="57"/>
  <c r="E16" i="57"/>
  <c r="E19" i="57"/>
  <c r="E20" i="57"/>
  <c r="E23" i="57"/>
  <c r="E24" i="57"/>
  <c r="E27" i="57"/>
  <c r="E28" i="57"/>
  <c r="E31" i="57"/>
  <c r="E32" i="57"/>
  <c r="E35" i="57"/>
  <c r="E36" i="57"/>
  <c r="E39" i="57"/>
  <c r="E40" i="57"/>
  <c r="E43" i="57"/>
  <c r="E44" i="57"/>
  <c r="E47" i="57"/>
  <c r="E48" i="57"/>
  <c r="E51" i="57"/>
  <c r="E52" i="57"/>
  <c r="E15" i="56"/>
  <c r="E16" i="56"/>
  <c r="E17" i="56"/>
  <c r="E19" i="56"/>
  <c r="E20" i="56"/>
  <c r="E21" i="56"/>
  <c r="E23" i="56"/>
  <c r="E24" i="56"/>
  <c r="E25" i="56"/>
  <c r="E27" i="56"/>
  <c r="E28" i="56"/>
  <c r="E29" i="56"/>
  <c r="E31" i="56"/>
  <c r="E32" i="56"/>
  <c r="E33" i="56"/>
  <c r="E35" i="56"/>
  <c r="E36" i="56"/>
  <c r="E37" i="56"/>
  <c r="E39" i="56"/>
  <c r="E40" i="56"/>
  <c r="E41" i="56"/>
  <c r="E43" i="56"/>
  <c r="E44" i="56"/>
  <c r="E45" i="56"/>
  <c r="E47" i="56"/>
  <c r="E48" i="56"/>
  <c r="E49" i="56"/>
  <c r="E51" i="56"/>
  <c r="E52" i="56"/>
  <c r="E53" i="56"/>
  <c r="E55" i="56"/>
  <c r="E56" i="56"/>
  <c r="E57" i="56"/>
  <c r="E24" i="55"/>
  <c r="E25" i="55"/>
  <c r="E27" i="55"/>
  <c r="E28" i="55"/>
  <c r="E29" i="55"/>
  <c r="E31" i="55"/>
  <c r="E32" i="55"/>
  <c r="E33" i="55"/>
  <c r="E35" i="55"/>
  <c r="E36" i="55"/>
  <c r="E37" i="55"/>
  <c r="E39" i="55"/>
  <c r="E40" i="55"/>
  <c r="E41" i="55"/>
  <c r="E43" i="55"/>
  <c r="E44" i="55"/>
  <c r="E45" i="55"/>
  <c r="E47" i="55"/>
  <c r="E48" i="55"/>
  <c r="E49" i="55"/>
  <c r="E51" i="55"/>
  <c r="E52" i="55"/>
  <c r="E53" i="55"/>
  <c r="E55" i="55"/>
  <c r="E59" i="55"/>
  <c r="E60" i="55"/>
  <c r="E61" i="55"/>
  <c r="E63" i="55"/>
  <c r="E64" i="55"/>
  <c r="E65" i="55"/>
  <c r="E67" i="55"/>
  <c r="E68" i="55"/>
  <c r="E69" i="55"/>
  <c r="E12" i="59"/>
  <c r="E11" i="59"/>
  <c r="E12" i="58" l="1"/>
  <c r="E11" i="58"/>
  <c r="E12" i="57"/>
  <c r="E11" i="57"/>
  <c r="E12" i="56"/>
  <c r="E13" i="56"/>
  <c r="E11" i="56"/>
  <c r="E13" i="55"/>
  <c r="E11" i="55"/>
  <c r="E12" i="55"/>
  <c r="E28" i="58"/>
</calcChain>
</file>

<file path=xl/sharedStrings.xml><?xml version="1.0" encoding="utf-8"?>
<sst xmlns="http://schemas.openxmlformats.org/spreadsheetml/2006/main" count="3461" uniqueCount="270">
  <si>
    <t>Sumber: Polis DiRaja Malaysia</t>
  </si>
  <si>
    <t>Source: Royal Malaysia Police</t>
  </si>
  <si>
    <t>Batu Pahat</t>
  </si>
  <si>
    <t>Kluang</t>
  </si>
  <si>
    <t>Kota Tinggi</t>
  </si>
  <si>
    <t>Mersing</t>
  </si>
  <si>
    <t>Muar</t>
  </si>
  <si>
    <t>Pontian</t>
  </si>
  <si>
    <t>Segamat</t>
  </si>
  <si>
    <t>Kulaijaya</t>
  </si>
  <si>
    <t>Ledang</t>
  </si>
  <si>
    <t>Bachok</t>
  </si>
  <si>
    <t>Kota Bharu</t>
  </si>
  <si>
    <t>Machang</t>
  </si>
  <si>
    <t>Pasir Mas</t>
  </si>
  <si>
    <t>Pasir Puteh</t>
  </si>
  <si>
    <t>Tanah Merah</t>
  </si>
  <si>
    <t>Tumpat</t>
  </si>
  <si>
    <t>Gua Musang</t>
  </si>
  <si>
    <t>Kuala Krai</t>
  </si>
  <si>
    <t>Jeli</t>
  </si>
  <si>
    <t>Alor Gajah</t>
  </si>
  <si>
    <t>Jasin</t>
  </si>
  <si>
    <t>Melaka Tengah</t>
  </si>
  <si>
    <t>Jelebu</t>
  </si>
  <si>
    <t>Kuala Pilah</t>
  </si>
  <si>
    <t>Port Dickson</t>
  </si>
  <si>
    <t>Rembau</t>
  </si>
  <si>
    <t>Seremban</t>
  </si>
  <si>
    <t>Tampin</t>
  </si>
  <si>
    <t>Jempol</t>
  </si>
  <si>
    <t>Negeri Sembilan</t>
  </si>
  <si>
    <t>Bentong</t>
  </si>
  <si>
    <t>Cameron Highland</t>
  </si>
  <si>
    <t>Jerantut</t>
  </si>
  <si>
    <t>Kuantan</t>
  </si>
  <si>
    <t>Kuala Lipis</t>
  </si>
  <si>
    <t xml:space="preserve">Pekan </t>
  </si>
  <si>
    <t>Raub</t>
  </si>
  <si>
    <t>Temerloh</t>
  </si>
  <si>
    <t>Rompin</t>
  </si>
  <si>
    <t>Maran</t>
  </si>
  <si>
    <t>Bera</t>
  </si>
  <si>
    <t>Manjung</t>
  </si>
  <si>
    <t>Kerian</t>
  </si>
  <si>
    <t>Kuala Kangsar</t>
  </si>
  <si>
    <t>Hilir Perak</t>
  </si>
  <si>
    <t>Perak Tengah</t>
  </si>
  <si>
    <t>Kampar</t>
  </si>
  <si>
    <t>Perlis</t>
  </si>
  <si>
    <t>Pulau Pinang</t>
  </si>
  <si>
    <t>-</t>
  </si>
  <si>
    <t>Iskandar Puteri</t>
  </si>
  <si>
    <t>Johor Bahru Selatan</t>
  </si>
  <si>
    <t>Johor Bahru Utara</t>
  </si>
  <si>
    <t>Nusajaya</t>
  </si>
  <si>
    <t>Seri Alam</t>
  </si>
  <si>
    <t xml:space="preserve">Baling </t>
  </si>
  <si>
    <t xml:space="preserve">Bandar Bharu </t>
  </si>
  <si>
    <t xml:space="preserve">Kota Setar </t>
  </si>
  <si>
    <t xml:space="preserve">Kuala Muda </t>
  </si>
  <si>
    <t xml:space="preserve">Kubang Pasu </t>
  </si>
  <si>
    <t xml:space="preserve">Kulim </t>
  </si>
  <si>
    <t xml:space="preserve">Langkawi </t>
  </si>
  <si>
    <t xml:space="preserve">Padang Terap </t>
  </si>
  <si>
    <t xml:space="preserve">Pendang </t>
  </si>
  <si>
    <t xml:space="preserve">Sik </t>
  </si>
  <si>
    <t xml:space="preserve">Yan </t>
  </si>
  <si>
    <t>Nilai</t>
  </si>
  <si>
    <t>Batu Gajah</t>
  </si>
  <si>
    <t>Gerik</t>
  </si>
  <si>
    <t>Ipoh</t>
  </si>
  <si>
    <t>Pengkalan Hulu</t>
  </si>
  <si>
    <t>Selama</t>
  </si>
  <si>
    <t>Sungai Siput</t>
  </si>
  <si>
    <t>Taiping</t>
  </si>
  <si>
    <t>Tanjong Malim</t>
  </si>
  <si>
    <t>Tapah</t>
  </si>
  <si>
    <t>Arau</t>
  </si>
  <si>
    <t>Kangar</t>
  </si>
  <si>
    <t>Padang Besar</t>
  </si>
  <si>
    <t xml:space="preserve">Brickfields </t>
  </si>
  <si>
    <t xml:space="preserve">Cheras </t>
  </si>
  <si>
    <t xml:space="preserve">Dang Wangi </t>
  </si>
  <si>
    <t xml:space="preserve">Sentul </t>
  </si>
  <si>
    <t xml:space="preserve">Wangsa Maju </t>
  </si>
  <si>
    <t xml:space="preserve">W.P. Putrajaya </t>
  </si>
  <si>
    <t>Barat Daya</t>
  </si>
  <si>
    <t>Seberang Perai Selatan</t>
  </si>
  <si>
    <t xml:space="preserve">Seberang Perai Tengah </t>
  </si>
  <si>
    <t xml:space="preserve">Seberang Perai Utara </t>
  </si>
  <si>
    <t>Timur Laut</t>
  </si>
  <si>
    <r>
      <t xml:space="preserve">Jumlah
</t>
    </r>
    <r>
      <rPr>
        <i/>
        <sz val="10"/>
        <rFont val="Arial"/>
        <family val="2"/>
      </rPr>
      <t>Total</t>
    </r>
  </si>
  <si>
    <r>
      <rPr>
        <b/>
        <sz val="10"/>
        <rFont val="Arial"/>
        <family val="2"/>
      </rPr>
      <t xml:space="preserve">Jenayah kekerasan
</t>
    </r>
    <r>
      <rPr>
        <i/>
        <sz val="10"/>
        <rFont val="Arial"/>
        <family val="2"/>
      </rPr>
      <t>Violent crime</t>
    </r>
  </si>
  <si>
    <r>
      <rPr>
        <b/>
        <sz val="10"/>
        <rFont val="Arial"/>
        <family val="2"/>
      </rPr>
      <t xml:space="preserve">Jenayah harta benda
</t>
    </r>
    <r>
      <rPr>
        <i/>
        <sz val="10"/>
        <rFont val="Arial"/>
        <family val="2"/>
      </rPr>
      <t>Property crime</t>
    </r>
  </si>
  <si>
    <t>Johor</t>
  </si>
  <si>
    <r>
      <t xml:space="preserve">Tahun
</t>
    </r>
    <r>
      <rPr>
        <i/>
        <sz val="10"/>
        <rFont val="Arial"/>
        <family val="2"/>
      </rPr>
      <t>Year</t>
    </r>
  </si>
  <si>
    <t>Kedah</t>
  </si>
  <si>
    <t>Pahang</t>
  </si>
  <si>
    <t>Sumber: Polis Diraja Malaysia</t>
  </si>
  <si>
    <t>Selangor</t>
  </si>
  <si>
    <t xml:space="preserve">Ampang Jaya </t>
  </si>
  <si>
    <t>Gombak</t>
  </si>
  <si>
    <t>Hulu Selangor</t>
  </si>
  <si>
    <t>Kajang</t>
  </si>
  <si>
    <t>Klang Selatan</t>
  </si>
  <si>
    <t>Klang Utara</t>
  </si>
  <si>
    <t>Kuala Langat</t>
  </si>
  <si>
    <t>Kuala Selangor</t>
  </si>
  <si>
    <t>Petaling Jaya</t>
  </si>
  <si>
    <t>Sabak Bernam</t>
  </si>
  <si>
    <t>Sepang</t>
  </si>
  <si>
    <t>Serdang</t>
  </si>
  <si>
    <t>Sg. Buloh</t>
  </si>
  <si>
    <t>Shah Alam</t>
  </si>
  <si>
    <t>Subang Jaya</t>
  </si>
  <si>
    <t>Terengganu</t>
  </si>
  <si>
    <t>Besut</t>
  </si>
  <si>
    <t>Dungun</t>
  </si>
  <si>
    <t>Hulu Terengganu</t>
  </si>
  <si>
    <t>Kemaman</t>
  </si>
  <si>
    <t>Kuala Terengganu</t>
  </si>
  <si>
    <t>Marang</t>
  </si>
  <si>
    <t>Setiu</t>
  </si>
  <si>
    <t>Sarawak</t>
  </si>
  <si>
    <t>Bau</t>
  </si>
  <si>
    <t>Belaga</t>
  </si>
  <si>
    <t>Betong</t>
  </si>
  <si>
    <t>Bintulu</t>
  </si>
  <si>
    <t>Dalat</t>
  </si>
  <si>
    <t>Julau</t>
  </si>
  <si>
    <t>Kanowit</t>
  </si>
  <si>
    <t>Kapit</t>
  </si>
  <si>
    <t>Kota Samarahan</t>
  </si>
  <si>
    <t>Kuching</t>
  </si>
  <si>
    <t>Lawas</t>
  </si>
  <si>
    <t>Limbang</t>
  </si>
  <si>
    <t>Lubok Antu</t>
  </si>
  <si>
    <t>Lundu</t>
  </si>
  <si>
    <t>Marudi</t>
  </si>
  <si>
    <t xml:space="preserve">Matu Daro </t>
  </si>
  <si>
    <t>Meradong</t>
  </si>
  <si>
    <t>Miri</t>
  </si>
  <si>
    <t>Mukah</t>
  </si>
  <si>
    <t>Padawan</t>
  </si>
  <si>
    <t>Saratok</t>
  </si>
  <si>
    <t>Sarikei</t>
  </si>
  <si>
    <t>Serian</t>
  </si>
  <si>
    <t>Sibu</t>
  </si>
  <si>
    <t>Simunjan</t>
  </si>
  <si>
    <t>Song</t>
  </si>
  <si>
    <t>Sri Aman</t>
  </si>
  <si>
    <t>Tatau</t>
  </si>
  <si>
    <t>Sabah</t>
  </si>
  <si>
    <t>Beaufort</t>
  </si>
  <si>
    <t>Beluran</t>
  </si>
  <si>
    <t>Keningau</t>
  </si>
  <si>
    <t>Kota Belud</t>
  </si>
  <si>
    <t>Kota Kinabalu</t>
  </si>
  <si>
    <t>Kota Kinabatangan</t>
  </si>
  <si>
    <t>Kota Marudu</t>
  </si>
  <si>
    <t>Kudat</t>
  </si>
  <si>
    <t>Kunak</t>
  </si>
  <si>
    <t>Lahad Datu</t>
  </si>
  <si>
    <t>Papar</t>
  </si>
  <si>
    <t>Penampang</t>
  </si>
  <si>
    <t>Ranau</t>
  </si>
  <si>
    <t>Sandakan</t>
  </si>
  <si>
    <t>Semporna</t>
  </si>
  <si>
    <t>Sipitang</t>
  </si>
  <si>
    <t>Tawau</t>
  </si>
  <si>
    <t>Tenom</t>
  </si>
  <si>
    <t>Tuaran</t>
  </si>
  <si>
    <t>W.P. Labuan</t>
  </si>
  <si>
    <t>Perak</t>
  </si>
  <si>
    <t>W.P. Kuala Lumpur</t>
  </si>
  <si>
    <t xml:space="preserve">Kelantan </t>
  </si>
  <si>
    <t xml:space="preserve">Melaka </t>
  </si>
  <si>
    <t>Sarawak (samb.)</t>
  </si>
  <si>
    <t>JENAYAH INDEKS</t>
  </si>
  <si>
    <t>CRIME INDEX</t>
  </si>
  <si>
    <t>Malaysia</t>
  </si>
  <si>
    <t>Kelantan</t>
  </si>
  <si>
    <t>Melaka</t>
  </si>
  <si>
    <t>Jadual 1.3</t>
  </si>
  <si>
    <t>Table 1.3</t>
  </si>
  <si>
    <t>Jadual 1.5</t>
  </si>
  <si>
    <t>Table 1.5</t>
  </si>
  <si>
    <r>
      <rPr>
        <b/>
        <sz val="10"/>
        <rFont val="Arial"/>
        <family val="2"/>
      </rPr>
      <t xml:space="preserve">Negeri
</t>
    </r>
    <r>
      <rPr>
        <i/>
        <sz val="10"/>
        <rFont val="Arial"/>
        <family val="2"/>
      </rPr>
      <t>State</t>
    </r>
  </si>
  <si>
    <r>
      <rPr>
        <b/>
        <sz val="10"/>
        <rFont val="Arial"/>
        <family val="2"/>
      </rPr>
      <t>Tahun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Year</t>
    </r>
  </si>
  <si>
    <r>
      <t xml:space="preserve">Pecah rumah dan curi           </t>
    </r>
    <r>
      <rPr>
        <i/>
        <sz val="10"/>
        <rFont val="Arial"/>
        <family val="2"/>
      </rPr>
      <t>House break-in and theft</t>
    </r>
  </si>
  <si>
    <r>
      <t xml:space="preserve">Kecurian kenderaan
</t>
    </r>
    <r>
      <rPr>
        <i/>
        <sz val="10"/>
        <rFont val="Arial"/>
        <family val="2"/>
      </rPr>
      <t>Vehicles theft</t>
    </r>
  </si>
  <si>
    <r>
      <t xml:space="preserve">Kecurian lain
</t>
    </r>
    <r>
      <rPr>
        <i/>
        <sz val="10"/>
        <rFont val="Arial"/>
        <family val="2"/>
      </rPr>
      <t>Other theft</t>
    </r>
  </si>
  <si>
    <r>
      <t xml:space="preserve">Lori/van
</t>
    </r>
    <r>
      <rPr>
        <i/>
        <sz val="10"/>
        <rFont val="Arial"/>
        <family val="2"/>
      </rPr>
      <t>Lorry/van</t>
    </r>
  </si>
  <si>
    <r>
      <t xml:space="preserve">Kereta
</t>
    </r>
    <r>
      <rPr>
        <i/>
        <sz val="10"/>
        <rFont val="Arial"/>
        <family val="2"/>
      </rPr>
      <t>Motorcar</t>
    </r>
  </si>
  <si>
    <r>
      <rPr>
        <b/>
        <sz val="10"/>
        <rFont val="Arial"/>
        <family val="2"/>
      </rPr>
      <t>Motosikal/
Skuter</t>
    </r>
    <r>
      <rPr>
        <i/>
        <sz val="10"/>
        <rFont val="Arial"/>
        <family val="2"/>
      </rPr>
      <t xml:space="preserve">
Motorcycle/
scooter</t>
    </r>
    <r>
      <rPr>
        <sz val="10"/>
        <rFont val="Arial"/>
        <family val="2"/>
      </rPr>
      <t xml:space="preserve">
</t>
    </r>
  </si>
  <si>
    <t xml:space="preserve"> </t>
  </si>
  <si>
    <t>Jadual 1.4</t>
  </si>
  <si>
    <t>Table 1.4</t>
  </si>
  <si>
    <r>
      <t>Sabah (samb./</t>
    </r>
    <r>
      <rPr>
        <i/>
        <sz val="10"/>
        <rFont val="Arial"/>
        <family val="2"/>
      </rPr>
      <t>cont'd</t>
    </r>
    <r>
      <rPr>
        <b/>
        <sz val="10"/>
        <rFont val="Arial"/>
        <family val="2"/>
      </rPr>
      <t>)</t>
    </r>
  </si>
  <si>
    <r>
      <t>Sarawak (samb./</t>
    </r>
    <r>
      <rPr>
        <i/>
        <sz val="10"/>
        <rFont val="Arial"/>
        <family val="2"/>
      </rPr>
      <t>cont'd</t>
    </r>
    <r>
      <rPr>
        <b/>
        <sz val="10"/>
        <rFont val="Arial"/>
        <family val="2"/>
      </rPr>
      <t>)</t>
    </r>
  </si>
  <si>
    <t>Jadual 1.6</t>
  </si>
  <si>
    <t>Table 1.6</t>
  </si>
  <si>
    <r>
      <t xml:space="preserve">Pecah rumah dan curi           </t>
    </r>
    <r>
      <rPr>
        <i/>
        <sz val="10"/>
        <rFont val="Arial"/>
        <family val="2"/>
      </rPr>
      <t>House  break-in and theft</t>
    </r>
  </si>
  <si>
    <r>
      <t>Motosikal/
Skuter</t>
    </r>
    <r>
      <rPr>
        <i/>
        <sz val="10"/>
        <rFont val="Arial"/>
        <family val="2"/>
      </rPr>
      <t xml:space="preserve">
Motorcycle/
scooter</t>
    </r>
    <r>
      <rPr>
        <sz val="10"/>
        <rFont val="Arial"/>
        <family val="2"/>
      </rPr>
      <t xml:space="preserve">
</t>
    </r>
  </si>
  <si>
    <t>Sabah (samb.)</t>
  </si>
  <si>
    <t xml:space="preserve"> Sarawak</t>
  </si>
  <si>
    <r>
      <t xml:space="preserve">Kontinjen/Daerah PDRM 
</t>
    </r>
    <r>
      <rPr>
        <i/>
        <sz val="10"/>
        <rFont val="Arial"/>
        <family val="2"/>
      </rPr>
      <t>Contingent/ PDRM District</t>
    </r>
  </si>
  <si>
    <t>Jadual 1.7</t>
  </si>
  <si>
    <t>Table 1.7</t>
  </si>
  <si>
    <t>Kontinjen/Daerah PDRM</t>
  </si>
  <si>
    <t>Contingent/ PDRM District</t>
  </si>
  <si>
    <t>Year</t>
  </si>
  <si>
    <t>Total</t>
  </si>
  <si>
    <t>Murder</t>
  </si>
  <si>
    <t>Rape</t>
  </si>
  <si>
    <t>Causing injury</t>
  </si>
  <si>
    <t>Mencederakan</t>
  </si>
  <si>
    <t>Rogol</t>
  </si>
  <si>
    <t>Bunuh</t>
  </si>
  <si>
    <t>Jumlah</t>
  </si>
  <si>
    <r>
      <rPr>
        <b/>
        <sz val="10"/>
        <rFont val="Arial"/>
        <family val="2"/>
      </rPr>
      <t xml:space="preserve">Samun 
</t>
    </r>
    <r>
      <rPr>
        <i/>
        <sz val="10"/>
        <rFont val="Arial"/>
        <family val="2"/>
      </rPr>
      <t>Robbery</t>
    </r>
  </si>
  <si>
    <t>Tahun</t>
  </si>
  <si>
    <t>with Firearms</t>
  </si>
  <si>
    <t>without Firearms</t>
  </si>
  <si>
    <t>Bersenjata api</t>
  </si>
  <si>
    <t>Tanpa bersenjata api</t>
  </si>
  <si>
    <r>
      <t>W.P. Kuala Lumpur</t>
    </r>
    <r>
      <rPr>
        <vertAlign val="superscript"/>
        <sz val="10"/>
        <rFont val="Arial"/>
        <family val="2"/>
      </rPr>
      <t>b</t>
    </r>
  </si>
  <si>
    <r>
      <t>Sabah</t>
    </r>
    <r>
      <rPr>
        <vertAlign val="superscript"/>
        <sz val="10"/>
        <rFont val="Arial"/>
        <family val="2"/>
      </rPr>
      <t>a</t>
    </r>
  </si>
  <si>
    <r>
      <rPr>
        <b/>
        <sz val="8"/>
        <rFont val="Arial"/>
        <family val="2"/>
      </rPr>
      <t>Nota/</t>
    </r>
    <r>
      <rPr>
        <i/>
        <sz val="8"/>
        <rFont val="Arial"/>
        <family val="2"/>
      </rPr>
      <t>Notes</t>
    </r>
  </si>
  <si>
    <r>
      <rPr>
        <b/>
        <vertAlign val="superscript"/>
        <sz val="8"/>
        <rFont val="Arial"/>
        <family val="2"/>
      </rPr>
      <t>a</t>
    </r>
    <r>
      <rPr>
        <b/>
        <sz val="8"/>
        <rFont val="Arial"/>
        <family val="2"/>
      </rPr>
      <t xml:space="preserve"> Termasuk W.P. Labuan</t>
    </r>
  </si>
  <si>
    <t xml:space="preserve">   Includes W.P. Labuan</t>
  </si>
  <si>
    <r>
      <rPr>
        <b/>
        <vertAlign val="superscript"/>
        <sz val="8"/>
        <rFont val="Arial"/>
        <family val="2"/>
      </rPr>
      <t>b</t>
    </r>
    <r>
      <rPr>
        <b/>
        <sz val="8"/>
        <rFont val="Arial"/>
        <family val="2"/>
      </rPr>
      <t xml:space="preserve"> Termasuk W.P. Putrajaya</t>
    </r>
  </si>
  <si>
    <t xml:space="preserve">   Includes W.P. Putrajaya</t>
  </si>
  <si>
    <r>
      <rPr>
        <b/>
        <sz val="10"/>
        <rFont val="Arial"/>
        <family val="2"/>
      </rPr>
      <t xml:space="preserve">Samun berkawan
</t>
    </r>
    <r>
      <rPr>
        <i/>
        <sz val="10"/>
        <rFont val="Arial"/>
        <family val="2"/>
      </rPr>
      <t>Gang robbery</t>
    </r>
  </si>
  <si>
    <t>: Jenayah kekerasan mengikut kontinjen, daerah PDRM dan jenis jenayah, Malaysia, 2017-2019</t>
  </si>
  <si>
    <t xml:space="preserve">: Violent crime by contingent, PDRM district and type of crime, Malaysia, 2017-2019
                  </t>
  </si>
  <si>
    <t>: Jenayah kekerasan mengikut negeri dan jenis jenayah, Malaysia, 2017-2019</t>
  </si>
  <si>
    <t xml:space="preserve">: Violent crime by state and type of crime, Malaysia, 2017-2019
                  </t>
  </si>
  <si>
    <t>: Jenayah kekerasan mengikut kontinjen, daerah PDRM dan jenis jenayah, Malaysia, 2017-2019 (samb.)</t>
  </si>
  <si>
    <t xml:space="preserve">: Violent crime by contingent, PDRM district and type of crime, Malaysia, 2017-2019 (cont'd)
                  </t>
  </si>
  <si>
    <t>: Jenayah indeks mengikut kontinjen, daerah PDRM dan jenis jenayah, Malaysia, 2017-2019</t>
  </si>
  <si>
    <t xml:space="preserve">: Crime index by contingent, PDRM district and type of crime, Malaysia, 2017-2019
                  </t>
  </si>
  <si>
    <t>: Jenayah indeks mengikut kontinjen, daerah PDRM dan jenis jenayah, Malaysia, 2017-2019 (samb.)</t>
  </si>
  <si>
    <t xml:space="preserve">: Crime index by contingent, PDRM district and type of crime, Malaysia, 2017-2019 (cont'd)
                  </t>
  </si>
  <si>
    <t>: Jenayah harta benda mengikut negeri dan jenis jenayah, Malaysia, 2017-2019</t>
  </si>
  <si>
    <t xml:space="preserve">: Property crime by state and type of crime, Malaysia, 2017-2019    </t>
  </si>
  <si>
    <t>: Jenayah harta benda mengikut kontinjen, daerah PDRM dan jenis jenayah, Malaysia, 2017-2019</t>
  </si>
  <si>
    <t>: Property crime by contingent, PDRM district and type of crime, Malaysia, 2017-2019</t>
  </si>
  <si>
    <t>: Jenayah harta benda mengikut kontinjen, daerah PDRM dan jenis jenayah, Malaysia, 2017-2019 (samb.)</t>
  </si>
  <si>
    <t>: Property crime by contingent, PDRM district and type of crime, Malaysia, 2017-2019 (cont'd)</t>
  </si>
  <si>
    <r>
      <t xml:space="preserve">Curi
Ragut
</t>
    </r>
    <r>
      <rPr>
        <i/>
        <sz val="10"/>
        <rFont val="Arial"/>
        <family val="2"/>
      </rPr>
      <t>Snatch theft</t>
    </r>
  </si>
  <si>
    <t>Curi ragut menjadi samun apabila kekerasan digunakan, mangsa mengalami kecederaan atau dalam keadaan takut semasa kejadian</t>
  </si>
  <si>
    <t>Snatch theft becomes robbery when force is used, the victim is injured or in a state of fear during the incident</t>
  </si>
  <si>
    <r>
      <rPr>
        <b/>
        <sz val="8"/>
        <rFont val="Arial"/>
        <family val="2"/>
      </rPr>
      <t>Nota/</t>
    </r>
    <r>
      <rPr>
        <i/>
        <sz val="8"/>
        <rFont val="Arial"/>
        <family val="2"/>
      </rPr>
      <t>Note</t>
    </r>
  </si>
  <si>
    <t>Property crime</t>
  </si>
  <si>
    <t>Violent crime</t>
  </si>
  <si>
    <t xml:space="preserve">Total Cases </t>
  </si>
  <si>
    <t>State</t>
  </si>
  <si>
    <t>Crime Index</t>
  </si>
  <si>
    <t>Crime index ratio</t>
  </si>
  <si>
    <r>
      <rPr>
        <i/>
        <sz val="10"/>
        <rFont val="Arial"/>
        <family val="2"/>
      </rPr>
      <t>Pop</t>
    </r>
    <r>
      <rPr>
        <b/>
        <sz val="10"/>
        <rFont val="Arial"/>
        <family val="2"/>
      </rPr>
      <t>(1000)</t>
    </r>
  </si>
  <si>
    <t>Kuala Lumpur</t>
  </si>
  <si>
    <t>House  break-in and theft</t>
  </si>
  <si>
    <t xml:space="preserve">Lorry/van Theft </t>
  </si>
  <si>
    <t>Motorcar Theft</t>
  </si>
  <si>
    <r>
      <rPr>
        <i/>
        <sz val="10"/>
        <rFont val="Arial"/>
        <family val="2"/>
      </rPr>
      <t>Motorcycle Theft</t>
    </r>
    <r>
      <rPr>
        <sz val="10"/>
        <rFont val="Arial"/>
        <family val="2"/>
      </rPr>
      <t xml:space="preserve">
</t>
    </r>
  </si>
  <si>
    <t>Snatch theft</t>
  </si>
  <si>
    <t>Other theft</t>
  </si>
  <si>
    <t>PDRM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</si>
</sst>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#,##0.0"/>
  </numFmts>
  <fonts count="28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i/>
      <sz val="1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1"/>
      <name val="Century Gothic"/>
      <family val="2"/>
    </font>
    <font>
      <b/>
      <sz val="10"/>
      <color theme="1"/>
      <name val="Century Gothic"/>
      <family val="2"/>
    </font>
    <font>
      <sz val="10"/>
      <name val="Century Gothic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b/>
      <vertAlign val="superscript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" fillId="0" borderId="0"/>
  </cellStyleXfs>
  <cellXfs count="449">
    <xf numFmtId="0" fontId="0" fillId="0" borderId="0" xfId="0"/>
    <xf numFmtId="3" fontId="3" fillId="0" borderId="0" xfId="0" applyNumberFormat="1" applyFont="1" applyFill="1" applyBorder="1" applyAlignment="1">
      <alignment horizontal="right" vertical="center" indent="1"/>
    </xf>
    <xf numFmtId="0" fontId="1" fillId="0" borderId="0" xfId="0" applyFont="1" applyFill="1"/>
    <xf numFmtId="0" fontId="1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right" indent="1"/>
    </xf>
    <xf numFmtId="0" fontId="1" fillId="0" borderId="0" xfId="0" applyFont="1" applyFill="1" applyAlignment="1">
      <alignment horizontal="right" indent="1"/>
    </xf>
    <xf numFmtId="0" fontId="3" fillId="0" borderId="0" xfId="0" applyFont="1" applyFill="1"/>
    <xf numFmtId="0" fontId="1" fillId="0" borderId="0" xfId="0" applyFont="1" applyFill="1" applyBorder="1"/>
    <xf numFmtId="0" fontId="5" fillId="0" borderId="0" xfId="0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 vertical="center"/>
    </xf>
    <xf numFmtId="3" fontId="1" fillId="0" borderId="0" xfId="0" applyNumberFormat="1" applyFont="1" applyFill="1" applyBorder="1" applyAlignment="1">
      <alignment horizontal="right" vertical="center"/>
    </xf>
    <xf numFmtId="3" fontId="1" fillId="0" borderId="0" xfId="0" quotePrefix="1" applyNumberFormat="1" applyFont="1" applyFill="1" applyBorder="1" applyAlignment="1">
      <alignment horizontal="right" vertical="center"/>
    </xf>
    <xf numFmtId="3" fontId="1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left" vertical="center" indent="1"/>
    </xf>
    <xf numFmtId="3" fontId="1" fillId="0" borderId="0" xfId="0" applyNumberFormat="1" applyFont="1" applyFill="1"/>
    <xf numFmtId="0" fontId="1" fillId="0" borderId="1" xfId="0" applyFont="1" applyFill="1" applyBorder="1" applyAlignment="1">
      <alignment horizontal="left" vertical="center" indent="1"/>
    </xf>
    <xf numFmtId="3" fontId="1" fillId="0" borderId="2" xfId="0" applyNumberFormat="1" applyFont="1" applyFill="1" applyBorder="1" applyAlignment="1">
      <alignment horizontal="right" vertical="center"/>
    </xf>
    <xf numFmtId="0" fontId="7" fillId="0" borderId="0" xfId="0" applyFont="1" applyFill="1" applyBorder="1"/>
    <xf numFmtId="0" fontId="7" fillId="0" borderId="0" xfId="0" applyFont="1" applyFill="1"/>
    <xf numFmtId="0" fontId="1" fillId="0" borderId="2" xfId="0" applyFont="1" applyFill="1" applyBorder="1" applyAlignment="1">
      <alignment horizontal="left" vertical="center" indent="1"/>
    </xf>
    <xf numFmtId="0" fontId="3" fillId="0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2" xfId="0" quotePrefix="1" applyNumberFormat="1" applyFont="1" applyFill="1" applyBorder="1" applyAlignment="1">
      <alignment horizontal="right" vertical="center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left" vertical="center" wrapText="1" indent="1"/>
    </xf>
    <xf numFmtId="3" fontId="1" fillId="0" borderId="1" xfId="0" quotePrefix="1" applyNumberFormat="1" applyFont="1" applyFill="1" applyBorder="1" applyAlignment="1">
      <alignment horizontal="right" vertical="center"/>
    </xf>
    <xf numFmtId="0" fontId="1" fillId="0" borderId="1" xfId="0" applyFont="1" applyFill="1" applyBorder="1"/>
    <xf numFmtId="0" fontId="1" fillId="0" borderId="2" xfId="0" applyFont="1" applyFill="1" applyBorder="1"/>
    <xf numFmtId="0" fontId="3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right" vertical="top"/>
    </xf>
    <xf numFmtId="3" fontId="3" fillId="0" borderId="0" xfId="0" applyNumberFormat="1" applyFont="1" applyFill="1"/>
    <xf numFmtId="0" fontId="3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1" fillId="0" borderId="5" xfId="0" applyFont="1" applyFill="1" applyBorder="1"/>
    <xf numFmtId="0" fontId="3" fillId="0" borderId="5" xfId="0" applyFont="1" applyFill="1" applyBorder="1" applyAlignment="1">
      <alignment horizontal="left" vertical="center" wrapText="1" indent="1"/>
    </xf>
    <xf numFmtId="0" fontId="3" fillId="0" borderId="5" xfId="0" applyFont="1" applyFill="1" applyBorder="1" applyAlignment="1">
      <alignment horizontal="left" vertical="center" indent="1"/>
    </xf>
    <xf numFmtId="0" fontId="3" fillId="0" borderId="5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top"/>
    </xf>
    <xf numFmtId="3" fontId="3" fillId="0" borderId="0" xfId="0" applyNumberFormat="1" applyFont="1" applyFill="1" applyBorder="1" applyAlignment="1">
      <alignment vertical="center"/>
    </xf>
    <xf numFmtId="0" fontId="10" fillId="0" borderId="0" xfId="0" applyFont="1" applyFill="1"/>
    <xf numFmtId="3" fontId="8" fillId="0" borderId="0" xfId="0" applyNumberFormat="1" applyFont="1" applyFill="1" applyAlignment="1">
      <alignment horizontal="right" vertical="center"/>
    </xf>
    <xf numFmtId="0" fontId="10" fillId="0" borderId="0" xfId="0" applyFont="1" applyFill="1" applyAlignment="1">
      <alignment horizontal="left" vertical="center" indent="1"/>
    </xf>
    <xf numFmtId="0" fontId="10" fillId="0" borderId="0" xfId="0" applyFont="1" applyFill="1" applyBorder="1" applyAlignment="1">
      <alignment horizontal="left" vertical="center" indent="1"/>
    </xf>
    <xf numFmtId="0" fontId="10" fillId="0" borderId="1" xfId="0" applyFont="1" applyFill="1" applyBorder="1" applyAlignment="1">
      <alignment horizontal="left" vertical="center" indent="1"/>
    </xf>
    <xf numFmtId="3" fontId="10" fillId="0" borderId="1" xfId="0" applyNumberFormat="1" applyFont="1" applyFill="1" applyBorder="1" applyAlignment="1">
      <alignment horizontal="right" vertical="center"/>
    </xf>
    <xf numFmtId="0" fontId="8" fillId="0" borderId="0" xfId="0" applyFont="1" applyFill="1" applyAlignment="1">
      <alignment horizontal="left" vertical="center" indent="1"/>
    </xf>
    <xf numFmtId="0" fontId="8" fillId="0" borderId="0" xfId="0" applyFont="1" applyFill="1" applyAlignment="1">
      <alignment horizontal="right" vertical="center"/>
    </xf>
    <xf numFmtId="0" fontId="8" fillId="0" borderId="0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/>
    </xf>
    <xf numFmtId="0" fontId="8" fillId="0" borderId="0" xfId="0" applyFont="1" applyFill="1" applyAlignment="1">
      <alignment vertical="top"/>
    </xf>
    <xf numFmtId="0" fontId="9" fillId="0" borderId="0" xfId="0" applyFont="1" applyFill="1"/>
    <xf numFmtId="0" fontId="9" fillId="0" borderId="0" xfId="0" applyFont="1" applyFill="1" applyAlignment="1">
      <alignment horizontal="right"/>
    </xf>
    <xf numFmtId="0" fontId="9" fillId="0" borderId="0" xfId="0" applyFont="1" applyFill="1" applyAlignment="1">
      <alignment vertical="top"/>
    </xf>
    <xf numFmtId="0" fontId="6" fillId="0" borderId="0" xfId="0" applyFont="1" applyFill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3" fontId="8" fillId="0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indent="1"/>
    </xf>
    <xf numFmtId="0" fontId="3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left" vertical="center" indent="1"/>
    </xf>
    <xf numFmtId="3" fontId="10" fillId="0" borderId="2" xfId="0" applyNumberFormat="1" applyFont="1" applyFill="1" applyBorder="1" applyAlignment="1">
      <alignment horizontal="right" vertical="center"/>
    </xf>
    <xf numFmtId="0" fontId="10" fillId="0" borderId="3" xfId="0" applyFont="1" applyFill="1" applyBorder="1" applyAlignment="1">
      <alignment horizontal="left" vertical="center" indent="1"/>
    </xf>
    <xf numFmtId="3" fontId="10" fillId="0" borderId="3" xfId="0" applyNumberFormat="1" applyFont="1" applyFill="1" applyBorder="1" applyAlignment="1">
      <alignment horizontal="right" vertical="center"/>
    </xf>
    <xf numFmtId="0" fontId="1" fillId="0" borderId="3" xfId="0" applyFont="1" applyFill="1" applyBorder="1"/>
    <xf numFmtId="0" fontId="8" fillId="0" borderId="0" xfId="0" applyFont="1" applyFill="1" applyAlignment="1">
      <alignment horizontal="right" vertical="top"/>
    </xf>
    <xf numFmtId="0" fontId="9" fillId="0" borderId="0" xfId="0" applyFont="1" applyFill="1" applyAlignment="1">
      <alignment horizontal="right" vertical="top"/>
    </xf>
    <xf numFmtId="0" fontId="8" fillId="0" borderId="0" xfId="0" applyFont="1" applyFill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horizontal="left" vertical="center" wrapText="1" indent="1"/>
    </xf>
    <xf numFmtId="0" fontId="9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left" indent="1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/>
    <xf numFmtId="0" fontId="1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top"/>
    </xf>
    <xf numFmtId="0" fontId="7" fillId="0" borderId="0" xfId="0" applyFont="1" applyFill="1" applyAlignment="1">
      <alignment horizontal="left" indent="1"/>
    </xf>
    <xf numFmtId="0" fontId="5" fillId="0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3" fillId="0" borderId="5" xfId="0" applyFont="1" applyFill="1" applyBorder="1" applyAlignment="1">
      <alignment vertical="center" wrapText="1"/>
    </xf>
    <xf numFmtId="0" fontId="3" fillId="0" borderId="1" xfId="0" applyFont="1" applyFill="1" applyBorder="1"/>
    <xf numFmtId="0" fontId="5" fillId="0" borderId="0" xfId="0" applyFont="1" applyFill="1" applyBorder="1" applyAlignment="1"/>
    <xf numFmtId="0" fontId="8" fillId="0" borderId="0" xfId="0" applyFont="1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Border="1" applyAlignment="1">
      <alignment horizontal="left" vertical="center" indent="1"/>
    </xf>
    <xf numFmtId="0" fontId="8" fillId="0" borderId="1" xfId="0" applyFont="1" applyFill="1" applyBorder="1"/>
    <xf numFmtId="0" fontId="8" fillId="0" borderId="0" xfId="0" applyFont="1" applyFill="1" applyBorder="1"/>
    <xf numFmtId="0" fontId="3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horizontal="right" vertical="top"/>
    </xf>
    <xf numFmtId="0" fontId="10" fillId="0" borderId="0" xfId="0" applyFont="1" applyFill="1" applyAlignment="1"/>
    <xf numFmtId="0" fontId="10" fillId="0" borderId="0" xfId="0" applyFont="1" applyFill="1" applyAlignment="1">
      <alignment horizontal="right"/>
    </xf>
    <xf numFmtId="0" fontId="10" fillId="0" borderId="0" xfId="0" applyFont="1" applyFill="1" applyAlignment="1">
      <alignment horizontal="left" indent="1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3" fontId="8" fillId="0" borderId="0" xfId="0" applyNumberFormat="1" applyFont="1" applyFill="1" applyBorder="1" applyAlignment="1">
      <alignment vertical="center"/>
    </xf>
    <xf numFmtId="3" fontId="10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/>
    <xf numFmtId="0" fontId="8" fillId="0" borderId="0" xfId="0" applyFont="1" applyFill="1" applyBorder="1" applyAlignment="1">
      <alignment horizontal="right" vertical="center" indent="1"/>
    </xf>
    <xf numFmtId="0" fontId="3" fillId="0" borderId="0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3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 vertical="center" wrapText="1" indent="1"/>
    </xf>
    <xf numFmtId="0" fontId="3" fillId="0" borderId="0" xfId="0" applyFont="1" applyFill="1" applyAlignment="1">
      <alignment horizontal="left" indent="1"/>
    </xf>
    <xf numFmtId="0" fontId="3" fillId="0" borderId="1" xfId="0" applyFont="1" applyFill="1" applyBorder="1" applyAlignment="1">
      <alignment horizontal="left" vertical="center" indent="1"/>
    </xf>
    <xf numFmtId="0" fontId="11" fillId="0" borderId="0" xfId="0" applyFont="1" applyFill="1" applyBorder="1" applyAlignment="1">
      <alignment vertical="top"/>
    </xf>
    <xf numFmtId="0" fontId="8" fillId="0" borderId="1" xfId="0" applyFont="1" applyFill="1" applyBorder="1" applyAlignment="1">
      <alignment horizontal="right" vertical="center" indent="1"/>
    </xf>
    <xf numFmtId="0" fontId="3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left" indent="1"/>
    </xf>
    <xf numFmtId="0" fontId="8" fillId="0" borderId="1" xfId="0" applyFont="1" applyFill="1" applyBorder="1" applyAlignment="1">
      <alignment horizontal="right" vertical="center"/>
    </xf>
    <xf numFmtId="3" fontId="8" fillId="0" borderId="0" xfId="0" quotePrefix="1" applyNumberFormat="1" applyFont="1" applyFill="1" applyBorder="1" applyAlignment="1">
      <alignment horizontal="right" vertical="center"/>
    </xf>
    <xf numFmtId="3" fontId="8" fillId="0" borderId="0" xfId="0" applyNumberFormat="1" applyFont="1" applyFill="1" applyBorder="1" applyAlignment="1">
      <alignment horizontal="right" vertical="center"/>
    </xf>
    <xf numFmtId="3" fontId="10" fillId="0" borderId="0" xfId="0" applyNumberFormat="1" applyFont="1" applyFill="1" applyBorder="1" applyAlignment="1">
      <alignment horizontal="right" vertical="center"/>
    </xf>
    <xf numFmtId="0" fontId="10" fillId="0" borderId="0" xfId="0" quotePrefix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3" fontId="10" fillId="0" borderId="0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3" fontId="10" fillId="0" borderId="0" xfId="0" quotePrefix="1" applyNumberFormat="1" applyFont="1" applyFill="1" applyBorder="1" applyAlignment="1">
      <alignment horizontal="right" vertical="center"/>
    </xf>
    <xf numFmtId="3" fontId="8" fillId="0" borderId="0" xfId="0" applyNumberFormat="1" applyFont="1" applyFill="1" applyBorder="1" applyAlignment="1">
      <alignment horizontal="right" vertical="center"/>
    </xf>
    <xf numFmtId="3" fontId="10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Font="1" applyFill="1" applyBorder="1" applyAlignment="1">
      <alignment horizontal="right" vertical="center" indent="1"/>
    </xf>
    <xf numFmtId="0" fontId="10" fillId="0" borderId="0" xfId="0" applyFont="1" applyFill="1" applyBorder="1" applyAlignment="1">
      <alignment horizontal="right" vertical="center" wrapText="1" indent="1"/>
    </xf>
    <xf numFmtId="3" fontId="5" fillId="0" borderId="0" xfId="0" applyNumberFormat="1" applyFont="1" applyFill="1" applyAlignment="1">
      <alignment horizontal="right" vertical="center"/>
    </xf>
    <xf numFmtId="3" fontId="6" fillId="0" borderId="0" xfId="0" applyNumberFormat="1" applyFont="1" applyFill="1" applyAlignment="1">
      <alignment horizontal="right" vertical="center"/>
    </xf>
    <xf numFmtId="3" fontId="8" fillId="0" borderId="0" xfId="0" applyNumberFormat="1" applyFont="1" applyFill="1" applyAlignment="1">
      <alignment vertical="top"/>
    </xf>
    <xf numFmtId="3" fontId="1" fillId="0" borderId="0" xfId="0" applyNumberFormat="1" applyFont="1" applyFill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 vertical="top"/>
    </xf>
    <xf numFmtId="3" fontId="3" fillId="0" borderId="5" xfId="0" applyNumberFormat="1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 vertical="center" wrapText="1"/>
    </xf>
    <xf numFmtId="3" fontId="6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vertical="top"/>
    </xf>
    <xf numFmtId="0" fontId="10" fillId="0" borderId="0" xfId="0" applyFont="1" applyFill="1" applyAlignment="1">
      <alignment vertical="center"/>
    </xf>
    <xf numFmtId="3" fontId="10" fillId="0" borderId="0" xfId="0" applyNumberFormat="1" applyFont="1" applyFill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right" vertical="top"/>
    </xf>
    <xf numFmtId="0" fontId="1" fillId="0" borderId="0" xfId="0" applyFont="1" applyFill="1" applyAlignment="1">
      <alignment horizontal="right" vertical="center" indent="1"/>
    </xf>
    <xf numFmtId="0" fontId="3" fillId="0" borderId="0" xfId="0" applyFont="1" applyFill="1" applyBorder="1" applyAlignment="1">
      <alignment horizontal="right" vertical="center" wrapText="1"/>
    </xf>
    <xf numFmtId="0" fontId="8" fillId="0" borderId="0" xfId="1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 indent="1"/>
    </xf>
    <xf numFmtId="3" fontId="8" fillId="0" borderId="0" xfId="0" applyNumberFormat="1" applyFont="1" applyFill="1" applyBorder="1" applyAlignment="1">
      <alignment horizontal="right" vertical="center" indent="1"/>
    </xf>
    <xf numFmtId="0" fontId="7" fillId="0" borderId="0" xfId="0" applyFont="1" applyFill="1" applyBorder="1" applyAlignment="1">
      <alignment vertical="center"/>
    </xf>
    <xf numFmtId="0" fontId="10" fillId="0" borderId="0" xfId="1" applyFont="1" applyFill="1" applyBorder="1" applyAlignment="1">
      <alignment horizontal="left" vertical="center"/>
    </xf>
    <xf numFmtId="0" fontId="10" fillId="0" borderId="0" xfId="1" applyFont="1" applyFill="1" applyBorder="1" applyAlignment="1">
      <alignment horizontal="left" vertical="center" indent="1"/>
    </xf>
    <xf numFmtId="3" fontId="10" fillId="0" borderId="0" xfId="0" applyNumberFormat="1" applyFont="1" applyFill="1" applyBorder="1" applyAlignment="1">
      <alignment horizontal="right" vertical="center" indent="1"/>
    </xf>
    <xf numFmtId="0" fontId="1" fillId="0" borderId="1" xfId="1" applyFont="1" applyFill="1" applyBorder="1" applyAlignment="1">
      <alignment horizontal="left" vertical="center" indent="1"/>
    </xf>
    <xf numFmtId="3" fontId="1" fillId="0" borderId="1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left" indent="1"/>
    </xf>
    <xf numFmtId="0" fontId="3" fillId="0" borderId="0" xfId="0" applyFont="1" applyFill="1" applyBorder="1" applyAlignment="1">
      <alignment horizontal="right" indent="1"/>
    </xf>
    <xf numFmtId="0" fontId="1" fillId="0" borderId="0" xfId="0" applyFont="1" applyFill="1" applyBorder="1" applyAlignment="1">
      <alignment horizontal="right" indent="1"/>
    </xf>
    <xf numFmtId="0" fontId="1" fillId="0" borderId="0" xfId="0" applyFont="1" applyFill="1" applyBorder="1" applyAlignment="1">
      <alignment horizontal="right" indent="2"/>
    </xf>
    <xf numFmtId="0" fontId="1" fillId="0" borderId="0" xfId="0" applyFont="1" applyFill="1" applyAlignment="1">
      <alignment horizontal="right" indent="2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Fill="1" applyBorder="1" applyAlignment="1">
      <alignment horizontal="left" vertical="center" indent="1"/>
    </xf>
    <xf numFmtId="3" fontId="10" fillId="0" borderId="1" xfId="0" applyNumberFormat="1" applyFont="1" applyFill="1" applyBorder="1" applyAlignment="1">
      <alignment horizontal="right" vertical="center" indent="1"/>
    </xf>
    <xf numFmtId="0" fontId="10" fillId="0" borderId="0" xfId="0" applyFont="1" applyFill="1" applyAlignment="1">
      <alignment horizontal="right" indent="1"/>
    </xf>
    <xf numFmtId="0" fontId="8" fillId="0" borderId="0" xfId="0" applyFont="1" applyFill="1" applyAlignment="1">
      <alignment horizontal="right" indent="1"/>
    </xf>
    <xf numFmtId="0" fontId="10" fillId="0" borderId="0" xfId="0" applyFont="1" applyFill="1" applyAlignment="1">
      <alignment horizontal="right" indent="2"/>
    </xf>
    <xf numFmtId="0" fontId="10" fillId="0" borderId="0" xfId="0" applyFont="1" applyFill="1" applyBorder="1" applyAlignment="1">
      <alignment horizontal="right" vertical="top" wrapText="1"/>
    </xf>
    <xf numFmtId="0" fontId="14" fillId="0" borderId="0" xfId="0" applyNumberFormat="1" applyFont="1" applyFill="1" applyBorder="1"/>
    <xf numFmtId="0" fontId="10" fillId="0" borderId="0" xfId="0" applyFont="1" applyFill="1" applyBorder="1" applyAlignment="1">
      <alignment horizontal="left" indent="1"/>
    </xf>
    <xf numFmtId="0" fontId="10" fillId="0" borderId="1" xfId="0" applyFont="1" applyFill="1" applyBorder="1"/>
    <xf numFmtId="0" fontId="10" fillId="0" borderId="1" xfId="0" applyFont="1" applyFill="1" applyBorder="1" applyAlignment="1">
      <alignment horizontal="left" indent="1"/>
    </xf>
    <xf numFmtId="0" fontId="8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 indent="1"/>
    </xf>
    <xf numFmtId="3" fontId="10" fillId="0" borderId="0" xfId="0" applyNumberFormat="1" applyFont="1" applyFill="1" applyBorder="1"/>
    <xf numFmtId="3" fontId="10" fillId="0" borderId="0" xfId="0" applyNumberFormat="1" applyFont="1" applyFill="1"/>
    <xf numFmtId="0" fontId="8" fillId="2" borderId="0" xfId="0" applyFont="1" applyFill="1" applyBorder="1" applyAlignment="1">
      <alignment horizontal="left" vertical="center"/>
    </xf>
    <xf numFmtId="3" fontId="8" fillId="2" borderId="0" xfId="0" applyNumberFormat="1" applyFont="1" applyFill="1" applyBorder="1" applyAlignment="1">
      <alignment horizontal="right"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right" vertical="center"/>
    </xf>
    <xf numFmtId="3" fontId="10" fillId="2" borderId="0" xfId="0" applyNumberFormat="1" applyFont="1" applyFill="1" applyBorder="1" applyAlignment="1">
      <alignment horizontal="right" vertical="center"/>
    </xf>
    <xf numFmtId="0" fontId="14" fillId="0" borderId="0" xfId="0" applyNumberFormat="1" applyFont="1" applyFill="1"/>
    <xf numFmtId="0" fontId="10" fillId="0" borderId="0" xfId="0" applyFont="1" applyFill="1" applyBorder="1" applyAlignment="1">
      <alignment horizontal="left"/>
    </xf>
    <xf numFmtId="0" fontId="1" fillId="0" borderId="0" xfId="0" applyFont="1" applyFill="1" applyAlignment="1"/>
    <xf numFmtId="0" fontId="10" fillId="2" borderId="0" xfId="0" applyFont="1" applyFill="1" applyBorder="1" applyAlignment="1">
      <alignment horizontal="left"/>
    </xf>
    <xf numFmtId="3" fontId="1" fillId="0" borderId="0" xfId="0" applyNumberFormat="1" applyFont="1" applyFill="1" applyBorder="1" applyAlignment="1">
      <alignment vertical="center"/>
    </xf>
    <xf numFmtId="0" fontId="10" fillId="0" borderId="0" xfId="0" quotePrefix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7" fillId="0" borderId="0" xfId="0" applyFont="1" applyFill="1" applyAlignment="1">
      <alignment horizontal="right" indent="1"/>
    </xf>
    <xf numFmtId="0" fontId="8" fillId="0" borderId="0" xfId="0" applyFont="1" applyFill="1" applyBorder="1" applyAlignment="1">
      <alignment horizontal="right" indent="1"/>
    </xf>
    <xf numFmtId="0" fontId="10" fillId="0" borderId="0" xfId="0" applyFont="1" applyFill="1" applyBorder="1" applyAlignment="1">
      <alignment horizontal="right" indent="1"/>
    </xf>
    <xf numFmtId="0" fontId="10" fillId="0" borderId="0" xfId="0" applyFont="1" applyFill="1" applyBorder="1" applyAlignment="1">
      <alignment horizontal="right" indent="2"/>
    </xf>
    <xf numFmtId="0" fontId="8" fillId="0" borderId="0" xfId="0" applyFont="1" applyFill="1" applyBorder="1" applyAlignment="1">
      <alignment horizontal="right" vertical="top" wrapText="1" indent="1"/>
    </xf>
    <xf numFmtId="0" fontId="8" fillId="0" borderId="0" xfId="0" applyFont="1" applyFill="1" applyBorder="1" applyAlignment="1">
      <alignment horizontal="left" vertical="top"/>
    </xf>
    <xf numFmtId="0" fontId="8" fillId="0" borderId="0" xfId="1" applyFont="1" applyFill="1" applyBorder="1" applyAlignment="1">
      <alignment horizontal="right" vertical="top"/>
    </xf>
    <xf numFmtId="3" fontId="8" fillId="0" borderId="0" xfId="2" applyNumberFormat="1" applyFont="1" applyFill="1" applyBorder="1" applyAlignment="1">
      <alignment horizontal="right" vertical="top"/>
    </xf>
    <xf numFmtId="3" fontId="8" fillId="0" borderId="0" xfId="2" applyNumberFormat="1" applyFont="1" applyFill="1" applyBorder="1" applyAlignment="1">
      <alignment vertical="top"/>
    </xf>
    <xf numFmtId="0" fontId="10" fillId="0" borderId="0" xfId="0" applyFont="1" applyFill="1" applyBorder="1" applyAlignment="1">
      <alignment horizontal="right" vertical="top"/>
    </xf>
    <xf numFmtId="0" fontId="10" fillId="0" borderId="0" xfId="0" applyFont="1" applyFill="1" applyBorder="1" applyAlignment="1">
      <alignment horizontal="left" vertical="top"/>
    </xf>
    <xf numFmtId="0" fontId="10" fillId="0" borderId="0" xfId="1" applyFont="1" applyFill="1" applyBorder="1" applyAlignment="1">
      <alignment horizontal="right" vertical="top"/>
    </xf>
    <xf numFmtId="3" fontId="10" fillId="0" borderId="0" xfId="2" applyNumberFormat="1" applyFont="1" applyFill="1" applyBorder="1" applyAlignment="1">
      <alignment horizontal="right" vertical="top"/>
    </xf>
    <xf numFmtId="3" fontId="10" fillId="0" borderId="0" xfId="2" quotePrefix="1" applyNumberFormat="1" applyFont="1" applyFill="1" applyBorder="1" applyAlignment="1">
      <alignment horizontal="right" vertical="top"/>
    </xf>
    <xf numFmtId="3" fontId="10" fillId="0" borderId="0" xfId="2" applyNumberFormat="1" applyFont="1" applyBorder="1" applyAlignment="1">
      <alignment horizontal="right" vertical="top"/>
    </xf>
    <xf numFmtId="0" fontId="10" fillId="0" borderId="1" xfId="0" applyFont="1" applyFill="1" applyBorder="1" applyAlignment="1">
      <alignment horizontal="left" vertical="top"/>
    </xf>
    <xf numFmtId="0" fontId="8" fillId="0" borderId="1" xfId="1" applyFont="1" applyFill="1" applyBorder="1" applyAlignment="1">
      <alignment horizontal="right" vertical="top"/>
    </xf>
    <xf numFmtId="166" fontId="10" fillId="0" borderId="1" xfId="2" applyNumberFormat="1" applyFont="1" applyFill="1" applyBorder="1" applyAlignment="1">
      <alignment horizontal="right" vertical="top"/>
    </xf>
    <xf numFmtId="166" fontId="10" fillId="0" borderId="1" xfId="2" applyNumberFormat="1" applyFont="1" applyBorder="1" applyAlignment="1">
      <alignment horizontal="right" vertical="top"/>
    </xf>
    <xf numFmtId="166" fontId="10" fillId="0" borderId="1" xfId="2" quotePrefix="1" applyNumberFormat="1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right" wrapText="1" indent="1"/>
    </xf>
    <xf numFmtId="0" fontId="9" fillId="0" borderId="0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 wrapText="1"/>
    </xf>
    <xf numFmtId="3" fontId="10" fillId="0" borderId="0" xfId="0" quotePrefix="1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 vertical="center" inden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 wrapText="1" indent="1"/>
    </xf>
    <xf numFmtId="0" fontId="3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 vertical="top"/>
    </xf>
    <xf numFmtId="3" fontId="8" fillId="0" borderId="0" xfId="0" applyNumberFormat="1" applyFont="1" applyFill="1" applyBorder="1" applyAlignment="1">
      <alignment horizontal="right" vertical="top"/>
    </xf>
    <xf numFmtId="3" fontId="8" fillId="0" borderId="0" xfId="0" applyNumberFormat="1" applyFont="1" applyFill="1" applyBorder="1" applyAlignment="1">
      <alignment horizontal="right" vertical="top" indent="1"/>
    </xf>
    <xf numFmtId="3" fontId="10" fillId="0" borderId="0" xfId="0" applyNumberFormat="1" applyFont="1" applyFill="1" applyBorder="1" applyAlignment="1">
      <alignment horizontal="right" vertical="top"/>
    </xf>
    <xf numFmtId="0" fontId="10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right" vertical="top"/>
    </xf>
    <xf numFmtId="3" fontId="10" fillId="0" borderId="1" xfId="0" applyNumberFormat="1" applyFont="1" applyFill="1" applyBorder="1" applyAlignment="1">
      <alignment horizontal="right" vertical="top"/>
    </xf>
    <xf numFmtId="3" fontId="10" fillId="0" borderId="1" xfId="0" applyNumberFormat="1" applyFont="1" applyFill="1" applyBorder="1" applyAlignment="1">
      <alignment horizontal="right" vertical="top" indent="1"/>
    </xf>
    <xf numFmtId="3" fontId="10" fillId="0" borderId="1" xfId="0" applyNumberFormat="1" applyFont="1" applyBorder="1" applyAlignment="1">
      <alignment horizontal="right" vertical="top"/>
    </xf>
    <xf numFmtId="3" fontId="10" fillId="0" borderId="1" xfId="0" quotePrefix="1" applyNumberFormat="1" applyFont="1" applyBorder="1" applyAlignment="1">
      <alignment horizontal="right" vertical="top"/>
    </xf>
    <xf numFmtId="0" fontId="8" fillId="0" borderId="3" xfId="0" applyFont="1" applyFill="1" applyBorder="1"/>
    <xf numFmtId="0" fontId="10" fillId="0" borderId="0" xfId="0" applyFont="1" applyFill="1" applyBorder="1" applyAlignment="1">
      <alignment horizontal="left" vertical="center" indent="2"/>
    </xf>
    <xf numFmtId="0" fontId="10" fillId="0" borderId="1" xfId="0" applyFont="1" applyFill="1" applyBorder="1" applyAlignment="1">
      <alignment horizontal="left" vertical="center" indent="2"/>
    </xf>
    <xf numFmtId="3" fontId="1" fillId="0" borderId="1" xfId="0" applyNumberFormat="1" applyFont="1" applyBorder="1" applyAlignment="1">
      <alignment horizontal="right" vertical="center" indent="1"/>
    </xf>
    <xf numFmtId="0" fontId="4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center" wrapText="1" indent="1"/>
    </xf>
    <xf numFmtId="0" fontId="3" fillId="0" borderId="0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 indent="1"/>
    </xf>
    <xf numFmtId="0" fontId="5" fillId="0" borderId="0" xfId="0" applyFont="1" applyFill="1" applyBorder="1"/>
    <xf numFmtId="0" fontId="8" fillId="0" borderId="1" xfId="0" applyFont="1" applyFill="1" applyBorder="1" applyAlignment="1">
      <alignment horizontal="left" vertical="center" indent="1"/>
    </xf>
    <xf numFmtId="3" fontId="10" fillId="0" borderId="1" xfId="0" quotePrefix="1" applyNumberFormat="1" applyFont="1" applyFill="1" applyBorder="1" applyAlignment="1">
      <alignment horizontal="right" vertical="center" indent="1"/>
    </xf>
    <xf numFmtId="0" fontId="10" fillId="0" borderId="5" xfId="0" applyFont="1" applyFill="1" applyBorder="1"/>
    <xf numFmtId="0" fontId="8" fillId="0" borderId="0" xfId="0" applyFont="1" applyFill="1" applyBorder="1" applyAlignment="1">
      <alignment horizontal="left" indent="1"/>
    </xf>
    <xf numFmtId="3" fontId="15" fillId="0" borderId="0" xfId="0" applyNumberFormat="1" applyFont="1" applyFill="1" applyBorder="1" applyAlignment="1">
      <alignment horizontal="right" vertical="center" indent="1"/>
    </xf>
    <xf numFmtId="0" fontId="10" fillId="0" borderId="0" xfId="0" applyFont="1" applyFill="1" applyBorder="1" applyAlignment="1">
      <alignment horizontal="left" vertical="top" indent="1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 vertical="center" wrapText="1" indent="1"/>
    </xf>
    <xf numFmtId="0" fontId="1" fillId="0" borderId="1" xfId="0" applyFont="1" applyFill="1" applyBorder="1" applyAlignment="1">
      <alignment horizontal="left" vertical="center" indent="2"/>
    </xf>
    <xf numFmtId="0" fontId="10" fillId="0" borderId="0" xfId="0" quotePrefix="1" applyFont="1" applyFill="1" applyBorder="1" applyAlignment="1">
      <alignment horizontal="left" vertical="center" indent="2"/>
    </xf>
    <xf numFmtId="0" fontId="8" fillId="0" borderId="0" xfId="0" applyFont="1" applyFill="1" applyBorder="1" applyAlignment="1">
      <alignment horizontal="left" vertical="center" indent="2"/>
    </xf>
    <xf numFmtId="3" fontId="10" fillId="0" borderId="1" xfId="0" applyNumberFormat="1" applyFont="1" applyBorder="1" applyAlignment="1">
      <alignment horizontal="right" vertical="center" indent="1"/>
    </xf>
    <xf numFmtId="0" fontId="16" fillId="0" borderId="0" xfId="0" applyNumberFormat="1" applyFont="1" applyFill="1"/>
    <xf numFmtId="0" fontId="10" fillId="0" borderId="1" xfId="0" applyFont="1" applyFill="1" applyBorder="1" applyAlignment="1"/>
    <xf numFmtId="3" fontId="17" fillId="0" borderId="0" xfId="0" applyNumberFormat="1" applyFont="1" applyFill="1" applyBorder="1" applyAlignment="1">
      <alignment horizontal="right" vertical="center"/>
    </xf>
    <xf numFmtId="3" fontId="18" fillId="0" borderId="0" xfId="0" applyNumberFormat="1" applyFont="1" applyAlignment="1">
      <alignment horizontal="right" vertical="center"/>
    </xf>
    <xf numFmtId="3" fontId="18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Alignment="1"/>
    <xf numFmtId="0" fontId="20" fillId="0" borderId="0" xfId="0" applyFont="1" applyFill="1" applyAlignment="1"/>
    <xf numFmtId="0" fontId="19" fillId="0" borderId="0" xfId="0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right" vertical="center"/>
    </xf>
    <xf numFmtId="3" fontId="17" fillId="0" borderId="0" xfId="0" applyNumberFormat="1" applyFont="1" applyFill="1" applyBorder="1" applyAlignment="1">
      <alignment horizontal="right"/>
    </xf>
    <xf numFmtId="3" fontId="17" fillId="0" borderId="0" xfId="0" applyNumberFormat="1" applyFont="1" applyFill="1" applyBorder="1" applyAlignment="1">
      <alignment horizontal="right" vertical="top"/>
    </xf>
    <xf numFmtId="3" fontId="17" fillId="0" borderId="0" xfId="0" quotePrefix="1" applyNumberFormat="1" applyFont="1" applyFill="1" applyBorder="1" applyAlignment="1">
      <alignment horizontal="right" vertical="top"/>
    </xf>
    <xf numFmtId="3" fontId="17" fillId="0" borderId="0" xfId="0" applyNumberFormat="1" applyFont="1" applyBorder="1" applyAlignment="1">
      <alignment horizontal="right" vertical="top"/>
    </xf>
    <xf numFmtId="3" fontId="17" fillId="0" borderId="0" xfId="0" quotePrefix="1" applyNumberFormat="1" applyFont="1" applyFill="1" applyBorder="1" applyAlignment="1">
      <alignment horizontal="right"/>
    </xf>
    <xf numFmtId="3" fontId="17" fillId="0" borderId="0" xfId="0" quotePrefix="1" applyNumberFormat="1" applyFont="1" applyBorder="1" applyAlignment="1">
      <alignment horizontal="right" vertical="top"/>
    </xf>
    <xf numFmtId="3" fontId="21" fillId="0" borderId="0" xfId="0" applyNumberFormat="1" applyFont="1" applyFill="1" applyBorder="1" applyAlignment="1">
      <alignment horizontal="right" vertical="center"/>
    </xf>
    <xf numFmtId="3" fontId="17" fillId="0" borderId="0" xfId="0" quotePrefix="1" applyNumberFormat="1" applyFont="1" applyFill="1" applyBorder="1" applyAlignment="1">
      <alignment horizontal="right" vertical="center"/>
    </xf>
    <xf numFmtId="3" fontId="18" fillId="0" borderId="0" xfId="2" applyNumberFormat="1" applyFont="1" applyAlignment="1">
      <alignment horizontal="right" vertical="center" wrapText="1"/>
    </xf>
    <xf numFmtId="164" fontId="18" fillId="0" borderId="0" xfId="0" applyNumberFormat="1" applyFont="1" applyBorder="1" applyAlignment="1">
      <alignment horizontal="right" vertical="center" wrapText="1"/>
    </xf>
    <xf numFmtId="164" fontId="18" fillId="0" borderId="0" xfId="0" applyNumberFormat="1" applyFont="1" applyFill="1" applyBorder="1" applyAlignment="1">
      <alignment horizontal="right" vertical="center" wrapText="1"/>
    </xf>
    <xf numFmtId="3" fontId="17" fillId="0" borderId="0" xfId="0" applyNumberFormat="1" applyFont="1" applyBorder="1" applyAlignment="1">
      <alignment horizontal="right"/>
    </xf>
    <xf numFmtId="3" fontId="17" fillId="0" borderId="0" xfId="0" quotePrefix="1" applyNumberFormat="1" applyFont="1" applyBorder="1" applyAlignment="1">
      <alignment horizontal="right"/>
    </xf>
    <xf numFmtId="3" fontId="17" fillId="0" borderId="0" xfId="0" applyNumberFormat="1" applyFont="1" applyFill="1" applyBorder="1" applyAlignment="1">
      <alignment horizontal="right" vertical="center" wrapText="1"/>
    </xf>
    <xf numFmtId="3" fontId="17" fillId="0" borderId="0" xfId="0" quotePrefix="1" applyNumberFormat="1" applyFont="1" applyFill="1" applyBorder="1" applyAlignment="1">
      <alignment horizontal="right" vertical="center" wrapText="1"/>
    </xf>
    <xf numFmtId="0" fontId="10" fillId="0" borderId="0" xfId="0" quotePrefix="1" applyFont="1" applyFill="1" applyAlignment="1">
      <alignment horizontal="right"/>
    </xf>
    <xf numFmtId="3" fontId="8" fillId="2" borderId="0" xfId="0" applyNumberFormat="1" applyFont="1" applyFill="1" applyBorder="1" applyAlignment="1">
      <alignment vertical="center"/>
    </xf>
    <xf numFmtId="3" fontId="10" fillId="2" borderId="0" xfId="0" applyNumberFormat="1" applyFont="1" applyFill="1" applyBorder="1" applyAlignment="1">
      <alignment vertical="center"/>
    </xf>
    <xf numFmtId="3" fontId="10" fillId="2" borderId="0" xfId="0" applyNumberFormat="1" applyFont="1" applyFill="1" applyBorder="1" applyAlignment="1">
      <alignment vertical="top"/>
    </xf>
    <xf numFmtId="3" fontId="22" fillId="0" borderId="0" xfId="0" applyNumberFormat="1" applyFont="1" applyFill="1" applyBorder="1" applyAlignment="1">
      <alignment horizontal="right"/>
    </xf>
    <xf numFmtId="3" fontId="22" fillId="0" borderId="0" xfId="0" applyNumberFormat="1" applyFont="1" applyFill="1" applyBorder="1" applyAlignment="1">
      <alignment horizontal="right" vertical="center"/>
    </xf>
    <xf numFmtId="3" fontId="22" fillId="0" borderId="0" xfId="0" quotePrefix="1" applyNumberFormat="1" applyFont="1" applyFill="1" applyBorder="1" applyAlignment="1">
      <alignment horizontal="right" vertical="center"/>
    </xf>
    <xf numFmtId="3" fontId="17" fillId="0" borderId="0" xfId="0" applyNumberFormat="1" applyFont="1" applyFill="1" applyAlignment="1">
      <alignment horizontal="right"/>
    </xf>
    <xf numFmtId="3" fontId="24" fillId="0" borderId="0" xfId="0" applyNumberFormat="1" applyFont="1" applyFill="1" applyBorder="1" applyAlignment="1">
      <alignment horizontal="right" vertical="center"/>
    </xf>
    <xf numFmtId="3" fontId="24" fillId="0" borderId="0" xfId="2" applyNumberFormat="1" applyFont="1" applyFill="1" applyAlignment="1">
      <alignment horizontal="right" vertical="center"/>
    </xf>
    <xf numFmtId="3" fontId="24" fillId="0" borderId="0" xfId="0" applyNumberFormat="1" applyFont="1" applyBorder="1" applyAlignment="1">
      <alignment horizontal="right" vertical="center"/>
    </xf>
    <xf numFmtId="3" fontId="10" fillId="0" borderId="0" xfId="0" applyNumberFormat="1" applyFont="1" applyBorder="1" applyAlignment="1">
      <alignment horizontal="right" vertical="center"/>
    </xf>
    <xf numFmtId="3" fontId="24" fillId="0" borderId="0" xfId="0" applyNumberFormat="1" applyFont="1" applyFill="1" applyAlignment="1">
      <alignment horizontal="right" vertical="center"/>
    </xf>
    <xf numFmtId="165" fontId="10" fillId="0" borderId="0" xfId="2" applyFont="1" applyFill="1" applyAlignment="1">
      <alignment horizontal="right" wrapText="1"/>
    </xf>
    <xf numFmtId="0" fontId="10" fillId="0" borderId="0" xfId="0" applyNumberFormat="1" applyFont="1" applyFill="1"/>
    <xf numFmtId="164" fontId="24" fillId="0" borderId="0" xfId="0" applyNumberFormat="1" applyFont="1" applyBorder="1" applyAlignment="1">
      <alignment horizontal="right" wrapText="1"/>
    </xf>
    <xf numFmtId="3" fontId="10" fillId="0" borderId="0" xfId="0" applyNumberFormat="1" applyFont="1" applyFill="1" applyBorder="1" applyAlignment="1">
      <alignment horizontal="right" wrapText="1"/>
    </xf>
    <xf numFmtId="3" fontId="10" fillId="0" borderId="0" xfId="0" quotePrefix="1" applyNumberFormat="1" applyFont="1" applyFill="1" applyBorder="1" applyAlignment="1">
      <alignment horizontal="right" wrapText="1"/>
    </xf>
    <xf numFmtId="0" fontId="10" fillId="0" borderId="0" xfId="0" quotePrefix="1" applyFont="1" applyFill="1" applyAlignment="1">
      <alignment horizontal="right" wrapText="1"/>
    </xf>
    <xf numFmtId="3" fontId="10" fillId="0" borderId="0" xfId="3" applyNumberFormat="1" applyFont="1" applyFill="1" applyBorder="1" applyAlignment="1">
      <alignment horizontal="right" vertical="center" wrapText="1"/>
    </xf>
    <xf numFmtId="3" fontId="10" fillId="0" borderId="0" xfId="3" quotePrefix="1" applyNumberFormat="1" applyFont="1" applyFill="1" applyBorder="1" applyAlignment="1">
      <alignment horizontal="right" vertical="center" wrapText="1"/>
    </xf>
    <xf numFmtId="3" fontId="22" fillId="0" borderId="0" xfId="2" quotePrefix="1" applyNumberFormat="1" applyFont="1" applyFill="1" applyAlignment="1">
      <alignment horizontal="right" vertical="center" wrapText="1"/>
    </xf>
    <xf numFmtId="3" fontId="22" fillId="0" borderId="0" xfId="2" applyNumberFormat="1" applyFont="1" applyFill="1" applyAlignment="1">
      <alignment horizontal="right" vertical="center" wrapText="1"/>
    </xf>
    <xf numFmtId="3" fontId="22" fillId="0" borderId="0" xfId="0" applyNumberFormat="1" applyFont="1" applyFill="1" applyAlignment="1">
      <alignment horizontal="right" vertical="center"/>
    </xf>
    <xf numFmtId="3" fontId="22" fillId="0" borderId="0" xfId="0" applyNumberFormat="1" applyFont="1" applyFill="1" applyAlignment="1">
      <alignment horizontal="right"/>
    </xf>
    <xf numFmtId="3" fontId="22" fillId="0" borderId="0" xfId="2" applyNumberFormat="1" applyFont="1" applyFill="1" applyAlignment="1">
      <alignment horizontal="right" wrapText="1"/>
    </xf>
    <xf numFmtId="3" fontId="22" fillId="0" borderId="0" xfId="2" applyNumberFormat="1" applyFont="1" applyFill="1" applyBorder="1" applyAlignment="1">
      <alignment horizontal="right" wrapText="1"/>
    </xf>
    <xf numFmtId="3" fontId="1" fillId="0" borderId="0" xfId="0" applyNumberFormat="1" applyFont="1" applyFill="1" applyBorder="1" applyAlignment="1">
      <alignment horizontal="right" indent="1"/>
    </xf>
    <xf numFmtId="3" fontId="3" fillId="0" borderId="0" xfId="0" applyNumberFormat="1" applyFont="1" applyFill="1" applyBorder="1" applyAlignment="1">
      <alignment horizontal="right" wrapText="1" indent="1"/>
    </xf>
    <xf numFmtId="3" fontId="1" fillId="0" borderId="0" xfId="0" applyNumberFormat="1" applyFont="1" applyFill="1" applyBorder="1" applyAlignment="1">
      <alignment horizontal="right" indent="2"/>
    </xf>
    <xf numFmtId="3" fontId="1" fillId="0" borderId="0" xfId="0" applyNumberFormat="1" applyFont="1" applyFill="1" applyBorder="1"/>
    <xf numFmtId="3" fontId="1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0" xfId="0" applyNumberFormat="1" applyFont="1" applyFill="1" applyAlignment="1">
      <alignment horizontal="right" indent="1"/>
    </xf>
    <xf numFmtId="3" fontId="1" fillId="0" borderId="0" xfId="0" applyNumberFormat="1" applyFont="1" applyFill="1" applyAlignment="1">
      <alignment horizontal="right" indent="2"/>
    </xf>
    <xf numFmtId="3" fontId="18" fillId="0" borderId="0" xfId="0" applyNumberFormat="1" applyFont="1" applyBorder="1" applyAlignment="1">
      <alignment horizontal="right" vertical="center" wrapText="1"/>
    </xf>
    <xf numFmtId="3" fontId="17" fillId="0" borderId="0" xfId="0" applyNumberFormat="1" applyFont="1" applyFill="1" applyAlignment="1">
      <alignment horizontal="right" vertical="center"/>
    </xf>
    <xf numFmtId="3" fontId="17" fillId="0" borderId="0" xfId="2" applyNumberFormat="1" applyFont="1" applyFill="1" applyAlignment="1">
      <alignment horizontal="right" vertical="center" wrapText="1"/>
    </xf>
    <xf numFmtId="3" fontId="17" fillId="0" borderId="0" xfId="2" applyNumberFormat="1" applyFont="1" applyFill="1" applyAlignment="1">
      <alignment horizontal="right" wrapText="1"/>
    </xf>
    <xf numFmtId="3" fontId="18" fillId="0" borderId="0" xfId="2" applyNumberFormat="1" applyFont="1" applyBorder="1" applyAlignment="1">
      <alignment horizontal="right" vertical="center" wrapText="1"/>
    </xf>
    <xf numFmtId="3" fontId="17" fillId="0" borderId="0" xfId="2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Border="1" applyAlignment="1">
      <alignment horizontal="right" wrapText="1"/>
    </xf>
    <xf numFmtId="3" fontId="10" fillId="0" borderId="1" xfId="0" applyNumberFormat="1" applyFont="1" applyBorder="1" applyAlignment="1">
      <alignment horizontal="right" vertical="center"/>
    </xf>
    <xf numFmtId="3" fontId="10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vertical="top" wrapText="1"/>
    </xf>
    <xf numFmtId="167" fontId="8" fillId="0" borderId="0" xfId="0" applyNumberFormat="1" applyFont="1" applyFill="1" applyBorder="1" applyAlignment="1">
      <alignment horizontal="right" vertical="center"/>
    </xf>
    <xf numFmtId="167" fontId="10" fillId="0" borderId="0" xfId="0" applyNumberFormat="1" applyFont="1" applyFill="1" applyAlignment="1">
      <alignment horizontal="right" vertical="center"/>
    </xf>
    <xf numFmtId="167" fontId="10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Alignment="1">
      <alignment horizontal="right" wrapText="1"/>
    </xf>
    <xf numFmtId="0" fontId="1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right" wrapText="1"/>
    </xf>
    <xf numFmtId="3" fontId="8" fillId="0" borderId="0" xfId="0" applyNumberFormat="1" applyFont="1" applyFill="1" applyBorder="1" applyAlignment="1">
      <alignment horizontal="right" vertical="center" wrapText="1"/>
    </xf>
    <xf numFmtId="3" fontId="10" fillId="0" borderId="0" xfId="0" quotePrefix="1" applyNumberFormat="1" applyFont="1" applyFill="1" applyBorder="1" applyAlignment="1">
      <alignment horizontal="right" vertical="center" wrapText="1"/>
    </xf>
    <xf numFmtId="0" fontId="10" fillId="0" borderId="1" xfId="0" applyFont="1" applyFill="1" applyBorder="1" applyAlignment="1">
      <alignment horizontal="right" wrapText="1"/>
    </xf>
    <xf numFmtId="3" fontId="24" fillId="0" borderId="0" xfId="0" applyNumberFormat="1" applyFont="1" applyAlignment="1">
      <alignment horizontal="right" vertical="center"/>
    </xf>
    <xf numFmtId="0" fontId="10" fillId="0" borderId="0" xfId="0" quotePrefix="1" applyFont="1" applyFill="1" applyAlignment="1">
      <alignment horizontal="right" vertical="center"/>
    </xf>
    <xf numFmtId="3" fontId="8" fillId="2" borderId="0" xfId="0" quotePrefix="1" applyNumberFormat="1" applyFont="1" applyFill="1" applyBorder="1" applyAlignment="1">
      <alignment horizontal="right" vertical="center"/>
    </xf>
    <xf numFmtId="167" fontId="24" fillId="0" borderId="0" xfId="0" applyNumberFormat="1" applyFont="1"/>
    <xf numFmtId="0" fontId="26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1" xfId="0" applyFont="1" applyFill="1" applyBorder="1" applyAlignment="1">
      <alignment horizontal="right" vertical="center" indent="1"/>
    </xf>
    <xf numFmtId="0" fontId="9" fillId="0" borderId="0" xfId="0" applyFont="1" applyFill="1" applyAlignment="1">
      <alignment horizontal="left" vertical="top"/>
    </xf>
    <xf numFmtId="0" fontId="10" fillId="2" borderId="0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8" fillId="0" borderId="2" xfId="0" applyFont="1" applyFill="1" applyBorder="1" applyAlignment="1"/>
    <xf numFmtId="0" fontId="10" fillId="3" borderId="2" xfId="0" applyFont="1" applyFill="1" applyBorder="1" applyAlignment="1">
      <alignment horizontal="left" vertical="center" wrapText="1" indent="1"/>
    </xf>
    <xf numFmtId="0" fontId="8" fillId="3" borderId="2" xfId="0" applyFont="1" applyFill="1" applyBorder="1" applyAlignment="1">
      <alignment horizontal="right" vertical="top" wrapText="1"/>
    </xf>
    <xf numFmtId="0" fontId="10" fillId="3" borderId="2" xfId="0" applyFont="1" applyFill="1" applyBorder="1" applyAlignment="1">
      <alignment horizontal="right" vertical="top" wrapText="1"/>
    </xf>
    <xf numFmtId="0" fontId="8" fillId="3" borderId="4" xfId="0" applyFont="1" applyFill="1" applyBorder="1" applyAlignment="1"/>
    <xf numFmtId="0" fontId="8" fillId="3" borderId="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top"/>
    </xf>
    <xf numFmtId="0" fontId="8" fillId="3" borderId="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 wrapText="1"/>
    </xf>
    <xf numFmtId="0" fontId="10" fillId="3" borderId="4" xfId="0" applyFont="1" applyFill="1" applyBorder="1" applyAlignment="1">
      <alignment horizontal="right" indent="1"/>
    </xf>
    <xf numFmtId="0" fontId="10" fillId="3" borderId="4" xfId="0" applyFont="1" applyFill="1" applyBorder="1"/>
    <xf numFmtId="0" fontId="8" fillId="3" borderId="0" xfId="0" applyFont="1" applyFill="1" applyBorder="1" applyAlignment="1">
      <alignment horizontal="right"/>
    </xf>
    <xf numFmtId="0" fontId="10" fillId="3" borderId="0" xfId="0" applyFont="1" applyFill="1" applyBorder="1" applyAlignment="1">
      <alignment horizontal="center" vertical="top" wrapText="1"/>
    </xf>
    <xf numFmtId="0" fontId="8" fillId="3" borderId="0" xfId="0" applyFont="1" applyFill="1" applyBorder="1" applyAlignment="1"/>
    <xf numFmtId="0" fontId="9" fillId="3" borderId="0" xfId="0" applyFont="1" applyFill="1" applyBorder="1" applyAlignment="1">
      <alignment horizontal="right" vertical="top" wrapText="1"/>
    </xf>
    <xf numFmtId="0" fontId="5" fillId="3" borderId="0" xfId="0" applyFont="1" applyFill="1" applyBorder="1" applyAlignment="1">
      <alignment horizontal="right" wrapText="1"/>
    </xf>
    <xf numFmtId="0" fontId="10" fillId="3" borderId="0" xfId="0" applyFont="1" applyFill="1" applyBorder="1" applyAlignment="1">
      <alignment horizontal="right" vertical="top" wrapText="1"/>
    </xf>
    <xf numFmtId="0" fontId="9" fillId="3" borderId="0" xfId="0" applyFont="1" applyFill="1" applyBorder="1" applyAlignment="1">
      <alignment vertical="top"/>
    </xf>
    <xf numFmtId="0" fontId="9" fillId="3" borderId="2" xfId="0" applyFont="1" applyFill="1" applyBorder="1" applyAlignment="1">
      <alignment horizontal="right" vertical="top" wrapText="1"/>
    </xf>
    <xf numFmtId="0" fontId="6" fillId="3" borderId="2" xfId="0" applyFont="1" applyFill="1" applyBorder="1" applyAlignment="1">
      <alignment horizontal="right" vertical="top" wrapText="1"/>
    </xf>
    <xf numFmtId="0" fontId="10" fillId="3" borderId="4" xfId="0" applyFont="1" applyFill="1" applyBorder="1" applyAlignment="1">
      <alignment vertical="top"/>
    </xf>
    <xf numFmtId="0" fontId="10" fillId="3" borderId="4" xfId="0" applyFont="1" applyFill="1" applyBorder="1" applyAlignment="1">
      <alignment horizontal="left" indent="1"/>
    </xf>
    <xf numFmtId="0" fontId="10" fillId="3" borderId="0" xfId="0" applyFont="1" applyFill="1" applyBorder="1"/>
    <xf numFmtId="0" fontId="10" fillId="3" borderId="2" xfId="0" applyFont="1" applyFill="1" applyBorder="1"/>
    <xf numFmtId="0" fontId="9" fillId="3" borderId="2" xfId="0" applyFont="1" applyFill="1" applyBorder="1" applyAlignment="1">
      <alignment horizontal="left" vertical="top"/>
    </xf>
    <xf numFmtId="0" fontId="1" fillId="3" borderId="4" xfId="0" applyFont="1" applyFill="1" applyBorder="1"/>
    <xf numFmtId="0" fontId="1" fillId="3" borderId="4" xfId="0" applyFont="1" applyFill="1" applyBorder="1" applyAlignment="1">
      <alignment horizontal="left" vertical="center" wrapText="1" indent="1"/>
    </xf>
    <xf numFmtId="0" fontId="10" fillId="3" borderId="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horizontal="left" vertical="center" wrapText="1" indent="1"/>
    </xf>
    <xf numFmtId="0" fontId="10" fillId="3" borderId="0" xfId="0" applyFont="1" applyFill="1" applyBorder="1" applyAlignment="1">
      <alignment horizontal="right" vertical="center" wrapText="1"/>
    </xf>
    <xf numFmtId="0" fontId="8" fillId="3" borderId="2" xfId="0" applyFont="1" applyFill="1" applyBorder="1"/>
    <xf numFmtId="0" fontId="10" fillId="3" borderId="2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horizontal="right" indent="1"/>
    </xf>
    <xf numFmtId="0" fontId="10" fillId="3" borderId="4" xfId="0" applyFont="1" applyFill="1" applyBorder="1" applyAlignment="1">
      <alignment horizontal="right" indent="2"/>
    </xf>
    <xf numFmtId="0" fontId="8" fillId="3" borderId="0" xfId="0" applyFont="1" applyFill="1" applyBorder="1" applyAlignment="1">
      <alignment horizontal="right" vertical="top" wrapText="1" indent="1"/>
    </xf>
    <xf numFmtId="0" fontId="8" fillId="3" borderId="6" xfId="0" applyFont="1" applyFill="1" applyBorder="1" applyAlignment="1">
      <alignment horizontal="right" vertical="top" wrapText="1"/>
    </xf>
    <xf numFmtId="0" fontId="10" fillId="3" borderId="2" xfId="0" applyFont="1" applyFill="1" applyBorder="1" applyAlignment="1">
      <alignment horizontal="right" vertical="center" wrapText="1" indent="1"/>
    </xf>
    <xf numFmtId="0" fontId="8" fillId="3" borderId="0" xfId="0" applyFont="1" applyFill="1" applyBorder="1" applyAlignment="1">
      <alignment horizontal="right" vertical="top" wrapText="1"/>
    </xf>
    <xf numFmtId="3" fontId="17" fillId="0" borderId="0" xfId="0" quotePrefix="1" applyNumberFormat="1" applyFont="1" applyFill="1" applyAlignment="1">
      <alignment horizontal="right"/>
    </xf>
    <xf numFmtId="0" fontId="10" fillId="0" borderId="0" xfId="0" quotePrefix="1" applyFont="1" applyFill="1"/>
    <xf numFmtId="166" fontId="10" fillId="0" borderId="0" xfId="2" applyNumberFormat="1" applyFont="1" applyFill="1" applyAlignment="1">
      <alignment horizontal="right" vertical="center" wrapText="1"/>
    </xf>
    <xf numFmtId="165" fontId="10" fillId="0" borderId="0" xfId="2" applyFont="1" applyFill="1" applyAlignment="1">
      <alignment horizontal="right" vertical="center" wrapText="1"/>
    </xf>
    <xf numFmtId="0" fontId="10" fillId="0" borderId="0" xfId="0" applyFont="1" applyFill="1" applyAlignment="1">
      <alignment horizontal="right" vertical="center" wrapText="1"/>
    </xf>
    <xf numFmtId="0" fontId="10" fillId="0" borderId="0" xfId="0" quotePrefix="1" applyFont="1" applyFill="1" applyBorder="1" applyAlignment="1">
      <alignment horizontal="right"/>
    </xf>
    <xf numFmtId="3" fontId="10" fillId="0" borderId="0" xfId="0" quotePrefix="1" applyNumberFormat="1" applyFont="1" applyFill="1" applyBorder="1" applyAlignment="1">
      <alignment horizontal="right" vertical="center" indent="1"/>
    </xf>
    <xf numFmtId="3" fontId="24" fillId="0" borderId="0" xfId="0" quotePrefix="1" applyNumberFormat="1" applyFont="1" applyFill="1" applyBorder="1" applyAlignment="1">
      <alignment horizontal="right" vertical="center"/>
    </xf>
    <xf numFmtId="3" fontId="10" fillId="0" borderId="0" xfId="2" quotePrefix="1" applyNumberFormat="1" applyFont="1" applyBorder="1" applyAlignment="1">
      <alignment horizontal="right" vertical="top"/>
    </xf>
    <xf numFmtId="164" fontId="18" fillId="0" borderId="0" xfId="0" quotePrefix="1" applyNumberFormat="1" applyFont="1" applyBorder="1" applyAlignment="1">
      <alignment horizontal="right" vertical="center" wrapText="1"/>
    </xf>
    <xf numFmtId="3" fontId="10" fillId="0" borderId="0" xfId="0" quotePrefix="1" applyNumberFormat="1" applyFont="1" applyFill="1" applyAlignment="1">
      <alignment horizontal="right"/>
    </xf>
    <xf numFmtId="167" fontId="10" fillId="0" borderId="0" xfId="2" applyNumberFormat="1" applyFont="1" applyFill="1" applyBorder="1" applyAlignment="1">
      <alignment horizontal="right" vertical="center"/>
    </xf>
    <xf numFmtId="3" fontId="1" fillId="0" borderId="0" xfId="0" applyNumberFormat="1" applyFont="1" applyFill="1" applyAlignment="1">
      <alignment vertical="center"/>
    </xf>
    <xf numFmtId="167" fontId="7" fillId="0" borderId="0" xfId="0" applyNumberFormat="1" applyFont="1" applyFill="1" applyBorder="1" applyAlignment="1">
      <alignment vertical="center"/>
    </xf>
    <xf numFmtId="0" fontId="12" fillId="0" borderId="0" xfId="0" applyFont="1" applyFill="1" applyAlignment="1">
      <alignment horizontal="left"/>
    </xf>
    <xf numFmtId="0" fontId="9" fillId="3" borderId="2" xfId="0" applyFont="1" applyFill="1" applyBorder="1" applyAlignment="1">
      <alignment vertical="top" wrapText="1"/>
    </xf>
    <xf numFmtId="0" fontId="9" fillId="0" borderId="0" xfId="0" applyFont="1" applyFill="1" applyAlignment="1">
      <alignment horizontal="left" vertical="top" wrapText="1"/>
    </xf>
    <xf numFmtId="0" fontId="8" fillId="3" borderId="4" xfId="0" applyFont="1" applyFill="1" applyBorder="1" applyAlignment="1">
      <alignment horizontal="right" vertical="center" wrapText="1"/>
    </xf>
    <xf numFmtId="0" fontId="8" fillId="3" borderId="2" xfId="0" applyFont="1" applyFill="1" applyBorder="1" applyAlignment="1">
      <alignment horizontal="right" vertical="center" wrapText="1"/>
    </xf>
    <xf numFmtId="0" fontId="10" fillId="3" borderId="4" xfId="0" applyFont="1" applyFill="1" applyBorder="1" applyAlignment="1">
      <alignment horizontal="right" vertical="center" wrapText="1"/>
    </xf>
    <xf numFmtId="0" fontId="10" fillId="3" borderId="2" xfId="0" applyFont="1" applyFill="1" applyBorder="1" applyAlignment="1">
      <alignment horizontal="right" vertical="center" wrapText="1"/>
    </xf>
    <xf numFmtId="3" fontId="10" fillId="3" borderId="4" xfId="0" applyNumberFormat="1" applyFont="1" applyFill="1" applyBorder="1" applyAlignment="1">
      <alignment horizontal="right" vertical="center" wrapText="1"/>
    </xf>
    <xf numFmtId="3" fontId="10" fillId="3" borderId="2" xfId="0" applyNumberFormat="1" applyFont="1" applyFill="1" applyBorder="1" applyAlignment="1">
      <alignment horizontal="righ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center" vertical="top" wrapText="1"/>
    </xf>
    <xf numFmtId="0" fontId="9" fillId="3" borderId="0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right" vertical="top" wrapText="1"/>
    </xf>
    <xf numFmtId="0" fontId="8" fillId="3" borderId="2" xfId="0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right" vertical="top" wrapText="1" indent="1"/>
    </xf>
    <xf numFmtId="0" fontId="8" fillId="3" borderId="2" xfId="0" applyFont="1" applyFill="1" applyBorder="1" applyAlignment="1">
      <alignment horizontal="right" vertical="top" wrapText="1" inden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right" vertical="top" wrapText="1" indent="1"/>
    </xf>
    <xf numFmtId="0" fontId="8" fillId="3" borderId="6" xfId="0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right" vertical="top" wrapText="1"/>
    </xf>
    <xf numFmtId="0" fontId="9" fillId="3" borderId="6" xfId="0" applyFont="1" applyFill="1" applyBorder="1" applyAlignment="1">
      <alignment horizontal="right" vertical="top" wrapText="1"/>
    </xf>
    <xf numFmtId="0" fontId="8" fillId="3" borderId="2" xfId="0" applyFont="1" applyFill="1" applyBorder="1" applyAlignment="1">
      <alignment vertical="top" wrapText="1"/>
    </xf>
    <xf numFmtId="0" fontId="9" fillId="3" borderId="0" xfId="0" applyFont="1" applyFill="1" applyBorder="1" applyAlignment="1">
      <alignment vertical="top" wrapText="1"/>
    </xf>
  </cellXfs>
  <cellStyles count="5">
    <cellStyle name="Comma" xfId="2" builtinId="3"/>
    <cellStyle name="Comma 2" xfId="3"/>
    <cellStyle name="Normal" xfId="0" builtinId="0"/>
    <cellStyle name="Normal 3 5 2 5" xfId="4"/>
    <cellStyle name="Normal 6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6"/>
  <sheetViews>
    <sheetView showGridLines="0" zoomScale="110" zoomScaleNormal="110" zoomScaleSheetLayoutView="100" workbookViewId="0">
      <selection activeCell="E1" sqref="E1:E1048576"/>
    </sheetView>
  </sheetViews>
  <sheetFormatPr defaultColWidth="9.140625" defaultRowHeight="15" x14ac:dyDescent="0.25"/>
  <cols>
    <col min="1" max="1" width="21.5703125" style="27" customWidth="1"/>
    <col min="2" max="2" width="7.85546875" style="27" customWidth="1"/>
    <col min="3" max="3" width="11.140625" style="28" customWidth="1"/>
    <col min="4" max="4" width="16.28515625" style="29" customWidth="1"/>
    <col min="5" max="5" width="17.42578125" style="29" customWidth="1"/>
    <col min="6" max="16384" width="9.140625" style="30"/>
  </cols>
  <sheetData>
    <row r="1" spans="1:7" s="162" customFormat="1" ht="31.5" customHeight="1" x14ac:dyDescent="0.25">
      <c r="A1" s="421" t="s">
        <v>258</v>
      </c>
      <c r="B1" s="386" t="s">
        <v>212</v>
      </c>
      <c r="C1" s="386" t="s">
        <v>257</v>
      </c>
      <c r="D1" s="386" t="s">
        <v>256</v>
      </c>
      <c r="E1" s="386" t="s">
        <v>255</v>
      </c>
    </row>
    <row r="2" spans="1:7" s="37" customFormat="1" ht="12.95" customHeight="1" x14ac:dyDescent="0.25">
      <c r="A2" s="109" t="s">
        <v>181</v>
      </c>
      <c r="B2" s="60">
        <v>2017</v>
      </c>
      <c r="C2" s="145">
        <f>SUM(D2:E2)</f>
        <v>99169</v>
      </c>
      <c r="D2" s="145">
        <f>SUM(D5,D8,D11,D14,D17,D20,D29,D23,D26,D38,D35,D32,D41,D44)</f>
        <v>21366</v>
      </c>
      <c r="E2" s="145">
        <f>SUM(E5,E8,E11,E14,E17,E20,E29,E23,E26,E38,E35,E32,E41,E44)</f>
        <v>77803</v>
      </c>
    </row>
    <row r="3" spans="1:7" ht="12.95" customHeight="1" x14ac:dyDescent="0.25">
      <c r="A3" s="109" t="s">
        <v>181</v>
      </c>
      <c r="B3" s="60">
        <v>2018</v>
      </c>
      <c r="C3" s="145">
        <f>SUM(D3:E3)</f>
        <v>88662</v>
      </c>
      <c r="D3" s="145">
        <f>SUM(D6,D9,D12,D15,D18,D21,D30,D24,D27,D39,D36,D33,D42,D45)</f>
        <v>16902</v>
      </c>
      <c r="E3" s="145">
        <f>SUM(E6,E9,E12,E15,E18,E21,E30,E24,E27,E39,E36,E33,E42,E45)</f>
        <v>71760</v>
      </c>
    </row>
    <row r="4" spans="1:7" ht="12.95" customHeight="1" x14ac:dyDescent="0.25">
      <c r="A4" s="109" t="s">
        <v>181</v>
      </c>
      <c r="B4" s="60">
        <v>2019</v>
      </c>
      <c r="C4" s="145">
        <f>SUM(D4:E4)</f>
        <v>83456</v>
      </c>
      <c r="D4" s="145">
        <f>SUM(D7,D10,D13,D16,D19,D22,D31,D25,D28,D40,D37,D34,D43,D46)</f>
        <v>16489</v>
      </c>
      <c r="E4" s="145">
        <f>SUM(E7,E10,E13,E16,E19,E22,E31,E25,E28,E40,E37,E34,E43,E46)</f>
        <v>66967</v>
      </c>
    </row>
    <row r="5" spans="1:7" ht="12.95" customHeight="1" x14ac:dyDescent="0.25">
      <c r="A5" s="103" t="s">
        <v>95</v>
      </c>
      <c r="B5" s="147">
        <v>2017</v>
      </c>
      <c r="C5" s="163">
        <f>SUM(D5:E5)</f>
        <v>11307</v>
      </c>
      <c r="D5" s="146">
        <f>'1.3Joh'!F11</f>
        <v>2578</v>
      </c>
      <c r="E5" s="163">
        <f>'1.3Joh'!G11</f>
        <v>8729</v>
      </c>
      <c r="F5" s="29"/>
      <c r="G5" s="418"/>
    </row>
    <row r="6" spans="1:7" ht="12.95" customHeight="1" x14ac:dyDescent="0.25">
      <c r="A6" s="103" t="s">
        <v>95</v>
      </c>
      <c r="B6" s="147">
        <v>2018</v>
      </c>
      <c r="C6" s="163">
        <f t="shared" ref="C6:C46" si="0">SUM(D6:E6)</f>
        <v>10338</v>
      </c>
      <c r="D6" s="146">
        <f>'1.3Joh'!F12</f>
        <v>1880</v>
      </c>
      <c r="E6" s="163">
        <f>'1.3Joh'!G12</f>
        <v>8458</v>
      </c>
      <c r="F6" s="29"/>
      <c r="G6" s="418"/>
    </row>
    <row r="7" spans="1:7" ht="12.95" customHeight="1" x14ac:dyDescent="0.25">
      <c r="A7" s="103" t="s">
        <v>95</v>
      </c>
      <c r="B7" s="147">
        <v>2019</v>
      </c>
      <c r="C7" s="163">
        <f t="shared" si="0"/>
        <v>9870</v>
      </c>
      <c r="D7" s="146">
        <f>'1.3Joh'!F13</f>
        <v>1923</v>
      </c>
      <c r="E7" s="163">
        <f>'1.3Joh'!G13</f>
        <v>7947</v>
      </c>
      <c r="F7" s="29"/>
      <c r="G7" s="418"/>
    </row>
    <row r="8" spans="1:7" ht="12.95" customHeight="1" x14ac:dyDescent="0.25">
      <c r="A8" s="103" t="s">
        <v>97</v>
      </c>
      <c r="B8" s="147">
        <v>2017</v>
      </c>
      <c r="C8" s="163">
        <f t="shared" si="0"/>
        <v>6759</v>
      </c>
      <c r="D8" s="146">
        <f>'1.3Ked'!F11</f>
        <v>996</v>
      </c>
      <c r="E8" s="163">
        <f>'1.3Ked'!G11</f>
        <v>5763</v>
      </c>
      <c r="F8" s="29"/>
      <c r="G8" s="418"/>
    </row>
    <row r="9" spans="1:7" ht="12.95" customHeight="1" x14ac:dyDescent="0.25">
      <c r="A9" s="103" t="s">
        <v>97</v>
      </c>
      <c r="B9" s="147">
        <v>2018</v>
      </c>
      <c r="C9" s="163">
        <f t="shared" si="0"/>
        <v>6221</v>
      </c>
      <c r="D9" s="146">
        <f>'1.3Ked'!F12</f>
        <v>989</v>
      </c>
      <c r="E9" s="163">
        <f>'1.3Ked'!G12</f>
        <v>5232</v>
      </c>
      <c r="F9" s="29"/>
      <c r="G9" s="418"/>
    </row>
    <row r="10" spans="1:7" ht="12.95" customHeight="1" x14ac:dyDescent="0.25">
      <c r="A10" s="103" t="s">
        <v>97</v>
      </c>
      <c r="B10" s="147">
        <v>2019</v>
      </c>
      <c r="C10" s="163">
        <f t="shared" si="0"/>
        <v>5615</v>
      </c>
      <c r="D10" s="146">
        <f>'1.3Ked'!F13</f>
        <v>937</v>
      </c>
      <c r="E10" s="163">
        <f>'1.3Ked'!G13</f>
        <v>4678</v>
      </c>
      <c r="F10" s="29"/>
      <c r="G10" s="418"/>
    </row>
    <row r="11" spans="1:7" ht="12.95" customHeight="1" x14ac:dyDescent="0.25">
      <c r="A11" s="103" t="s">
        <v>182</v>
      </c>
      <c r="B11" s="147">
        <v>2017</v>
      </c>
      <c r="C11" s="163">
        <f t="shared" si="0"/>
        <v>4520</v>
      </c>
      <c r="D11" s="146">
        <f>'1.3Kel'!F11</f>
        <v>600</v>
      </c>
      <c r="E11" s="163">
        <f>'1.3Kel'!G11</f>
        <v>3920</v>
      </c>
      <c r="F11" s="29"/>
      <c r="G11" s="418"/>
    </row>
    <row r="12" spans="1:7" ht="12.95" customHeight="1" x14ac:dyDescent="0.25">
      <c r="A12" s="103" t="s">
        <v>182</v>
      </c>
      <c r="B12" s="147">
        <v>2018</v>
      </c>
      <c r="C12" s="163">
        <f t="shared" si="0"/>
        <v>3987</v>
      </c>
      <c r="D12" s="146">
        <f>'1.3Kel'!F12</f>
        <v>511</v>
      </c>
      <c r="E12" s="163">
        <f>'1.3Kel'!G12</f>
        <v>3476</v>
      </c>
      <c r="F12" s="29"/>
      <c r="G12" s="418"/>
    </row>
    <row r="13" spans="1:7" ht="12.95" customHeight="1" x14ac:dyDescent="0.25">
      <c r="A13" s="103" t="s">
        <v>182</v>
      </c>
      <c r="B13" s="147">
        <v>2019</v>
      </c>
      <c r="C13" s="163">
        <f t="shared" si="0"/>
        <v>3545</v>
      </c>
      <c r="D13" s="146">
        <f>'1.3Kel'!F13</f>
        <v>470</v>
      </c>
      <c r="E13" s="163">
        <f>'1.3Kel'!G13</f>
        <v>3075</v>
      </c>
      <c r="F13" s="29"/>
      <c r="G13" s="418"/>
    </row>
    <row r="14" spans="1:7" ht="12.95" customHeight="1" x14ac:dyDescent="0.25">
      <c r="A14" s="103" t="s">
        <v>183</v>
      </c>
      <c r="B14" s="147">
        <v>2017</v>
      </c>
      <c r="C14" s="163">
        <f t="shared" si="0"/>
        <v>3097</v>
      </c>
      <c r="D14" s="146">
        <f>'1.3Mel &amp; N9'!F11</f>
        <v>842</v>
      </c>
      <c r="E14" s="163">
        <f>'1.3Mel &amp; N9'!G11</f>
        <v>2255</v>
      </c>
      <c r="F14" s="29"/>
      <c r="G14" s="418"/>
    </row>
    <row r="15" spans="1:7" ht="12.95" customHeight="1" x14ac:dyDescent="0.25">
      <c r="A15" s="103" t="s">
        <v>183</v>
      </c>
      <c r="B15" s="147">
        <v>2018</v>
      </c>
      <c r="C15" s="163">
        <f t="shared" si="0"/>
        <v>2800</v>
      </c>
      <c r="D15" s="146">
        <f>'1.3Mel &amp; N9'!F12</f>
        <v>621</v>
      </c>
      <c r="E15" s="163">
        <f>'1.3Mel &amp; N9'!G12</f>
        <v>2179</v>
      </c>
      <c r="F15" s="29"/>
      <c r="G15" s="418"/>
    </row>
    <row r="16" spans="1:7" ht="12.95" customHeight="1" x14ac:dyDescent="0.25">
      <c r="A16" s="103" t="s">
        <v>183</v>
      </c>
      <c r="B16" s="147">
        <v>2019</v>
      </c>
      <c r="C16" s="163">
        <f t="shared" si="0"/>
        <v>2561</v>
      </c>
      <c r="D16" s="146">
        <f>'1.3Mel &amp; N9'!F13</f>
        <v>460</v>
      </c>
      <c r="E16" s="163">
        <f>'1.3Mel &amp; N9'!G13</f>
        <v>2101</v>
      </c>
      <c r="F16" s="29"/>
      <c r="G16" s="418"/>
    </row>
    <row r="17" spans="1:7" s="27" customFormat="1" ht="12.95" customHeight="1" x14ac:dyDescent="0.25">
      <c r="A17" s="103" t="s">
        <v>31</v>
      </c>
      <c r="B17" s="147">
        <v>2017</v>
      </c>
      <c r="C17" s="163">
        <f t="shared" si="0"/>
        <v>3973</v>
      </c>
      <c r="D17" s="146">
        <f>'1.3Mel &amp; N9'!F28</f>
        <v>884</v>
      </c>
      <c r="E17" s="163">
        <f>'1.3Mel &amp; N9'!G28</f>
        <v>3089</v>
      </c>
      <c r="F17" s="29"/>
      <c r="G17" s="418"/>
    </row>
    <row r="18" spans="1:7" ht="12.95" customHeight="1" x14ac:dyDescent="0.25">
      <c r="A18" s="103" t="s">
        <v>31</v>
      </c>
      <c r="B18" s="147">
        <v>2018</v>
      </c>
      <c r="C18" s="163">
        <f t="shared" si="0"/>
        <v>3673</v>
      </c>
      <c r="D18" s="146">
        <f>'1.3Mel &amp; N9'!F29</f>
        <v>831</v>
      </c>
      <c r="E18" s="163">
        <f>'1.3Mel &amp; N9'!G29</f>
        <v>2842</v>
      </c>
      <c r="F18" s="29"/>
      <c r="G18" s="418"/>
    </row>
    <row r="19" spans="1:7" ht="12.95" customHeight="1" x14ac:dyDescent="0.25">
      <c r="A19" s="103" t="s">
        <v>31</v>
      </c>
      <c r="B19" s="147">
        <v>2019</v>
      </c>
      <c r="C19" s="163">
        <f t="shared" si="0"/>
        <v>3327</v>
      </c>
      <c r="D19" s="146">
        <f>'1.3Mel &amp; N9'!F30</f>
        <v>778</v>
      </c>
      <c r="E19" s="163">
        <f>'1.3Mel &amp; N9'!G30</f>
        <v>2549</v>
      </c>
      <c r="F19" s="29"/>
      <c r="G19" s="418"/>
    </row>
    <row r="20" spans="1:7" ht="12.95" customHeight="1" x14ac:dyDescent="0.25">
      <c r="A20" s="103" t="s">
        <v>98</v>
      </c>
      <c r="B20" s="147">
        <v>2017</v>
      </c>
      <c r="C20" s="163">
        <f t="shared" si="0"/>
        <v>3607</v>
      </c>
      <c r="D20" s="146">
        <f>'1.3Phg'!F11</f>
        <v>656</v>
      </c>
      <c r="E20" s="163">
        <f>'1.3Phg'!G11</f>
        <v>2951</v>
      </c>
      <c r="F20" s="29"/>
      <c r="G20" s="418"/>
    </row>
    <row r="21" spans="1:7" ht="12.95" customHeight="1" x14ac:dyDescent="0.25">
      <c r="A21" s="103" t="s">
        <v>98</v>
      </c>
      <c r="B21" s="147">
        <v>2018</v>
      </c>
      <c r="C21" s="163">
        <f t="shared" si="0"/>
        <v>3584</v>
      </c>
      <c r="D21" s="146">
        <f>'1.3Phg'!F12</f>
        <v>572</v>
      </c>
      <c r="E21" s="163">
        <f>'1.3Phg'!G12</f>
        <v>3012</v>
      </c>
      <c r="F21" s="29"/>
      <c r="G21" s="418"/>
    </row>
    <row r="22" spans="1:7" ht="12.95" customHeight="1" x14ac:dyDescent="0.25">
      <c r="A22" s="103" t="s">
        <v>98</v>
      </c>
      <c r="B22" s="147">
        <v>2019</v>
      </c>
      <c r="C22" s="163">
        <f t="shared" si="0"/>
        <v>3271</v>
      </c>
      <c r="D22" s="146">
        <f>'1.3Phg'!F13</f>
        <v>595</v>
      </c>
      <c r="E22" s="163">
        <f>'1.3Phg'!G13</f>
        <v>2676</v>
      </c>
      <c r="F22" s="29"/>
      <c r="G22" s="418"/>
    </row>
    <row r="23" spans="1:7" ht="12.95" customHeight="1" x14ac:dyDescent="0.25">
      <c r="A23" s="103" t="s">
        <v>174</v>
      </c>
      <c r="B23" s="147">
        <v>2017</v>
      </c>
      <c r="C23" s="163">
        <f t="shared" si="0"/>
        <v>5326</v>
      </c>
      <c r="D23" s="146">
        <f>'1.3Prk'!F11</f>
        <v>1140</v>
      </c>
      <c r="E23" s="146">
        <f>'1.3Prk'!G11</f>
        <v>4186</v>
      </c>
      <c r="F23" s="29"/>
      <c r="G23" s="418"/>
    </row>
    <row r="24" spans="1:7" ht="12.95" customHeight="1" x14ac:dyDescent="0.25">
      <c r="A24" s="103" t="s">
        <v>174</v>
      </c>
      <c r="B24" s="147">
        <v>2018</v>
      </c>
      <c r="C24" s="163">
        <f t="shared" si="0"/>
        <v>5128</v>
      </c>
      <c r="D24" s="146">
        <f>'1.3Prk'!F12</f>
        <v>1005</v>
      </c>
      <c r="E24" s="146">
        <f>'1.3Prk'!G12</f>
        <v>4123</v>
      </c>
      <c r="F24" s="29"/>
      <c r="G24" s="418"/>
    </row>
    <row r="25" spans="1:7" ht="12.95" customHeight="1" x14ac:dyDescent="0.25">
      <c r="A25" s="103" t="s">
        <v>174</v>
      </c>
      <c r="B25" s="147">
        <v>2019</v>
      </c>
      <c r="C25" s="163">
        <f t="shared" si="0"/>
        <v>4912</v>
      </c>
      <c r="D25" s="146">
        <f>'1.3Prk'!F13</f>
        <v>1103</v>
      </c>
      <c r="E25" s="146">
        <f>'1.3Prk'!G13</f>
        <v>3809</v>
      </c>
      <c r="F25" s="29"/>
      <c r="G25" s="418"/>
    </row>
    <row r="26" spans="1:7" ht="12.95" customHeight="1" x14ac:dyDescent="0.25">
      <c r="A26" s="103" t="s">
        <v>49</v>
      </c>
      <c r="B26" s="147">
        <v>2017</v>
      </c>
      <c r="C26" s="163">
        <f t="shared" si="0"/>
        <v>604</v>
      </c>
      <c r="D26" s="146">
        <f>'1.3Pls_PP'!F11</f>
        <v>132</v>
      </c>
      <c r="E26" s="163">
        <f>'1.3Pls_PP'!G11</f>
        <v>472</v>
      </c>
      <c r="F26" s="29"/>
      <c r="G26" s="418"/>
    </row>
    <row r="27" spans="1:7" ht="12.95" customHeight="1" x14ac:dyDescent="0.25">
      <c r="A27" s="103" t="s">
        <v>49</v>
      </c>
      <c r="B27" s="147">
        <v>2018</v>
      </c>
      <c r="C27" s="163">
        <f t="shared" si="0"/>
        <v>563</v>
      </c>
      <c r="D27" s="146">
        <f>'1.3Pls_PP'!F12</f>
        <v>126</v>
      </c>
      <c r="E27" s="163">
        <f>'1.3Pls_PP'!G12</f>
        <v>437</v>
      </c>
      <c r="F27" s="29"/>
      <c r="G27" s="418"/>
    </row>
    <row r="28" spans="1:7" ht="12.95" customHeight="1" x14ac:dyDescent="0.25">
      <c r="A28" s="103" t="s">
        <v>49</v>
      </c>
      <c r="B28" s="147">
        <v>2019</v>
      </c>
      <c r="C28" s="163">
        <f t="shared" si="0"/>
        <v>527</v>
      </c>
      <c r="D28" s="146">
        <f>'1.3Pls_PP'!F13</f>
        <v>121</v>
      </c>
      <c r="E28" s="163">
        <f>'1.3Pls_PP'!G13</f>
        <v>406</v>
      </c>
      <c r="F28" s="29"/>
      <c r="G28" s="418"/>
    </row>
    <row r="29" spans="1:7" ht="12.95" customHeight="1" x14ac:dyDescent="0.25">
      <c r="A29" s="103" t="s">
        <v>50</v>
      </c>
      <c r="B29" s="147">
        <v>2017</v>
      </c>
      <c r="C29" s="163">
        <f t="shared" si="0"/>
        <v>5551</v>
      </c>
      <c r="D29" s="146">
        <f>'1.3Pls_PP'!F28</f>
        <v>1078</v>
      </c>
      <c r="E29" s="163">
        <f>'1.3Pls_PP'!G28</f>
        <v>4473</v>
      </c>
      <c r="F29" s="29"/>
      <c r="G29" s="418"/>
    </row>
    <row r="30" spans="1:7" ht="12.95" customHeight="1" x14ac:dyDescent="0.25">
      <c r="A30" s="103" t="s">
        <v>50</v>
      </c>
      <c r="B30" s="147">
        <v>2018</v>
      </c>
      <c r="C30" s="163">
        <f t="shared" si="0"/>
        <v>5017</v>
      </c>
      <c r="D30" s="146">
        <f>'1.3Pls_PP'!F29</f>
        <v>890</v>
      </c>
      <c r="E30" s="163">
        <f>'1.3Pls_PP'!G29</f>
        <v>4127</v>
      </c>
      <c r="F30" s="29"/>
      <c r="G30" s="418"/>
    </row>
    <row r="31" spans="1:7" ht="12.95" customHeight="1" x14ac:dyDescent="0.25">
      <c r="A31" s="103" t="s">
        <v>50</v>
      </c>
      <c r="B31" s="147">
        <v>2019</v>
      </c>
      <c r="C31" s="163">
        <f t="shared" si="0"/>
        <v>5218</v>
      </c>
      <c r="D31" s="146">
        <f>'1.3Pls_PP'!F30</f>
        <v>1056</v>
      </c>
      <c r="E31" s="163">
        <f>'1.3Pls_PP'!G30</f>
        <v>4162</v>
      </c>
      <c r="F31" s="29"/>
      <c r="G31" s="418"/>
    </row>
    <row r="32" spans="1:7" ht="12.95" customHeight="1" x14ac:dyDescent="0.25">
      <c r="A32" s="103" t="s">
        <v>153</v>
      </c>
      <c r="B32" s="147">
        <v>2017</v>
      </c>
      <c r="C32" s="163">
        <f t="shared" si="0"/>
        <v>6236</v>
      </c>
      <c r="D32" s="146">
        <f>'1.3Sbh'!F11</f>
        <v>761</v>
      </c>
      <c r="E32" s="146">
        <f>'1.3Sbh'!G11</f>
        <v>5475</v>
      </c>
      <c r="F32" s="29"/>
      <c r="G32" s="418"/>
    </row>
    <row r="33" spans="1:7" ht="12.95" customHeight="1" x14ac:dyDescent="0.25">
      <c r="A33" s="103" t="s">
        <v>153</v>
      </c>
      <c r="B33" s="147">
        <v>2018</v>
      </c>
      <c r="C33" s="163">
        <f t="shared" si="0"/>
        <v>6151</v>
      </c>
      <c r="D33" s="146">
        <f>'1.3Sbh'!F12</f>
        <v>580</v>
      </c>
      <c r="E33" s="146">
        <f>'1.3Sbh'!G12</f>
        <v>5571</v>
      </c>
      <c r="F33" s="29"/>
      <c r="G33" s="418"/>
    </row>
    <row r="34" spans="1:7" ht="12.95" customHeight="1" x14ac:dyDescent="0.25">
      <c r="A34" s="103" t="s">
        <v>153</v>
      </c>
      <c r="B34" s="147">
        <v>2019</v>
      </c>
      <c r="C34" s="163">
        <f t="shared" si="0"/>
        <v>5745</v>
      </c>
      <c r="D34" s="146">
        <f>'1.3Sbh'!F13</f>
        <v>639</v>
      </c>
      <c r="E34" s="146">
        <f>'1.3Sbh'!G13</f>
        <v>5106</v>
      </c>
      <c r="F34" s="29"/>
      <c r="G34" s="418"/>
    </row>
    <row r="35" spans="1:7" ht="12.95" customHeight="1" x14ac:dyDescent="0.25">
      <c r="A35" s="103" t="s">
        <v>124</v>
      </c>
      <c r="B35" s="147">
        <v>2017</v>
      </c>
      <c r="C35" s="163">
        <f t="shared" si="0"/>
        <v>6381</v>
      </c>
      <c r="D35" s="146">
        <f>'1.3Swk'!F11</f>
        <v>876</v>
      </c>
      <c r="E35" s="146">
        <f>'1.3Swk'!G11</f>
        <v>5505</v>
      </c>
      <c r="F35" s="29"/>
      <c r="G35" s="418"/>
    </row>
    <row r="36" spans="1:7" ht="12.95" customHeight="1" x14ac:dyDescent="0.25">
      <c r="A36" s="103" t="s">
        <v>124</v>
      </c>
      <c r="B36" s="147">
        <v>2018</v>
      </c>
      <c r="C36" s="163">
        <f t="shared" si="0"/>
        <v>5830</v>
      </c>
      <c r="D36" s="146">
        <f>'1.3Swk'!F12</f>
        <v>811</v>
      </c>
      <c r="E36" s="146">
        <f>'1.3Swk'!G12</f>
        <v>5019</v>
      </c>
      <c r="F36" s="29"/>
      <c r="G36" s="418"/>
    </row>
    <row r="37" spans="1:7" ht="12.95" customHeight="1" x14ac:dyDescent="0.25">
      <c r="A37" s="103" t="s">
        <v>124</v>
      </c>
      <c r="B37" s="147">
        <v>2019</v>
      </c>
      <c r="C37" s="163">
        <f t="shared" si="0"/>
        <v>6023</v>
      </c>
      <c r="D37" s="146">
        <f>'1.3Swk'!F13</f>
        <v>898</v>
      </c>
      <c r="E37" s="146">
        <f>'1.3Swk'!G13</f>
        <v>5125</v>
      </c>
      <c r="F37" s="29"/>
      <c r="G37" s="418"/>
    </row>
    <row r="38" spans="1:7" ht="12.95" customHeight="1" x14ac:dyDescent="0.25">
      <c r="A38" s="103" t="s">
        <v>100</v>
      </c>
      <c r="B38" s="147">
        <v>2017</v>
      </c>
      <c r="C38" s="163">
        <f t="shared" si="0"/>
        <v>26069</v>
      </c>
      <c r="D38" s="146">
        <f>'1.3Sel'!F11</f>
        <v>6470</v>
      </c>
      <c r="E38" s="163">
        <f>'1.3Sel'!G11</f>
        <v>19599</v>
      </c>
      <c r="F38" s="29"/>
      <c r="G38" s="418"/>
    </row>
    <row r="39" spans="1:7" ht="12.95" customHeight="1" x14ac:dyDescent="0.25">
      <c r="A39" s="103" t="s">
        <v>100</v>
      </c>
      <c r="B39" s="147">
        <v>2018</v>
      </c>
      <c r="C39" s="163">
        <f t="shared" si="0"/>
        <v>21420</v>
      </c>
      <c r="D39" s="146">
        <f>'1.3Sel'!F12</f>
        <v>4658</v>
      </c>
      <c r="E39" s="163">
        <f>'1.3Sel'!G12</f>
        <v>16762</v>
      </c>
      <c r="F39" s="29"/>
      <c r="G39" s="418"/>
    </row>
    <row r="40" spans="1:7" ht="12.95" customHeight="1" x14ac:dyDescent="0.25">
      <c r="A40" s="103" t="s">
        <v>100</v>
      </c>
      <c r="B40" s="147">
        <v>2019</v>
      </c>
      <c r="C40" s="163">
        <f t="shared" si="0"/>
        <v>19800</v>
      </c>
      <c r="D40" s="146">
        <f>'1.3Sel'!F13</f>
        <v>4302</v>
      </c>
      <c r="E40" s="163">
        <f>'1.3Sel'!G13</f>
        <v>15498</v>
      </c>
      <c r="F40" s="29"/>
      <c r="G40" s="418"/>
    </row>
    <row r="41" spans="1:7" ht="12.95" customHeight="1" x14ac:dyDescent="0.25">
      <c r="A41" s="103" t="s">
        <v>116</v>
      </c>
      <c r="B41" s="147">
        <v>2017</v>
      </c>
      <c r="C41" s="163">
        <f t="shared" si="0"/>
        <v>2257</v>
      </c>
      <c r="D41" s="144">
        <f>'1.3Trg'!F11</f>
        <v>354</v>
      </c>
      <c r="E41" s="146">
        <f>'1.3Trg'!G11</f>
        <v>1903</v>
      </c>
      <c r="F41" s="29"/>
      <c r="G41" s="418"/>
    </row>
    <row r="42" spans="1:7" ht="12.95" customHeight="1" x14ac:dyDescent="0.25">
      <c r="A42" s="103" t="s">
        <v>116</v>
      </c>
      <c r="B42" s="147">
        <v>2018</v>
      </c>
      <c r="C42" s="163">
        <f t="shared" si="0"/>
        <v>1823</v>
      </c>
      <c r="D42" s="144">
        <f>'1.3Trg'!F12</f>
        <v>291</v>
      </c>
      <c r="E42" s="146">
        <f>'1.3Trg'!G12</f>
        <v>1532</v>
      </c>
      <c r="F42" s="29"/>
      <c r="G42" s="418"/>
    </row>
    <row r="43" spans="1:7" ht="12.95" customHeight="1" x14ac:dyDescent="0.25">
      <c r="A43" s="103" t="s">
        <v>116</v>
      </c>
      <c r="B43" s="147">
        <v>2019</v>
      </c>
      <c r="C43" s="163">
        <f t="shared" si="0"/>
        <v>1870</v>
      </c>
      <c r="D43" s="144">
        <f>'1.3Trg'!F13</f>
        <v>293</v>
      </c>
      <c r="E43" s="146">
        <f>'1.3Trg'!G13</f>
        <v>1577</v>
      </c>
      <c r="F43" s="29"/>
      <c r="G43" s="418"/>
    </row>
    <row r="44" spans="1:7" ht="12.95" customHeight="1" x14ac:dyDescent="0.25">
      <c r="A44" s="103" t="s">
        <v>262</v>
      </c>
      <c r="B44" s="147">
        <v>2017</v>
      </c>
      <c r="C44" s="163">
        <f t="shared" si="0"/>
        <v>13482</v>
      </c>
      <c r="D44" s="146">
        <f>'1.3KL'!F11</f>
        <v>3999</v>
      </c>
      <c r="E44" s="163">
        <f>'1.3KL'!G11</f>
        <v>9483</v>
      </c>
      <c r="F44" s="29"/>
      <c r="G44" s="418"/>
    </row>
    <row r="45" spans="1:7" ht="12.95" customHeight="1" x14ac:dyDescent="0.25">
      <c r="A45" s="103" t="s">
        <v>262</v>
      </c>
      <c r="B45" s="147">
        <v>2018</v>
      </c>
      <c r="C45" s="163">
        <f t="shared" si="0"/>
        <v>12127</v>
      </c>
      <c r="D45" s="146">
        <f>'1.3KL'!F12</f>
        <v>3137</v>
      </c>
      <c r="E45" s="163">
        <f>'1.3KL'!G12</f>
        <v>8990</v>
      </c>
      <c r="F45" s="29"/>
      <c r="G45" s="418"/>
    </row>
    <row r="46" spans="1:7" ht="12.95" customHeight="1" x14ac:dyDescent="0.25">
      <c r="A46" s="103" t="s">
        <v>262</v>
      </c>
      <c r="B46" s="147">
        <v>2019</v>
      </c>
      <c r="C46" s="163">
        <f t="shared" si="0"/>
        <v>11172</v>
      </c>
      <c r="D46" s="146">
        <f>'1.3KL'!F13</f>
        <v>2914</v>
      </c>
      <c r="E46" s="163">
        <f>'1.3KL'!G13</f>
        <v>8258</v>
      </c>
      <c r="F46" s="29"/>
      <c r="G46" s="418"/>
    </row>
  </sheetData>
  <printOptions horizontalCentered="1"/>
  <pageMargins left="0.39370078740157483" right="0.39370078740157483" top="0.59055118110236227" bottom="0.59055118110236227" header="0.31496062992125984" footer="0.31496062992125984"/>
  <pageSetup paperSize="9" scale="85" fitToWidth="0" orientation="portrait" r:id="rId1"/>
  <headerFooter>
    <oddHeader xml:space="preserve">&amp;R&amp;"-,Bold"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showGridLines="0" zoomScaleNormal="100" zoomScaleSheetLayoutView="100" workbookViewId="0">
      <selection activeCell="AA22" sqref="AA22"/>
    </sheetView>
  </sheetViews>
  <sheetFormatPr defaultColWidth="9.140625" defaultRowHeight="15" x14ac:dyDescent="0.25"/>
  <cols>
    <col min="1" max="1" width="1.7109375" style="2" customWidth="1"/>
    <col min="2" max="2" width="10.7109375" style="3" customWidth="1"/>
    <col min="3" max="3" width="12.28515625" style="3" customWidth="1"/>
    <col min="4" max="4" width="10.85546875" style="3" customWidth="1"/>
    <col min="5" max="5" width="15.7109375" style="21" customWidth="1"/>
    <col min="6" max="7" width="23.7109375" style="22" customWidth="1"/>
    <col min="8" max="8" width="0.85546875" style="2" customWidth="1"/>
    <col min="9" max="16384" width="9.140625" style="2"/>
  </cols>
  <sheetData>
    <row r="1" spans="1:8" s="30" customFormat="1" ht="12" customHeight="1" x14ac:dyDescent="0.25">
      <c r="B1" s="27"/>
      <c r="C1" s="27"/>
      <c r="D1" s="27"/>
      <c r="E1" s="28"/>
      <c r="F1" s="29"/>
      <c r="G1" s="150" t="s">
        <v>179</v>
      </c>
    </row>
    <row r="2" spans="1:8" s="30" customFormat="1" ht="12" customHeight="1" x14ac:dyDescent="0.25">
      <c r="B2" s="27"/>
      <c r="C2" s="27"/>
      <c r="D2" s="27"/>
      <c r="E2" s="28"/>
      <c r="F2" s="29"/>
      <c r="G2" s="151" t="s">
        <v>180</v>
      </c>
    </row>
    <row r="3" spans="1:8" s="30" customFormat="1" ht="12" customHeight="1" x14ac:dyDescent="0.25">
      <c r="B3" s="27"/>
      <c r="C3" s="27"/>
      <c r="D3" s="27"/>
      <c r="E3" s="28"/>
      <c r="F3" s="29"/>
      <c r="G3" s="68"/>
    </row>
    <row r="4" spans="1:8" s="30" customFormat="1" ht="12" customHeight="1" x14ac:dyDescent="0.25">
      <c r="B4" s="27"/>
      <c r="C4" s="27"/>
      <c r="D4" s="27"/>
      <c r="E4" s="28"/>
      <c r="F4" s="29"/>
      <c r="G4" s="68"/>
    </row>
    <row r="5" spans="1:8" s="53" customFormat="1" ht="15" customHeight="1" x14ac:dyDescent="0.2">
      <c r="B5" s="63" t="s">
        <v>184</v>
      </c>
      <c r="C5" s="64" t="s">
        <v>243</v>
      </c>
      <c r="D5" s="64"/>
      <c r="E5" s="63"/>
      <c r="F5" s="64"/>
      <c r="G5" s="152"/>
      <c r="H5" s="64"/>
    </row>
    <row r="6" spans="1:8" s="65" customFormat="1" ht="15" customHeight="1" x14ac:dyDescent="0.2">
      <c r="B6" s="66" t="s">
        <v>185</v>
      </c>
      <c r="C6" s="422" t="s">
        <v>244</v>
      </c>
      <c r="D6" s="422"/>
      <c r="E6" s="422"/>
      <c r="F6" s="422"/>
      <c r="G6" s="422"/>
      <c r="H6" s="67"/>
    </row>
    <row r="7" spans="1:8" ht="9.9499999999999993" customHeight="1" thickBot="1" x14ac:dyDescent="0.3"/>
    <row r="8" spans="1:8" s="53" customFormat="1" ht="20.100000000000001" customHeight="1" thickTop="1" x14ac:dyDescent="0.2">
      <c r="A8" s="371"/>
      <c r="B8" s="429" t="s">
        <v>207</v>
      </c>
      <c r="C8" s="429"/>
      <c r="D8" s="423" t="s">
        <v>96</v>
      </c>
      <c r="E8" s="423" t="s">
        <v>92</v>
      </c>
      <c r="F8" s="425" t="s">
        <v>93</v>
      </c>
      <c r="G8" s="425" t="s">
        <v>94</v>
      </c>
      <c r="H8" s="372"/>
    </row>
    <row r="9" spans="1:8" s="53" customFormat="1" ht="33" customHeight="1" x14ac:dyDescent="0.2">
      <c r="A9" s="373"/>
      <c r="B9" s="430"/>
      <c r="C9" s="430"/>
      <c r="D9" s="424"/>
      <c r="E9" s="424"/>
      <c r="F9" s="426"/>
      <c r="G9" s="426"/>
      <c r="H9" s="369"/>
    </row>
    <row r="10" spans="1:8" s="6" customFormat="1" ht="8.1" customHeight="1" x14ac:dyDescent="0.25">
      <c r="B10" s="39"/>
      <c r="C10" s="13"/>
      <c r="D10" s="13"/>
      <c r="E10" s="9"/>
      <c r="F10" s="9"/>
      <c r="G10" s="9"/>
    </row>
    <row r="11" spans="1:8" s="102" customFormat="1" ht="15" customHeight="1" x14ac:dyDescent="0.2">
      <c r="B11" s="61" t="s">
        <v>153</v>
      </c>
      <c r="C11" s="61"/>
      <c r="D11" s="109">
        <v>2017</v>
      </c>
      <c r="E11" s="145">
        <f>SUM(E15,E19,E23,E27,E31,E35,E39,E43,E47,'1.3Sbh (2)'!E11,'1.3Sbh (2)'!E15,'1.3Sbh (2)'!E19,'1.3Sbh (2)'!E23,'1.3Sbh (2)'!E27,'1.3Sbh (2)'!E31,'1.3Sbh (2)'!E35,'1.3Sbh (2)'!E39,'1.3Sbh (2)'!E43,'1.3Sbh (2)'!E47,'1.3Sbh (2)'!E51)</f>
        <v>6236</v>
      </c>
      <c r="F11" s="145">
        <f>SUM(F15,F19,F23,F27,F31,F35,F39,F43,F47,'1.3Sbh (2)'!F11,'1.3Sbh (2)'!F15,'1.3Sbh (2)'!F19,'1.3Sbh (2)'!F23,'1.3Sbh (2)'!F27,'1.3Sbh (2)'!F31,'1.3Sbh (2)'!F35,'1.3Sbh (2)'!F39,'1.3Sbh (2)'!F43,'1.3Sbh (2)'!F47,'1.3Sbh (2)'!F51)</f>
        <v>761</v>
      </c>
      <c r="G11" s="145">
        <f>SUM(G15,G19,G23,G27,G31,G35,G39,G43,G47,'1.3Sbh (2)'!G11,'1.3Sbh (2)'!G15,'1.3Sbh (2)'!G19,'1.3Sbh (2)'!G23,'1.3Sbh (2)'!G27,'1.3Sbh (2)'!G31,'1.3Sbh (2)'!G35,'1.3Sbh (2)'!G39,'1.3Sbh (2)'!G43,'1.3Sbh (2)'!G47,'1.3Sbh (2)'!G51)</f>
        <v>5475</v>
      </c>
    </row>
    <row r="12" spans="1:8" s="102" customFormat="1" ht="15" customHeight="1" x14ac:dyDescent="0.2">
      <c r="C12" s="61"/>
      <c r="D12" s="109">
        <v>2018</v>
      </c>
      <c r="E12" s="145">
        <f>SUM(E16,E20,E24,E28,E32,E36,E40,E44,E48,'1.3Sbh (2)'!E12,'1.3Sbh (2)'!E16,'1.3Sbh (2)'!E20,'1.3Sbh (2)'!E24,'1.3Sbh (2)'!E28,'1.3Sbh (2)'!E32,'1.3Sbh (2)'!E36,'1.3Sbh (2)'!E40,'1.3Sbh (2)'!E44,'1.3Sbh (2)'!E48,'1.3Sbh (2)'!E52)</f>
        <v>6151</v>
      </c>
      <c r="F12" s="145">
        <f>SUM(F16,F20,F24,F28,F32,F36,F40,F44,F48,'1.3Sbh (2)'!F12,'1.3Sbh (2)'!F16,'1.3Sbh (2)'!F20,'1.3Sbh (2)'!F24,'1.3Sbh (2)'!F28,'1.3Sbh (2)'!F32,'1.3Sbh (2)'!F36,'1.3Sbh (2)'!F40,'1.3Sbh (2)'!F44,'1.3Sbh (2)'!F48,'1.3Sbh (2)'!F52)</f>
        <v>580</v>
      </c>
      <c r="G12" s="145">
        <f>SUM(G16,G20,G24,G28,G32,G36,G40,G44,G48,'1.3Sbh (2)'!G12,'1.3Sbh (2)'!G16,'1.3Sbh (2)'!G20,'1.3Sbh (2)'!G24,'1.3Sbh (2)'!G28,'1.3Sbh (2)'!G32,'1.3Sbh (2)'!G36,'1.3Sbh (2)'!G40,'1.3Sbh (2)'!G44,'1.3Sbh (2)'!G48,'1.3Sbh (2)'!G52)</f>
        <v>5571</v>
      </c>
    </row>
    <row r="13" spans="1:8" s="102" customFormat="1" ht="15" customHeight="1" x14ac:dyDescent="0.2">
      <c r="C13" s="61"/>
      <c r="D13" s="109">
        <v>2019</v>
      </c>
      <c r="E13" s="145">
        <f>SUM(E17,E21,E25,E29,E33,E37,E41,E45,E49,'1.3Sbh (2)'!E13,'1.3Sbh (2)'!E17,'1.3Sbh (2)'!E21,'1.3Sbh (2)'!E25,'1.3Sbh (2)'!E29,'1.3Sbh (2)'!E33,'1.3Sbh (2)'!E37,'1.3Sbh (2)'!E41,'1.3Sbh (2)'!E45,'1.3Sbh (2)'!E49,'1.3Sbh (2)'!E53)</f>
        <v>5745</v>
      </c>
      <c r="F13" s="145">
        <f>SUM(F17,F21,F25,F29,F33,F37,F41,F45,F49,'1.3Sbh (2)'!F13,'1.3Sbh (2)'!F17,'1.3Sbh (2)'!F21,'1.3Sbh (2)'!F25,'1.3Sbh (2)'!F29,'1.3Sbh (2)'!F33,'1.3Sbh (2)'!F37,'1.3Sbh (2)'!F41,'1.3Sbh (2)'!F45,'1.3Sbh (2)'!F49,'1.3Sbh (2)'!F53)</f>
        <v>639</v>
      </c>
      <c r="G13" s="145">
        <f>SUM(G17,G21,G25,G29,G33,G37,G41,G45,G49,'1.3Sbh (2)'!G13,'1.3Sbh (2)'!G17,'1.3Sbh (2)'!G21,'1.3Sbh (2)'!G25,'1.3Sbh (2)'!G29,'1.3Sbh (2)'!G33,'1.3Sbh (2)'!G37,'1.3Sbh (2)'!G41,'1.3Sbh (2)'!G45,'1.3Sbh (2)'!G49,'1.3Sbh (2)'!G53)</f>
        <v>5106</v>
      </c>
    </row>
    <row r="14" spans="1:8" s="6" customFormat="1" ht="8.1" customHeight="1" x14ac:dyDescent="0.25">
      <c r="B14" s="39"/>
      <c r="C14" s="13"/>
      <c r="D14" s="109"/>
      <c r="E14" s="9"/>
      <c r="F14" s="9"/>
      <c r="G14" s="9"/>
    </row>
    <row r="15" spans="1:8" s="102" customFormat="1" ht="15" customHeight="1" x14ac:dyDescent="0.2">
      <c r="B15" s="56" t="s">
        <v>154</v>
      </c>
      <c r="C15" s="61"/>
      <c r="D15" s="108">
        <v>2017</v>
      </c>
      <c r="E15" s="146">
        <f>SUM(F15:G15)</f>
        <v>158</v>
      </c>
      <c r="F15" s="146">
        <f>'1.5Sabah'!E19</f>
        <v>22</v>
      </c>
      <c r="G15" s="146">
        <f>'1.7Sabah'!E17</f>
        <v>136</v>
      </c>
    </row>
    <row r="16" spans="1:8" s="102" customFormat="1" ht="15" customHeight="1" x14ac:dyDescent="0.2">
      <c r="C16" s="61"/>
      <c r="D16" s="108">
        <v>2018</v>
      </c>
      <c r="E16" s="146">
        <f t="shared" ref="E16:E17" si="0">SUM(F16:G16)</f>
        <v>188</v>
      </c>
      <c r="F16" s="146">
        <f>'1.5Sabah'!E20</f>
        <v>12</v>
      </c>
      <c r="G16" s="146">
        <f>'1.7Sabah'!E18</f>
        <v>176</v>
      </c>
    </row>
    <row r="17" spans="2:7" s="102" customFormat="1" ht="15" customHeight="1" x14ac:dyDescent="0.2">
      <c r="C17" s="56"/>
      <c r="D17" s="108">
        <v>2019</v>
      </c>
      <c r="E17" s="146">
        <f t="shared" si="0"/>
        <v>156</v>
      </c>
      <c r="F17" s="146">
        <f>'1.5Sabah'!E21</f>
        <v>19</v>
      </c>
      <c r="G17" s="146">
        <f>'1.7Sabah'!E19</f>
        <v>137</v>
      </c>
    </row>
    <row r="18" spans="2:7" s="102" customFormat="1" ht="12.95" customHeight="1" x14ac:dyDescent="0.2">
      <c r="C18" s="56"/>
      <c r="D18" s="108"/>
      <c r="E18" s="10"/>
      <c r="F18" s="146"/>
      <c r="G18" s="146"/>
    </row>
    <row r="19" spans="2:7" s="102" customFormat="1" ht="15" customHeight="1" x14ac:dyDescent="0.2">
      <c r="B19" s="56" t="s">
        <v>155</v>
      </c>
      <c r="C19" s="56"/>
      <c r="D19" s="108">
        <v>2017</v>
      </c>
      <c r="E19" s="146">
        <f>SUM(F19:G19)</f>
        <v>77</v>
      </c>
      <c r="F19" s="146">
        <f>'1.5Sabah'!E23</f>
        <v>21</v>
      </c>
      <c r="G19" s="146">
        <f>'1.7Sabah'!E21</f>
        <v>56</v>
      </c>
    </row>
    <row r="20" spans="2:7" s="102" customFormat="1" ht="15" customHeight="1" x14ac:dyDescent="0.2">
      <c r="C20" s="56"/>
      <c r="D20" s="108">
        <v>2018</v>
      </c>
      <c r="E20" s="146">
        <f t="shared" ref="E20:E21" si="1">SUM(F20:G20)</f>
        <v>75</v>
      </c>
      <c r="F20" s="146">
        <f>'1.5Sabah'!E24</f>
        <v>14</v>
      </c>
      <c r="G20" s="146">
        <f>'1.7Sabah'!E22</f>
        <v>61</v>
      </c>
    </row>
    <row r="21" spans="2:7" s="102" customFormat="1" ht="15" customHeight="1" x14ac:dyDescent="0.2">
      <c r="C21" s="56"/>
      <c r="D21" s="108">
        <v>2019</v>
      </c>
      <c r="E21" s="146">
        <f t="shared" si="1"/>
        <v>67</v>
      </c>
      <c r="F21" s="146">
        <f>'1.5Sabah'!E25</f>
        <v>20</v>
      </c>
      <c r="G21" s="146">
        <f>'1.7Sabah'!E23</f>
        <v>47</v>
      </c>
    </row>
    <row r="22" spans="2:7" s="102" customFormat="1" ht="12.95" customHeight="1" x14ac:dyDescent="0.2">
      <c r="C22" s="56"/>
      <c r="D22" s="108"/>
      <c r="E22" s="10"/>
      <c r="F22" s="146"/>
      <c r="G22" s="146"/>
    </row>
    <row r="23" spans="2:7" s="102" customFormat="1" ht="15" customHeight="1" x14ac:dyDescent="0.2">
      <c r="B23" s="56" t="s">
        <v>156</v>
      </c>
      <c r="C23" s="56"/>
      <c r="D23" s="108">
        <v>2017</v>
      </c>
      <c r="E23" s="146">
        <f>SUM(F23:G23)</f>
        <v>200</v>
      </c>
      <c r="F23" s="146">
        <f>'1.5Sabah'!E27</f>
        <v>39</v>
      </c>
      <c r="G23" s="146">
        <f>'1.7Sabah'!E25</f>
        <v>161</v>
      </c>
    </row>
    <row r="24" spans="2:7" s="102" customFormat="1" ht="15" customHeight="1" x14ac:dyDescent="0.2">
      <c r="C24" s="56"/>
      <c r="D24" s="108">
        <v>2018</v>
      </c>
      <c r="E24" s="146">
        <f t="shared" ref="E24:E25" si="2">SUM(F24:G24)</f>
        <v>186</v>
      </c>
      <c r="F24" s="146">
        <f>'1.5Sabah'!E28</f>
        <v>38</v>
      </c>
      <c r="G24" s="146">
        <f>'1.7Sabah'!E26</f>
        <v>148</v>
      </c>
    </row>
    <row r="25" spans="2:7" s="102" customFormat="1" ht="15" customHeight="1" x14ac:dyDescent="0.2">
      <c r="C25" s="56"/>
      <c r="D25" s="108">
        <v>2019</v>
      </c>
      <c r="E25" s="146">
        <f t="shared" si="2"/>
        <v>186</v>
      </c>
      <c r="F25" s="146">
        <f>'1.5Sabah'!E29</f>
        <v>43</v>
      </c>
      <c r="G25" s="146">
        <f>'1.7Sabah'!E27</f>
        <v>143</v>
      </c>
    </row>
    <row r="26" spans="2:7" s="102" customFormat="1" ht="12.95" customHeight="1" x14ac:dyDescent="0.2">
      <c r="C26" s="56"/>
      <c r="D26" s="108"/>
      <c r="E26" s="10"/>
      <c r="F26" s="146"/>
      <c r="G26" s="146"/>
    </row>
    <row r="27" spans="2:7" s="102" customFormat="1" ht="15" customHeight="1" x14ac:dyDescent="0.2">
      <c r="B27" s="56" t="s">
        <v>157</v>
      </c>
      <c r="C27" s="103"/>
      <c r="D27" s="108">
        <v>2017</v>
      </c>
      <c r="E27" s="146">
        <f>SUM(F27:G27)</f>
        <v>217</v>
      </c>
      <c r="F27" s="146">
        <f>'1.5Sabah'!E31</f>
        <v>33</v>
      </c>
      <c r="G27" s="146">
        <f>'1.7Sabah'!E29</f>
        <v>184</v>
      </c>
    </row>
    <row r="28" spans="2:7" s="102" customFormat="1" ht="15" customHeight="1" x14ac:dyDescent="0.2">
      <c r="C28" s="103"/>
      <c r="D28" s="108">
        <v>2018</v>
      </c>
      <c r="E28" s="146">
        <f t="shared" ref="E28:E29" si="3">SUM(F28:G28)</f>
        <v>181</v>
      </c>
      <c r="F28" s="146">
        <f>'1.5Sabah'!E32</f>
        <v>20</v>
      </c>
      <c r="G28" s="146">
        <f>'1.7Sabah'!E30</f>
        <v>161</v>
      </c>
    </row>
    <row r="29" spans="2:7" s="102" customFormat="1" ht="15" customHeight="1" x14ac:dyDescent="0.2">
      <c r="C29" s="56"/>
      <c r="D29" s="108">
        <v>2019</v>
      </c>
      <c r="E29" s="146">
        <f t="shared" si="3"/>
        <v>143</v>
      </c>
      <c r="F29" s="146">
        <f>'1.5Sabah'!E33</f>
        <v>22</v>
      </c>
      <c r="G29" s="146">
        <f>'1.7Sabah'!E31</f>
        <v>121</v>
      </c>
    </row>
    <row r="30" spans="2:7" s="102" customFormat="1" ht="12.95" customHeight="1" x14ac:dyDescent="0.2">
      <c r="C30" s="56"/>
      <c r="D30" s="108"/>
      <c r="E30" s="10"/>
      <c r="F30" s="146"/>
      <c r="G30" s="146"/>
    </row>
    <row r="31" spans="2:7" s="102" customFormat="1" ht="15" customHeight="1" x14ac:dyDescent="0.2">
      <c r="B31" s="56" t="s">
        <v>158</v>
      </c>
      <c r="C31" s="56"/>
      <c r="D31" s="108">
        <v>2017</v>
      </c>
      <c r="E31" s="146">
        <f>SUM(F31:G31)</f>
        <v>1538</v>
      </c>
      <c r="F31" s="146">
        <f>'1.5Sabah'!E35</f>
        <v>151</v>
      </c>
      <c r="G31" s="146">
        <f>'1.7Sabah'!E33</f>
        <v>1387</v>
      </c>
    </row>
    <row r="32" spans="2:7" s="102" customFormat="1" ht="15" customHeight="1" x14ac:dyDescent="0.2">
      <c r="C32" s="56"/>
      <c r="D32" s="108">
        <v>2018</v>
      </c>
      <c r="E32" s="146">
        <f t="shared" ref="E32:E33" si="4">SUM(F32:G32)</f>
        <v>1431</v>
      </c>
      <c r="F32" s="146">
        <f>'1.5Sabah'!E36</f>
        <v>98</v>
      </c>
      <c r="G32" s="146">
        <f>'1.7Sabah'!E34</f>
        <v>1333</v>
      </c>
    </row>
    <row r="33" spans="2:7" s="102" customFormat="1" ht="15" customHeight="1" x14ac:dyDescent="0.2">
      <c r="C33" s="56"/>
      <c r="D33" s="108">
        <v>2019</v>
      </c>
      <c r="E33" s="146">
        <f t="shared" si="4"/>
        <v>1234</v>
      </c>
      <c r="F33" s="146">
        <f>'1.5Sabah'!E37</f>
        <v>112</v>
      </c>
      <c r="G33" s="146">
        <f>'1.7Sabah'!E35</f>
        <v>1122</v>
      </c>
    </row>
    <row r="34" spans="2:7" s="102" customFormat="1" ht="12.95" customHeight="1" x14ac:dyDescent="0.2">
      <c r="C34" s="56"/>
      <c r="D34" s="108"/>
      <c r="E34" s="10"/>
      <c r="F34" s="146"/>
      <c r="G34" s="146"/>
    </row>
    <row r="35" spans="2:7" s="102" customFormat="1" ht="15" customHeight="1" x14ac:dyDescent="0.2">
      <c r="B35" s="56" t="s">
        <v>159</v>
      </c>
      <c r="C35" s="56"/>
      <c r="D35" s="108">
        <v>2017</v>
      </c>
      <c r="E35" s="146">
        <f>SUM(F35:G35)</f>
        <v>61</v>
      </c>
      <c r="F35" s="146">
        <f>'1.5Sabah'!E39</f>
        <v>14</v>
      </c>
      <c r="G35" s="146">
        <f>'1.7Sabah'!E37</f>
        <v>47</v>
      </c>
    </row>
    <row r="36" spans="2:7" s="102" customFormat="1" ht="15" customHeight="1" x14ac:dyDescent="0.2">
      <c r="C36" s="56"/>
      <c r="D36" s="108">
        <v>2018</v>
      </c>
      <c r="E36" s="146">
        <f t="shared" ref="E36:E37" si="5">SUM(F36:G36)</f>
        <v>80</v>
      </c>
      <c r="F36" s="146">
        <f>'1.5Sabah'!E40</f>
        <v>16</v>
      </c>
      <c r="G36" s="146">
        <f>'1.7Sabah'!E38</f>
        <v>64</v>
      </c>
    </row>
    <row r="37" spans="2:7" s="102" customFormat="1" ht="15" customHeight="1" x14ac:dyDescent="0.2">
      <c r="C37" s="56"/>
      <c r="D37" s="108">
        <v>2019</v>
      </c>
      <c r="E37" s="146">
        <f t="shared" si="5"/>
        <v>77</v>
      </c>
      <c r="F37" s="146">
        <f>'1.5Sabah'!E41</f>
        <v>12</v>
      </c>
      <c r="G37" s="146">
        <f>'1.7Sabah'!E39</f>
        <v>65</v>
      </c>
    </row>
    <row r="38" spans="2:7" s="102" customFormat="1" ht="12.95" customHeight="1" x14ac:dyDescent="0.2">
      <c r="C38" s="56"/>
      <c r="D38" s="108"/>
      <c r="E38" s="10"/>
      <c r="F38" s="146"/>
      <c r="G38" s="146"/>
    </row>
    <row r="39" spans="2:7" s="102" customFormat="1" ht="15" customHeight="1" x14ac:dyDescent="0.2">
      <c r="B39" s="56" t="s">
        <v>160</v>
      </c>
      <c r="C39" s="56"/>
      <c r="D39" s="108">
        <v>2017</v>
      </c>
      <c r="E39" s="146">
        <f>SUM(F39:G39)</f>
        <v>102</v>
      </c>
      <c r="F39" s="146">
        <f>'1.5Sabah'!E43</f>
        <v>16</v>
      </c>
      <c r="G39" s="146">
        <f>'1.7Sabah'!E41</f>
        <v>86</v>
      </c>
    </row>
    <row r="40" spans="2:7" s="102" customFormat="1" ht="15" customHeight="1" x14ac:dyDescent="0.2">
      <c r="C40" s="56"/>
      <c r="D40" s="108">
        <v>2018</v>
      </c>
      <c r="E40" s="146">
        <f t="shared" ref="E40:E41" si="6">SUM(F40:G40)</f>
        <v>118</v>
      </c>
      <c r="F40" s="146">
        <f>'1.5Sabah'!E44</f>
        <v>11</v>
      </c>
      <c r="G40" s="146">
        <f>'1.7Sabah'!E42</f>
        <v>107</v>
      </c>
    </row>
    <row r="41" spans="2:7" s="102" customFormat="1" ht="15" customHeight="1" x14ac:dyDescent="0.2">
      <c r="C41" s="56"/>
      <c r="D41" s="108">
        <v>2019</v>
      </c>
      <c r="E41" s="146">
        <f t="shared" si="6"/>
        <v>112</v>
      </c>
      <c r="F41" s="146">
        <f>'1.5Sabah'!E45</f>
        <v>15</v>
      </c>
      <c r="G41" s="146">
        <f>'1.7Sabah'!E43</f>
        <v>97</v>
      </c>
    </row>
    <row r="42" spans="2:7" s="102" customFormat="1" ht="12.95" customHeight="1" x14ac:dyDescent="0.2">
      <c r="C42" s="56"/>
      <c r="D42" s="108"/>
      <c r="E42" s="10"/>
      <c r="F42" s="146"/>
      <c r="G42" s="146"/>
    </row>
    <row r="43" spans="2:7" s="102" customFormat="1" ht="15" customHeight="1" x14ac:dyDescent="0.2">
      <c r="B43" s="56" t="s">
        <v>161</v>
      </c>
      <c r="C43" s="56"/>
      <c r="D43" s="108">
        <v>2017</v>
      </c>
      <c r="E43" s="146">
        <f>SUM(F43:G43)</f>
        <v>56</v>
      </c>
      <c r="F43" s="146">
        <f>'1.5Sabah'!E47</f>
        <v>14</v>
      </c>
      <c r="G43" s="146">
        <f>'1.7Sabah'!E45</f>
        <v>42</v>
      </c>
    </row>
    <row r="44" spans="2:7" s="102" customFormat="1" ht="15" customHeight="1" x14ac:dyDescent="0.2">
      <c r="C44" s="56"/>
      <c r="D44" s="108">
        <v>2018</v>
      </c>
      <c r="E44" s="146">
        <f t="shared" ref="E44:E45" si="7">SUM(F44:G44)</f>
        <v>54</v>
      </c>
      <c r="F44" s="146">
        <f>'1.5Sabah'!E48</f>
        <v>12</v>
      </c>
      <c r="G44" s="146">
        <f>'1.7Sabah'!E46</f>
        <v>42</v>
      </c>
    </row>
    <row r="45" spans="2:7" s="102" customFormat="1" ht="15" customHeight="1" x14ac:dyDescent="0.2">
      <c r="C45" s="56"/>
      <c r="D45" s="108">
        <v>2019</v>
      </c>
      <c r="E45" s="146">
        <f t="shared" si="7"/>
        <v>48</v>
      </c>
      <c r="F45" s="146">
        <f>'1.5Sabah'!E49</f>
        <v>6</v>
      </c>
      <c r="G45" s="146">
        <f>'1.7Sabah'!E47</f>
        <v>42</v>
      </c>
    </row>
    <row r="46" spans="2:7" s="102" customFormat="1" ht="12.95" customHeight="1" x14ac:dyDescent="0.2">
      <c r="C46" s="56"/>
      <c r="D46" s="108"/>
      <c r="E46" s="10"/>
      <c r="F46" s="146"/>
      <c r="G46" s="146"/>
    </row>
    <row r="47" spans="2:7" s="102" customFormat="1" ht="15" customHeight="1" x14ac:dyDescent="0.2">
      <c r="B47" s="56" t="s">
        <v>162</v>
      </c>
      <c r="C47" s="56"/>
      <c r="D47" s="108">
        <v>2017</v>
      </c>
      <c r="E47" s="146">
        <f>SUM(F47:G47)</f>
        <v>95</v>
      </c>
      <c r="F47" s="146">
        <f>'1.5Sabah'!E51</f>
        <v>8</v>
      </c>
      <c r="G47" s="146">
        <f>'1.7Sabah'!E49</f>
        <v>87</v>
      </c>
    </row>
    <row r="48" spans="2:7" s="102" customFormat="1" ht="15" customHeight="1" x14ac:dyDescent="0.2">
      <c r="C48" s="56"/>
      <c r="D48" s="108">
        <v>2018</v>
      </c>
      <c r="E48" s="146">
        <f t="shared" ref="E48:E49" si="8">SUM(F48:G48)</f>
        <v>49</v>
      </c>
      <c r="F48" s="146">
        <f>'1.5Sabah'!E52</f>
        <v>7</v>
      </c>
      <c r="G48" s="146">
        <f>'1.7Sabah'!E50</f>
        <v>42</v>
      </c>
    </row>
    <row r="49" spans="1:8" s="102" customFormat="1" ht="15" customHeight="1" x14ac:dyDescent="0.2">
      <c r="C49" s="56"/>
      <c r="D49" s="108">
        <v>2019</v>
      </c>
      <c r="E49" s="146">
        <f t="shared" si="8"/>
        <v>70</v>
      </c>
      <c r="F49" s="146">
        <f>'1.5Sabah'!E53</f>
        <v>4</v>
      </c>
      <c r="G49" s="146">
        <f>'1.7Sabah'!E51</f>
        <v>66</v>
      </c>
    </row>
    <row r="50" spans="1:8" s="102" customFormat="1" ht="12.95" customHeight="1" thickBot="1" x14ac:dyDescent="0.25">
      <c r="A50" s="105"/>
      <c r="B50" s="105"/>
      <c r="C50" s="57"/>
      <c r="D50" s="133"/>
      <c r="E50" s="12"/>
      <c r="F50" s="58"/>
      <c r="G50" s="58"/>
      <c r="H50" s="105"/>
    </row>
    <row r="51" spans="1:8" x14ac:dyDescent="0.25">
      <c r="D51" s="130"/>
      <c r="G51" s="112" t="s">
        <v>99</v>
      </c>
    </row>
    <row r="52" spans="1:8" x14ac:dyDescent="0.25">
      <c r="D52" s="130"/>
      <c r="G52" s="41" t="s">
        <v>1</v>
      </c>
    </row>
    <row r="53" spans="1:8" x14ac:dyDescent="0.25">
      <c r="D53" s="130"/>
    </row>
    <row r="54" spans="1:8" s="37" customFormat="1" x14ac:dyDescent="0.25">
      <c r="B54" s="38"/>
      <c r="D54" s="38"/>
      <c r="E54" s="43"/>
      <c r="F54" s="94"/>
      <c r="G54" s="94"/>
    </row>
    <row r="55" spans="1:8" s="37" customFormat="1" x14ac:dyDescent="0.25">
      <c r="B55" s="44"/>
      <c r="D55" s="38"/>
      <c r="E55" s="43"/>
      <c r="F55" s="94"/>
      <c r="G55" s="94"/>
    </row>
    <row r="56" spans="1:8" x14ac:dyDescent="0.25">
      <c r="D56" s="130"/>
    </row>
    <row r="57" spans="1:8" x14ac:dyDescent="0.25">
      <c r="D57" s="130"/>
    </row>
    <row r="58" spans="1:8" x14ac:dyDescent="0.25">
      <c r="D58" s="130"/>
    </row>
    <row r="59" spans="1:8" x14ac:dyDescent="0.25">
      <c r="D59" s="130"/>
    </row>
    <row r="60" spans="1:8" s="3" customFormat="1" ht="15" customHeight="1" x14ac:dyDescent="0.25">
      <c r="D60" s="130"/>
      <c r="E60" s="21"/>
      <c r="F60" s="22"/>
      <c r="G60" s="22"/>
      <c r="H60" s="2"/>
    </row>
    <row r="61" spans="1:8" x14ac:dyDescent="0.25">
      <c r="D61" s="130"/>
    </row>
    <row r="62" spans="1:8" x14ac:dyDescent="0.25">
      <c r="D62" s="130"/>
    </row>
    <row r="63" spans="1:8" x14ac:dyDescent="0.25">
      <c r="D63" s="130"/>
    </row>
    <row r="64" spans="1:8" x14ac:dyDescent="0.25">
      <c r="D64" s="130"/>
    </row>
    <row r="65" spans="4:4" x14ac:dyDescent="0.25">
      <c r="D65" s="130"/>
    </row>
    <row r="66" spans="4:4" x14ac:dyDescent="0.25">
      <c r="D66" s="130"/>
    </row>
    <row r="67" spans="4:4" x14ac:dyDescent="0.25">
      <c r="D67" s="130"/>
    </row>
    <row r="68" spans="4:4" x14ac:dyDescent="0.25">
      <c r="D68" s="130"/>
    </row>
    <row r="69" spans="4:4" x14ac:dyDescent="0.25">
      <c r="D69" s="130"/>
    </row>
  </sheetData>
  <mergeCells count="6">
    <mergeCell ref="C6:G6"/>
    <mergeCell ref="B8:C9"/>
    <mergeCell ref="D8:D9"/>
    <mergeCell ref="E8:E9"/>
    <mergeCell ref="F8:F9"/>
    <mergeCell ref="G8:G9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90" fitToWidth="0" orientation="portrait" r:id="rId1"/>
  <headerFooter>
    <oddHeader xml:space="preserve">&amp;R&amp;"-,Bold"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showGridLines="0" topLeftCell="A2" zoomScaleNormal="100" zoomScaleSheetLayoutView="100" workbookViewId="0">
      <selection activeCell="AA22" sqref="AA22"/>
    </sheetView>
  </sheetViews>
  <sheetFormatPr defaultColWidth="9.140625" defaultRowHeight="15" x14ac:dyDescent="0.25"/>
  <cols>
    <col min="1" max="1" width="1.7109375" style="2" customWidth="1"/>
    <col min="2" max="2" width="10.7109375" style="3" customWidth="1"/>
    <col min="3" max="3" width="12.28515625" style="3" customWidth="1"/>
    <col min="4" max="4" width="10.85546875" style="3" customWidth="1"/>
    <col min="5" max="5" width="15.7109375" style="21" customWidth="1"/>
    <col min="6" max="7" width="23.7109375" style="22" customWidth="1"/>
    <col min="8" max="8" width="0.85546875" style="2" customWidth="1"/>
    <col min="9" max="16384" width="9.140625" style="2"/>
  </cols>
  <sheetData>
    <row r="1" spans="1:8" s="30" customFormat="1" ht="12" customHeight="1" x14ac:dyDescent="0.25">
      <c r="B1" s="27"/>
      <c r="C1" s="27"/>
      <c r="D1" s="27"/>
      <c r="E1" s="28"/>
      <c r="F1" s="29"/>
      <c r="G1" s="150" t="s">
        <v>179</v>
      </c>
    </row>
    <row r="2" spans="1:8" s="30" customFormat="1" ht="12" customHeight="1" x14ac:dyDescent="0.25">
      <c r="B2" s="27"/>
      <c r="C2" s="27"/>
      <c r="D2" s="27"/>
      <c r="E2" s="28"/>
      <c r="F2" s="29"/>
      <c r="G2" s="151" t="s">
        <v>180</v>
      </c>
    </row>
    <row r="3" spans="1:8" s="30" customFormat="1" ht="12" customHeight="1" x14ac:dyDescent="0.25">
      <c r="B3" s="27"/>
      <c r="C3" s="27"/>
      <c r="D3" s="27"/>
      <c r="E3" s="28"/>
      <c r="F3" s="29"/>
      <c r="G3" s="68"/>
    </row>
    <row r="4" spans="1:8" s="30" customFormat="1" ht="12" customHeight="1" x14ac:dyDescent="0.25">
      <c r="B4" s="27"/>
      <c r="C4" s="27"/>
      <c r="D4" s="27"/>
      <c r="E4" s="28"/>
      <c r="F4" s="29"/>
      <c r="G4" s="68"/>
    </row>
    <row r="5" spans="1:8" s="53" customFormat="1" ht="15" customHeight="1" x14ac:dyDescent="0.2">
      <c r="B5" s="63" t="s">
        <v>184</v>
      </c>
      <c r="C5" s="64" t="s">
        <v>243</v>
      </c>
      <c r="D5" s="64"/>
      <c r="E5" s="63"/>
      <c r="F5" s="64"/>
      <c r="G5" s="152"/>
      <c r="H5" s="64"/>
    </row>
    <row r="6" spans="1:8" s="65" customFormat="1" ht="15" customHeight="1" x14ac:dyDescent="0.2">
      <c r="B6" s="66" t="s">
        <v>185</v>
      </c>
      <c r="C6" s="422" t="s">
        <v>244</v>
      </c>
      <c r="D6" s="422"/>
      <c r="E6" s="422"/>
      <c r="F6" s="422"/>
      <c r="G6" s="422"/>
      <c r="H6" s="67"/>
    </row>
    <row r="7" spans="1:8" ht="9.9499999999999993" customHeight="1" thickBot="1" x14ac:dyDescent="0.3"/>
    <row r="8" spans="1:8" s="53" customFormat="1" ht="20.100000000000001" customHeight="1" thickTop="1" x14ac:dyDescent="0.2">
      <c r="A8" s="371"/>
      <c r="B8" s="429" t="s">
        <v>207</v>
      </c>
      <c r="C8" s="429"/>
      <c r="D8" s="423" t="s">
        <v>96</v>
      </c>
      <c r="E8" s="423" t="s">
        <v>92</v>
      </c>
      <c r="F8" s="425" t="s">
        <v>93</v>
      </c>
      <c r="G8" s="425" t="s">
        <v>94</v>
      </c>
      <c r="H8" s="372"/>
    </row>
    <row r="9" spans="1:8" s="53" customFormat="1" ht="33" customHeight="1" x14ac:dyDescent="0.2">
      <c r="A9" s="373"/>
      <c r="B9" s="430"/>
      <c r="C9" s="430"/>
      <c r="D9" s="424"/>
      <c r="E9" s="424"/>
      <c r="F9" s="426"/>
      <c r="G9" s="426"/>
      <c r="H9" s="369"/>
    </row>
    <row r="10" spans="1:8" s="6" customFormat="1" ht="22.5" customHeight="1" x14ac:dyDescent="0.25">
      <c r="B10" s="124" t="s">
        <v>199</v>
      </c>
      <c r="C10" s="13"/>
      <c r="D10" s="13"/>
      <c r="E10" s="9"/>
      <c r="F10" s="9"/>
      <c r="G10" s="9"/>
    </row>
    <row r="11" spans="1:8" s="102" customFormat="1" ht="15" customHeight="1" x14ac:dyDescent="0.2">
      <c r="B11" s="56" t="s">
        <v>163</v>
      </c>
      <c r="C11" s="56"/>
      <c r="D11" s="141">
        <v>2017</v>
      </c>
      <c r="E11" s="146">
        <f>SUM(F11:G11)</f>
        <v>284</v>
      </c>
      <c r="F11" s="146">
        <f>'1.5Sabah (2)'!E17</f>
        <v>48</v>
      </c>
      <c r="G11" s="146">
        <f>'1.7Sabah (2)'!E15</f>
        <v>236</v>
      </c>
    </row>
    <row r="12" spans="1:8" s="102" customFormat="1" ht="15" customHeight="1" x14ac:dyDescent="0.2">
      <c r="C12" s="56"/>
      <c r="D12" s="141">
        <v>2018</v>
      </c>
      <c r="E12" s="146">
        <f t="shared" ref="E12:E13" si="0">SUM(F12:G12)</f>
        <v>298</v>
      </c>
      <c r="F12" s="146">
        <f>'1.5Sabah (2)'!E18</f>
        <v>49</v>
      </c>
      <c r="G12" s="146">
        <f>'1.7Sabah (2)'!E16</f>
        <v>249</v>
      </c>
    </row>
    <row r="13" spans="1:8" s="102" customFormat="1" ht="15" customHeight="1" x14ac:dyDescent="0.2">
      <c r="C13" s="56"/>
      <c r="D13" s="141">
        <v>2019</v>
      </c>
      <c r="E13" s="146">
        <f t="shared" si="0"/>
        <v>311</v>
      </c>
      <c r="F13" s="146">
        <f>'1.5Sabah (2)'!E19</f>
        <v>44</v>
      </c>
      <c r="G13" s="146">
        <f>'1.7Sabah (2)'!E17</f>
        <v>267</v>
      </c>
    </row>
    <row r="14" spans="1:8" s="102" customFormat="1" ht="12.95" customHeight="1" x14ac:dyDescent="0.2">
      <c r="C14" s="56"/>
      <c r="D14" s="141"/>
      <c r="E14" s="10"/>
      <c r="F14" s="146"/>
      <c r="G14" s="146"/>
    </row>
    <row r="15" spans="1:8" s="102" customFormat="1" ht="15" customHeight="1" x14ac:dyDescent="0.2">
      <c r="B15" s="56" t="s">
        <v>164</v>
      </c>
      <c r="C15" s="56"/>
      <c r="D15" s="141">
        <v>2017</v>
      </c>
      <c r="E15" s="146">
        <f>SUM(F15:G15)</f>
        <v>287</v>
      </c>
      <c r="F15" s="146">
        <f>'1.5Sabah (2)'!E21</f>
        <v>25</v>
      </c>
      <c r="G15" s="146">
        <f>'1.7Sabah (2)'!E19</f>
        <v>262</v>
      </c>
    </row>
    <row r="16" spans="1:8" s="102" customFormat="1" ht="15" customHeight="1" x14ac:dyDescent="0.2">
      <c r="C16" s="56"/>
      <c r="D16" s="141">
        <v>2018</v>
      </c>
      <c r="E16" s="146">
        <f t="shared" ref="E16:E17" si="1">SUM(F16:G16)</f>
        <v>336</v>
      </c>
      <c r="F16" s="146">
        <f>'1.5Sabah (2)'!E22</f>
        <v>42</v>
      </c>
      <c r="G16" s="146">
        <f>'1.7Sabah (2)'!E20</f>
        <v>294</v>
      </c>
    </row>
    <row r="17" spans="2:7" s="102" customFormat="1" ht="15" customHeight="1" x14ac:dyDescent="0.2">
      <c r="C17" s="56"/>
      <c r="D17" s="141">
        <v>2019</v>
      </c>
      <c r="E17" s="146">
        <f t="shared" si="1"/>
        <v>342</v>
      </c>
      <c r="F17" s="146">
        <f>'1.5Sabah (2)'!E23</f>
        <v>41</v>
      </c>
      <c r="G17" s="146">
        <f>'1.7Sabah (2)'!E21</f>
        <v>301</v>
      </c>
    </row>
    <row r="18" spans="2:7" s="102" customFormat="1" ht="12.95" customHeight="1" x14ac:dyDescent="0.2">
      <c r="C18" s="56"/>
      <c r="D18" s="141"/>
      <c r="E18" s="10"/>
      <c r="F18" s="146"/>
      <c r="G18" s="146"/>
    </row>
    <row r="19" spans="2:7" s="102" customFormat="1" ht="15" customHeight="1" x14ac:dyDescent="0.2">
      <c r="B19" s="104" t="s">
        <v>165</v>
      </c>
      <c r="C19" s="56"/>
      <c r="D19" s="141">
        <v>2017</v>
      </c>
      <c r="E19" s="146">
        <f>SUM(F19:G19)</f>
        <v>613</v>
      </c>
      <c r="F19" s="146">
        <f>'1.5Sabah (2)'!E25</f>
        <v>75</v>
      </c>
      <c r="G19" s="146">
        <f>'1.7Sabah (2)'!E23</f>
        <v>538</v>
      </c>
    </row>
    <row r="20" spans="2:7" s="102" customFormat="1" ht="15" customHeight="1" x14ac:dyDescent="0.2">
      <c r="C20" s="56"/>
      <c r="D20" s="141">
        <v>2018</v>
      </c>
      <c r="E20" s="146">
        <f t="shared" ref="E20:E21" si="2">SUM(F20:G20)</f>
        <v>604</v>
      </c>
      <c r="F20" s="146">
        <f>'1.5Sabah (2)'!E26</f>
        <v>78</v>
      </c>
      <c r="G20" s="146">
        <f>'1.7Sabah (2)'!E24</f>
        <v>526</v>
      </c>
    </row>
    <row r="21" spans="2:7" s="102" customFormat="1" ht="15" customHeight="1" x14ac:dyDescent="0.2">
      <c r="C21" s="104"/>
      <c r="D21" s="141">
        <v>2019</v>
      </c>
      <c r="E21" s="146">
        <f t="shared" si="2"/>
        <v>563</v>
      </c>
      <c r="F21" s="146">
        <f>'1.5Sabah (2)'!E27</f>
        <v>67</v>
      </c>
      <c r="G21" s="146">
        <f>'1.7Sabah (2)'!E25</f>
        <v>496</v>
      </c>
    </row>
    <row r="22" spans="2:7" s="102" customFormat="1" ht="12.95" customHeight="1" x14ac:dyDescent="0.2">
      <c r="C22" s="104"/>
      <c r="D22" s="141"/>
      <c r="E22" s="10"/>
      <c r="F22" s="146"/>
      <c r="G22" s="146"/>
    </row>
    <row r="23" spans="2:7" s="102" customFormat="1" ht="15" customHeight="1" x14ac:dyDescent="0.2">
      <c r="B23" s="56" t="s">
        <v>166</v>
      </c>
      <c r="C23" s="104"/>
      <c r="D23" s="141">
        <v>2017</v>
      </c>
      <c r="E23" s="146">
        <f>SUM(F23:G23)</f>
        <v>73</v>
      </c>
      <c r="F23" s="146">
        <f>'1.5Sabah (2)'!E29</f>
        <v>16</v>
      </c>
      <c r="G23" s="146">
        <f>'1.7Sabah (2)'!E27</f>
        <v>57</v>
      </c>
    </row>
    <row r="24" spans="2:7" s="102" customFormat="1" ht="15" customHeight="1" x14ac:dyDescent="0.2">
      <c r="C24" s="104"/>
      <c r="D24" s="141">
        <v>2018</v>
      </c>
      <c r="E24" s="146">
        <f t="shared" ref="E24:E25" si="3">SUM(F24:G24)</f>
        <v>66</v>
      </c>
      <c r="F24" s="146">
        <f>'1.5Sabah (2)'!E30</f>
        <v>10</v>
      </c>
      <c r="G24" s="146">
        <f>'1.7Sabah (2)'!E28</f>
        <v>56</v>
      </c>
    </row>
    <row r="25" spans="2:7" s="102" customFormat="1" ht="15" customHeight="1" x14ac:dyDescent="0.2">
      <c r="C25" s="56"/>
      <c r="D25" s="141">
        <v>2019</v>
      </c>
      <c r="E25" s="146">
        <f t="shared" si="3"/>
        <v>97</v>
      </c>
      <c r="F25" s="146">
        <f>'1.5Sabah (2)'!E31</f>
        <v>18</v>
      </c>
      <c r="G25" s="146">
        <f>'1.7Sabah (2)'!E29</f>
        <v>79</v>
      </c>
    </row>
    <row r="26" spans="2:7" s="102" customFormat="1" ht="12.95" customHeight="1" x14ac:dyDescent="0.2">
      <c r="C26" s="56"/>
      <c r="D26" s="141"/>
      <c r="E26" s="10"/>
      <c r="F26" s="146"/>
      <c r="G26" s="146"/>
    </row>
    <row r="27" spans="2:7" s="102" customFormat="1" ht="15" customHeight="1" x14ac:dyDescent="0.2">
      <c r="B27" s="56" t="s">
        <v>167</v>
      </c>
      <c r="C27" s="56"/>
      <c r="D27" s="141">
        <v>2017</v>
      </c>
      <c r="E27" s="146">
        <f>SUM(F27:G27)</f>
        <v>633</v>
      </c>
      <c r="F27" s="146">
        <f>'1.5Sabah (2)'!E33</f>
        <v>86</v>
      </c>
      <c r="G27" s="146">
        <f>'1.7Sabah (2)'!E31</f>
        <v>547</v>
      </c>
    </row>
    <row r="28" spans="2:7" s="102" customFormat="1" ht="15" customHeight="1" x14ac:dyDescent="0.2">
      <c r="C28" s="56"/>
      <c r="D28" s="141">
        <v>2018</v>
      </c>
      <c r="E28" s="146">
        <f t="shared" ref="E28:E29" si="4">SUM(F28:G28)</f>
        <v>636</v>
      </c>
      <c r="F28" s="146">
        <f>'1.5Sabah (2)'!E34</f>
        <v>49</v>
      </c>
      <c r="G28" s="146">
        <f>'1.7Sabah (2)'!E32</f>
        <v>587</v>
      </c>
    </row>
    <row r="29" spans="2:7" s="102" customFormat="1" ht="15" customHeight="1" x14ac:dyDescent="0.2">
      <c r="C29" s="56"/>
      <c r="D29" s="141">
        <v>2019</v>
      </c>
      <c r="E29" s="146">
        <f t="shared" si="4"/>
        <v>607</v>
      </c>
      <c r="F29" s="146">
        <f>'1.5Sabah (2)'!E35</f>
        <v>74</v>
      </c>
      <c r="G29" s="146">
        <f>'1.7Sabah (2)'!E33</f>
        <v>533</v>
      </c>
    </row>
    <row r="30" spans="2:7" s="102" customFormat="1" ht="12.95" customHeight="1" x14ac:dyDescent="0.2">
      <c r="C30" s="56"/>
      <c r="D30" s="141"/>
      <c r="E30" s="10"/>
      <c r="F30" s="146"/>
      <c r="G30" s="146"/>
    </row>
    <row r="31" spans="2:7" s="102" customFormat="1" ht="15" customHeight="1" x14ac:dyDescent="0.2">
      <c r="B31" s="56" t="s">
        <v>168</v>
      </c>
      <c r="C31" s="56"/>
      <c r="D31" s="141">
        <v>2017</v>
      </c>
      <c r="E31" s="146">
        <f>SUM(F31:G31)</f>
        <v>359</v>
      </c>
      <c r="F31" s="146">
        <f>'1.5Sabah (2)'!E37</f>
        <v>38</v>
      </c>
      <c r="G31" s="146">
        <f>'1.7Sabah (2)'!E35</f>
        <v>321</v>
      </c>
    </row>
    <row r="32" spans="2:7" s="102" customFormat="1" ht="15" customHeight="1" x14ac:dyDescent="0.2">
      <c r="C32" s="56"/>
      <c r="D32" s="141">
        <v>2018</v>
      </c>
      <c r="E32" s="146">
        <f t="shared" ref="E32:E33" si="5">SUM(F32:G32)</f>
        <v>409</v>
      </c>
      <c r="F32" s="146">
        <f>'1.5Sabah (2)'!E38</f>
        <v>31</v>
      </c>
      <c r="G32" s="146">
        <f>'1.7Sabah (2)'!E36</f>
        <v>378</v>
      </c>
    </row>
    <row r="33" spans="2:7" s="102" customFormat="1" ht="15" customHeight="1" x14ac:dyDescent="0.2">
      <c r="C33" s="56"/>
      <c r="D33" s="141">
        <v>2019</v>
      </c>
      <c r="E33" s="146">
        <f t="shared" si="5"/>
        <v>351</v>
      </c>
      <c r="F33" s="146">
        <f>'1.5Sabah (2)'!E39</f>
        <v>39</v>
      </c>
      <c r="G33" s="146">
        <f>'1.7Sabah (2)'!E37</f>
        <v>312</v>
      </c>
    </row>
    <row r="34" spans="2:7" s="102" customFormat="1" ht="12.95" customHeight="1" x14ac:dyDescent="0.2">
      <c r="C34" s="56"/>
      <c r="D34" s="141"/>
      <c r="E34" s="10"/>
      <c r="F34" s="146"/>
      <c r="G34" s="146"/>
    </row>
    <row r="35" spans="2:7" s="102" customFormat="1" ht="15" customHeight="1" x14ac:dyDescent="0.2">
      <c r="B35" s="56" t="s">
        <v>169</v>
      </c>
      <c r="C35" s="56"/>
      <c r="D35" s="141">
        <v>2017</v>
      </c>
      <c r="E35" s="146">
        <f>SUM(F35:G35)</f>
        <v>102</v>
      </c>
      <c r="F35" s="146">
        <f>'1.5Sabah (2)'!E41</f>
        <v>6</v>
      </c>
      <c r="G35" s="146">
        <f>'1.7Sabah (2)'!E39</f>
        <v>96</v>
      </c>
    </row>
    <row r="36" spans="2:7" s="102" customFormat="1" ht="15" customHeight="1" x14ac:dyDescent="0.2">
      <c r="C36" s="56"/>
      <c r="D36" s="141">
        <v>2018</v>
      </c>
      <c r="E36" s="146">
        <f t="shared" ref="E36:E37" si="6">SUM(F36:G36)</f>
        <v>99</v>
      </c>
      <c r="F36" s="146">
        <f>'1.5Sabah (2)'!E42</f>
        <v>8</v>
      </c>
      <c r="G36" s="146">
        <f>'1.7Sabah (2)'!E40</f>
        <v>91</v>
      </c>
    </row>
    <row r="37" spans="2:7" s="102" customFormat="1" ht="15" customHeight="1" x14ac:dyDescent="0.2">
      <c r="C37" s="56"/>
      <c r="D37" s="141">
        <v>2019</v>
      </c>
      <c r="E37" s="146">
        <f t="shared" si="6"/>
        <v>99</v>
      </c>
      <c r="F37" s="146">
        <f>'1.5Sabah (2)'!E43</f>
        <v>7</v>
      </c>
      <c r="G37" s="146">
        <f>'1.7Sabah (2)'!E41</f>
        <v>92</v>
      </c>
    </row>
    <row r="38" spans="2:7" s="102" customFormat="1" ht="12.95" customHeight="1" x14ac:dyDescent="0.2">
      <c r="C38" s="56"/>
      <c r="D38" s="141"/>
      <c r="E38" s="10"/>
      <c r="F38" s="146"/>
      <c r="G38" s="146"/>
    </row>
    <row r="39" spans="2:7" s="102" customFormat="1" ht="15" customHeight="1" x14ac:dyDescent="0.2">
      <c r="B39" s="56" t="s">
        <v>170</v>
      </c>
      <c r="C39" s="56"/>
      <c r="D39" s="141">
        <v>2017</v>
      </c>
      <c r="E39" s="146">
        <f>SUM(F39:G39)</f>
        <v>1007</v>
      </c>
      <c r="F39" s="146">
        <f>'1.5Sabah (2)'!E45</f>
        <v>97</v>
      </c>
      <c r="G39" s="146">
        <f>'1.7Sabah (2)'!E43</f>
        <v>910</v>
      </c>
    </row>
    <row r="40" spans="2:7" s="102" customFormat="1" ht="15" customHeight="1" x14ac:dyDescent="0.2">
      <c r="C40" s="56"/>
      <c r="D40" s="141">
        <v>2018</v>
      </c>
      <c r="E40" s="146">
        <f t="shared" ref="E40:E41" si="7">SUM(F40:G40)</f>
        <v>900</v>
      </c>
      <c r="F40" s="146">
        <f>'1.5Sabah (2)'!E46</f>
        <v>29</v>
      </c>
      <c r="G40" s="146">
        <f>'1.7Sabah (2)'!E44</f>
        <v>871</v>
      </c>
    </row>
    <row r="41" spans="2:7" s="102" customFormat="1" ht="15" customHeight="1" x14ac:dyDescent="0.2">
      <c r="C41" s="56"/>
      <c r="D41" s="141">
        <v>2019</v>
      </c>
      <c r="E41" s="146">
        <f t="shared" si="7"/>
        <v>890</v>
      </c>
      <c r="F41" s="146">
        <f>'1.5Sabah (2)'!E47</f>
        <v>50</v>
      </c>
      <c r="G41" s="146">
        <f>'1.7Sabah (2)'!E45</f>
        <v>840</v>
      </c>
    </row>
    <row r="42" spans="2:7" s="102" customFormat="1" ht="12.95" customHeight="1" x14ac:dyDescent="0.2">
      <c r="C42" s="56"/>
      <c r="D42" s="141"/>
      <c r="E42" s="10"/>
      <c r="F42" s="146"/>
      <c r="G42" s="146"/>
    </row>
    <row r="43" spans="2:7" s="102" customFormat="1" ht="15" customHeight="1" x14ac:dyDescent="0.2">
      <c r="B43" s="56" t="s">
        <v>171</v>
      </c>
      <c r="C43" s="56"/>
      <c r="D43" s="141">
        <v>2017</v>
      </c>
      <c r="E43" s="146">
        <f>SUM(F43:G43)</f>
        <v>46</v>
      </c>
      <c r="F43" s="146">
        <f>'1.5Sabah (2)'!E49</f>
        <v>11</v>
      </c>
      <c r="G43" s="146">
        <f>'1.7Sabah (2)'!E47</f>
        <v>35</v>
      </c>
    </row>
    <row r="44" spans="2:7" s="102" customFormat="1" ht="15" customHeight="1" x14ac:dyDescent="0.2">
      <c r="C44" s="56"/>
      <c r="D44" s="141">
        <v>2018</v>
      </c>
      <c r="E44" s="146">
        <f t="shared" ref="E44:E45" si="8">SUM(F44:G44)</f>
        <v>51</v>
      </c>
      <c r="F44" s="146">
        <f>'1.5Sabah (2)'!E50</f>
        <v>15</v>
      </c>
      <c r="G44" s="146">
        <f>'1.7Sabah (2)'!E48</f>
        <v>36</v>
      </c>
    </row>
    <row r="45" spans="2:7" s="102" customFormat="1" ht="15" customHeight="1" x14ac:dyDescent="0.2">
      <c r="C45" s="56"/>
      <c r="D45" s="141">
        <v>2019</v>
      </c>
      <c r="E45" s="146">
        <f t="shared" si="8"/>
        <v>38</v>
      </c>
      <c r="F45" s="146">
        <f>'1.5Sabah (2)'!E51</f>
        <v>8</v>
      </c>
      <c r="G45" s="146">
        <f>'1.7Sabah (2)'!E49</f>
        <v>30</v>
      </c>
    </row>
    <row r="46" spans="2:7" s="102" customFormat="1" ht="12.95" customHeight="1" x14ac:dyDescent="0.2">
      <c r="C46" s="56"/>
      <c r="D46" s="141"/>
      <c r="E46" s="10"/>
      <c r="F46" s="146"/>
      <c r="G46" s="146"/>
    </row>
    <row r="47" spans="2:7" s="102" customFormat="1" ht="15" customHeight="1" x14ac:dyDescent="0.2">
      <c r="B47" s="56" t="s">
        <v>172</v>
      </c>
      <c r="C47" s="56"/>
      <c r="D47" s="141">
        <v>2017</v>
      </c>
      <c r="E47" s="146">
        <f>SUM(F47:G47)</f>
        <v>124</v>
      </c>
      <c r="F47" s="146">
        <f>'1.5Sabah (2)'!E53</f>
        <v>21</v>
      </c>
      <c r="G47" s="146">
        <f>'1.7Sabah (2)'!E51</f>
        <v>103</v>
      </c>
    </row>
    <row r="48" spans="2:7" s="102" customFormat="1" ht="15" customHeight="1" x14ac:dyDescent="0.2">
      <c r="C48" s="56"/>
      <c r="D48" s="141">
        <v>2018</v>
      </c>
      <c r="E48" s="146">
        <f t="shared" ref="E48:E49" si="9">SUM(F48:G48)</f>
        <v>124</v>
      </c>
      <c r="F48" s="146">
        <f>'1.5Sabah (2)'!E54</f>
        <v>16</v>
      </c>
      <c r="G48" s="146">
        <f>'1.7Sabah (2)'!E52</f>
        <v>108</v>
      </c>
    </row>
    <row r="49" spans="1:8" s="102" customFormat="1" ht="15" customHeight="1" x14ac:dyDescent="0.2">
      <c r="C49" s="56"/>
      <c r="D49" s="141">
        <v>2019</v>
      </c>
      <c r="E49" s="146">
        <f t="shared" si="9"/>
        <v>102</v>
      </c>
      <c r="F49" s="146">
        <f>'1.5Sabah (2)'!E55</f>
        <v>18</v>
      </c>
      <c r="G49" s="146">
        <f>'1.7Sabah (2)'!E53</f>
        <v>84</v>
      </c>
    </row>
    <row r="50" spans="1:8" s="102" customFormat="1" ht="12.95" customHeight="1" x14ac:dyDescent="0.2">
      <c r="C50" s="56"/>
      <c r="D50" s="141"/>
      <c r="E50" s="10"/>
      <c r="F50" s="146"/>
      <c r="G50" s="146"/>
    </row>
    <row r="51" spans="1:8" s="102" customFormat="1" ht="15" customHeight="1" x14ac:dyDescent="0.2">
      <c r="B51" s="56" t="s">
        <v>173</v>
      </c>
      <c r="C51" s="56"/>
      <c r="D51" s="141">
        <v>2017</v>
      </c>
      <c r="E51" s="146">
        <f>SUM(F51:G51)</f>
        <v>204</v>
      </c>
      <c r="F51" s="146">
        <f>'1.5Sabah (2)'!E57</f>
        <v>20</v>
      </c>
      <c r="G51" s="146">
        <f>'1.7Sabah (2)'!E55</f>
        <v>184</v>
      </c>
    </row>
    <row r="52" spans="1:8" s="102" customFormat="1" ht="15" customHeight="1" x14ac:dyDescent="0.2">
      <c r="C52" s="56"/>
      <c r="D52" s="141">
        <v>2018</v>
      </c>
      <c r="E52" s="146">
        <f t="shared" ref="E52:E53" si="10">SUM(F52:G52)</f>
        <v>266</v>
      </c>
      <c r="F52" s="146">
        <f>'1.5Sabah (2)'!E58</f>
        <v>25</v>
      </c>
      <c r="G52" s="146">
        <f>'1.7Sabah (2)'!E56</f>
        <v>241</v>
      </c>
    </row>
    <row r="53" spans="1:8" s="102" customFormat="1" ht="15" customHeight="1" x14ac:dyDescent="0.2">
      <c r="A53" s="106"/>
      <c r="B53" s="106"/>
      <c r="C53" s="56"/>
      <c r="D53" s="141">
        <v>2019</v>
      </c>
      <c r="E53" s="146">
        <f t="shared" si="10"/>
        <v>252</v>
      </c>
      <c r="F53" s="146">
        <f>'1.5Sabah (2)'!E59</f>
        <v>20</v>
      </c>
      <c r="G53" s="146">
        <f>'1.7Sabah (2)'!E57</f>
        <v>232</v>
      </c>
      <c r="H53" s="106"/>
    </row>
    <row r="54" spans="1:8" s="102" customFormat="1" ht="12.95" customHeight="1" thickBot="1" x14ac:dyDescent="0.25">
      <c r="A54" s="105"/>
      <c r="B54" s="105"/>
      <c r="C54" s="57"/>
      <c r="D54" s="133"/>
      <c r="E54" s="12"/>
      <c r="F54" s="58"/>
      <c r="G54" s="58"/>
      <c r="H54" s="105"/>
    </row>
    <row r="55" spans="1:8" x14ac:dyDescent="0.25">
      <c r="D55" s="130"/>
      <c r="G55" s="8" t="s">
        <v>99</v>
      </c>
    </row>
    <row r="56" spans="1:8" x14ac:dyDescent="0.25">
      <c r="D56" s="130"/>
      <c r="G56" s="41" t="s">
        <v>1</v>
      </c>
    </row>
    <row r="57" spans="1:8" x14ac:dyDescent="0.25">
      <c r="D57" s="130"/>
    </row>
    <row r="58" spans="1:8" s="37" customFormat="1" x14ac:dyDescent="0.25">
      <c r="B58" s="38"/>
      <c r="D58" s="38"/>
      <c r="E58" s="43"/>
      <c r="F58" s="94"/>
      <c r="G58" s="94"/>
    </row>
    <row r="59" spans="1:8" s="37" customFormat="1" x14ac:dyDescent="0.25">
      <c r="B59" s="44"/>
      <c r="D59" s="38"/>
      <c r="E59" s="43"/>
      <c r="F59" s="94"/>
      <c r="G59" s="94"/>
    </row>
    <row r="60" spans="1:8" x14ac:dyDescent="0.25">
      <c r="D60" s="130"/>
    </row>
    <row r="61" spans="1:8" x14ac:dyDescent="0.25">
      <c r="D61" s="130"/>
    </row>
    <row r="62" spans="1:8" x14ac:dyDescent="0.25">
      <c r="D62" s="130"/>
    </row>
    <row r="63" spans="1:8" x14ac:dyDescent="0.25">
      <c r="D63" s="130"/>
    </row>
    <row r="64" spans="1:8" s="3" customFormat="1" ht="15" customHeight="1" x14ac:dyDescent="0.25">
      <c r="D64" s="130"/>
      <c r="E64" s="21"/>
      <c r="F64" s="22"/>
      <c r="G64" s="22"/>
      <c r="H64" s="2"/>
    </row>
    <row r="65" spans="4:4" x14ac:dyDescent="0.25">
      <c r="D65" s="130"/>
    </row>
    <row r="66" spans="4:4" x14ac:dyDescent="0.25">
      <c r="D66" s="130"/>
    </row>
    <row r="67" spans="4:4" x14ac:dyDescent="0.25">
      <c r="D67" s="130"/>
    </row>
    <row r="68" spans="4:4" x14ac:dyDescent="0.25">
      <c r="D68" s="130"/>
    </row>
    <row r="69" spans="4:4" x14ac:dyDescent="0.25">
      <c r="D69" s="130"/>
    </row>
  </sheetData>
  <mergeCells count="6">
    <mergeCell ref="C6:G6"/>
    <mergeCell ref="B8:C9"/>
    <mergeCell ref="D8:D9"/>
    <mergeCell ref="E8:E9"/>
    <mergeCell ref="F8:F9"/>
    <mergeCell ref="G8:G9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90" fitToWidth="0" orientation="portrait" r:id="rId1"/>
  <headerFooter>
    <oddHeader xml:space="preserve">&amp;R&amp;"-,Bold"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showGridLines="0" zoomScaleNormal="100" zoomScaleSheetLayoutView="100" workbookViewId="0">
      <selection activeCell="AA22" sqref="AA22"/>
    </sheetView>
  </sheetViews>
  <sheetFormatPr defaultColWidth="9.140625" defaultRowHeight="15" x14ac:dyDescent="0.25"/>
  <cols>
    <col min="1" max="1" width="1.7109375" style="2" customWidth="1"/>
    <col min="2" max="2" width="11" style="3" customWidth="1"/>
    <col min="3" max="3" width="12.28515625" style="3" customWidth="1"/>
    <col min="4" max="4" width="10.85546875" style="3" customWidth="1"/>
    <col min="5" max="5" width="15.7109375" style="21" customWidth="1"/>
    <col min="6" max="7" width="23.7109375" style="22" customWidth="1"/>
    <col min="8" max="8" width="0.85546875" style="2" customWidth="1"/>
    <col min="9" max="16384" width="9.140625" style="2"/>
  </cols>
  <sheetData>
    <row r="1" spans="1:8" s="30" customFormat="1" ht="12" customHeight="1" x14ac:dyDescent="0.25">
      <c r="B1" s="27"/>
      <c r="C1" s="27"/>
      <c r="D1" s="27"/>
      <c r="E1" s="28"/>
      <c r="F1" s="29"/>
      <c r="G1" s="150" t="s">
        <v>179</v>
      </c>
    </row>
    <row r="2" spans="1:8" s="30" customFormat="1" ht="12" customHeight="1" x14ac:dyDescent="0.25">
      <c r="B2" s="27"/>
      <c r="C2" s="27"/>
      <c r="D2" s="27"/>
      <c r="E2" s="28"/>
      <c r="F2" s="29"/>
      <c r="G2" s="151" t="s">
        <v>180</v>
      </c>
    </row>
    <row r="3" spans="1:8" s="30" customFormat="1" ht="12" customHeight="1" x14ac:dyDescent="0.25">
      <c r="B3" s="27"/>
      <c r="C3" s="27"/>
      <c r="D3" s="27"/>
      <c r="E3" s="28"/>
      <c r="F3" s="29"/>
      <c r="G3" s="68"/>
    </row>
    <row r="4" spans="1:8" s="30" customFormat="1" ht="12" customHeight="1" x14ac:dyDescent="0.25">
      <c r="B4" s="27"/>
      <c r="C4" s="27"/>
      <c r="D4" s="27"/>
      <c r="E4" s="28"/>
      <c r="F4" s="29"/>
      <c r="G4" s="68"/>
    </row>
    <row r="5" spans="1:8" s="53" customFormat="1" ht="15" customHeight="1" x14ac:dyDescent="0.2">
      <c r="B5" s="63" t="s">
        <v>184</v>
      </c>
      <c r="C5" s="64" t="s">
        <v>243</v>
      </c>
      <c r="D5" s="64"/>
      <c r="E5" s="63"/>
      <c r="F5" s="64"/>
      <c r="G5" s="152"/>
      <c r="H5" s="64"/>
    </row>
    <row r="6" spans="1:8" s="65" customFormat="1" ht="15" customHeight="1" x14ac:dyDescent="0.2">
      <c r="B6" s="66" t="s">
        <v>185</v>
      </c>
      <c r="C6" s="422" t="s">
        <v>244</v>
      </c>
      <c r="D6" s="422"/>
      <c r="E6" s="422"/>
      <c r="F6" s="422"/>
      <c r="G6" s="422"/>
      <c r="H6" s="67"/>
    </row>
    <row r="7" spans="1:8" ht="9.9499999999999993" customHeight="1" thickBot="1" x14ac:dyDescent="0.3"/>
    <row r="8" spans="1:8" s="53" customFormat="1" ht="20.100000000000001" customHeight="1" thickTop="1" x14ac:dyDescent="0.2">
      <c r="A8" s="371"/>
      <c r="B8" s="429" t="s">
        <v>207</v>
      </c>
      <c r="C8" s="429"/>
      <c r="D8" s="423" t="s">
        <v>96</v>
      </c>
      <c r="E8" s="423" t="s">
        <v>92</v>
      </c>
      <c r="F8" s="425" t="s">
        <v>93</v>
      </c>
      <c r="G8" s="425" t="s">
        <v>94</v>
      </c>
      <c r="H8" s="372"/>
    </row>
    <row r="9" spans="1:8" s="53" customFormat="1" ht="33" customHeight="1" x14ac:dyDescent="0.2">
      <c r="A9" s="373"/>
      <c r="B9" s="430"/>
      <c r="C9" s="430"/>
      <c r="D9" s="424"/>
      <c r="E9" s="424"/>
      <c r="F9" s="426"/>
      <c r="G9" s="426"/>
      <c r="H9" s="369"/>
    </row>
    <row r="10" spans="1:8" s="53" customFormat="1" ht="8.1" customHeight="1" x14ac:dyDescent="0.2">
      <c r="A10" s="86"/>
      <c r="B10" s="87"/>
      <c r="C10" s="87"/>
      <c r="D10" s="88"/>
      <c r="E10" s="88"/>
      <c r="F10" s="89"/>
      <c r="G10" s="89"/>
      <c r="H10" s="90"/>
    </row>
    <row r="11" spans="1:8" s="6" customFormat="1" ht="15" customHeight="1" x14ac:dyDescent="0.25">
      <c r="A11" s="106"/>
      <c r="B11" s="109" t="s">
        <v>124</v>
      </c>
      <c r="C11" s="109"/>
      <c r="D11" s="62">
        <v>2017</v>
      </c>
      <c r="E11" s="145">
        <f>SUM(E15,E19,E23,E27,E31,E35,E39,E43,'1.3Swk (2)'!E13,'1.3Swk (2)'!E17,'1.3Swk (2)'!E21,'1.3Swk (2)'!E25,'1.3Swk (2)'!E29,'1.3Swk (2)'!E33,'1.3Swk (2)'!E37,'1.3Swk (2)'!E41,'1.3Swk (2)'!E45,'1.3Swk (2)'!E49,'1.3Swk (3)'!E13,'1.3Swk (3)'!E17,'1.3Swk (3)'!E21,'1.3Swk (3)'!E25,'1.3Swk (3)'!E29,'1.3Swk (3)'!E33,'1.3Swk (3)'!E37,'1.3Swk (3)'!E41,'1.3Swk (3)'!E45,'1.3Swk (3)'!E49)</f>
        <v>6381</v>
      </c>
      <c r="F11" s="145">
        <f>SUM(F15,F19,F23,F27,F31,F35,F39,F43,'1.3Swk (2)'!F13,'1.3Swk (2)'!F17,'1.3Swk (2)'!F21,'1.3Swk (2)'!F25,'1.3Swk (2)'!F29,'1.3Swk (2)'!F33,'1.3Swk (2)'!F37,'1.3Swk (2)'!F41,'1.3Swk (2)'!F45,'1.3Swk (2)'!F49,'1.3Swk (3)'!F13,'1.3Swk (3)'!F17,'1.3Swk (3)'!F21,'1.3Swk (3)'!F25,'1.3Swk (3)'!F29,'1.3Swk (3)'!F33,'1.3Swk (3)'!F37,'1.3Swk (3)'!F41,'1.3Swk (3)'!F45,'1.3Swk (3)'!F49)</f>
        <v>876</v>
      </c>
      <c r="G11" s="145">
        <f>SUM(G15,G19,G23,G27,G31,G35,G39,G43,'1.3Swk (2)'!G13,'1.3Swk (2)'!G17,'1.3Swk (2)'!G21,'1.3Swk (2)'!G25,'1.3Swk (2)'!G29,'1.3Swk (2)'!G33,'1.3Swk (2)'!G37,'1.3Swk (2)'!G41,'1.3Swk (2)'!G45,'1.3Swk (2)'!G49,'1.3Swk (3)'!G13,'1.3Swk (3)'!G17,'1.3Swk (3)'!G21,'1.3Swk (3)'!G25,'1.3Swk (3)'!G29,'1.3Swk (3)'!G33,'1.3Swk (3)'!G37,'1.3Swk (3)'!G41,'1.3Swk (3)'!G45,'1.3Swk (3)'!G49)</f>
        <v>5505</v>
      </c>
      <c r="H11" s="24"/>
    </row>
    <row r="12" spans="1:8" s="6" customFormat="1" ht="15" customHeight="1" x14ac:dyDescent="0.25">
      <c r="A12" s="106"/>
      <c r="B12" s="110"/>
      <c r="C12" s="109"/>
      <c r="D12" s="62">
        <v>2018</v>
      </c>
      <c r="E12" s="145">
        <f>SUM(E16,E20,E24,E28,E32,E36,E40,E44,'1.3Swk (2)'!E14,'1.3Swk (2)'!E18,'1.3Swk (2)'!E22,'1.3Swk (2)'!E26,'1.3Swk (2)'!E30,'1.3Swk (2)'!E34,'1.3Swk (2)'!E38,'1.3Swk (2)'!E42,'1.3Swk (2)'!E46,'1.3Swk (2)'!E50,'1.3Swk (3)'!E14,'1.3Swk (3)'!E18,'1.3Swk (3)'!E22,'1.3Swk (3)'!E26,'1.3Swk (3)'!E30,'1.3Swk (3)'!E34,'1.3Swk (3)'!E38,'1.3Swk (3)'!E42,'1.3Swk (3)'!E46,'1.3Swk (3)'!E50)</f>
        <v>5830</v>
      </c>
      <c r="F12" s="145">
        <f>SUM(F16,F20,F24,F28,F32,F36,F40,F44,'1.3Swk (2)'!F14,'1.3Swk (2)'!F18,'1.3Swk (2)'!F22,'1.3Swk (2)'!F26,'1.3Swk (2)'!F30,'1.3Swk (2)'!F34,'1.3Swk (2)'!F38,'1.3Swk (2)'!F42,'1.3Swk (2)'!F46,'1.3Swk (2)'!F50,'1.3Swk (3)'!F14,'1.3Swk (3)'!F18,'1.3Swk (3)'!F22,'1.3Swk (3)'!F26,'1.3Swk (3)'!F30,'1.3Swk (3)'!F34,'1.3Swk (3)'!F38,'1.3Swk (3)'!F42,'1.3Swk (3)'!F46,'1.3Swk (3)'!F50)</f>
        <v>811</v>
      </c>
      <c r="G12" s="145">
        <f>SUM(G16,G20,G24,G28,G32,G36,G40,G44,'1.3Swk (2)'!G14,'1.3Swk (2)'!G18,'1.3Swk (2)'!G22,'1.3Swk (2)'!G26,'1.3Swk (2)'!G30,'1.3Swk (2)'!G34,'1.3Swk (2)'!G38,'1.3Swk (2)'!G42,'1.3Swk (2)'!G46,'1.3Swk (2)'!G50,'1.3Swk (3)'!G14,'1.3Swk (3)'!G18,'1.3Swk (3)'!G22,'1.3Swk (3)'!G26,'1.3Swk (3)'!G30,'1.3Swk (3)'!G34,'1.3Swk (3)'!G38,'1.3Swk (3)'!G42,'1.3Swk (3)'!G46,'1.3Swk (3)'!G50)</f>
        <v>5019</v>
      </c>
      <c r="H12" s="24"/>
    </row>
    <row r="13" spans="1:8" s="6" customFormat="1" ht="15" customHeight="1" x14ac:dyDescent="0.25">
      <c r="A13" s="106"/>
      <c r="B13" s="110"/>
      <c r="C13" s="109"/>
      <c r="D13" s="62">
        <v>2019</v>
      </c>
      <c r="E13" s="145">
        <f>SUM(E17,E21,E25,E29,E33,E37,E41,E45,'1.3Swk (2)'!E15,'1.3Swk (2)'!E19,'1.3Swk (2)'!E23,'1.3Swk (2)'!E27,'1.3Swk (2)'!E31,'1.3Swk (2)'!E35,'1.3Swk (2)'!E39,'1.3Swk (2)'!E43,'1.3Swk (2)'!E47,'1.3Swk (2)'!E51,'1.3Swk (3)'!E15,'1.3Swk (3)'!E19,'1.3Swk (3)'!E23,'1.3Swk (3)'!E27,'1.3Swk (3)'!E31,'1.3Swk (3)'!E35,'1.3Swk (3)'!E39,'1.3Swk (3)'!E43,'1.3Swk (3)'!E47,'1.3Swk (3)'!E51)</f>
        <v>6023</v>
      </c>
      <c r="F13" s="145">
        <f>SUM(F17,F21,F25,F29,F33,F37,F41,F45,'1.3Swk (2)'!F15,'1.3Swk (2)'!F19,'1.3Swk (2)'!F23,'1.3Swk (2)'!F27,'1.3Swk (2)'!F31,'1.3Swk (2)'!F35,'1.3Swk (2)'!F39,'1.3Swk (2)'!F43,'1.3Swk (2)'!F47,'1.3Swk (2)'!F51,'1.3Swk (3)'!F15,'1.3Swk (3)'!F19,'1.3Swk (3)'!F23,'1.3Swk (3)'!F27,'1.3Swk (3)'!F31,'1.3Swk (3)'!F35,'1.3Swk (3)'!F39,'1.3Swk (3)'!F43,'1.3Swk (3)'!F47,'1.3Swk (3)'!F51)</f>
        <v>898</v>
      </c>
      <c r="G13" s="145">
        <f>SUM(G17,G21,G25,G29,G33,G37,G41,G45,'1.3Swk (2)'!G15,'1.3Swk (2)'!G19,'1.3Swk (2)'!G23,'1.3Swk (2)'!G27,'1.3Swk (2)'!G31,'1.3Swk (2)'!G35,'1.3Swk (2)'!G39,'1.3Swk (2)'!G43,'1.3Swk (2)'!G47,'1.3Swk (2)'!G51,'1.3Swk (3)'!G15,'1.3Swk (3)'!G19,'1.3Swk (3)'!G23,'1.3Swk (3)'!G27,'1.3Swk (3)'!G31,'1.3Swk (3)'!G35,'1.3Swk (3)'!G39,'1.3Swk (3)'!G43,'1.3Swk (3)'!G47,'1.3Swk (3)'!G51)</f>
        <v>5125</v>
      </c>
      <c r="H13" s="24"/>
    </row>
    <row r="14" spans="1:8" s="6" customFormat="1" ht="8.1" customHeight="1" x14ac:dyDescent="0.25">
      <c r="A14" s="24"/>
      <c r="B14" s="107"/>
      <c r="C14" s="13"/>
      <c r="D14" s="62"/>
      <c r="E14" s="9"/>
      <c r="F14" s="9"/>
      <c r="G14" s="9"/>
      <c r="H14" s="24"/>
    </row>
    <row r="15" spans="1:8" s="6" customFormat="1" ht="15" customHeight="1" x14ac:dyDescent="0.25">
      <c r="A15" s="106"/>
      <c r="B15" s="108" t="s">
        <v>125</v>
      </c>
      <c r="C15" s="109"/>
      <c r="D15" s="141">
        <v>2017</v>
      </c>
      <c r="E15" s="146">
        <f>SUM(F15:G15)</f>
        <v>48</v>
      </c>
      <c r="F15" s="146">
        <f>'1.5Sarawak'!E19</f>
        <v>9</v>
      </c>
      <c r="G15" s="146">
        <f>'1.7Sarawak'!E17</f>
        <v>39</v>
      </c>
      <c r="H15" s="24"/>
    </row>
    <row r="16" spans="1:8" s="6" customFormat="1" ht="15" customHeight="1" x14ac:dyDescent="0.25">
      <c r="A16" s="106"/>
      <c r="B16" s="110"/>
      <c r="C16" s="108"/>
      <c r="D16" s="141">
        <v>2018</v>
      </c>
      <c r="E16" s="146">
        <f t="shared" ref="E16:E17" si="0">SUM(F16:G16)</f>
        <v>128</v>
      </c>
      <c r="F16" s="146">
        <f>'1.5Sarawak'!E20</f>
        <v>86</v>
      </c>
      <c r="G16" s="146">
        <f>'1.7Sarawak'!E18</f>
        <v>42</v>
      </c>
      <c r="H16" s="24"/>
    </row>
    <row r="17" spans="1:8" s="6" customFormat="1" ht="15" customHeight="1" x14ac:dyDescent="0.25">
      <c r="A17" s="106"/>
      <c r="B17" s="110"/>
      <c r="C17" s="108"/>
      <c r="D17" s="141">
        <v>2019</v>
      </c>
      <c r="E17" s="146">
        <f t="shared" si="0"/>
        <v>47</v>
      </c>
      <c r="F17" s="146">
        <f>'1.5Sarawak'!E21</f>
        <v>9</v>
      </c>
      <c r="G17" s="146">
        <f>'1.7Sarawak'!E19</f>
        <v>38</v>
      </c>
      <c r="H17" s="24"/>
    </row>
    <row r="18" spans="1:8" s="6" customFormat="1" ht="9.9499999999999993" customHeight="1" x14ac:dyDescent="0.25">
      <c r="A18" s="106"/>
      <c r="B18" s="110"/>
      <c r="C18" s="108"/>
      <c r="D18" s="141"/>
      <c r="E18" s="146"/>
      <c r="F18" s="146"/>
      <c r="G18" s="146"/>
      <c r="H18" s="24"/>
    </row>
    <row r="19" spans="1:8" s="6" customFormat="1" ht="15" customHeight="1" x14ac:dyDescent="0.25">
      <c r="A19" s="106"/>
      <c r="B19" s="108" t="s">
        <v>126</v>
      </c>
      <c r="C19" s="108"/>
      <c r="D19" s="141">
        <v>2017</v>
      </c>
      <c r="E19" s="146">
        <f>SUM(F19:G19)</f>
        <v>73</v>
      </c>
      <c r="F19" s="146">
        <f>'1.5Sarawak'!E23</f>
        <v>6</v>
      </c>
      <c r="G19" s="146">
        <f>'1.7Sarawak'!E21</f>
        <v>67</v>
      </c>
      <c r="H19" s="24"/>
    </row>
    <row r="20" spans="1:8" s="6" customFormat="1" ht="15" customHeight="1" x14ac:dyDescent="0.25">
      <c r="A20" s="106"/>
      <c r="B20" s="110"/>
      <c r="C20" s="108"/>
      <c r="D20" s="141">
        <v>2018</v>
      </c>
      <c r="E20" s="146">
        <f t="shared" ref="E20:E21" si="1">SUM(F20:G20)</f>
        <v>48</v>
      </c>
      <c r="F20" s="146">
        <f>'1.5Sarawak'!E24</f>
        <v>10</v>
      </c>
      <c r="G20" s="146">
        <f>'1.7Sarawak'!E22</f>
        <v>38</v>
      </c>
      <c r="H20" s="24"/>
    </row>
    <row r="21" spans="1:8" s="6" customFormat="1" ht="15" customHeight="1" x14ac:dyDescent="0.25">
      <c r="A21" s="106"/>
      <c r="B21" s="110"/>
      <c r="C21" s="108"/>
      <c r="D21" s="141">
        <v>2019</v>
      </c>
      <c r="E21" s="146">
        <f t="shared" si="1"/>
        <v>32</v>
      </c>
      <c r="F21" s="146">
        <f>'1.5Sarawak'!E25</f>
        <v>6</v>
      </c>
      <c r="G21" s="146">
        <f>'1.7Sarawak'!E23</f>
        <v>26</v>
      </c>
      <c r="H21" s="24"/>
    </row>
    <row r="22" spans="1:8" s="6" customFormat="1" ht="9.9499999999999993" customHeight="1" x14ac:dyDescent="0.25">
      <c r="A22" s="106"/>
      <c r="B22" s="110"/>
      <c r="C22" s="108"/>
      <c r="D22" s="141"/>
      <c r="E22" s="146"/>
      <c r="F22" s="146"/>
      <c r="G22" s="146"/>
      <c r="H22" s="24"/>
    </row>
    <row r="23" spans="1:8" s="6" customFormat="1" ht="15" customHeight="1" x14ac:dyDescent="0.25">
      <c r="A23" s="106"/>
      <c r="B23" s="108" t="s">
        <v>127</v>
      </c>
      <c r="C23" s="108"/>
      <c r="D23" s="141">
        <v>2017</v>
      </c>
      <c r="E23" s="146">
        <f>SUM(F23:G23)</f>
        <v>63</v>
      </c>
      <c r="F23" s="146">
        <f>'1.5Sarawak'!E27</f>
        <v>18</v>
      </c>
      <c r="G23" s="146">
        <f>'1.7Sarawak'!E25</f>
        <v>45</v>
      </c>
      <c r="H23" s="24"/>
    </row>
    <row r="24" spans="1:8" s="6" customFormat="1" ht="15" customHeight="1" x14ac:dyDescent="0.25">
      <c r="A24" s="106"/>
      <c r="B24" s="110"/>
      <c r="C24" s="108"/>
      <c r="D24" s="141">
        <v>2018</v>
      </c>
      <c r="E24" s="146">
        <f t="shared" ref="E24:E25" si="2">SUM(F24:G24)</f>
        <v>68</v>
      </c>
      <c r="F24" s="146">
        <f>'1.5Sarawak'!E28</f>
        <v>6</v>
      </c>
      <c r="G24" s="146">
        <f>'1.7Sarawak'!E26</f>
        <v>62</v>
      </c>
      <c r="H24" s="24"/>
    </row>
    <row r="25" spans="1:8" s="6" customFormat="1" ht="15" customHeight="1" x14ac:dyDescent="0.25">
      <c r="A25" s="106"/>
      <c r="B25" s="110"/>
      <c r="C25" s="108"/>
      <c r="D25" s="141">
        <v>2019</v>
      </c>
      <c r="E25" s="146">
        <f t="shared" si="2"/>
        <v>67</v>
      </c>
      <c r="F25" s="146">
        <f>'1.5Sarawak'!E29</f>
        <v>11</v>
      </c>
      <c r="G25" s="146">
        <f>'1.7Sarawak'!E27</f>
        <v>56</v>
      </c>
      <c r="H25" s="24"/>
    </row>
    <row r="26" spans="1:8" s="6" customFormat="1" ht="9.9499999999999993" customHeight="1" x14ac:dyDescent="0.25">
      <c r="A26" s="106"/>
      <c r="B26" s="110"/>
      <c r="C26" s="108"/>
      <c r="D26" s="141"/>
      <c r="E26" s="146"/>
      <c r="F26" s="146"/>
      <c r="G26" s="146"/>
      <c r="H26" s="24"/>
    </row>
    <row r="27" spans="1:8" s="6" customFormat="1" ht="15" customHeight="1" x14ac:dyDescent="0.25">
      <c r="A27" s="106"/>
      <c r="B27" s="108" t="s">
        <v>128</v>
      </c>
      <c r="C27" s="108"/>
      <c r="D27" s="141">
        <v>2017</v>
      </c>
      <c r="E27" s="146">
        <f>SUM(F27:G27)</f>
        <v>585</v>
      </c>
      <c r="F27" s="146">
        <f>'1.5Sarawak'!E31</f>
        <v>63</v>
      </c>
      <c r="G27" s="146">
        <f>'1.7Sarawak'!E29</f>
        <v>522</v>
      </c>
      <c r="H27" s="24"/>
    </row>
    <row r="28" spans="1:8" s="6" customFormat="1" ht="15" customHeight="1" x14ac:dyDescent="0.25">
      <c r="A28" s="106"/>
      <c r="B28" s="110"/>
      <c r="C28" s="108"/>
      <c r="D28" s="141">
        <v>2018</v>
      </c>
      <c r="E28" s="146">
        <f t="shared" ref="E28:E29" si="3">SUM(F28:G28)</f>
        <v>463</v>
      </c>
      <c r="F28" s="146">
        <f>'1.5Sarawak'!E32</f>
        <v>34</v>
      </c>
      <c r="G28" s="146">
        <f>'1.7Sarawak'!E30</f>
        <v>429</v>
      </c>
      <c r="H28" s="24"/>
    </row>
    <row r="29" spans="1:8" s="6" customFormat="1" ht="15" customHeight="1" x14ac:dyDescent="0.25">
      <c r="A29" s="106"/>
      <c r="B29" s="110"/>
      <c r="C29" s="108"/>
      <c r="D29" s="141">
        <v>2019</v>
      </c>
      <c r="E29" s="146">
        <f t="shared" si="3"/>
        <v>469</v>
      </c>
      <c r="F29" s="146">
        <f>'1.5Sarawak'!E33</f>
        <v>53</v>
      </c>
      <c r="G29" s="146">
        <f>'1.7Sarawak'!E31</f>
        <v>416</v>
      </c>
      <c r="H29" s="24"/>
    </row>
    <row r="30" spans="1:8" s="6" customFormat="1" ht="9.9499999999999993" customHeight="1" x14ac:dyDescent="0.25">
      <c r="A30" s="106"/>
      <c r="B30" s="110"/>
      <c r="C30" s="108"/>
      <c r="D30" s="141"/>
      <c r="E30" s="146"/>
      <c r="F30" s="146"/>
      <c r="G30" s="146"/>
      <c r="H30" s="24"/>
    </row>
    <row r="31" spans="1:8" s="6" customFormat="1" ht="15" customHeight="1" x14ac:dyDescent="0.25">
      <c r="A31" s="106"/>
      <c r="B31" s="108" t="s">
        <v>129</v>
      </c>
      <c r="C31" s="108"/>
      <c r="D31" s="141">
        <v>2017</v>
      </c>
      <c r="E31" s="146">
        <f>SUM(F31:G31)</f>
        <v>33</v>
      </c>
      <c r="F31" s="146">
        <f>'1.5Sarawak'!E35</f>
        <v>7</v>
      </c>
      <c r="G31" s="146">
        <f>'1.7Sarawak'!E33</f>
        <v>26</v>
      </c>
      <c r="H31" s="24"/>
    </row>
    <row r="32" spans="1:8" s="6" customFormat="1" ht="15" customHeight="1" x14ac:dyDescent="0.25">
      <c r="A32" s="106"/>
      <c r="B32" s="110"/>
      <c r="C32" s="108"/>
      <c r="D32" s="141">
        <v>2018</v>
      </c>
      <c r="E32" s="146">
        <f t="shared" ref="E32:E33" si="4">SUM(F32:G32)</f>
        <v>26</v>
      </c>
      <c r="F32" s="146">
        <f>'1.5Sarawak'!E36</f>
        <v>10</v>
      </c>
      <c r="G32" s="146">
        <f>'1.7Sarawak'!E34</f>
        <v>16</v>
      </c>
      <c r="H32" s="24"/>
    </row>
    <row r="33" spans="1:8" s="6" customFormat="1" ht="15" customHeight="1" x14ac:dyDescent="0.25">
      <c r="A33" s="106"/>
      <c r="B33" s="110"/>
      <c r="C33" s="108"/>
      <c r="D33" s="141">
        <v>2019</v>
      </c>
      <c r="E33" s="146">
        <f t="shared" si="4"/>
        <v>19</v>
      </c>
      <c r="F33" s="146">
        <f>'1.5Sarawak'!E37</f>
        <v>5</v>
      </c>
      <c r="G33" s="146">
        <f>'1.7Sarawak'!E35</f>
        <v>14</v>
      </c>
      <c r="H33" s="24"/>
    </row>
    <row r="34" spans="1:8" s="6" customFormat="1" ht="9.9499999999999993" customHeight="1" x14ac:dyDescent="0.25">
      <c r="A34" s="106"/>
      <c r="B34" s="110"/>
      <c r="C34" s="108"/>
      <c r="D34" s="141"/>
      <c r="E34" s="146"/>
      <c r="F34" s="146"/>
      <c r="G34" s="146"/>
      <c r="H34" s="24"/>
    </row>
    <row r="35" spans="1:8" s="6" customFormat="1" ht="15" customHeight="1" x14ac:dyDescent="0.25">
      <c r="A35" s="106"/>
      <c r="B35" s="108" t="s">
        <v>130</v>
      </c>
      <c r="C35" s="108"/>
      <c r="D35" s="141">
        <v>2017</v>
      </c>
      <c r="E35" s="146">
        <f>SUM(F35:G35)</f>
        <v>11</v>
      </c>
      <c r="F35" s="146">
        <f>'1.5Sarawak'!E39</f>
        <v>5</v>
      </c>
      <c r="G35" s="146">
        <f>'1.7Sarawak'!E37</f>
        <v>6</v>
      </c>
      <c r="H35" s="24"/>
    </row>
    <row r="36" spans="1:8" s="6" customFormat="1" ht="15" customHeight="1" x14ac:dyDescent="0.25">
      <c r="A36" s="106"/>
      <c r="B36" s="110"/>
      <c r="C36" s="108"/>
      <c r="D36" s="141">
        <v>2018</v>
      </c>
      <c r="E36" s="146">
        <f t="shared" ref="E36:E37" si="5">SUM(F36:G36)</f>
        <v>8</v>
      </c>
      <c r="F36" s="146">
        <f>'1.5Sarawak'!E40</f>
        <v>3</v>
      </c>
      <c r="G36" s="146">
        <f>'1.7Sarawak'!E38</f>
        <v>5</v>
      </c>
      <c r="H36" s="24"/>
    </row>
    <row r="37" spans="1:8" s="6" customFormat="1" ht="15" customHeight="1" x14ac:dyDescent="0.25">
      <c r="A37" s="106"/>
      <c r="B37" s="110"/>
      <c r="C37" s="108"/>
      <c r="D37" s="141">
        <v>2019</v>
      </c>
      <c r="E37" s="146">
        <f t="shared" si="5"/>
        <v>7</v>
      </c>
      <c r="F37" s="146">
        <f>'1.5Sarawak'!E41</f>
        <v>2</v>
      </c>
      <c r="G37" s="146">
        <f>'1.7Sarawak'!E39</f>
        <v>5</v>
      </c>
      <c r="H37" s="24"/>
    </row>
    <row r="38" spans="1:8" s="6" customFormat="1" ht="9.9499999999999993" customHeight="1" x14ac:dyDescent="0.25">
      <c r="A38" s="106"/>
      <c r="B38" s="110"/>
      <c r="C38" s="108"/>
      <c r="D38" s="141"/>
      <c r="E38" s="146"/>
      <c r="F38" s="146"/>
      <c r="G38" s="146"/>
      <c r="H38" s="24"/>
    </row>
    <row r="39" spans="1:8" s="6" customFormat="1" ht="15" customHeight="1" x14ac:dyDescent="0.25">
      <c r="A39" s="106"/>
      <c r="B39" s="108" t="s">
        <v>131</v>
      </c>
      <c r="C39" s="108"/>
      <c r="D39" s="141">
        <v>2017</v>
      </c>
      <c r="E39" s="146">
        <f>SUM(F39:G39)</f>
        <v>28</v>
      </c>
      <c r="F39" s="146">
        <f>'1.5Sarawak'!E43</f>
        <v>5</v>
      </c>
      <c r="G39" s="146">
        <f>'1.7Sarawak'!E41</f>
        <v>23</v>
      </c>
      <c r="H39" s="24"/>
    </row>
    <row r="40" spans="1:8" s="6" customFormat="1" ht="15" customHeight="1" x14ac:dyDescent="0.25">
      <c r="A40" s="106"/>
      <c r="B40" s="110"/>
      <c r="C40" s="108"/>
      <c r="D40" s="141">
        <v>2018</v>
      </c>
      <c r="E40" s="146">
        <f t="shared" ref="E40:E41" si="6">SUM(F40:G40)</f>
        <v>15</v>
      </c>
      <c r="F40" s="146">
        <f>'1.5Sarawak'!E44</f>
        <v>8</v>
      </c>
      <c r="G40" s="146">
        <f>'1.7Sarawak'!E42</f>
        <v>7</v>
      </c>
      <c r="H40" s="24"/>
    </row>
    <row r="41" spans="1:8" s="6" customFormat="1" ht="15" customHeight="1" x14ac:dyDescent="0.25">
      <c r="A41" s="106"/>
      <c r="B41" s="110"/>
      <c r="C41" s="108"/>
      <c r="D41" s="141">
        <v>2019</v>
      </c>
      <c r="E41" s="146">
        <f t="shared" si="6"/>
        <v>20</v>
      </c>
      <c r="F41" s="146">
        <f>'1.5Sarawak'!E45</f>
        <v>3</v>
      </c>
      <c r="G41" s="146">
        <f>'1.7Sarawak'!E43</f>
        <v>17</v>
      </c>
      <c r="H41" s="24"/>
    </row>
    <row r="42" spans="1:8" s="6" customFormat="1" ht="9.9499999999999993" customHeight="1" x14ac:dyDescent="0.25">
      <c r="A42" s="106"/>
      <c r="B42" s="110"/>
      <c r="C42" s="108"/>
      <c r="D42" s="141"/>
      <c r="E42" s="146"/>
      <c r="F42" s="146"/>
      <c r="G42" s="146"/>
      <c r="H42" s="24"/>
    </row>
    <row r="43" spans="1:8" s="6" customFormat="1" ht="15" customHeight="1" x14ac:dyDescent="0.25">
      <c r="A43" s="106"/>
      <c r="B43" s="108" t="s">
        <v>132</v>
      </c>
      <c r="C43" s="108"/>
      <c r="D43" s="141">
        <v>2017</v>
      </c>
      <c r="E43" s="146">
        <f>SUM(F43:G43)</f>
        <v>68</v>
      </c>
      <c r="F43" s="146">
        <f>'1.5Sarawak'!E47</f>
        <v>11</v>
      </c>
      <c r="G43" s="146">
        <f>'1.7Sarawak'!E45</f>
        <v>57</v>
      </c>
      <c r="H43" s="24"/>
    </row>
    <row r="44" spans="1:8" s="6" customFormat="1" ht="15" customHeight="1" x14ac:dyDescent="0.25">
      <c r="A44" s="106"/>
      <c r="B44" s="110"/>
      <c r="C44" s="108"/>
      <c r="D44" s="141">
        <v>2018</v>
      </c>
      <c r="E44" s="146">
        <f t="shared" ref="E44:E45" si="7">SUM(F44:G44)</f>
        <v>48</v>
      </c>
      <c r="F44" s="146">
        <f>'1.5Sarawak'!E48</f>
        <v>8</v>
      </c>
      <c r="G44" s="146">
        <f>'1.7Sarawak'!E46</f>
        <v>40</v>
      </c>
      <c r="H44" s="24"/>
    </row>
    <row r="45" spans="1:8" s="6" customFormat="1" ht="15" customHeight="1" x14ac:dyDescent="0.25">
      <c r="A45" s="106"/>
      <c r="B45" s="110"/>
      <c r="C45" s="108"/>
      <c r="D45" s="141">
        <v>2019</v>
      </c>
      <c r="E45" s="146">
        <f t="shared" si="7"/>
        <v>47</v>
      </c>
      <c r="F45" s="146">
        <f>'1.5Sarawak'!E49</f>
        <v>7</v>
      </c>
      <c r="G45" s="146">
        <f>'1.7Sarawak'!E47</f>
        <v>40</v>
      </c>
      <c r="H45" s="24"/>
    </row>
    <row r="46" spans="1:8" s="6" customFormat="1" ht="8.1" customHeight="1" thickBot="1" x14ac:dyDescent="0.3">
      <c r="A46" s="105"/>
      <c r="B46" s="105"/>
      <c r="C46" s="105"/>
      <c r="D46" s="105"/>
      <c r="E46" s="70"/>
      <c r="F46" s="58"/>
      <c r="G46" s="58"/>
      <c r="H46" s="100"/>
    </row>
    <row r="47" spans="1:8" s="93" customFormat="1" ht="15" customHeight="1" x14ac:dyDescent="0.2">
      <c r="B47" s="101"/>
      <c r="C47" s="101"/>
      <c r="D47" s="101"/>
      <c r="E47" s="8"/>
      <c r="F47" s="92"/>
      <c r="G47" s="8" t="s">
        <v>99</v>
      </c>
    </row>
    <row r="48" spans="1:8" s="18" customFormat="1" ht="15" customHeight="1" x14ac:dyDescent="0.2">
      <c r="B48" s="95"/>
      <c r="C48" s="95"/>
      <c r="D48" s="132"/>
      <c r="E48" s="8"/>
      <c r="F48" s="92"/>
      <c r="G48" s="41" t="s">
        <v>1</v>
      </c>
    </row>
    <row r="49" spans="2:8" s="37" customFormat="1" x14ac:dyDescent="0.25">
      <c r="B49" s="38"/>
      <c r="D49" s="38"/>
      <c r="E49" s="43"/>
      <c r="F49" s="94"/>
      <c r="G49" s="94"/>
    </row>
    <row r="50" spans="2:8" s="37" customFormat="1" x14ac:dyDescent="0.25">
      <c r="B50" s="44"/>
      <c r="D50" s="38"/>
      <c r="E50" s="43"/>
      <c r="F50" s="94"/>
      <c r="G50" s="94"/>
    </row>
    <row r="51" spans="2:8" ht="15" customHeight="1" x14ac:dyDescent="0.25">
      <c r="D51" s="130"/>
    </row>
    <row r="52" spans="2:8" x14ac:dyDescent="0.25">
      <c r="D52" s="130"/>
    </row>
    <row r="53" spans="2:8" x14ac:dyDescent="0.25">
      <c r="D53" s="130"/>
    </row>
    <row r="54" spans="2:8" x14ac:dyDescent="0.25">
      <c r="D54" s="130"/>
    </row>
    <row r="55" spans="2:8" x14ac:dyDescent="0.25">
      <c r="D55" s="130"/>
    </row>
    <row r="56" spans="2:8" x14ac:dyDescent="0.25">
      <c r="D56" s="130"/>
    </row>
    <row r="57" spans="2:8" x14ac:dyDescent="0.25">
      <c r="D57" s="130"/>
    </row>
    <row r="58" spans="2:8" x14ac:dyDescent="0.25">
      <c r="D58" s="130"/>
    </row>
    <row r="59" spans="2:8" x14ac:dyDescent="0.25">
      <c r="D59" s="130"/>
    </row>
    <row r="60" spans="2:8" x14ac:dyDescent="0.25">
      <c r="D60" s="130"/>
    </row>
    <row r="61" spans="2:8" x14ac:dyDescent="0.25">
      <c r="D61" s="130"/>
    </row>
    <row r="62" spans="2:8" s="3" customFormat="1" ht="15" customHeight="1" x14ac:dyDescent="0.25">
      <c r="D62" s="130"/>
      <c r="E62" s="21"/>
      <c r="F62" s="22"/>
      <c r="G62" s="22"/>
      <c r="H62" s="2"/>
    </row>
    <row r="63" spans="2:8" x14ac:dyDescent="0.25">
      <c r="D63" s="130"/>
    </row>
    <row r="64" spans="2:8" x14ac:dyDescent="0.25">
      <c r="D64" s="130"/>
    </row>
    <row r="65" spans="4:4" x14ac:dyDescent="0.25">
      <c r="D65" s="130"/>
    </row>
    <row r="66" spans="4:4" x14ac:dyDescent="0.25">
      <c r="D66" s="130"/>
    </row>
    <row r="67" spans="4:4" x14ac:dyDescent="0.25">
      <c r="D67" s="130"/>
    </row>
    <row r="68" spans="4:4" x14ac:dyDescent="0.25">
      <c r="D68" s="130"/>
    </row>
    <row r="69" spans="4:4" x14ac:dyDescent="0.25">
      <c r="D69" s="130"/>
    </row>
  </sheetData>
  <mergeCells count="6">
    <mergeCell ref="C6:G6"/>
    <mergeCell ref="E8:E9"/>
    <mergeCell ref="F8:F9"/>
    <mergeCell ref="G8:G9"/>
    <mergeCell ref="B8:C9"/>
    <mergeCell ref="D8:D9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90" fitToWidth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showGridLines="0" topLeftCell="A8" zoomScaleNormal="100" zoomScaleSheetLayoutView="100" workbookViewId="0">
      <selection activeCell="AA22" sqref="AA22"/>
    </sheetView>
  </sheetViews>
  <sheetFormatPr defaultColWidth="9.140625" defaultRowHeight="15" x14ac:dyDescent="0.25"/>
  <cols>
    <col min="1" max="1" width="1.7109375" style="2" customWidth="1"/>
    <col min="2" max="2" width="11" style="3" customWidth="1"/>
    <col min="3" max="3" width="12.28515625" style="3" customWidth="1"/>
    <col min="4" max="4" width="10.85546875" style="3" customWidth="1"/>
    <col min="5" max="5" width="15.7109375" style="21" customWidth="1"/>
    <col min="6" max="7" width="23.7109375" style="22" customWidth="1"/>
    <col min="8" max="8" width="0.85546875" style="2" customWidth="1"/>
    <col min="9" max="16384" width="9.140625" style="2"/>
  </cols>
  <sheetData>
    <row r="1" spans="1:8" s="30" customFormat="1" ht="12" customHeight="1" x14ac:dyDescent="0.25">
      <c r="B1" s="27"/>
      <c r="C1" s="27"/>
      <c r="D1" s="27"/>
      <c r="E1" s="28"/>
      <c r="F1" s="29"/>
      <c r="G1" s="150" t="s">
        <v>179</v>
      </c>
    </row>
    <row r="2" spans="1:8" s="30" customFormat="1" ht="12" customHeight="1" x14ac:dyDescent="0.25">
      <c r="B2" s="27"/>
      <c r="C2" s="27"/>
      <c r="D2" s="27"/>
      <c r="E2" s="28"/>
      <c r="F2" s="29"/>
      <c r="G2" s="151" t="s">
        <v>180</v>
      </c>
    </row>
    <row r="3" spans="1:8" s="30" customFormat="1" ht="12" customHeight="1" x14ac:dyDescent="0.25">
      <c r="B3" s="27"/>
      <c r="C3" s="27"/>
      <c r="D3" s="27"/>
      <c r="E3" s="28"/>
      <c r="F3" s="29"/>
      <c r="G3" s="68"/>
    </row>
    <row r="4" spans="1:8" s="30" customFormat="1" ht="12" customHeight="1" x14ac:dyDescent="0.25">
      <c r="B4" s="27"/>
      <c r="C4" s="27"/>
      <c r="D4" s="27"/>
      <c r="E4" s="28"/>
      <c r="F4" s="29"/>
      <c r="G4" s="68"/>
    </row>
    <row r="5" spans="1:8" s="53" customFormat="1" ht="15" customHeight="1" x14ac:dyDescent="0.2">
      <c r="B5" s="63" t="s">
        <v>184</v>
      </c>
      <c r="C5" s="64" t="s">
        <v>243</v>
      </c>
      <c r="D5" s="64"/>
      <c r="E5" s="63"/>
      <c r="F5" s="64"/>
      <c r="G5" s="152"/>
      <c r="H5" s="64"/>
    </row>
    <row r="6" spans="1:8" s="65" customFormat="1" ht="15" customHeight="1" x14ac:dyDescent="0.2">
      <c r="B6" s="66" t="s">
        <v>185</v>
      </c>
      <c r="C6" s="422" t="s">
        <v>244</v>
      </c>
      <c r="D6" s="422"/>
      <c r="E6" s="422"/>
      <c r="F6" s="422"/>
      <c r="G6" s="422"/>
      <c r="H6" s="67"/>
    </row>
    <row r="7" spans="1:8" ht="9.9499999999999993" customHeight="1" thickBot="1" x14ac:dyDescent="0.3"/>
    <row r="8" spans="1:8" s="53" customFormat="1" ht="20.100000000000001" customHeight="1" thickTop="1" x14ac:dyDescent="0.2">
      <c r="A8" s="371"/>
      <c r="B8" s="429" t="s">
        <v>207</v>
      </c>
      <c r="C8" s="429"/>
      <c r="D8" s="423" t="s">
        <v>96</v>
      </c>
      <c r="E8" s="423" t="s">
        <v>92</v>
      </c>
      <c r="F8" s="425" t="s">
        <v>93</v>
      </c>
      <c r="G8" s="425" t="s">
        <v>94</v>
      </c>
      <c r="H8" s="372"/>
    </row>
    <row r="9" spans="1:8" s="53" customFormat="1" ht="33" customHeight="1" x14ac:dyDescent="0.2">
      <c r="A9" s="373"/>
      <c r="B9" s="430"/>
      <c r="C9" s="430"/>
      <c r="D9" s="424"/>
      <c r="E9" s="424"/>
      <c r="F9" s="426"/>
      <c r="G9" s="426"/>
      <c r="H9" s="369"/>
    </row>
    <row r="10" spans="1:8" s="53" customFormat="1" ht="8.1" customHeight="1" x14ac:dyDescent="0.2">
      <c r="A10" s="86"/>
      <c r="B10" s="87"/>
      <c r="C10" s="87"/>
      <c r="D10" s="88"/>
      <c r="E10" s="88"/>
      <c r="F10" s="89"/>
      <c r="G10" s="89"/>
      <c r="H10" s="90"/>
    </row>
    <row r="11" spans="1:8" s="6" customFormat="1" ht="20.100000000000001" customHeight="1" x14ac:dyDescent="0.25">
      <c r="A11" s="24"/>
      <c r="B11" s="124" t="s">
        <v>200</v>
      </c>
      <c r="C11" s="13"/>
      <c r="D11" s="13"/>
      <c r="E11" s="9"/>
      <c r="F11" s="9"/>
      <c r="G11" s="9"/>
      <c r="H11" s="24"/>
    </row>
    <row r="12" spans="1:8" s="6" customFormat="1" ht="8.1" customHeight="1" x14ac:dyDescent="0.25">
      <c r="A12" s="24"/>
      <c r="B12" s="107"/>
      <c r="C12" s="13"/>
      <c r="D12" s="13"/>
      <c r="E12" s="9"/>
      <c r="F12" s="9"/>
      <c r="G12" s="9"/>
      <c r="H12" s="24"/>
    </row>
    <row r="13" spans="1:8" s="6" customFormat="1" ht="15" customHeight="1" x14ac:dyDescent="0.25">
      <c r="A13" s="106"/>
      <c r="B13" s="108" t="s">
        <v>133</v>
      </c>
      <c r="C13" s="108"/>
      <c r="D13" s="141">
        <v>2017</v>
      </c>
      <c r="E13" s="146">
        <f>SUM(F13:G13)</f>
        <v>330</v>
      </c>
      <c r="F13" s="146">
        <f>'1.5Sarawak (2)'!E17</f>
        <v>45</v>
      </c>
      <c r="G13" s="146">
        <f>'1.7Sarawak (2)'!E15</f>
        <v>285</v>
      </c>
      <c r="H13" s="24"/>
    </row>
    <row r="14" spans="1:8" s="6" customFormat="1" ht="15" customHeight="1" x14ac:dyDescent="0.25">
      <c r="A14" s="106"/>
      <c r="B14" s="110"/>
      <c r="C14" s="108"/>
      <c r="D14" s="141">
        <v>2018</v>
      </c>
      <c r="E14" s="146">
        <f t="shared" ref="E14:E15" si="0">SUM(F14:G14)</f>
        <v>347</v>
      </c>
      <c r="F14" s="146">
        <f>'1.5Sarawak (2)'!E18</f>
        <v>31</v>
      </c>
      <c r="G14" s="146">
        <f>'1.7Sarawak (2)'!E16</f>
        <v>316</v>
      </c>
      <c r="H14" s="24"/>
    </row>
    <row r="15" spans="1:8" s="6" customFormat="1" ht="15" customHeight="1" x14ac:dyDescent="0.25">
      <c r="A15" s="106"/>
      <c r="B15" s="110"/>
      <c r="C15" s="108"/>
      <c r="D15" s="141">
        <v>2019</v>
      </c>
      <c r="E15" s="146">
        <f t="shared" si="0"/>
        <v>381</v>
      </c>
      <c r="F15" s="146">
        <f>'1.5Sarawak (2)'!E19</f>
        <v>61</v>
      </c>
      <c r="G15" s="146">
        <f>'1.7Sarawak (2)'!E17</f>
        <v>320</v>
      </c>
      <c r="H15" s="24"/>
    </row>
    <row r="16" spans="1:8" s="6" customFormat="1" ht="9.9499999999999993" customHeight="1" x14ac:dyDescent="0.25">
      <c r="A16" s="106"/>
      <c r="B16" s="110"/>
      <c r="C16" s="108"/>
      <c r="D16" s="141"/>
      <c r="E16" s="146"/>
      <c r="F16" s="146"/>
      <c r="G16" s="146"/>
      <c r="H16" s="24"/>
    </row>
    <row r="17" spans="1:8" s="6" customFormat="1" ht="15" customHeight="1" x14ac:dyDescent="0.25">
      <c r="A17" s="106"/>
      <c r="B17" s="108" t="s">
        <v>134</v>
      </c>
      <c r="C17" s="108"/>
      <c r="D17" s="141">
        <v>2017</v>
      </c>
      <c r="E17" s="146">
        <f>SUM(F17:G17)</f>
        <v>1554</v>
      </c>
      <c r="F17" s="146">
        <f>'1.5Sarawak (2)'!E21</f>
        <v>180</v>
      </c>
      <c r="G17" s="146">
        <f>'1.7Sarawak (2)'!E19</f>
        <v>1374</v>
      </c>
      <c r="H17" s="24"/>
    </row>
    <row r="18" spans="1:8" s="6" customFormat="1" ht="15" customHeight="1" x14ac:dyDescent="0.25">
      <c r="A18" s="106"/>
      <c r="B18" s="110"/>
      <c r="C18" s="108"/>
      <c r="D18" s="141">
        <v>2018</v>
      </c>
      <c r="E18" s="146">
        <f t="shared" ref="E18:E19" si="1">SUM(F18:G18)</f>
        <v>1262</v>
      </c>
      <c r="F18" s="146">
        <f>'1.5Sarawak (2)'!E22</f>
        <v>101</v>
      </c>
      <c r="G18" s="146">
        <f>'1.7Sarawak (2)'!E20</f>
        <v>1161</v>
      </c>
      <c r="H18" s="24"/>
    </row>
    <row r="19" spans="1:8" s="6" customFormat="1" ht="15" customHeight="1" x14ac:dyDescent="0.25">
      <c r="A19" s="106"/>
      <c r="B19" s="110"/>
      <c r="C19" s="108"/>
      <c r="D19" s="141">
        <v>2019</v>
      </c>
      <c r="E19" s="146">
        <f t="shared" si="1"/>
        <v>1372</v>
      </c>
      <c r="F19" s="146">
        <f>'1.5Sarawak (2)'!E23</f>
        <v>215</v>
      </c>
      <c r="G19" s="146">
        <f>'1.7Sarawak (2)'!E21</f>
        <v>1157</v>
      </c>
      <c r="H19" s="24"/>
    </row>
    <row r="20" spans="1:8" s="6" customFormat="1" ht="9.9499999999999993" customHeight="1" x14ac:dyDescent="0.25">
      <c r="A20" s="106"/>
      <c r="B20" s="110"/>
      <c r="C20" s="108"/>
      <c r="D20" s="141"/>
      <c r="E20" s="146"/>
      <c r="F20" s="146"/>
      <c r="G20" s="146"/>
      <c r="H20" s="24"/>
    </row>
    <row r="21" spans="1:8" s="6" customFormat="1" ht="15" customHeight="1" x14ac:dyDescent="0.25">
      <c r="A21" s="106"/>
      <c r="B21" s="108" t="s">
        <v>135</v>
      </c>
      <c r="C21" s="108"/>
      <c r="D21" s="141">
        <v>2017</v>
      </c>
      <c r="E21" s="146">
        <f>SUM(F21:G21)</f>
        <v>41</v>
      </c>
      <c r="F21" s="146">
        <f>'1.5Sarawak (2)'!E25</f>
        <v>4</v>
      </c>
      <c r="G21" s="146">
        <f>'1.7Sarawak (2)'!E23</f>
        <v>37</v>
      </c>
      <c r="H21" s="24"/>
    </row>
    <row r="22" spans="1:8" s="6" customFormat="1" ht="15" customHeight="1" x14ac:dyDescent="0.25">
      <c r="A22" s="106"/>
      <c r="B22" s="110"/>
      <c r="C22" s="108"/>
      <c r="D22" s="141">
        <v>2018</v>
      </c>
      <c r="E22" s="146">
        <f t="shared" ref="E22:E23" si="2">SUM(F22:G22)</f>
        <v>67</v>
      </c>
      <c r="F22" s="146">
        <f>'1.5Sarawak (2)'!E26</f>
        <v>26</v>
      </c>
      <c r="G22" s="146">
        <f>'1.7Sarawak (2)'!E24</f>
        <v>41</v>
      </c>
      <c r="H22" s="24"/>
    </row>
    <row r="23" spans="1:8" s="6" customFormat="1" ht="15" customHeight="1" x14ac:dyDescent="0.25">
      <c r="A23" s="106"/>
      <c r="B23" s="110"/>
      <c r="C23" s="108"/>
      <c r="D23" s="141">
        <v>2019</v>
      </c>
      <c r="E23" s="146">
        <f t="shared" si="2"/>
        <v>41</v>
      </c>
      <c r="F23" s="146">
        <f>'1.5Sarawak (2)'!E27</f>
        <v>7</v>
      </c>
      <c r="G23" s="146">
        <f>'1.7Sarawak (2)'!E25</f>
        <v>34</v>
      </c>
      <c r="H23" s="24"/>
    </row>
    <row r="24" spans="1:8" s="6" customFormat="1" ht="9.9499999999999993" customHeight="1" x14ac:dyDescent="0.25">
      <c r="A24" s="106"/>
      <c r="B24" s="110"/>
      <c r="C24" s="108"/>
      <c r="D24" s="141"/>
      <c r="E24" s="146"/>
      <c r="F24" s="146"/>
      <c r="G24" s="146"/>
      <c r="H24" s="24"/>
    </row>
    <row r="25" spans="1:8" s="6" customFormat="1" ht="15" customHeight="1" x14ac:dyDescent="0.25">
      <c r="A25" s="106"/>
      <c r="B25" s="108" t="s">
        <v>136</v>
      </c>
      <c r="C25" s="108"/>
      <c r="D25" s="141">
        <v>2017</v>
      </c>
      <c r="E25" s="146">
        <f>SUM(F25:G25)</f>
        <v>73</v>
      </c>
      <c r="F25" s="146">
        <f>'1.5Sarawak (2)'!E29</f>
        <v>15</v>
      </c>
      <c r="G25" s="146">
        <f>'1.7Sarawak (2)'!E27</f>
        <v>58</v>
      </c>
      <c r="H25" s="24"/>
    </row>
    <row r="26" spans="1:8" s="6" customFormat="1" ht="15" customHeight="1" x14ac:dyDescent="0.25">
      <c r="A26" s="106"/>
      <c r="B26" s="110"/>
      <c r="C26" s="108"/>
      <c r="D26" s="141">
        <v>2018</v>
      </c>
      <c r="E26" s="146">
        <f t="shared" ref="E26:E27" si="3">SUM(F26:G26)</f>
        <v>94</v>
      </c>
      <c r="F26" s="146">
        <f>'1.5Sarawak (2)'!E30</f>
        <v>48</v>
      </c>
      <c r="G26" s="146">
        <f>'1.7Sarawak (2)'!E28</f>
        <v>46</v>
      </c>
      <c r="H26" s="24"/>
    </row>
    <row r="27" spans="1:8" s="6" customFormat="1" ht="15" customHeight="1" x14ac:dyDescent="0.25">
      <c r="A27" s="106"/>
      <c r="B27" s="110"/>
      <c r="C27" s="108"/>
      <c r="D27" s="141">
        <v>2019</v>
      </c>
      <c r="E27" s="146">
        <f t="shared" si="3"/>
        <v>39</v>
      </c>
      <c r="F27" s="146">
        <f>'1.5Sarawak (2)'!E31</f>
        <v>9</v>
      </c>
      <c r="G27" s="146">
        <f>'1.7Sarawak (2)'!E29</f>
        <v>30</v>
      </c>
      <c r="H27" s="24"/>
    </row>
    <row r="28" spans="1:8" s="6" customFormat="1" ht="9.9499999999999993" customHeight="1" x14ac:dyDescent="0.25">
      <c r="A28" s="106"/>
      <c r="B28" s="110"/>
      <c r="C28" s="108"/>
      <c r="D28" s="141"/>
      <c r="E28" s="146"/>
      <c r="F28" s="146"/>
      <c r="G28" s="146"/>
      <c r="H28" s="24"/>
    </row>
    <row r="29" spans="1:8" s="6" customFormat="1" ht="15" customHeight="1" x14ac:dyDescent="0.25">
      <c r="A29" s="106"/>
      <c r="B29" s="108" t="s">
        <v>137</v>
      </c>
      <c r="C29" s="108"/>
      <c r="D29" s="141">
        <v>2017</v>
      </c>
      <c r="E29" s="146">
        <f>SUM(F29:G29)</f>
        <v>32</v>
      </c>
      <c r="F29" s="146">
        <f>'1.5Sarawak (2)'!E33</f>
        <v>2</v>
      </c>
      <c r="G29" s="146">
        <f>'1.7Sarawak (2)'!E31</f>
        <v>30</v>
      </c>
      <c r="H29" s="24"/>
    </row>
    <row r="30" spans="1:8" s="6" customFormat="1" ht="15" customHeight="1" x14ac:dyDescent="0.25">
      <c r="A30" s="106"/>
      <c r="B30" s="110"/>
      <c r="C30" s="108"/>
      <c r="D30" s="141">
        <v>2018</v>
      </c>
      <c r="E30" s="146">
        <f t="shared" ref="E30:E31" si="4">SUM(F30:G30)</f>
        <v>34</v>
      </c>
      <c r="F30" s="146">
        <f>'1.5Sarawak (2)'!E34</f>
        <v>5</v>
      </c>
      <c r="G30" s="146">
        <f>'1.7Sarawak (2)'!E32</f>
        <v>29</v>
      </c>
      <c r="H30" s="24"/>
    </row>
    <row r="31" spans="1:8" s="6" customFormat="1" ht="15" customHeight="1" x14ac:dyDescent="0.25">
      <c r="A31" s="106"/>
      <c r="B31" s="110"/>
      <c r="C31" s="108"/>
      <c r="D31" s="141">
        <v>2019</v>
      </c>
      <c r="E31" s="146">
        <f t="shared" si="4"/>
        <v>18</v>
      </c>
      <c r="F31" s="146">
        <f>'1.5Sarawak (2)'!E35</f>
        <v>5</v>
      </c>
      <c r="G31" s="146">
        <f>'1.7Sarawak (2)'!E33</f>
        <v>13</v>
      </c>
      <c r="H31" s="24"/>
    </row>
    <row r="32" spans="1:8" s="6" customFormat="1" ht="9.9499999999999993" customHeight="1" x14ac:dyDescent="0.25">
      <c r="A32" s="106"/>
      <c r="B32" s="110"/>
      <c r="C32" s="108"/>
      <c r="D32" s="141"/>
      <c r="E32" s="146"/>
      <c r="F32" s="146"/>
      <c r="G32" s="146"/>
      <c r="H32" s="24"/>
    </row>
    <row r="33" spans="1:8" s="6" customFormat="1" ht="15" customHeight="1" x14ac:dyDescent="0.25">
      <c r="A33" s="106"/>
      <c r="B33" s="108" t="s">
        <v>138</v>
      </c>
      <c r="C33" s="108"/>
      <c r="D33" s="141">
        <v>2017</v>
      </c>
      <c r="E33" s="146">
        <f>SUM(F33:G33)</f>
        <v>64</v>
      </c>
      <c r="F33" s="146">
        <f>'1.5Sarawak (2)'!E37</f>
        <v>7</v>
      </c>
      <c r="G33" s="146">
        <f>'1.7Sarawak (2)'!E35</f>
        <v>57</v>
      </c>
      <c r="H33" s="24"/>
    </row>
    <row r="34" spans="1:8" s="6" customFormat="1" ht="15" customHeight="1" x14ac:dyDescent="0.25">
      <c r="A34" s="106"/>
      <c r="B34" s="110"/>
      <c r="C34" s="108"/>
      <c r="D34" s="141">
        <v>2018</v>
      </c>
      <c r="E34" s="146">
        <f t="shared" ref="E34:E35" si="5">SUM(F34:G34)</f>
        <v>48</v>
      </c>
      <c r="F34" s="146">
        <f>'1.5Sarawak (2)'!E38</f>
        <v>9</v>
      </c>
      <c r="G34" s="146">
        <f>'1.7Sarawak (2)'!E36</f>
        <v>39</v>
      </c>
      <c r="H34" s="24"/>
    </row>
    <row r="35" spans="1:8" s="6" customFormat="1" ht="15" customHeight="1" x14ac:dyDescent="0.25">
      <c r="A35" s="106"/>
      <c r="B35" s="110"/>
      <c r="C35" s="108"/>
      <c r="D35" s="141">
        <v>2019</v>
      </c>
      <c r="E35" s="146">
        <f t="shared" si="5"/>
        <v>38</v>
      </c>
      <c r="F35" s="146">
        <f>'1.5Sarawak (2)'!E39</f>
        <v>9</v>
      </c>
      <c r="G35" s="146">
        <f>'1.7Sarawak (2)'!E37</f>
        <v>29</v>
      </c>
      <c r="H35" s="24"/>
    </row>
    <row r="36" spans="1:8" s="6" customFormat="1" ht="9.9499999999999993" customHeight="1" x14ac:dyDescent="0.25">
      <c r="A36" s="106"/>
      <c r="B36" s="110"/>
      <c r="C36" s="108"/>
      <c r="D36" s="141"/>
      <c r="E36" s="146"/>
      <c r="F36" s="146"/>
      <c r="G36" s="146"/>
      <c r="H36" s="24"/>
    </row>
    <row r="37" spans="1:8" s="6" customFormat="1" ht="15" customHeight="1" x14ac:dyDescent="0.25">
      <c r="A37" s="106"/>
      <c r="B37" s="108" t="s">
        <v>139</v>
      </c>
      <c r="C37" s="108"/>
      <c r="D37" s="141">
        <v>2017</v>
      </c>
      <c r="E37" s="146">
        <f>SUM(F37:G37)</f>
        <v>60</v>
      </c>
      <c r="F37" s="146">
        <f>'1.5Sarawak (2)'!E41</f>
        <v>21</v>
      </c>
      <c r="G37" s="146">
        <f>'1.7Sarawak (2)'!E39</f>
        <v>39</v>
      </c>
      <c r="H37" s="24"/>
    </row>
    <row r="38" spans="1:8" s="6" customFormat="1" ht="15" customHeight="1" x14ac:dyDescent="0.25">
      <c r="A38" s="106"/>
      <c r="B38" s="110"/>
      <c r="C38" s="108"/>
      <c r="D38" s="141">
        <v>2018</v>
      </c>
      <c r="E38" s="146">
        <f t="shared" ref="E38:E39" si="6">SUM(F38:G38)</f>
        <v>122</v>
      </c>
      <c r="F38" s="146">
        <f>'1.5Sarawak (2)'!E42</f>
        <v>89</v>
      </c>
      <c r="G38" s="146">
        <f>'1.7Sarawak (2)'!E40</f>
        <v>33</v>
      </c>
      <c r="H38" s="24"/>
    </row>
    <row r="39" spans="1:8" s="6" customFormat="1" ht="15" customHeight="1" x14ac:dyDescent="0.25">
      <c r="A39" s="106"/>
      <c r="B39" s="110"/>
      <c r="C39" s="108"/>
      <c r="D39" s="141">
        <v>2019</v>
      </c>
      <c r="E39" s="146">
        <f t="shared" si="6"/>
        <v>77</v>
      </c>
      <c r="F39" s="146">
        <f>'1.5Sarawak (2)'!E43</f>
        <v>19</v>
      </c>
      <c r="G39" s="146">
        <f>'1.7Sarawak (2)'!E41</f>
        <v>58</v>
      </c>
      <c r="H39" s="24"/>
    </row>
    <row r="40" spans="1:8" s="6" customFormat="1" ht="9.9499999999999993" customHeight="1" x14ac:dyDescent="0.25">
      <c r="A40" s="106"/>
      <c r="B40" s="110"/>
      <c r="C40" s="108"/>
      <c r="D40" s="141"/>
      <c r="E40" s="146"/>
      <c r="F40" s="146"/>
      <c r="G40" s="146"/>
      <c r="H40" s="24"/>
    </row>
    <row r="41" spans="1:8" s="6" customFormat="1" ht="15" customHeight="1" x14ac:dyDescent="0.25">
      <c r="A41" s="106"/>
      <c r="B41" s="108" t="s">
        <v>140</v>
      </c>
      <c r="C41" s="108"/>
      <c r="D41" s="141">
        <v>2017</v>
      </c>
      <c r="E41" s="146">
        <f>SUM(F41:G41)</f>
        <v>25</v>
      </c>
      <c r="F41" s="146">
        <f>'1.5Sarawak (2)'!E45</f>
        <v>3</v>
      </c>
      <c r="G41" s="146">
        <f>'1.7Sarawak (2)'!E43</f>
        <v>22</v>
      </c>
      <c r="H41" s="24"/>
    </row>
    <row r="42" spans="1:8" s="6" customFormat="1" ht="15" customHeight="1" x14ac:dyDescent="0.25">
      <c r="A42" s="106"/>
      <c r="B42" s="110"/>
      <c r="C42" s="108"/>
      <c r="D42" s="141">
        <v>2018</v>
      </c>
      <c r="E42" s="146">
        <f t="shared" ref="E42:E43" si="7">SUM(F42:G42)</f>
        <v>34</v>
      </c>
      <c r="F42" s="146">
        <f>'1.5Sarawak (2)'!E46</f>
        <v>10</v>
      </c>
      <c r="G42" s="146">
        <f>'1.7Sarawak (2)'!E44</f>
        <v>24</v>
      </c>
      <c r="H42" s="24"/>
    </row>
    <row r="43" spans="1:8" s="6" customFormat="1" ht="15" customHeight="1" x14ac:dyDescent="0.25">
      <c r="A43" s="106"/>
      <c r="B43" s="110"/>
      <c r="C43" s="108"/>
      <c r="D43" s="141">
        <v>2019</v>
      </c>
      <c r="E43" s="146">
        <f t="shared" si="7"/>
        <v>26</v>
      </c>
      <c r="F43" s="146">
        <f>'1.5Sarawak (2)'!E47</f>
        <v>6</v>
      </c>
      <c r="G43" s="146">
        <f>'1.7Sarawak (2)'!E45</f>
        <v>20</v>
      </c>
      <c r="H43" s="24"/>
    </row>
    <row r="44" spans="1:8" s="6" customFormat="1" ht="9.9499999999999993" customHeight="1" x14ac:dyDescent="0.25">
      <c r="A44" s="106"/>
      <c r="B44" s="110"/>
      <c r="C44" s="108"/>
      <c r="D44" s="141"/>
      <c r="E44" s="146"/>
      <c r="F44" s="146"/>
      <c r="G44" s="146"/>
      <c r="H44" s="24"/>
    </row>
    <row r="45" spans="1:8" s="6" customFormat="1" ht="15" customHeight="1" x14ac:dyDescent="0.25">
      <c r="A45" s="106"/>
      <c r="B45" s="108" t="s">
        <v>141</v>
      </c>
      <c r="C45" s="108"/>
      <c r="D45" s="141">
        <v>2017</v>
      </c>
      <c r="E45" s="146">
        <f>SUM(F45:G45)</f>
        <v>37</v>
      </c>
      <c r="F45" s="146">
        <f>'1.5Sarawak (2)'!E49</f>
        <v>7</v>
      </c>
      <c r="G45" s="146">
        <f>'1.7Sarawak (2)'!E47</f>
        <v>30</v>
      </c>
      <c r="H45" s="24"/>
    </row>
    <row r="46" spans="1:8" s="6" customFormat="1" ht="15" customHeight="1" x14ac:dyDescent="0.25">
      <c r="A46" s="106"/>
      <c r="B46" s="110"/>
      <c r="C46" s="108"/>
      <c r="D46" s="141">
        <v>2018</v>
      </c>
      <c r="E46" s="146">
        <f t="shared" ref="E46:E47" si="8">SUM(F46:G46)</f>
        <v>67</v>
      </c>
      <c r="F46" s="146">
        <f>'1.5Sarawak (2)'!E50</f>
        <v>30</v>
      </c>
      <c r="G46" s="146">
        <f>'1.7Sarawak (2)'!E48</f>
        <v>37</v>
      </c>
      <c r="H46" s="24"/>
    </row>
    <row r="47" spans="1:8" s="6" customFormat="1" ht="15" customHeight="1" x14ac:dyDescent="0.25">
      <c r="A47" s="106"/>
      <c r="B47" s="110"/>
      <c r="C47" s="108"/>
      <c r="D47" s="141">
        <v>2019</v>
      </c>
      <c r="E47" s="146">
        <f t="shared" si="8"/>
        <v>59</v>
      </c>
      <c r="F47" s="146">
        <f>'1.5Sarawak (2)'!E51</f>
        <v>13</v>
      </c>
      <c r="G47" s="146">
        <f>'1.7Sarawak (2)'!E49</f>
        <v>46</v>
      </c>
      <c r="H47" s="24"/>
    </row>
    <row r="48" spans="1:8" s="6" customFormat="1" ht="9.9499999999999993" customHeight="1" x14ac:dyDescent="0.25">
      <c r="A48" s="106"/>
      <c r="B48" s="110"/>
      <c r="C48" s="108"/>
      <c r="D48" s="141"/>
      <c r="E48" s="146"/>
      <c r="F48" s="146"/>
      <c r="G48" s="146"/>
      <c r="H48" s="24"/>
    </row>
    <row r="49" spans="1:8" s="6" customFormat="1" ht="15" customHeight="1" x14ac:dyDescent="0.25">
      <c r="A49" s="106"/>
      <c r="B49" s="108" t="s">
        <v>142</v>
      </c>
      <c r="C49" s="108"/>
      <c r="D49" s="141">
        <v>2017</v>
      </c>
      <c r="E49" s="146">
        <f>SUM(F49:G49)</f>
        <v>978</v>
      </c>
      <c r="F49" s="146">
        <f>'1.5Sarawak (2)'!E53</f>
        <v>163</v>
      </c>
      <c r="G49" s="146">
        <f>'1.7Sarawak (2)'!E51</f>
        <v>815</v>
      </c>
      <c r="H49" s="24"/>
    </row>
    <row r="50" spans="1:8" s="6" customFormat="1" ht="15" customHeight="1" x14ac:dyDescent="0.25">
      <c r="A50" s="106"/>
      <c r="B50" s="110"/>
      <c r="C50" s="108"/>
      <c r="D50" s="141">
        <v>2018</v>
      </c>
      <c r="E50" s="146">
        <f t="shared" ref="E50:E51" si="9">SUM(F50:G50)</f>
        <v>895</v>
      </c>
      <c r="F50" s="146">
        <f>'1.5Sarawak (2)'!E54</f>
        <v>74</v>
      </c>
      <c r="G50" s="146">
        <f>'1.7Sarawak (2)'!E52</f>
        <v>821</v>
      </c>
      <c r="H50" s="24"/>
    </row>
    <row r="51" spans="1:8" s="6" customFormat="1" ht="15" customHeight="1" x14ac:dyDescent="0.25">
      <c r="A51" s="106"/>
      <c r="B51" s="110"/>
      <c r="C51" s="108"/>
      <c r="D51" s="141">
        <v>2019</v>
      </c>
      <c r="E51" s="146">
        <f t="shared" si="9"/>
        <v>970</v>
      </c>
      <c r="F51" s="146">
        <f>'1.5Sarawak (2)'!E55</f>
        <v>168</v>
      </c>
      <c r="G51" s="146">
        <f>'1.7Sarawak (2)'!E53</f>
        <v>802</v>
      </c>
      <c r="H51" s="24"/>
    </row>
    <row r="52" spans="1:8" s="6" customFormat="1" ht="8.1" customHeight="1" thickBot="1" x14ac:dyDescent="0.3">
      <c r="A52" s="105"/>
      <c r="B52" s="105"/>
      <c r="C52" s="105"/>
      <c r="D52" s="105"/>
      <c r="E52" s="70"/>
      <c r="F52" s="58"/>
      <c r="G52" s="58"/>
      <c r="H52" s="100"/>
    </row>
    <row r="53" spans="1:8" s="93" customFormat="1" ht="15" customHeight="1" x14ac:dyDescent="0.2">
      <c r="B53" s="101"/>
      <c r="C53" s="101"/>
      <c r="D53" s="101"/>
      <c r="E53" s="8"/>
      <c r="F53" s="92"/>
      <c r="G53" s="8" t="s">
        <v>99</v>
      </c>
    </row>
    <row r="54" spans="1:8" s="18" customFormat="1" ht="15" customHeight="1" x14ac:dyDescent="0.2">
      <c r="B54" s="95"/>
      <c r="C54" s="95"/>
      <c r="D54" s="132"/>
      <c r="E54" s="8"/>
      <c r="F54" s="92"/>
      <c r="G54" s="41" t="s">
        <v>1</v>
      </c>
    </row>
    <row r="55" spans="1:8" ht="15" customHeight="1" x14ac:dyDescent="0.25">
      <c r="D55" s="130"/>
    </row>
    <row r="56" spans="1:8" x14ac:dyDescent="0.25">
      <c r="D56" s="130"/>
    </row>
    <row r="57" spans="1:8" x14ac:dyDescent="0.25">
      <c r="D57" s="130"/>
    </row>
    <row r="58" spans="1:8" x14ac:dyDescent="0.25">
      <c r="D58" s="130"/>
    </row>
    <row r="59" spans="1:8" x14ac:dyDescent="0.25">
      <c r="D59" s="130"/>
    </row>
    <row r="60" spans="1:8" x14ac:dyDescent="0.25">
      <c r="D60" s="130"/>
    </row>
    <row r="61" spans="1:8" x14ac:dyDescent="0.25">
      <c r="D61" s="130"/>
    </row>
    <row r="62" spans="1:8" x14ac:dyDescent="0.25">
      <c r="D62" s="130"/>
    </row>
    <row r="63" spans="1:8" x14ac:dyDescent="0.25">
      <c r="D63" s="130"/>
    </row>
    <row r="64" spans="1:8" x14ac:dyDescent="0.25">
      <c r="D64" s="130"/>
    </row>
    <row r="65" spans="4:8" x14ac:dyDescent="0.25">
      <c r="D65" s="130"/>
    </row>
    <row r="66" spans="4:8" s="3" customFormat="1" ht="15" customHeight="1" x14ac:dyDescent="0.25">
      <c r="D66" s="130"/>
      <c r="E66" s="21"/>
      <c r="F66" s="22"/>
      <c r="G66" s="22"/>
      <c r="H66" s="2"/>
    </row>
    <row r="67" spans="4:8" x14ac:dyDescent="0.25">
      <c r="D67" s="130"/>
    </row>
    <row r="68" spans="4:8" x14ac:dyDescent="0.25">
      <c r="D68" s="130"/>
    </row>
    <row r="69" spans="4:8" x14ac:dyDescent="0.25">
      <c r="D69" s="130"/>
    </row>
  </sheetData>
  <mergeCells count="6">
    <mergeCell ref="C6:G6"/>
    <mergeCell ref="B8:C9"/>
    <mergeCell ref="D8:D9"/>
    <mergeCell ref="E8:E9"/>
    <mergeCell ref="F8:F9"/>
    <mergeCell ref="G8:G9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90" fitToWidth="0" orientation="portrait" r:id="rId1"/>
  <headerFooter>
    <oddHeader xml:space="preserve">&amp;R&amp;"-,Bold"
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showGridLines="0" zoomScaleNormal="100" zoomScaleSheetLayoutView="100" workbookViewId="0">
      <selection activeCell="AA22" sqref="AA22"/>
    </sheetView>
  </sheetViews>
  <sheetFormatPr defaultColWidth="9.140625" defaultRowHeight="15" x14ac:dyDescent="0.25"/>
  <cols>
    <col min="1" max="1" width="1.7109375" style="2" customWidth="1"/>
    <col min="2" max="2" width="11" style="3" customWidth="1"/>
    <col min="3" max="3" width="12.28515625" style="3" customWidth="1"/>
    <col min="4" max="4" width="10.85546875" style="3" customWidth="1"/>
    <col min="5" max="5" width="15.7109375" style="21" customWidth="1"/>
    <col min="6" max="7" width="23.7109375" style="22" customWidth="1"/>
    <col min="8" max="8" width="0.85546875" style="2" customWidth="1"/>
    <col min="9" max="16384" width="9.140625" style="2"/>
  </cols>
  <sheetData>
    <row r="1" spans="1:8" s="30" customFormat="1" ht="12" customHeight="1" x14ac:dyDescent="0.25">
      <c r="B1" s="27"/>
      <c r="C1" s="27"/>
      <c r="D1" s="27"/>
      <c r="E1" s="28"/>
      <c r="F1" s="29"/>
      <c r="G1" s="150" t="s">
        <v>179</v>
      </c>
    </row>
    <row r="2" spans="1:8" s="30" customFormat="1" ht="12" customHeight="1" x14ac:dyDescent="0.25">
      <c r="B2" s="27"/>
      <c r="C2" s="27"/>
      <c r="D2" s="27"/>
      <c r="E2" s="28"/>
      <c r="F2" s="29"/>
      <c r="G2" s="151" t="s">
        <v>180</v>
      </c>
    </row>
    <row r="3" spans="1:8" s="30" customFormat="1" ht="12" customHeight="1" x14ac:dyDescent="0.25">
      <c r="B3" s="27"/>
      <c r="C3" s="27"/>
      <c r="D3" s="27"/>
      <c r="E3" s="28"/>
      <c r="F3" s="29"/>
      <c r="G3" s="68"/>
    </row>
    <row r="4" spans="1:8" s="30" customFormat="1" ht="12" customHeight="1" x14ac:dyDescent="0.25">
      <c r="B4" s="27"/>
      <c r="C4" s="27"/>
      <c r="D4" s="27"/>
      <c r="E4" s="28"/>
      <c r="F4" s="29"/>
      <c r="G4" s="68"/>
    </row>
    <row r="5" spans="1:8" s="53" customFormat="1" ht="15" customHeight="1" x14ac:dyDescent="0.2">
      <c r="B5" s="63" t="s">
        <v>184</v>
      </c>
      <c r="C5" s="64" t="s">
        <v>243</v>
      </c>
      <c r="D5" s="64"/>
      <c r="E5" s="63"/>
      <c r="F5" s="64"/>
      <c r="G5" s="152"/>
      <c r="H5" s="64"/>
    </row>
    <row r="6" spans="1:8" s="65" customFormat="1" ht="15" customHeight="1" x14ac:dyDescent="0.2">
      <c r="B6" s="66" t="s">
        <v>185</v>
      </c>
      <c r="C6" s="422" t="s">
        <v>244</v>
      </c>
      <c r="D6" s="422"/>
      <c r="E6" s="422"/>
      <c r="F6" s="422"/>
      <c r="G6" s="422"/>
      <c r="H6" s="67"/>
    </row>
    <row r="7" spans="1:8" ht="9.9499999999999993" customHeight="1" thickBot="1" x14ac:dyDescent="0.3"/>
    <row r="8" spans="1:8" s="53" customFormat="1" ht="20.100000000000001" customHeight="1" thickTop="1" x14ac:dyDescent="0.2">
      <c r="A8" s="371"/>
      <c r="B8" s="429" t="s">
        <v>207</v>
      </c>
      <c r="C8" s="429"/>
      <c r="D8" s="423" t="s">
        <v>96</v>
      </c>
      <c r="E8" s="423" t="s">
        <v>92</v>
      </c>
      <c r="F8" s="425" t="s">
        <v>93</v>
      </c>
      <c r="G8" s="425" t="s">
        <v>94</v>
      </c>
      <c r="H8" s="372"/>
    </row>
    <row r="9" spans="1:8" s="53" customFormat="1" ht="33" customHeight="1" x14ac:dyDescent="0.2">
      <c r="A9" s="373"/>
      <c r="B9" s="430"/>
      <c r="C9" s="430"/>
      <c r="D9" s="424"/>
      <c r="E9" s="424"/>
      <c r="F9" s="426"/>
      <c r="G9" s="426"/>
      <c r="H9" s="369"/>
    </row>
    <row r="10" spans="1:8" s="53" customFormat="1" ht="8.1" customHeight="1" x14ac:dyDescent="0.2">
      <c r="A10" s="86"/>
      <c r="B10" s="87"/>
      <c r="C10" s="87"/>
      <c r="D10" s="88"/>
      <c r="E10" s="88"/>
      <c r="F10" s="89"/>
      <c r="G10" s="89"/>
      <c r="H10" s="90"/>
    </row>
    <row r="11" spans="1:8" s="6" customFormat="1" ht="20.100000000000001" customHeight="1" x14ac:dyDescent="0.25">
      <c r="A11" s="24"/>
      <c r="B11" s="124" t="s">
        <v>200</v>
      </c>
      <c r="C11" s="13"/>
      <c r="D11" s="13"/>
      <c r="E11" s="9"/>
      <c r="F11" s="9"/>
      <c r="G11" s="9"/>
      <c r="H11" s="24"/>
    </row>
    <row r="12" spans="1:8" s="6" customFormat="1" ht="8.1" customHeight="1" x14ac:dyDescent="0.25">
      <c r="A12" s="24"/>
      <c r="B12" s="107"/>
      <c r="C12" s="13"/>
      <c r="D12" s="13"/>
      <c r="E12" s="9"/>
      <c r="F12" s="9"/>
      <c r="G12" s="9"/>
      <c r="H12" s="24"/>
    </row>
    <row r="13" spans="1:8" s="6" customFormat="1" ht="15" customHeight="1" x14ac:dyDescent="0.25">
      <c r="A13" s="106"/>
      <c r="B13" s="108" t="s">
        <v>143</v>
      </c>
      <c r="C13" s="108"/>
      <c r="D13" s="148">
        <v>2017</v>
      </c>
      <c r="E13" s="146">
        <f>SUM(F13:G13)</f>
        <v>84</v>
      </c>
      <c r="F13" s="146">
        <f>'1.5Sarawak (3)'!E17</f>
        <v>10</v>
      </c>
      <c r="G13" s="146">
        <f>'1.7Sarawak (3)'!E16</f>
        <v>74</v>
      </c>
      <c r="H13" s="24"/>
    </row>
    <row r="14" spans="1:8" s="6" customFormat="1" ht="15" customHeight="1" x14ac:dyDescent="0.25">
      <c r="A14" s="106"/>
      <c r="B14" s="110"/>
      <c r="C14" s="108"/>
      <c r="D14" s="148">
        <v>2018</v>
      </c>
      <c r="E14" s="146">
        <f t="shared" ref="E14:E15" si="0">SUM(F14:G14)</f>
        <v>96</v>
      </c>
      <c r="F14" s="146">
        <f>'1.5Sarawak (3)'!E18</f>
        <v>13</v>
      </c>
      <c r="G14" s="146">
        <f>'1.7Sarawak (3)'!E17</f>
        <v>83</v>
      </c>
      <c r="H14" s="24"/>
    </row>
    <row r="15" spans="1:8" s="6" customFormat="1" ht="15" customHeight="1" x14ac:dyDescent="0.25">
      <c r="A15" s="106"/>
      <c r="B15" s="110"/>
      <c r="C15" s="108"/>
      <c r="D15" s="148">
        <v>2019</v>
      </c>
      <c r="E15" s="146">
        <f t="shared" si="0"/>
        <v>97</v>
      </c>
      <c r="F15" s="146">
        <f>'1.5Sarawak (3)'!E19</f>
        <v>7</v>
      </c>
      <c r="G15" s="146">
        <f>'1.7Sarawak (3)'!E18</f>
        <v>90</v>
      </c>
      <c r="H15" s="24"/>
    </row>
    <row r="16" spans="1:8" s="6" customFormat="1" ht="8.1" customHeight="1" x14ac:dyDescent="0.25">
      <c r="A16" s="106"/>
      <c r="B16" s="110"/>
      <c r="C16" s="108"/>
      <c r="D16" s="148"/>
      <c r="E16" s="146"/>
      <c r="F16" s="146"/>
      <c r="G16" s="146"/>
      <c r="H16" s="24"/>
    </row>
    <row r="17" spans="1:8" s="6" customFormat="1" ht="15" customHeight="1" x14ac:dyDescent="0.25">
      <c r="A17" s="106"/>
      <c r="B17" s="108" t="s">
        <v>144</v>
      </c>
      <c r="C17" s="108"/>
      <c r="D17" s="148">
        <v>2017</v>
      </c>
      <c r="E17" s="146">
        <f>SUM(F17:G17)</f>
        <v>908</v>
      </c>
      <c r="F17" s="146">
        <f>'1.5Sarawak (3)'!E21</f>
        <v>78</v>
      </c>
      <c r="G17" s="146">
        <f>'1.7Sarawak (3)'!E20</f>
        <v>830</v>
      </c>
      <c r="H17" s="24"/>
    </row>
    <row r="18" spans="1:8" s="6" customFormat="1" ht="15" customHeight="1" x14ac:dyDescent="0.25">
      <c r="A18" s="106"/>
      <c r="B18" s="110"/>
      <c r="C18" s="108"/>
      <c r="D18" s="148">
        <v>2018</v>
      </c>
      <c r="E18" s="146">
        <f t="shared" ref="E18:E19" si="1">SUM(F18:G18)</f>
        <v>780</v>
      </c>
      <c r="F18" s="146">
        <f>'1.5Sarawak (3)'!E22</f>
        <v>60</v>
      </c>
      <c r="G18" s="146">
        <f>'1.7Sarawak (3)'!E21</f>
        <v>720</v>
      </c>
      <c r="H18" s="24"/>
    </row>
    <row r="19" spans="1:8" s="6" customFormat="1" ht="15" customHeight="1" x14ac:dyDescent="0.25">
      <c r="A19" s="106"/>
      <c r="B19" s="110"/>
      <c r="C19" s="108"/>
      <c r="D19" s="148">
        <v>2019</v>
      </c>
      <c r="E19" s="146">
        <f t="shared" si="1"/>
        <v>783</v>
      </c>
      <c r="F19" s="146">
        <f>'1.5Sarawak (3)'!E23</f>
        <v>84</v>
      </c>
      <c r="G19" s="146">
        <f>'1.7Sarawak (3)'!E22</f>
        <v>699</v>
      </c>
      <c r="H19" s="24"/>
    </row>
    <row r="20" spans="1:8" s="6" customFormat="1" ht="8.1" customHeight="1" x14ac:dyDescent="0.25">
      <c r="A20" s="106"/>
      <c r="B20" s="110"/>
      <c r="C20" s="108"/>
      <c r="D20" s="148"/>
      <c r="E20" s="146"/>
      <c r="F20" s="146"/>
      <c r="G20" s="146"/>
      <c r="H20" s="24"/>
    </row>
    <row r="21" spans="1:8" s="6" customFormat="1" ht="15" customHeight="1" x14ac:dyDescent="0.25">
      <c r="A21" s="106"/>
      <c r="B21" s="108" t="s">
        <v>145</v>
      </c>
      <c r="C21" s="108"/>
      <c r="D21" s="148">
        <v>2017</v>
      </c>
      <c r="E21" s="146">
        <f>SUM(F21:G21)</f>
        <v>34</v>
      </c>
      <c r="F21" s="146">
        <f>'1.5Sarawak (3)'!E25</f>
        <v>8</v>
      </c>
      <c r="G21" s="146">
        <f>'1.7Sarawak (3)'!E24</f>
        <v>26</v>
      </c>
      <c r="H21" s="24"/>
    </row>
    <row r="22" spans="1:8" s="6" customFormat="1" ht="15" customHeight="1" x14ac:dyDescent="0.25">
      <c r="A22" s="106"/>
      <c r="B22" s="110"/>
      <c r="C22" s="108"/>
      <c r="D22" s="148">
        <v>2018</v>
      </c>
      <c r="E22" s="146">
        <f t="shared" ref="E22:E23" si="2">SUM(F22:G22)</f>
        <v>25</v>
      </c>
      <c r="F22" s="146">
        <f>'1.5Sarawak (3)'!E26</f>
        <v>11</v>
      </c>
      <c r="G22" s="146">
        <f>'1.7Sarawak (3)'!E25</f>
        <v>14</v>
      </c>
      <c r="H22" s="24"/>
    </row>
    <row r="23" spans="1:8" s="6" customFormat="1" ht="15" customHeight="1" x14ac:dyDescent="0.25">
      <c r="A23" s="106"/>
      <c r="B23" s="110"/>
      <c r="C23" s="108"/>
      <c r="D23" s="148">
        <v>2019</v>
      </c>
      <c r="E23" s="146">
        <f t="shared" si="2"/>
        <v>33</v>
      </c>
      <c r="F23" s="146">
        <f>'1.5Sarawak (3)'!E27</f>
        <v>8</v>
      </c>
      <c r="G23" s="146">
        <f>'1.7Sarawak (3)'!E26</f>
        <v>25</v>
      </c>
      <c r="H23" s="24"/>
    </row>
    <row r="24" spans="1:8" s="6" customFormat="1" ht="8.1" customHeight="1" x14ac:dyDescent="0.25">
      <c r="A24" s="106"/>
      <c r="B24" s="110"/>
      <c r="C24" s="108"/>
      <c r="D24" s="148"/>
      <c r="E24" s="146"/>
      <c r="F24" s="146"/>
      <c r="G24" s="146"/>
      <c r="H24" s="24"/>
    </row>
    <row r="25" spans="1:8" s="6" customFormat="1" ht="15" customHeight="1" x14ac:dyDescent="0.25">
      <c r="A25" s="106"/>
      <c r="B25" s="108" t="s">
        <v>146</v>
      </c>
      <c r="C25" s="108"/>
      <c r="D25" s="148">
        <v>2017</v>
      </c>
      <c r="E25" s="146">
        <f>SUM(F25:G25)</f>
        <v>177</v>
      </c>
      <c r="F25" s="146">
        <f>'1.5Sarawak (3)'!E29</f>
        <v>28</v>
      </c>
      <c r="G25" s="146">
        <f>'1.7Sarawak (3)'!E28</f>
        <v>149</v>
      </c>
      <c r="H25" s="24"/>
    </row>
    <row r="26" spans="1:8" s="6" customFormat="1" ht="15" customHeight="1" x14ac:dyDescent="0.25">
      <c r="A26" s="106"/>
      <c r="B26" s="110"/>
      <c r="C26" s="108"/>
      <c r="D26" s="148">
        <v>2018</v>
      </c>
      <c r="E26" s="146">
        <f t="shared" ref="E26:E27" si="3">SUM(F26:G26)</f>
        <v>158</v>
      </c>
      <c r="F26" s="146">
        <f>'1.5Sarawak (3)'!E30</f>
        <v>9</v>
      </c>
      <c r="G26" s="146">
        <f>'1.7Sarawak (3)'!E29</f>
        <v>149</v>
      </c>
      <c r="H26" s="24"/>
    </row>
    <row r="27" spans="1:8" s="6" customFormat="1" ht="15" customHeight="1" x14ac:dyDescent="0.25">
      <c r="A27" s="106"/>
      <c r="B27" s="110"/>
      <c r="C27" s="108"/>
      <c r="D27" s="148">
        <v>2019</v>
      </c>
      <c r="E27" s="146">
        <f t="shared" si="3"/>
        <v>160</v>
      </c>
      <c r="F27" s="146">
        <f>'1.5Sarawak (3)'!E31</f>
        <v>18</v>
      </c>
      <c r="G27" s="146">
        <f>'1.7Sarawak (3)'!E30</f>
        <v>142</v>
      </c>
      <c r="H27" s="24"/>
    </row>
    <row r="28" spans="1:8" s="6" customFormat="1" ht="8.1" customHeight="1" x14ac:dyDescent="0.25">
      <c r="A28" s="106"/>
      <c r="B28" s="110"/>
      <c r="C28" s="108"/>
      <c r="D28" s="148"/>
      <c r="E28" s="146"/>
      <c r="F28" s="146"/>
      <c r="G28" s="146"/>
      <c r="H28" s="24"/>
    </row>
    <row r="29" spans="1:8" s="6" customFormat="1" ht="15" customHeight="1" x14ac:dyDescent="0.25">
      <c r="A29" s="106"/>
      <c r="B29" s="108" t="s">
        <v>147</v>
      </c>
      <c r="C29" s="108"/>
      <c r="D29" s="148">
        <v>2017</v>
      </c>
      <c r="E29" s="146">
        <f>SUM(F29:G29)</f>
        <v>145</v>
      </c>
      <c r="F29" s="146">
        <f>'1.5Sarawak (3)'!E33</f>
        <v>25</v>
      </c>
      <c r="G29" s="146">
        <f>'1.7Sarawak (3)'!E32</f>
        <v>120</v>
      </c>
      <c r="H29" s="24"/>
    </row>
    <row r="30" spans="1:8" s="6" customFormat="1" ht="15" customHeight="1" x14ac:dyDescent="0.25">
      <c r="A30" s="106"/>
      <c r="B30" s="110"/>
      <c r="C30" s="108"/>
      <c r="D30" s="148">
        <v>2018</v>
      </c>
      <c r="E30" s="146">
        <f t="shared" ref="E30:E31" si="4">SUM(F30:G30)</f>
        <v>121</v>
      </c>
      <c r="F30" s="146">
        <f>'1.5Sarawak (3)'!E34</f>
        <v>18</v>
      </c>
      <c r="G30" s="146">
        <f>'1.7Sarawak (3)'!E33</f>
        <v>103</v>
      </c>
      <c r="H30" s="24"/>
    </row>
    <row r="31" spans="1:8" s="6" customFormat="1" ht="15" customHeight="1" x14ac:dyDescent="0.25">
      <c r="A31" s="106"/>
      <c r="B31" s="110"/>
      <c r="C31" s="108"/>
      <c r="D31" s="148">
        <v>2019</v>
      </c>
      <c r="E31" s="146">
        <f t="shared" si="4"/>
        <v>122</v>
      </c>
      <c r="F31" s="146">
        <f>'1.5Sarawak (3)'!E35</f>
        <v>21</v>
      </c>
      <c r="G31" s="146">
        <f>'1.7Sarawak (3)'!E34</f>
        <v>101</v>
      </c>
      <c r="H31" s="24"/>
    </row>
    <row r="32" spans="1:8" s="6" customFormat="1" ht="8.1" customHeight="1" x14ac:dyDescent="0.25">
      <c r="A32" s="106"/>
      <c r="B32" s="110"/>
      <c r="C32" s="108"/>
      <c r="D32" s="148"/>
      <c r="E32" s="146"/>
      <c r="F32" s="146"/>
      <c r="G32" s="146"/>
      <c r="H32" s="24"/>
    </row>
    <row r="33" spans="1:8" s="6" customFormat="1" ht="15" customHeight="1" x14ac:dyDescent="0.25">
      <c r="A33" s="106"/>
      <c r="B33" s="108" t="s">
        <v>148</v>
      </c>
      <c r="C33" s="108"/>
      <c r="D33" s="148">
        <v>2017</v>
      </c>
      <c r="E33" s="146">
        <f>SUM(F33:G33)</f>
        <v>756</v>
      </c>
      <c r="F33" s="146">
        <f>'1.5Sarawak (3)'!E37</f>
        <v>122</v>
      </c>
      <c r="G33" s="146">
        <f>'1.7Sarawak (3)'!E36</f>
        <v>634</v>
      </c>
      <c r="H33" s="24"/>
    </row>
    <row r="34" spans="1:8" s="6" customFormat="1" ht="15" customHeight="1" x14ac:dyDescent="0.25">
      <c r="A34" s="106"/>
      <c r="B34" s="110"/>
      <c r="C34" s="108"/>
      <c r="D34" s="148">
        <v>2018</v>
      </c>
      <c r="E34" s="146">
        <f t="shared" ref="E34:E35" si="5">SUM(F34:G34)</f>
        <v>697</v>
      </c>
      <c r="F34" s="146">
        <f>'1.5Sarawak (3)'!E38</f>
        <v>71</v>
      </c>
      <c r="G34" s="146">
        <f>'1.7Sarawak (3)'!E37</f>
        <v>626</v>
      </c>
      <c r="H34" s="24"/>
    </row>
    <row r="35" spans="1:8" s="6" customFormat="1" ht="15" customHeight="1" x14ac:dyDescent="0.25">
      <c r="A35" s="106"/>
      <c r="B35" s="110"/>
      <c r="C35" s="108"/>
      <c r="D35" s="148">
        <v>2019</v>
      </c>
      <c r="E35" s="146">
        <f t="shared" si="5"/>
        <v>907</v>
      </c>
      <c r="F35" s="146">
        <f>'1.5Sarawak (3)'!E39</f>
        <v>124</v>
      </c>
      <c r="G35" s="146">
        <f>'1.7Sarawak (3)'!E38</f>
        <v>783</v>
      </c>
      <c r="H35" s="24"/>
    </row>
    <row r="36" spans="1:8" s="6" customFormat="1" ht="8.1" customHeight="1" x14ac:dyDescent="0.25">
      <c r="A36" s="106"/>
      <c r="B36" s="110"/>
      <c r="C36" s="108"/>
      <c r="D36" s="148"/>
      <c r="E36" s="146"/>
      <c r="F36" s="146"/>
      <c r="G36" s="146"/>
      <c r="H36" s="24"/>
    </row>
    <row r="37" spans="1:8" s="6" customFormat="1" ht="15" customHeight="1" x14ac:dyDescent="0.25">
      <c r="A37" s="106"/>
      <c r="B37" s="108" t="s">
        <v>149</v>
      </c>
      <c r="C37" s="108"/>
      <c r="D37" s="148">
        <v>2017</v>
      </c>
      <c r="E37" s="146">
        <f>SUM(F37:G37)</f>
        <v>34</v>
      </c>
      <c r="F37" s="146">
        <f>'1.5Sarawak (3)'!E41</f>
        <v>5</v>
      </c>
      <c r="G37" s="146">
        <f>'1.7Sarawak (3)'!E40</f>
        <v>29</v>
      </c>
      <c r="H37" s="24"/>
    </row>
    <row r="38" spans="1:8" s="6" customFormat="1" ht="15" customHeight="1" x14ac:dyDescent="0.25">
      <c r="A38" s="106"/>
      <c r="B38" s="110"/>
      <c r="C38" s="108"/>
      <c r="D38" s="148">
        <v>2018</v>
      </c>
      <c r="E38" s="146">
        <f t="shared" ref="E38:E39" si="6">SUM(F38:G38)</f>
        <v>39</v>
      </c>
      <c r="F38" s="146">
        <f>'1.5Sarawak (3)'!E42</f>
        <v>9</v>
      </c>
      <c r="G38" s="146">
        <f>'1.7Sarawak (3)'!E41</f>
        <v>30</v>
      </c>
      <c r="H38" s="24"/>
    </row>
    <row r="39" spans="1:8" s="6" customFormat="1" ht="15" customHeight="1" x14ac:dyDescent="0.25">
      <c r="A39" s="106"/>
      <c r="B39" s="110"/>
      <c r="C39" s="108"/>
      <c r="D39" s="148">
        <v>2019</v>
      </c>
      <c r="E39" s="146">
        <f t="shared" si="6"/>
        <v>56</v>
      </c>
      <c r="F39" s="146">
        <f>'1.5Sarawak (3)'!E43</f>
        <v>7</v>
      </c>
      <c r="G39" s="146">
        <f>'1.7Sarawak (3)'!E42</f>
        <v>49</v>
      </c>
      <c r="H39" s="24"/>
    </row>
    <row r="40" spans="1:8" s="6" customFormat="1" ht="8.1" customHeight="1" x14ac:dyDescent="0.25">
      <c r="A40" s="106"/>
      <c r="B40" s="110"/>
      <c r="C40" s="108"/>
      <c r="D40" s="141"/>
      <c r="E40" s="146"/>
      <c r="F40" s="146"/>
      <c r="G40" s="146"/>
      <c r="H40" s="24"/>
    </row>
    <row r="41" spans="1:8" s="6" customFormat="1" ht="15" customHeight="1" x14ac:dyDescent="0.25">
      <c r="A41" s="106"/>
      <c r="B41" s="108" t="s">
        <v>150</v>
      </c>
      <c r="C41" s="108"/>
      <c r="D41" s="148">
        <v>2017</v>
      </c>
      <c r="E41" s="146">
        <f>SUM(F41:G41)</f>
        <v>7</v>
      </c>
      <c r="F41" s="146">
        <f>'1.5Sarawak (3)'!E45</f>
        <v>3</v>
      </c>
      <c r="G41" s="146">
        <f>'1.7Sarawak (3)'!E44</f>
        <v>4</v>
      </c>
      <c r="H41" s="24"/>
    </row>
    <row r="42" spans="1:8" s="6" customFormat="1" ht="15" customHeight="1" x14ac:dyDescent="0.25">
      <c r="A42" s="106"/>
      <c r="B42" s="110"/>
      <c r="C42" s="108"/>
      <c r="D42" s="148">
        <v>2018</v>
      </c>
      <c r="E42" s="146">
        <f t="shared" ref="E42:E43" si="7">SUM(F42:G42)</f>
        <v>12</v>
      </c>
      <c r="F42" s="146">
        <f>'1.5Sarawak (3)'!E46</f>
        <v>2</v>
      </c>
      <c r="G42" s="146">
        <f>'1.7Sarawak (3)'!E45</f>
        <v>10</v>
      </c>
      <c r="H42" s="24"/>
    </row>
    <row r="43" spans="1:8" s="6" customFormat="1" ht="15" customHeight="1" x14ac:dyDescent="0.25">
      <c r="A43" s="106"/>
      <c r="B43" s="110"/>
      <c r="C43" s="108"/>
      <c r="D43" s="148">
        <v>2019</v>
      </c>
      <c r="E43" s="146">
        <f t="shared" si="7"/>
        <v>7</v>
      </c>
      <c r="F43" s="146">
        <f>'1.5Sarawak (3)'!E47</f>
        <v>3</v>
      </c>
      <c r="G43" s="146">
        <f>'1.7Sarawak (3)'!E46</f>
        <v>4</v>
      </c>
      <c r="H43" s="24"/>
    </row>
    <row r="44" spans="1:8" s="6" customFormat="1" ht="8.1" customHeight="1" x14ac:dyDescent="0.25">
      <c r="A44" s="106"/>
      <c r="B44" s="110"/>
      <c r="C44" s="108"/>
      <c r="D44" s="148"/>
      <c r="E44" s="146"/>
      <c r="F44" s="146"/>
      <c r="G44" s="146"/>
      <c r="H44" s="24"/>
    </row>
    <row r="45" spans="1:8" s="6" customFormat="1" ht="15" customHeight="1" x14ac:dyDescent="0.25">
      <c r="A45" s="106"/>
      <c r="B45" s="108" t="s">
        <v>151</v>
      </c>
      <c r="C45" s="108"/>
      <c r="D45" s="148">
        <v>2017</v>
      </c>
      <c r="E45" s="146">
        <f>SUM(F45:G45)</f>
        <v>116</v>
      </c>
      <c r="F45" s="146">
        <f>'1.5Sarawak (3)'!E49</f>
        <v>21</v>
      </c>
      <c r="G45" s="146">
        <f>'1.7Sarawak (3)'!E48</f>
        <v>95</v>
      </c>
      <c r="H45" s="24"/>
    </row>
    <row r="46" spans="1:8" s="6" customFormat="1" ht="15" customHeight="1" x14ac:dyDescent="0.25">
      <c r="A46" s="106"/>
      <c r="B46" s="110"/>
      <c r="C46" s="108"/>
      <c r="D46" s="148">
        <v>2018</v>
      </c>
      <c r="E46" s="146">
        <f t="shared" ref="E46:E47" si="8">SUM(F46:G46)</f>
        <v>99</v>
      </c>
      <c r="F46" s="146">
        <f>'1.5Sarawak (3)'!E50</f>
        <v>26</v>
      </c>
      <c r="G46" s="146">
        <f>'1.7Sarawak (3)'!E49</f>
        <v>73</v>
      </c>
      <c r="H46" s="24"/>
    </row>
    <row r="47" spans="1:8" s="6" customFormat="1" ht="15" customHeight="1" x14ac:dyDescent="0.25">
      <c r="A47" s="106"/>
      <c r="B47" s="110"/>
      <c r="C47" s="108"/>
      <c r="D47" s="148">
        <v>2019</v>
      </c>
      <c r="E47" s="146">
        <f t="shared" si="8"/>
        <v>108</v>
      </c>
      <c r="F47" s="146">
        <f>'1.5Sarawak (3)'!E51</f>
        <v>13</v>
      </c>
      <c r="G47" s="146">
        <f>'1.7Sarawak (3)'!E50</f>
        <v>95</v>
      </c>
      <c r="H47" s="24"/>
    </row>
    <row r="48" spans="1:8" s="6" customFormat="1" ht="8.1" customHeight="1" x14ac:dyDescent="0.25">
      <c r="A48" s="106"/>
      <c r="B48" s="110"/>
      <c r="C48" s="108"/>
      <c r="D48" s="148"/>
      <c r="E48" s="146"/>
      <c r="F48" s="146"/>
      <c r="G48" s="146"/>
      <c r="H48" s="24"/>
    </row>
    <row r="49" spans="1:8" s="6" customFormat="1" ht="15" customHeight="1" x14ac:dyDescent="0.25">
      <c r="A49" s="106"/>
      <c r="B49" s="108" t="s">
        <v>152</v>
      </c>
      <c r="C49" s="108"/>
      <c r="D49" s="148">
        <v>2017</v>
      </c>
      <c r="E49" s="146">
        <f>SUM(F49:G49)</f>
        <v>17</v>
      </c>
      <c r="F49" s="146">
        <f>'1.5Sarawak (3)'!E53</f>
        <v>5</v>
      </c>
      <c r="G49" s="146">
        <f>'1.7Sarawak (3)'!E52</f>
        <v>12</v>
      </c>
      <c r="H49" s="24"/>
    </row>
    <row r="50" spans="1:8" s="6" customFormat="1" ht="15" customHeight="1" x14ac:dyDescent="0.25">
      <c r="A50" s="106"/>
      <c r="B50" s="111"/>
      <c r="C50" s="108"/>
      <c r="D50" s="148">
        <v>2018</v>
      </c>
      <c r="E50" s="146">
        <f t="shared" ref="E50:E51" si="9">SUM(F50:G50)</f>
        <v>29</v>
      </c>
      <c r="F50" s="146">
        <f>'1.5Sarawak (3)'!E54</f>
        <v>4</v>
      </c>
      <c r="G50" s="146">
        <f>'1.7Sarawak (3)'!E53</f>
        <v>25</v>
      </c>
      <c r="H50" s="24"/>
    </row>
    <row r="51" spans="1:8" s="6" customFormat="1" ht="15" customHeight="1" x14ac:dyDescent="0.25">
      <c r="A51" s="106"/>
      <c r="B51" s="106"/>
      <c r="C51" s="106"/>
      <c r="D51" s="148">
        <v>2019</v>
      </c>
      <c r="E51" s="146">
        <f t="shared" si="9"/>
        <v>21</v>
      </c>
      <c r="F51" s="146">
        <f>'1.5Sarawak (3)'!E55</f>
        <v>5</v>
      </c>
      <c r="G51" s="146">
        <f>'1.7Sarawak (3)'!E54</f>
        <v>16</v>
      </c>
      <c r="H51" s="24"/>
    </row>
    <row r="52" spans="1:8" s="6" customFormat="1" ht="8.1" customHeight="1" thickBot="1" x14ac:dyDescent="0.3">
      <c r="A52" s="105"/>
      <c r="B52" s="105"/>
      <c r="C52" s="105"/>
      <c r="D52" s="105"/>
      <c r="E52" s="70"/>
      <c r="F52" s="58"/>
      <c r="G52" s="58"/>
      <c r="H52" s="100"/>
    </row>
    <row r="53" spans="1:8" s="93" customFormat="1" ht="15" customHeight="1" x14ac:dyDescent="0.2">
      <c r="B53" s="101"/>
      <c r="C53" s="101"/>
      <c r="D53" s="101"/>
      <c r="E53" s="8"/>
      <c r="F53" s="92"/>
      <c r="G53" s="8" t="s">
        <v>99</v>
      </c>
    </row>
    <row r="54" spans="1:8" s="18" customFormat="1" ht="15" customHeight="1" x14ac:dyDescent="0.2">
      <c r="B54" s="95"/>
      <c r="C54" s="95"/>
      <c r="D54" s="132"/>
      <c r="E54" s="8"/>
      <c r="F54" s="92"/>
      <c r="G54" s="41" t="s">
        <v>1</v>
      </c>
    </row>
    <row r="55" spans="1:8" ht="15" customHeight="1" x14ac:dyDescent="0.25">
      <c r="D55" s="130"/>
    </row>
    <row r="56" spans="1:8" x14ac:dyDescent="0.25">
      <c r="D56" s="130"/>
    </row>
    <row r="57" spans="1:8" x14ac:dyDescent="0.25">
      <c r="D57" s="130"/>
    </row>
    <row r="58" spans="1:8" x14ac:dyDescent="0.25">
      <c r="D58" s="130"/>
    </row>
    <row r="59" spans="1:8" x14ac:dyDescent="0.25">
      <c r="D59" s="130"/>
    </row>
    <row r="60" spans="1:8" x14ac:dyDescent="0.25">
      <c r="D60" s="130"/>
    </row>
    <row r="61" spans="1:8" x14ac:dyDescent="0.25">
      <c r="D61" s="130"/>
    </row>
    <row r="62" spans="1:8" x14ac:dyDescent="0.25">
      <c r="D62" s="130"/>
    </row>
    <row r="63" spans="1:8" x14ac:dyDescent="0.25">
      <c r="D63" s="130"/>
    </row>
    <row r="64" spans="1:8" x14ac:dyDescent="0.25">
      <c r="D64" s="130"/>
    </row>
    <row r="65" spans="4:8" x14ac:dyDescent="0.25">
      <c r="D65" s="130"/>
    </row>
    <row r="66" spans="4:8" s="3" customFormat="1" ht="15" customHeight="1" x14ac:dyDescent="0.25">
      <c r="D66" s="130"/>
      <c r="E66" s="21"/>
      <c r="F66" s="22"/>
      <c r="G66" s="22"/>
      <c r="H66" s="2"/>
    </row>
    <row r="67" spans="4:8" x14ac:dyDescent="0.25">
      <c r="D67" s="130"/>
    </row>
    <row r="68" spans="4:8" x14ac:dyDescent="0.25">
      <c r="D68" s="130"/>
    </row>
    <row r="69" spans="4:8" x14ac:dyDescent="0.25">
      <c r="D69" s="130"/>
    </row>
  </sheetData>
  <mergeCells count="6">
    <mergeCell ref="C6:G6"/>
    <mergeCell ref="B8:C9"/>
    <mergeCell ref="D8:D9"/>
    <mergeCell ref="E8:E9"/>
    <mergeCell ref="F8:F9"/>
    <mergeCell ref="G8:G9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90" fitToWidth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showGridLines="0" topLeftCell="A3" zoomScaleNormal="100" zoomScaleSheetLayoutView="100" workbookViewId="0">
      <selection activeCell="AA22" sqref="AA22"/>
    </sheetView>
  </sheetViews>
  <sheetFormatPr defaultColWidth="9.140625" defaultRowHeight="15" x14ac:dyDescent="0.25"/>
  <cols>
    <col min="1" max="1" width="1.7109375" style="2" customWidth="1"/>
    <col min="2" max="2" width="9.7109375" style="3" customWidth="1"/>
    <col min="3" max="3" width="12.28515625" style="3" customWidth="1"/>
    <col min="4" max="4" width="10.85546875" style="3" customWidth="1"/>
    <col min="5" max="5" width="15.7109375" style="21" customWidth="1"/>
    <col min="6" max="7" width="23.7109375" style="22" customWidth="1"/>
    <col min="8" max="8" width="0.85546875" style="2" customWidth="1"/>
    <col min="9" max="16384" width="9.140625" style="2"/>
  </cols>
  <sheetData>
    <row r="1" spans="1:8" s="30" customFormat="1" ht="12" customHeight="1" x14ac:dyDescent="0.25">
      <c r="B1" s="27"/>
      <c r="C1" s="27"/>
      <c r="D1" s="27"/>
      <c r="E1" s="28"/>
      <c r="F1" s="29"/>
      <c r="G1" s="150" t="s">
        <v>179</v>
      </c>
    </row>
    <row r="2" spans="1:8" s="30" customFormat="1" ht="12" customHeight="1" x14ac:dyDescent="0.25">
      <c r="B2" s="27"/>
      <c r="C2" s="27"/>
      <c r="D2" s="27"/>
      <c r="E2" s="28"/>
      <c r="F2" s="29"/>
      <c r="G2" s="151" t="s">
        <v>180</v>
      </c>
    </row>
    <row r="3" spans="1:8" s="30" customFormat="1" ht="12" customHeight="1" x14ac:dyDescent="0.25">
      <c r="B3" s="27"/>
      <c r="C3" s="27"/>
      <c r="D3" s="27"/>
      <c r="E3" s="28"/>
      <c r="F3" s="29"/>
      <c r="G3" s="68"/>
    </row>
    <row r="4" spans="1:8" s="30" customFormat="1" ht="12" customHeight="1" x14ac:dyDescent="0.25">
      <c r="B4" s="27"/>
      <c r="C4" s="27"/>
      <c r="D4" s="27"/>
      <c r="E4" s="28"/>
      <c r="F4" s="29"/>
      <c r="G4" s="68"/>
    </row>
    <row r="5" spans="1:8" s="53" customFormat="1" ht="15" customHeight="1" x14ac:dyDescent="0.2">
      <c r="B5" s="63" t="s">
        <v>184</v>
      </c>
      <c r="C5" s="64" t="s">
        <v>243</v>
      </c>
      <c r="D5" s="64"/>
      <c r="E5" s="63"/>
      <c r="F5" s="64"/>
      <c r="G5" s="152"/>
      <c r="H5" s="64"/>
    </row>
    <row r="6" spans="1:8" s="65" customFormat="1" ht="15" customHeight="1" x14ac:dyDescent="0.2">
      <c r="B6" s="66" t="s">
        <v>185</v>
      </c>
      <c r="C6" s="422" t="s">
        <v>244</v>
      </c>
      <c r="D6" s="422"/>
      <c r="E6" s="422"/>
      <c r="F6" s="422"/>
      <c r="G6" s="422"/>
      <c r="H6" s="67"/>
    </row>
    <row r="7" spans="1:8" ht="9.9499999999999993" customHeight="1" thickBot="1" x14ac:dyDescent="0.3"/>
    <row r="8" spans="1:8" s="53" customFormat="1" ht="20.100000000000001" customHeight="1" thickTop="1" x14ac:dyDescent="0.2">
      <c r="A8" s="371"/>
      <c r="B8" s="429" t="s">
        <v>207</v>
      </c>
      <c r="C8" s="429"/>
      <c r="D8" s="423" t="s">
        <v>96</v>
      </c>
      <c r="E8" s="423" t="s">
        <v>92</v>
      </c>
      <c r="F8" s="425" t="s">
        <v>93</v>
      </c>
      <c r="G8" s="425" t="s">
        <v>94</v>
      </c>
      <c r="H8" s="372"/>
    </row>
    <row r="9" spans="1:8" s="53" customFormat="1" ht="33" customHeight="1" thickBot="1" x14ac:dyDescent="0.25">
      <c r="A9" s="373"/>
      <c r="B9" s="430"/>
      <c r="C9" s="430"/>
      <c r="D9" s="424"/>
      <c r="E9" s="424"/>
      <c r="F9" s="426"/>
      <c r="G9" s="426"/>
      <c r="H9" s="369"/>
    </row>
    <row r="10" spans="1:8" ht="6.95" customHeight="1" x14ac:dyDescent="0.2">
      <c r="A10" s="45"/>
      <c r="B10" s="46"/>
      <c r="C10" s="46"/>
      <c r="D10" s="46"/>
      <c r="E10" s="431"/>
      <c r="F10" s="431"/>
      <c r="G10" s="431"/>
      <c r="H10" s="45"/>
    </row>
    <row r="11" spans="1:8" s="102" customFormat="1" ht="12.95" customHeight="1" x14ac:dyDescent="0.2">
      <c r="B11" s="109" t="s">
        <v>100</v>
      </c>
      <c r="C11" s="61"/>
      <c r="D11" s="109">
        <v>2017</v>
      </c>
      <c r="E11" s="145">
        <f>SUM(E15,E19,E23,E27,E31,E35,E39,E43,E47,E51,E55,E59,E63,E67,E71)</f>
        <v>26069</v>
      </c>
      <c r="F11" s="145">
        <f>SUM(F15,F19,F23,F27,F31,F35,F39,F43,F47,F51,F55,F59,F63,F67,F71)</f>
        <v>6470</v>
      </c>
      <c r="G11" s="145">
        <f>SUM(G15,G19,G23,G27,G31,G35,G39,G43,G47,G51,G55,G59,G63,G67,G71)</f>
        <v>19599</v>
      </c>
    </row>
    <row r="12" spans="1:8" s="102" customFormat="1" ht="12" customHeight="1" x14ac:dyDescent="0.2">
      <c r="B12" s="110"/>
      <c r="C12" s="61"/>
      <c r="D12" s="109">
        <v>2018</v>
      </c>
      <c r="E12" s="145">
        <f t="shared" ref="E12:G12" si="0">SUM(E16,E20,E24,E28,E32,E36,E40,E44,E48,E52,E56,E60,E64,E68,E72)</f>
        <v>21420</v>
      </c>
      <c r="F12" s="145">
        <f t="shared" ref="F12:F13" si="1">SUM(F16,F20,F24,F28,F32,F36,F40,F44,F48,F52,F56,F60,F64,F68,F72)</f>
        <v>4658</v>
      </c>
      <c r="G12" s="145">
        <f t="shared" si="0"/>
        <v>16762</v>
      </c>
    </row>
    <row r="13" spans="1:8" s="102" customFormat="1" ht="12" customHeight="1" x14ac:dyDescent="0.2">
      <c r="B13" s="110"/>
      <c r="C13" s="61"/>
      <c r="D13" s="109">
        <v>2019</v>
      </c>
      <c r="E13" s="145">
        <f t="shared" ref="E13:G13" si="2">SUM(E17,E21,E25,E29,E33,E37,E41,E45,E49,E53,E57,E61,E65,E69,E73)</f>
        <v>19800</v>
      </c>
      <c r="F13" s="145">
        <f t="shared" si="1"/>
        <v>4302</v>
      </c>
      <c r="G13" s="145">
        <f t="shared" si="2"/>
        <v>15498</v>
      </c>
    </row>
    <row r="14" spans="1:8" ht="6.95" customHeight="1" x14ac:dyDescent="0.2">
      <c r="A14" s="7"/>
      <c r="B14" s="39"/>
      <c r="C14" s="13"/>
      <c r="D14" s="109"/>
      <c r="E14" s="9"/>
      <c r="F14" s="9"/>
      <c r="G14" s="9"/>
      <c r="H14" s="7"/>
    </row>
    <row r="15" spans="1:8" s="53" customFormat="1" ht="12" customHeight="1" x14ac:dyDescent="0.2">
      <c r="B15" s="108" t="s">
        <v>101</v>
      </c>
      <c r="C15" s="61"/>
      <c r="D15" s="108">
        <v>2017</v>
      </c>
      <c r="E15" s="146">
        <f>SUM(F15:G15)</f>
        <v>2667</v>
      </c>
      <c r="F15" s="146">
        <f>'1.5Selangor'!E19</f>
        <v>707</v>
      </c>
      <c r="G15" s="146">
        <f>'1.7Selangor'!E17</f>
        <v>1960</v>
      </c>
    </row>
    <row r="16" spans="1:8" s="53" customFormat="1" ht="12" customHeight="1" x14ac:dyDescent="0.2">
      <c r="B16" s="113"/>
      <c r="C16" s="61"/>
      <c r="D16" s="108">
        <v>2018</v>
      </c>
      <c r="E16" s="146">
        <f t="shared" ref="E16:E17" si="3">SUM(F16:G16)</f>
        <v>2399</v>
      </c>
      <c r="F16" s="146">
        <f>'1.5Selangor'!E20</f>
        <v>571</v>
      </c>
      <c r="G16" s="146">
        <f>'1.7Selangor'!E18</f>
        <v>1828</v>
      </c>
    </row>
    <row r="17" spans="2:7" s="53" customFormat="1" ht="12" customHeight="1" x14ac:dyDescent="0.2">
      <c r="B17" s="113"/>
      <c r="C17" s="56"/>
      <c r="D17" s="108">
        <v>2019</v>
      </c>
      <c r="E17" s="146">
        <f t="shared" si="3"/>
        <v>2163</v>
      </c>
      <c r="F17" s="146">
        <f>'1.5Selangor'!E21</f>
        <v>495</v>
      </c>
      <c r="G17" s="146">
        <f>'1.7Selangor'!E19</f>
        <v>1668</v>
      </c>
    </row>
    <row r="18" spans="2:7" s="53" customFormat="1" ht="6.95" customHeight="1" x14ac:dyDescent="0.2">
      <c r="B18" s="113"/>
      <c r="C18" s="56"/>
      <c r="D18" s="108"/>
      <c r="E18" s="146"/>
      <c r="F18" s="146"/>
      <c r="G18" s="146"/>
    </row>
    <row r="19" spans="2:7" s="53" customFormat="1" ht="12" customHeight="1" x14ac:dyDescent="0.2">
      <c r="B19" s="108" t="s">
        <v>102</v>
      </c>
      <c r="C19" s="56"/>
      <c r="D19" s="108">
        <v>2017</v>
      </c>
      <c r="E19" s="146">
        <f>SUM(F19:G19)</f>
        <v>3084</v>
      </c>
      <c r="F19" s="146">
        <f>'1.5Selangor'!E23</f>
        <v>838</v>
      </c>
      <c r="G19" s="146">
        <f>'1.7Selangor'!E21</f>
        <v>2246</v>
      </c>
    </row>
    <row r="20" spans="2:7" s="53" customFormat="1" ht="12" customHeight="1" x14ac:dyDescent="0.2">
      <c r="B20" s="113"/>
      <c r="C20" s="56"/>
      <c r="D20" s="108">
        <v>2018</v>
      </c>
      <c r="E20" s="146">
        <f t="shared" ref="E20:E21" si="4">SUM(F20:G20)</f>
        <v>2494</v>
      </c>
      <c r="F20" s="146">
        <f>'1.5Selangor'!E24</f>
        <v>563</v>
      </c>
      <c r="G20" s="146">
        <f>'1.7Selangor'!E22</f>
        <v>1931</v>
      </c>
    </row>
    <row r="21" spans="2:7" s="53" customFormat="1" ht="12" customHeight="1" x14ac:dyDescent="0.2">
      <c r="B21" s="113"/>
      <c r="C21" s="56"/>
      <c r="D21" s="108">
        <v>2019</v>
      </c>
      <c r="E21" s="146">
        <f t="shared" si="4"/>
        <v>2427</v>
      </c>
      <c r="F21" s="146">
        <f>'1.5Selangor'!E25</f>
        <v>557</v>
      </c>
      <c r="G21" s="146">
        <f>'1.7Selangor'!E23</f>
        <v>1870</v>
      </c>
    </row>
    <row r="22" spans="2:7" s="53" customFormat="1" ht="6.95" customHeight="1" x14ac:dyDescent="0.2">
      <c r="B22" s="113"/>
      <c r="C22" s="56"/>
      <c r="D22" s="108"/>
      <c r="E22" s="146"/>
      <c r="F22" s="146"/>
      <c r="G22" s="146"/>
    </row>
    <row r="23" spans="2:7" s="53" customFormat="1" ht="12" customHeight="1" x14ac:dyDescent="0.2">
      <c r="B23" s="108" t="s">
        <v>103</v>
      </c>
      <c r="C23" s="56"/>
      <c r="D23" s="108">
        <v>2017</v>
      </c>
      <c r="E23" s="146">
        <f>SUM(F23:G23)</f>
        <v>482</v>
      </c>
      <c r="F23" s="146">
        <f>'1.5Selangor'!E27</f>
        <v>110</v>
      </c>
      <c r="G23" s="146">
        <f>'1.7Selangor'!E25</f>
        <v>372</v>
      </c>
    </row>
    <row r="24" spans="2:7" s="53" customFormat="1" ht="12" customHeight="1" x14ac:dyDescent="0.2">
      <c r="B24" s="113"/>
      <c r="C24" s="56"/>
      <c r="D24" s="108">
        <v>2018</v>
      </c>
      <c r="E24" s="146">
        <f t="shared" ref="E24:E25" si="5">SUM(F24:G24)</f>
        <v>455</v>
      </c>
      <c r="F24" s="146">
        <f>'1.5Selangor'!E28</f>
        <v>98</v>
      </c>
      <c r="G24" s="146">
        <f>'1.7Selangor'!E26</f>
        <v>357</v>
      </c>
    </row>
    <row r="25" spans="2:7" s="53" customFormat="1" ht="12" customHeight="1" x14ac:dyDescent="0.2">
      <c r="B25" s="113"/>
      <c r="C25" s="56"/>
      <c r="D25" s="108">
        <v>2019</v>
      </c>
      <c r="E25" s="146">
        <f t="shared" si="5"/>
        <v>496</v>
      </c>
      <c r="F25" s="146">
        <f>'1.5Selangor'!E29</f>
        <v>123</v>
      </c>
      <c r="G25" s="146">
        <f>'1.7Selangor'!E27</f>
        <v>373</v>
      </c>
    </row>
    <row r="26" spans="2:7" s="53" customFormat="1" ht="6.95" customHeight="1" x14ac:dyDescent="0.2">
      <c r="B26" s="113"/>
      <c r="C26" s="56"/>
      <c r="D26" s="108"/>
      <c r="E26" s="146"/>
      <c r="F26" s="146"/>
      <c r="G26" s="146"/>
    </row>
    <row r="27" spans="2:7" s="53" customFormat="1" ht="12" customHeight="1" x14ac:dyDescent="0.2">
      <c r="B27" s="108" t="s">
        <v>104</v>
      </c>
      <c r="C27" s="56"/>
      <c r="D27" s="108">
        <v>2017</v>
      </c>
      <c r="E27" s="146">
        <f>SUM(F27:G27)</f>
        <v>3612</v>
      </c>
      <c r="F27" s="146">
        <f>'1.5Selangor'!E31</f>
        <v>971</v>
      </c>
      <c r="G27" s="146">
        <f>'1.7Selangor'!E29</f>
        <v>2641</v>
      </c>
    </row>
    <row r="28" spans="2:7" s="53" customFormat="1" ht="12" customHeight="1" x14ac:dyDescent="0.2">
      <c r="B28" s="113"/>
      <c r="C28" s="56"/>
      <c r="D28" s="108">
        <v>2018</v>
      </c>
      <c r="E28" s="146">
        <f t="shared" ref="E28:E29" si="6">SUM(F28:G28)</f>
        <v>2403</v>
      </c>
      <c r="F28" s="146">
        <f>'1.5Selangor'!E32</f>
        <v>497</v>
      </c>
      <c r="G28" s="146">
        <f>'1.7Selangor'!E30</f>
        <v>1906</v>
      </c>
    </row>
    <row r="29" spans="2:7" s="53" customFormat="1" ht="12" customHeight="1" x14ac:dyDescent="0.2">
      <c r="B29" s="113"/>
      <c r="C29" s="56"/>
      <c r="D29" s="108">
        <v>2019</v>
      </c>
      <c r="E29" s="146">
        <f t="shared" si="6"/>
        <v>2251</v>
      </c>
      <c r="F29" s="146">
        <f>'1.5Selangor'!E33</f>
        <v>439</v>
      </c>
      <c r="G29" s="146">
        <f>'1.7Selangor'!E31</f>
        <v>1812</v>
      </c>
    </row>
    <row r="30" spans="2:7" s="53" customFormat="1" ht="6.95" customHeight="1" x14ac:dyDescent="0.2">
      <c r="B30" s="113"/>
      <c r="C30" s="56"/>
      <c r="D30" s="108"/>
      <c r="E30" s="146"/>
      <c r="F30" s="146"/>
      <c r="G30" s="146"/>
    </row>
    <row r="31" spans="2:7" s="53" customFormat="1" ht="12" customHeight="1" x14ac:dyDescent="0.2">
      <c r="B31" s="108" t="s">
        <v>105</v>
      </c>
      <c r="C31" s="56"/>
      <c r="D31" s="108">
        <v>2017</v>
      </c>
      <c r="E31" s="146">
        <f>SUM(F31:G31)</f>
        <v>2192</v>
      </c>
      <c r="F31" s="146">
        <f>'1.5Selangor'!E35</f>
        <v>582</v>
      </c>
      <c r="G31" s="146">
        <f>'1.7Selangor'!E33</f>
        <v>1610</v>
      </c>
    </row>
    <row r="32" spans="2:7" s="53" customFormat="1" ht="12" customHeight="1" x14ac:dyDescent="0.2">
      <c r="B32" s="113"/>
      <c r="C32" s="56"/>
      <c r="D32" s="108">
        <v>2018</v>
      </c>
      <c r="E32" s="146">
        <f t="shared" ref="E32:E33" si="7">SUM(F32:G32)</f>
        <v>1927</v>
      </c>
      <c r="F32" s="146">
        <f>'1.5Selangor'!E36</f>
        <v>502</v>
      </c>
      <c r="G32" s="146">
        <f>'1.7Selangor'!E34</f>
        <v>1425</v>
      </c>
    </row>
    <row r="33" spans="2:7" s="53" customFormat="1" ht="12" customHeight="1" x14ac:dyDescent="0.2">
      <c r="B33" s="113"/>
      <c r="C33" s="56"/>
      <c r="D33" s="108">
        <v>2019</v>
      </c>
      <c r="E33" s="146">
        <f t="shared" si="7"/>
        <v>1663</v>
      </c>
      <c r="F33" s="146">
        <f>'1.5Selangor'!E37</f>
        <v>417</v>
      </c>
      <c r="G33" s="146">
        <f>'1.7Selangor'!E35</f>
        <v>1246</v>
      </c>
    </row>
    <row r="34" spans="2:7" s="53" customFormat="1" ht="6.95" customHeight="1" x14ac:dyDescent="0.2">
      <c r="B34" s="113"/>
      <c r="C34" s="56"/>
      <c r="D34" s="108"/>
      <c r="E34" s="146"/>
      <c r="F34" s="146"/>
      <c r="G34" s="146"/>
    </row>
    <row r="35" spans="2:7" s="53" customFormat="1" ht="12" customHeight="1" x14ac:dyDescent="0.2">
      <c r="B35" s="108" t="s">
        <v>106</v>
      </c>
      <c r="C35" s="56"/>
      <c r="D35" s="108">
        <v>2017</v>
      </c>
      <c r="E35" s="146">
        <f>SUM(F35:G35)</f>
        <v>1383</v>
      </c>
      <c r="F35" s="146">
        <f>'1.5Selangor'!E39</f>
        <v>392</v>
      </c>
      <c r="G35" s="146">
        <f>'1.7Selangor'!E37</f>
        <v>991</v>
      </c>
    </row>
    <row r="36" spans="2:7" s="53" customFormat="1" ht="12" customHeight="1" x14ac:dyDescent="0.2">
      <c r="B36" s="113"/>
      <c r="C36" s="56"/>
      <c r="D36" s="108">
        <v>2018</v>
      </c>
      <c r="E36" s="146">
        <f t="shared" ref="E36:E37" si="8">SUM(F36:G36)</f>
        <v>1048</v>
      </c>
      <c r="F36" s="146">
        <f>'1.5Selangor'!E40</f>
        <v>273</v>
      </c>
      <c r="G36" s="146">
        <f>'1.7Selangor'!E38</f>
        <v>775</v>
      </c>
    </row>
    <row r="37" spans="2:7" s="53" customFormat="1" ht="12" customHeight="1" x14ac:dyDescent="0.2">
      <c r="B37" s="113"/>
      <c r="C37" s="56"/>
      <c r="D37" s="108">
        <v>2019</v>
      </c>
      <c r="E37" s="146">
        <f t="shared" si="8"/>
        <v>961</v>
      </c>
      <c r="F37" s="146">
        <f>'1.5Selangor'!E41</f>
        <v>260</v>
      </c>
      <c r="G37" s="146">
        <f>'1.7Selangor'!E39</f>
        <v>701</v>
      </c>
    </row>
    <row r="38" spans="2:7" s="53" customFormat="1" ht="6.95" customHeight="1" x14ac:dyDescent="0.2">
      <c r="B38" s="113"/>
      <c r="C38" s="56"/>
      <c r="D38" s="108"/>
      <c r="E38" s="146"/>
      <c r="F38" s="146"/>
      <c r="G38" s="146"/>
    </row>
    <row r="39" spans="2:7" s="53" customFormat="1" ht="12" customHeight="1" x14ac:dyDescent="0.2">
      <c r="B39" s="108" t="s">
        <v>107</v>
      </c>
      <c r="C39" s="56"/>
      <c r="D39" s="108">
        <v>2017</v>
      </c>
      <c r="E39" s="146">
        <f>SUM(F39:G39)</f>
        <v>641</v>
      </c>
      <c r="F39" s="146">
        <f>'1.5Selangor'!E43</f>
        <v>151</v>
      </c>
      <c r="G39" s="146">
        <f>'1.7Selangor'!E41</f>
        <v>490</v>
      </c>
    </row>
    <row r="40" spans="2:7" s="53" customFormat="1" ht="12" customHeight="1" x14ac:dyDescent="0.2">
      <c r="B40" s="113"/>
      <c r="C40" s="56"/>
      <c r="D40" s="108">
        <v>2018</v>
      </c>
      <c r="E40" s="146">
        <f t="shared" ref="E40:E41" si="9">SUM(F40:G40)</f>
        <v>524</v>
      </c>
      <c r="F40" s="146">
        <f>'1.5Selangor'!E44</f>
        <v>129</v>
      </c>
      <c r="G40" s="146">
        <f>'1.7Selangor'!E42</f>
        <v>395</v>
      </c>
    </row>
    <row r="41" spans="2:7" s="53" customFormat="1" ht="12" customHeight="1" x14ac:dyDescent="0.2">
      <c r="B41" s="113"/>
      <c r="C41" s="56"/>
      <c r="D41" s="108">
        <v>2019</v>
      </c>
      <c r="E41" s="146">
        <f t="shared" si="9"/>
        <v>490</v>
      </c>
      <c r="F41" s="146">
        <f>'1.5Selangor'!E45</f>
        <v>150</v>
      </c>
      <c r="G41" s="146">
        <f>'1.7Selangor'!E43</f>
        <v>340</v>
      </c>
    </row>
    <row r="42" spans="2:7" s="53" customFormat="1" ht="6.95" customHeight="1" x14ac:dyDescent="0.2">
      <c r="B42" s="113"/>
      <c r="C42" s="56"/>
      <c r="D42" s="108"/>
      <c r="E42" s="146"/>
      <c r="F42" s="146"/>
      <c r="G42" s="146"/>
    </row>
    <row r="43" spans="2:7" s="53" customFormat="1" ht="12" customHeight="1" x14ac:dyDescent="0.2">
      <c r="B43" s="108" t="s">
        <v>108</v>
      </c>
      <c r="C43" s="56"/>
      <c r="D43" s="108">
        <v>2017</v>
      </c>
      <c r="E43" s="146">
        <f>SUM(F43:G43)</f>
        <v>418</v>
      </c>
      <c r="F43" s="146">
        <f>'1.5Selangor'!E47</f>
        <v>98</v>
      </c>
      <c r="G43" s="146">
        <f>'1.7Selangor'!E45</f>
        <v>320</v>
      </c>
    </row>
    <row r="44" spans="2:7" s="53" customFormat="1" ht="12" customHeight="1" x14ac:dyDescent="0.2">
      <c r="B44" s="113"/>
      <c r="C44" s="56"/>
      <c r="D44" s="108">
        <v>2018</v>
      </c>
      <c r="E44" s="146">
        <f t="shared" ref="E44:E45" si="10">SUM(F44:G44)</f>
        <v>364</v>
      </c>
      <c r="F44" s="146">
        <f>'1.5Selangor'!E48</f>
        <v>78</v>
      </c>
      <c r="G44" s="146">
        <f>'1.7Selangor'!E46</f>
        <v>286</v>
      </c>
    </row>
    <row r="45" spans="2:7" s="53" customFormat="1" ht="12" customHeight="1" x14ac:dyDescent="0.2">
      <c r="B45" s="113"/>
      <c r="C45" s="56"/>
      <c r="D45" s="108">
        <v>2019</v>
      </c>
      <c r="E45" s="146">
        <f t="shared" si="10"/>
        <v>439</v>
      </c>
      <c r="F45" s="146">
        <f>'1.5Selangor'!E49</f>
        <v>90</v>
      </c>
      <c r="G45" s="146">
        <f>'1.7Selangor'!E47</f>
        <v>349</v>
      </c>
    </row>
    <row r="46" spans="2:7" s="53" customFormat="1" ht="6.95" customHeight="1" x14ac:dyDescent="0.2">
      <c r="B46" s="113"/>
      <c r="C46" s="56"/>
      <c r="D46" s="108"/>
      <c r="E46" s="146"/>
      <c r="F46" s="146"/>
      <c r="G46" s="146"/>
    </row>
    <row r="47" spans="2:7" s="53" customFormat="1" ht="12" customHeight="1" x14ac:dyDescent="0.2">
      <c r="B47" s="108" t="s">
        <v>109</v>
      </c>
      <c r="C47" s="56"/>
      <c r="D47" s="108">
        <v>2017</v>
      </c>
      <c r="E47" s="146">
        <f>SUM(F47:G47)</f>
        <v>4215</v>
      </c>
      <c r="F47" s="146">
        <f>'1.5Selangor'!E51</f>
        <v>1139</v>
      </c>
      <c r="G47" s="146">
        <f>'1.7Selangor'!E49</f>
        <v>3076</v>
      </c>
    </row>
    <row r="48" spans="2:7" s="53" customFormat="1" ht="12" customHeight="1" x14ac:dyDescent="0.2">
      <c r="B48" s="113"/>
      <c r="C48" s="56"/>
      <c r="D48" s="108">
        <v>2018</v>
      </c>
      <c r="E48" s="146">
        <f t="shared" ref="E48:E49" si="11">SUM(F48:G48)</f>
        <v>3363</v>
      </c>
      <c r="F48" s="146">
        <f>'1.5Selangor'!E52</f>
        <v>745</v>
      </c>
      <c r="G48" s="146">
        <f>'1.7Selangor'!E50</f>
        <v>2618</v>
      </c>
    </row>
    <row r="49" spans="2:7" s="53" customFormat="1" ht="12" customHeight="1" x14ac:dyDescent="0.2">
      <c r="B49" s="113"/>
      <c r="C49" s="56"/>
      <c r="D49" s="108">
        <v>2019</v>
      </c>
      <c r="E49" s="146">
        <f t="shared" si="11"/>
        <v>3116</v>
      </c>
      <c r="F49" s="146">
        <f>'1.5Selangor'!E53</f>
        <v>663</v>
      </c>
      <c r="G49" s="146">
        <f>'1.7Selangor'!E51</f>
        <v>2453</v>
      </c>
    </row>
    <row r="50" spans="2:7" s="53" customFormat="1" ht="6.95" customHeight="1" x14ac:dyDescent="0.2">
      <c r="B50" s="113"/>
      <c r="C50" s="56"/>
      <c r="D50" s="108"/>
      <c r="E50" s="146"/>
      <c r="F50" s="146"/>
      <c r="G50" s="146"/>
    </row>
    <row r="51" spans="2:7" s="53" customFormat="1" ht="12" customHeight="1" x14ac:dyDescent="0.2">
      <c r="B51" s="108" t="s">
        <v>110</v>
      </c>
      <c r="C51" s="56"/>
      <c r="D51" s="108">
        <v>2017</v>
      </c>
      <c r="E51" s="146">
        <f>SUM(F51:G51)</f>
        <v>397</v>
      </c>
      <c r="F51" s="146">
        <f>'1.5Selangor'!E55</f>
        <v>65</v>
      </c>
      <c r="G51" s="146">
        <f>'1.7Selangor'!E53</f>
        <v>332</v>
      </c>
    </row>
    <row r="52" spans="2:7" s="53" customFormat="1" ht="12" customHeight="1" x14ac:dyDescent="0.2">
      <c r="B52" s="113"/>
      <c r="C52" s="56"/>
      <c r="D52" s="108">
        <v>2018</v>
      </c>
      <c r="E52" s="146">
        <f t="shared" ref="E52:E53" si="12">SUM(F52:G52)</f>
        <v>359</v>
      </c>
      <c r="F52" s="146">
        <f>'1.5Selangor'!E56</f>
        <v>56</v>
      </c>
      <c r="G52" s="146">
        <f>'1.7Selangor'!E54</f>
        <v>303</v>
      </c>
    </row>
    <row r="53" spans="2:7" s="53" customFormat="1" ht="12" customHeight="1" x14ac:dyDescent="0.2">
      <c r="B53" s="113"/>
      <c r="C53" s="56"/>
      <c r="D53" s="108">
        <v>2019</v>
      </c>
      <c r="E53" s="146">
        <f t="shared" si="12"/>
        <v>320</v>
      </c>
      <c r="F53" s="146">
        <f>'1.5Selangor'!E57</f>
        <v>56</v>
      </c>
      <c r="G53" s="146">
        <f>'1.7Selangor'!E55</f>
        <v>264</v>
      </c>
    </row>
    <row r="54" spans="2:7" s="53" customFormat="1" ht="6.95" customHeight="1" x14ac:dyDescent="0.2">
      <c r="B54" s="113"/>
      <c r="C54" s="56"/>
      <c r="D54" s="108"/>
      <c r="E54" s="146"/>
      <c r="F54" s="146"/>
      <c r="G54" s="146"/>
    </row>
    <row r="55" spans="2:7" s="53" customFormat="1" ht="12" customHeight="1" x14ac:dyDescent="0.2">
      <c r="B55" s="108" t="s">
        <v>111</v>
      </c>
      <c r="C55" s="56"/>
      <c r="D55" s="108">
        <v>2017</v>
      </c>
      <c r="E55" s="146">
        <f>SUM(F55:G55)</f>
        <v>782</v>
      </c>
      <c r="F55" s="146">
        <f>'1.5Selangor'!E59</f>
        <v>184</v>
      </c>
      <c r="G55" s="146">
        <f>'1.7Selangor'!E57</f>
        <v>598</v>
      </c>
    </row>
    <row r="56" spans="2:7" s="53" customFormat="1" ht="12" customHeight="1" x14ac:dyDescent="0.2">
      <c r="B56" s="113"/>
      <c r="C56" s="56"/>
      <c r="D56" s="108">
        <v>2018</v>
      </c>
      <c r="E56" s="146">
        <f t="shared" ref="E56:E57" si="13">SUM(F56:G56)</f>
        <v>703</v>
      </c>
      <c r="F56" s="146">
        <f>'1.5Selangor'!E60</f>
        <v>169</v>
      </c>
      <c r="G56" s="146">
        <f>'1.7Selangor'!E58</f>
        <v>534</v>
      </c>
    </row>
    <row r="57" spans="2:7" s="53" customFormat="1" ht="12" customHeight="1" x14ac:dyDescent="0.2">
      <c r="B57" s="113"/>
      <c r="C57" s="56"/>
      <c r="D57" s="108">
        <v>2019</v>
      </c>
      <c r="E57" s="146">
        <f t="shared" si="13"/>
        <v>678</v>
      </c>
      <c r="F57" s="146">
        <f>'1.5Selangor'!E61</f>
        <v>155</v>
      </c>
      <c r="G57" s="146">
        <f>'1.7Selangor'!E59</f>
        <v>523</v>
      </c>
    </row>
    <row r="58" spans="2:7" s="53" customFormat="1" ht="6.95" customHeight="1" x14ac:dyDescent="0.2">
      <c r="B58" s="113"/>
      <c r="C58" s="56"/>
      <c r="D58" s="108"/>
      <c r="E58" s="146"/>
      <c r="F58" s="146"/>
      <c r="G58" s="146"/>
    </row>
    <row r="59" spans="2:7" s="53" customFormat="1" ht="12" customHeight="1" x14ac:dyDescent="0.2">
      <c r="B59" s="108" t="s">
        <v>112</v>
      </c>
      <c r="C59" s="56"/>
      <c r="D59" s="108">
        <v>2017</v>
      </c>
      <c r="E59" s="146">
        <f>SUM(F59:G59)</f>
        <v>1820</v>
      </c>
      <c r="F59" s="146">
        <f>'1.5Selangor'!E63</f>
        <v>448</v>
      </c>
      <c r="G59" s="146">
        <f>'1.7Selangor'!E61</f>
        <v>1372</v>
      </c>
    </row>
    <row r="60" spans="2:7" s="53" customFormat="1" ht="12" customHeight="1" x14ac:dyDescent="0.2">
      <c r="B60" s="113"/>
      <c r="C60" s="56"/>
      <c r="D60" s="108">
        <v>2018</v>
      </c>
      <c r="E60" s="146">
        <f t="shared" ref="E60:E61" si="14">SUM(F60:G60)</f>
        <v>1666</v>
      </c>
      <c r="F60" s="146">
        <f>'1.5Selangor'!E64</f>
        <v>375</v>
      </c>
      <c r="G60" s="146">
        <f>'1.7Selangor'!E62</f>
        <v>1291</v>
      </c>
    </row>
    <row r="61" spans="2:7" s="53" customFormat="1" ht="12" customHeight="1" x14ac:dyDescent="0.2">
      <c r="B61" s="113"/>
      <c r="C61" s="56"/>
      <c r="D61" s="108">
        <v>2019</v>
      </c>
      <c r="E61" s="146">
        <f t="shared" si="14"/>
        <v>1584</v>
      </c>
      <c r="F61" s="146">
        <f>'1.5Selangor'!E65</f>
        <v>311</v>
      </c>
      <c r="G61" s="146">
        <f>'1.7Selangor'!E63</f>
        <v>1273</v>
      </c>
    </row>
    <row r="62" spans="2:7" s="53" customFormat="1" ht="6.95" customHeight="1" x14ac:dyDescent="0.2">
      <c r="B62" s="113"/>
      <c r="C62" s="56"/>
      <c r="D62" s="108"/>
      <c r="E62" s="146"/>
      <c r="F62" s="146"/>
      <c r="G62" s="146"/>
    </row>
    <row r="63" spans="2:7" s="53" customFormat="1" ht="12" customHeight="1" x14ac:dyDescent="0.2">
      <c r="B63" s="108" t="s">
        <v>113</v>
      </c>
      <c r="C63" s="56"/>
      <c r="D63" s="108">
        <v>2017</v>
      </c>
      <c r="E63" s="146">
        <f>SUM(F63:G63)</f>
        <v>1300</v>
      </c>
      <c r="F63" s="146">
        <f>'1.5Selangor'!E67</f>
        <v>287</v>
      </c>
      <c r="G63" s="146">
        <f>'1.7Selangor'!E65</f>
        <v>1013</v>
      </c>
    </row>
    <row r="64" spans="2:7" s="53" customFormat="1" ht="12" customHeight="1" x14ac:dyDescent="0.2">
      <c r="B64" s="113"/>
      <c r="C64" s="56"/>
      <c r="D64" s="108">
        <v>2018</v>
      </c>
      <c r="E64" s="146">
        <f t="shared" ref="E64:E65" si="15">SUM(F64:G64)</f>
        <v>1078</v>
      </c>
      <c r="F64" s="146">
        <f>'1.5Selangor'!E68</f>
        <v>219</v>
      </c>
      <c r="G64" s="146">
        <f>'1.7Selangor'!E66</f>
        <v>859</v>
      </c>
    </row>
    <row r="65" spans="1:8" s="53" customFormat="1" ht="12" customHeight="1" x14ac:dyDescent="0.2">
      <c r="B65" s="113"/>
      <c r="C65" s="56"/>
      <c r="D65" s="108">
        <v>2019</v>
      </c>
      <c r="E65" s="146">
        <f t="shared" si="15"/>
        <v>984</v>
      </c>
      <c r="F65" s="146">
        <f>'1.5Selangor'!E69</f>
        <v>185</v>
      </c>
      <c r="G65" s="146">
        <f>'1.7Selangor'!E67</f>
        <v>799</v>
      </c>
    </row>
    <row r="66" spans="1:8" s="53" customFormat="1" ht="6.95" customHeight="1" x14ac:dyDescent="0.2">
      <c r="B66" s="113"/>
      <c r="C66" s="56"/>
      <c r="D66" s="108"/>
      <c r="E66" s="146"/>
      <c r="F66" s="146"/>
      <c r="G66" s="146"/>
    </row>
    <row r="67" spans="1:8" s="53" customFormat="1" ht="12" customHeight="1" x14ac:dyDescent="0.2">
      <c r="B67" s="108" t="s">
        <v>114</v>
      </c>
      <c r="C67" s="56"/>
      <c r="D67" s="108">
        <v>2017</v>
      </c>
      <c r="E67" s="146">
        <f>SUM(F67:G67)</f>
        <v>1611</v>
      </c>
      <c r="F67" s="146">
        <f>'1.5Selangor'!E71</f>
        <v>220</v>
      </c>
      <c r="G67" s="146">
        <f>'1.7Selangor'!E69</f>
        <v>1391</v>
      </c>
    </row>
    <row r="68" spans="1:8" s="53" customFormat="1" ht="12" customHeight="1" x14ac:dyDescent="0.2">
      <c r="B68" s="113"/>
      <c r="C68" s="56"/>
      <c r="D68" s="108">
        <v>2018</v>
      </c>
      <c r="E68" s="146">
        <f t="shared" ref="E68:E69" si="16">SUM(F68:G68)</f>
        <v>1399</v>
      </c>
      <c r="F68" s="146">
        <f>'1.5Selangor'!E72</f>
        <v>138</v>
      </c>
      <c r="G68" s="146">
        <f>'1.7Selangor'!E70</f>
        <v>1261</v>
      </c>
    </row>
    <row r="69" spans="1:8" s="53" customFormat="1" ht="12" customHeight="1" x14ac:dyDescent="0.2">
      <c r="B69" s="113"/>
      <c r="C69" s="56"/>
      <c r="D69" s="108">
        <v>2019</v>
      </c>
      <c r="E69" s="146">
        <f t="shared" si="16"/>
        <v>1112</v>
      </c>
      <c r="F69" s="146">
        <f>'1.5Selangor'!E73</f>
        <v>156</v>
      </c>
      <c r="G69" s="146">
        <f>'1.7Selangor'!E71</f>
        <v>956</v>
      </c>
    </row>
    <row r="70" spans="1:8" s="53" customFormat="1" ht="6.95" customHeight="1" x14ac:dyDescent="0.2">
      <c r="B70" s="113"/>
      <c r="C70" s="56"/>
      <c r="D70" s="108"/>
      <c r="E70" s="146"/>
      <c r="F70" s="146"/>
      <c r="G70" s="146"/>
    </row>
    <row r="71" spans="1:8" s="53" customFormat="1" ht="12" customHeight="1" x14ac:dyDescent="0.2">
      <c r="B71" s="108" t="s">
        <v>115</v>
      </c>
      <c r="C71" s="56"/>
      <c r="D71" s="108">
        <v>2017</v>
      </c>
      <c r="E71" s="146">
        <f>SUM(F71:G71)</f>
        <v>1465</v>
      </c>
      <c r="F71" s="146">
        <f>'1.5Selangor'!E75</f>
        <v>278</v>
      </c>
      <c r="G71" s="146">
        <f>'1.7Selangor'!E73</f>
        <v>1187</v>
      </c>
    </row>
    <row r="72" spans="1:8" s="53" customFormat="1" ht="12" customHeight="1" x14ac:dyDescent="0.2">
      <c r="B72" s="115"/>
      <c r="C72" s="56"/>
      <c r="D72" s="108">
        <v>2018</v>
      </c>
      <c r="E72" s="146">
        <f t="shared" ref="E72:E73" si="17">SUM(F72:G72)</f>
        <v>1238</v>
      </c>
      <c r="F72" s="146">
        <f>'1.5Selangor'!E76</f>
        <v>245</v>
      </c>
      <c r="G72" s="146">
        <f>'1.7Selangor'!E74</f>
        <v>993</v>
      </c>
    </row>
    <row r="73" spans="1:8" s="53" customFormat="1" ht="12" customHeight="1" x14ac:dyDescent="0.2">
      <c r="A73" s="116"/>
      <c r="B73" s="116"/>
      <c r="C73" s="56"/>
      <c r="D73" s="108">
        <v>2019</v>
      </c>
      <c r="E73" s="146">
        <f t="shared" si="17"/>
        <v>1116</v>
      </c>
      <c r="F73" s="146">
        <f>'1.5Selangor'!E77</f>
        <v>245</v>
      </c>
      <c r="G73" s="146">
        <f>'1.7Selangor'!E75</f>
        <v>871</v>
      </c>
      <c r="H73" s="116"/>
    </row>
    <row r="74" spans="1:8" ht="6.95" customHeight="1" thickBot="1" x14ac:dyDescent="0.25">
      <c r="A74" s="34"/>
      <c r="B74" s="34"/>
      <c r="C74" s="16"/>
      <c r="D74" s="69"/>
      <c r="E74" s="12"/>
      <c r="F74" s="12"/>
      <c r="G74" s="12"/>
      <c r="H74" s="34"/>
    </row>
    <row r="75" spans="1:8" s="18" customFormat="1" ht="12" x14ac:dyDescent="0.2">
      <c r="B75" s="91"/>
      <c r="C75" s="91"/>
      <c r="D75" s="91"/>
      <c r="E75" s="8"/>
      <c r="F75" s="92"/>
      <c r="G75" s="112" t="s">
        <v>99</v>
      </c>
    </row>
    <row r="76" spans="1:8" s="93" customFormat="1" ht="15" customHeight="1" x14ac:dyDescent="0.2">
      <c r="E76" s="8"/>
      <c r="F76" s="92"/>
      <c r="G76" s="41" t="s">
        <v>1</v>
      </c>
    </row>
    <row r="77" spans="1:8" s="18" customFormat="1" ht="15" customHeight="1" x14ac:dyDescent="0.2">
      <c r="B77" s="95"/>
      <c r="C77" s="95"/>
      <c r="D77" s="95"/>
      <c r="E77" s="8"/>
      <c r="F77" s="92"/>
      <c r="G77" s="92"/>
    </row>
    <row r="78" spans="1:8" s="19" customFormat="1" ht="15" customHeight="1" x14ac:dyDescent="0.2">
      <c r="B78" s="96"/>
      <c r="C78" s="96"/>
      <c r="D78" s="96"/>
      <c r="E78" s="97"/>
      <c r="F78" s="98"/>
      <c r="G78" s="98"/>
    </row>
    <row r="79" spans="1:8" s="19" customFormat="1" ht="12" x14ac:dyDescent="0.2">
      <c r="B79" s="96"/>
      <c r="C79" s="96"/>
      <c r="D79" s="96"/>
      <c r="E79" s="97"/>
      <c r="F79" s="98"/>
      <c r="G79" s="98"/>
    </row>
    <row r="80" spans="1:8" ht="15" customHeight="1" x14ac:dyDescent="0.25"/>
    <row r="91" spans="5:8" s="3" customFormat="1" ht="15" customHeight="1" x14ac:dyDescent="0.25">
      <c r="E91" s="21"/>
      <c r="F91" s="22"/>
      <c r="G91" s="22"/>
      <c r="H91" s="2"/>
    </row>
  </sheetData>
  <mergeCells count="7">
    <mergeCell ref="C6:G6"/>
    <mergeCell ref="E8:E9"/>
    <mergeCell ref="F8:F9"/>
    <mergeCell ref="G8:G9"/>
    <mergeCell ref="E10:G10"/>
    <mergeCell ref="B8:C9"/>
    <mergeCell ref="D8:D9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90" fitToWidth="0" orientation="portrait" r:id="rId1"/>
  <headerFooter>
    <oddHeader xml:space="preserve">&amp;R&amp;"-,Bold"
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showGridLines="0" zoomScaleNormal="100" zoomScaleSheetLayoutView="100" workbookViewId="0">
      <selection activeCell="AA22" sqref="AA22"/>
    </sheetView>
  </sheetViews>
  <sheetFormatPr defaultColWidth="9.140625" defaultRowHeight="15" x14ac:dyDescent="0.25"/>
  <cols>
    <col min="1" max="1" width="1.7109375" style="2" customWidth="1"/>
    <col min="2" max="2" width="9.85546875" style="3" customWidth="1"/>
    <col min="3" max="3" width="12.28515625" style="3" customWidth="1"/>
    <col min="4" max="4" width="10.85546875" style="3" customWidth="1"/>
    <col min="5" max="5" width="15.7109375" style="21" customWidth="1"/>
    <col min="6" max="7" width="23.7109375" style="22" customWidth="1"/>
    <col min="8" max="8" width="0.85546875" style="2" customWidth="1"/>
    <col min="9" max="16384" width="9.140625" style="2"/>
  </cols>
  <sheetData>
    <row r="1" spans="1:8" s="30" customFormat="1" ht="12" customHeight="1" x14ac:dyDescent="0.25">
      <c r="B1" s="27"/>
      <c r="C1" s="27"/>
      <c r="D1" s="27"/>
      <c r="E1" s="28"/>
      <c r="F1" s="29"/>
      <c r="G1" s="150" t="s">
        <v>179</v>
      </c>
    </row>
    <row r="2" spans="1:8" s="30" customFormat="1" ht="12" customHeight="1" x14ac:dyDescent="0.25">
      <c r="B2" s="27"/>
      <c r="C2" s="27"/>
      <c r="D2" s="27"/>
      <c r="E2" s="28"/>
      <c r="F2" s="29"/>
      <c r="G2" s="151" t="s">
        <v>180</v>
      </c>
    </row>
    <row r="3" spans="1:8" s="30" customFormat="1" ht="12" customHeight="1" x14ac:dyDescent="0.25">
      <c r="B3" s="27"/>
      <c r="C3" s="27"/>
      <c r="D3" s="27"/>
      <c r="E3" s="28"/>
      <c r="F3" s="29"/>
      <c r="G3" s="68"/>
    </row>
    <row r="4" spans="1:8" s="30" customFormat="1" ht="12" customHeight="1" x14ac:dyDescent="0.25">
      <c r="B4" s="27"/>
      <c r="C4" s="27"/>
      <c r="D4" s="27"/>
      <c r="E4" s="28"/>
      <c r="F4" s="29"/>
      <c r="G4" s="68"/>
    </row>
    <row r="5" spans="1:8" s="53" customFormat="1" ht="15" customHeight="1" x14ac:dyDescent="0.2">
      <c r="B5" s="63" t="s">
        <v>184</v>
      </c>
      <c r="C5" s="64" t="s">
        <v>243</v>
      </c>
      <c r="D5" s="64"/>
      <c r="E5" s="63"/>
      <c r="F5" s="64"/>
      <c r="G5" s="152"/>
      <c r="H5" s="64"/>
    </row>
    <row r="6" spans="1:8" s="65" customFormat="1" ht="15" customHeight="1" x14ac:dyDescent="0.2">
      <c r="B6" s="66" t="s">
        <v>185</v>
      </c>
      <c r="C6" s="422" t="s">
        <v>244</v>
      </c>
      <c r="D6" s="422"/>
      <c r="E6" s="422"/>
      <c r="F6" s="422"/>
      <c r="G6" s="422"/>
      <c r="H6" s="67"/>
    </row>
    <row r="7" spans="1:8" ht="9.9499999999999993" customHeight="1" thickBot="1" x14ac:dyDescent="0.3"/>
    <row r="8" spans="1:8" s="53" customFormat="1" ht="20.100000000000001" customHeight="1" thickTop="1" x14ac:dyDescent="0.2">
      <c r="A8" s="371"/>
      <c r="B8" s="429" t="s">
        <v>207</v>
      </c>
      <c r="C8" s="429"/>
      <c r="D8" s="423" t="s">
        <v>96</v>
      </c>
      <c r="E8" s="423" t="s">
        <v>92</v>
      </c>
      <c r="F8" s="425" t="s">
        <v>93</v>
      </c>
      <c r="G8" s="425" t="s">
        <v>94</v>
      </c>
      <c r="H8" s="372"/>
    </row>
    <row r="9" spans="1:8" s="53" customFormat="1" ht="33" customHeight="1" thickBot="1" x14ac:dyDescent="0.25">
      <c r="A9" s="373"/>
      <c r="B9" s="430"/>
      <c r="C9" s="430"/>
      <c r="D9" s="424"/>
      <c r="E9" s="424"/>
      <c r="F9" s="426"/>
      <c r="G9" s="426"/>
      <c r="H9" s="369"/>
    </row>
    <row r="10" spans="1:8" ht="8.1" customHeight="1" x14ac:dyDescent="0.2">
      <c r="A10" s="45"/>
      <c r="B10" s="99"/>
      <c r="C10" s="99"/>
      <c r="D10" s="99"/>
      <c r="E10" s="431"/>
      <c r="F10" s="431"/>
      <c r="G10" s="431"/>
      <c r="H10" s="45"/>
    </row>
    <row r="11" spans="1:8" s="102" customFormat="1" ht="15.95" customHeight="1" x14ac:dyDescent="0.2">
      <c r="B11" s="124" t="s">
        <v>116</v>
      </c>
      <c r="C11" s="61"/>
      <c r="D11" s="121">
        <v>2017</v>
      </c>
      <c r="E11" s="137">
        <f>SUM(E15,E19,E23,E27,E31,E35,E39)</f>
        <v>2257</v>
      </c>
      <c r="F11" s="137">
        <f>SUM(F15,F19,F23,F27,F31,F35,F39)</f>
        <v>354</v>
      </c>
      <c r="G11" s="137">
        <f>SUM(G15,G19,G23,G27,G31,G35,G39)</f>
        <v>1903</v>
      </c>
    </row>
    <row r="12" spans="1:8" s="102" customFormat="1" ht="15.95" customHeight="1" x14ac:dyDescent="0.2">
      <c r="B12" s="128"/>
      <c r="C12" s="61"/>
      <c r="D12" s="121">
        <v>2018</v>
      </c>
      <c r="E12" s="137">
        <f t="shared" ref="E12" si="0">SUM(E16,E20,E24,E28,E32,E36,E40)</f>
        <v>1823</v>
      </c>
      <c r="F12" s="137">
        <f t="shared" ref="F12:G13" si="1">SUM(F16,F20,F24,F28,F32,F36,F40)</f>
        <v>291</v>
      </c>
      <c r="G12" s="137">
        <f t="shared" si="1"/>
        <v>1532</v>
      </c>
    </row>
    <row r="13" spans="1:8" s="102" customFormat="1" ht="15.95" customHeight="1" x14ac:dyDescent="0.2">
      <c r="B13" s="128"/>
      <c r="C13" s="61"/>
      <c r="D13" s="121">
        <v>2019</v>
      </c>
      <c r="E13" s="137">
        <f t="shared" ref="E13" si="2">SUM(E17,E21,E25,E29,E33,E37,E41)</f>
        <v>1870</v>
      </c>
      <c r="F13" s="137">
        <f t="shared" si="1"/>
        <v>293</v>
      </c>
      <c r="G13" s="137">
        <f t="shared" si="1"/>
        <v>1577</v>
      </c>
    </row>
    <row r="14" spans="1:8" ht="8.1" customHeight="1" x14ac:dyDescent="0.2">
      <c r="A14" s="7"/>
      <c r="B14" s="127"/>
      <c r="C14" s="127"/>
      <c r="D14" s="121"/>
      <c r="E14" s="123"/>
      <c r="F14" s="123"/>
      <c r="G14" s="123"/>
      <c r="H14" s="7"/>
    </row>
    <row r="15" spans="1:8" s="53" customFormat="1" ht="15.95" customHeight="1" x14ac:dyDescent="0.2">
      <c r="B15" s="82" t="s">
        <v>117</v>
      </c>
      <c r="C15" s="61"/>
      <c r="D15" s="148">
        <v>2017</v>
      </c>
      <c r="E15" s="146">
        <f>SUM(F15:G15)</f>
        <v>484</v>
      </c>
      <c r="F15" s="144">
        <f>'1.5Terengganu'!E19</f>
        <v>88</v>
      </c>
      <c r="G15" s="146">
        <f>'1.7Terengganu'!E17</f>
        <v>396</v>
      </c>
    </row>
    <row r="16" spans="1:8" s="53" customFormat="1" ht="15.95" customHeight="1" x14ac:dyDescent="0.2">
      <c r="B16" s="117"/>
      <c r="C16" s="61"/>
      <c r="D16" s="148">
        <v>2018</v>
      </c>
      <c r="E16" s="146">
        <f t="shared" ref="E16:E17" si="3">SUM(F16:G16)</f>
        <v>367</v>
      </c>
      <c r="F16" s="144">
        <f>'1.5Terengganu'!E20</f>
        <v>65</v>
      </c>
      <c r="G16" s="146">
        <f>'1.7Terengganu'!E18</f>
        <v>302</v>
      </c>
    </row>
    <row r="17" spans="2:7" s="53" customFormat="1" ht="15.95" customHeight="1" x14ac:dyDescent="0.2">
      <c r="B17" s="117"/>
      <c r="C17" s="56"/>
      <c r="D17" s="148">
        <v>2019</v>
      </c>
      <c r="E17" s="146">
        <f t="shared" si="3"/>
        <v>409</v>
      </c>
      <c r="F17" s="144">
        <f>'1.5Terengganu'!E21</f>
        <v>62</v>
      </c>
      <c r="G17" s="146">
        <f>'1.7Terengganu'!E19</f>
        <v>347</v>
      </c>
    </row>
    <row r="18" spans="2:7" s="53" customFormat="1" ht="9.9499999999999993" customHeight="1" x14ac:dyDescent="0.2">
      <c r="B18" s="117"/>
      <c r="C18" s="56"/>
      <c r="D18" s="148"/>
      <c r="E18" s="146"/>
      <c r="F18" s="144"/>
      <c r="G18" s="146"/>
    </row>
    <row r="19" spans="2:7" s="53" customFormat="1" ht="15.95" customHeight="1" x14ac:dyDescent="0.2">
      <c r="B19" s="82" t="s">
        <v>118</v>
      </c>
      <c r="C19" s="56"/>
      <c r="D19" s="148">
        <v>2017</v>
      </c>
      <c r="E19" s="146">
        <f>SUM(F19:G19)</f>
        <v>319</v>
      </c>
      <c r="F19" s="144">
        <f>'1.5Terengganu'!E23</f>
        <v>56</v>
      </c>
      <c r="G19" s="146">
        <f>'1.7Terengganu'!E21</f>
        <v>263</v>
      </c>
    </row>
    <row r="20" spans="2:7" s="53" customFormat="1" ht="15.95" customHeight="1" x14ac:dyDescent="0.2">
      <c r="B20" s="117"/>
      <c r="C20" s="56"/>
      <c r="D20" s="148">
        <v>2018</v>
      </c>
      <c r="E20" s="146">
        <f t="shared" ref="E20:E21" si="4">SUM(F20:G20)</f>
        <v>284</v>
      </c>
      <c r="F20" s="144">
        <f>'1.5Terengganu'!E24</f>
        <v>41</v>
      </c>
      <c r="G20" s="146">
        <f>'1.7Terengganu'!E22</f>
        <v>243</v>
      </c>
    </row>
    <row r="21" spans="2:7" s="53" customFormat="1" ht="15.95" customHeight="1" x14ac:dyDescent="0.2">
      <c r="B21" s="117"/>
      <c r="C21" s="56"/>
      <c r="D21" s="148">
        <v>2019</v>
      </c>
      <c r="E21" s="146">
        <f t="shared" si="4"/>
        <v>247</v>
      </c>
      <c r="F21" s="144">
        <f>'1.5Terengganu'!E25</f>
        <v>36</v>
      </c>
      <c r="G21" s="146">
        <f>'1.7Terengganu'!E23</f>
        <v>211</v>
      </c>
    </row>
    <row r="22" spans="2:7" s="53" customFormat="1" ht="9.9499999999999993" customHeight="1" x14ac:dyDescent="0.2">
      <c r="B22" s="117"/>
      <c r="C22" s="56"/>
      <c r="D22" s="148"/>
      <c r="E22" s="146"/>
      <c r="F22" s="144"/>
      <c r="G22" s="146"/>
    </row>
    <row r="23" spans="2:7" s="53" customFormat="1" ht="15.95" customHeight="1" x14ac:dyDescent="0.2">
      <c r="B23" s="82" t="s">
        <v>119</v>
      </c>
      <c r="C23" s="56"/>
      <c r="D23" s="148">
        <v>2017</v>
      </c>
      <c r="E23" s="146">
        <f>SUM(F23:G23)</f>
        <v>143</v>
      </c>
      <c r="F23" s="144">
        <f>'1.5Terengganu'!E27</f>
        <v>20</v>
      </c>
      <c r="G23" s="146">
        <f>'1.7Terengganu'!E25</f>
        <v>123</v>
      </c>
    </row>
    <row r="24" spans="2:7" s="53" customFormat="1" ht="15.95" customHeight="1" x14ac:dyDescent="0.2">
      <c r="B24" s="117"/>
      <c r="C24" s="56"/>
      <c r="D24" s="148">
        <v>2018</v>
      </c>
      <c r="E24" s="146">
        <f t="shared" ref="E24:E25" si="5">SUM(F24:G24)</f>
        <v>103</v>
      </c>
      <c r="F24" s="144">
        <f>'1.5Terengganu'!E28</f>
        <v>26</v>
      </c>
      <c r="G24" s="146">
        <f>'1.7Terengganu'!E26</f>
        <v>77</v>
      </c>
    </row>
    <row r="25" spans="2:7" s="53" customFormat="1" ht="15.95" customHeight="1" x14ac:dyDescent="0.2">
      <c r="B25" s="117"/>
      <c r="C25" s="56"/>
      <c r="D25" s="148">
        <v>2019</v>
      </c>
      <c r="E25" s="146">
        <f t="shared" si="5"/>
        <v>106</v>
      </c>
      <c r="F25" s="144">
        <f>'1.5Terengganu'!E29</f>
        <v>19</v>
      </c>
      <c r="G25" s="146">
        <f>'1.7Terengganu'!E27</f>
        <v>87</v>
      </c>
    </row>
    <row r="26" spans="2:7" s="53" customFormat="1" ht="9.9499999999999993" customHeight="1" x14ac:dyDescent="0.2">
      <c r="B26" s="117"/>
      <c r="C26" s="56"/>
      <c r="D26" s="148"/>
      <c r="E26" s="146"/>
      <c r="F26" s="144"/>
      <c r="G26" s="146"/>
    </row>
    <row r="27" spans="2:7" s="53" customFormat="1" ht="15.95" customHeight="1" x14ac:dyDescent="0.2">
      <c r="B27" s="82" t="s">
        <v>120</v>
      </c>
      <c r="C27" s="56"/>
      <c r="D27" s="148">
        <v>2017</v>
      </c>
      <c r="E27" s="146">
        <f>SUM(F27:G27)</f>
        <v>329</v>
      </c>
      <c r="F27" s="144">
        <f>'1.5Terengganu'!E31</f>
        <v>43</v>
      </c>
      <c r="G27" s="146">
        <f>'1.7Terengganu'!E29</f>
        <v>286</v>
      </c>
    </row>
    <row r="28" spans="2:7" s="53" customFormat="1" ht="15.95" customHeight="1" x14ac:dyDescent="0.2">
      <c r="B28" s="117"/>
      <c r="C28" s="56"/>
      <c r="D28" s="148">
        <v>2018</v>
      </c>
      <c r="E28" s="146">
        <f t="shared" ref="E28:E29" si="6">SUM(F28:G28)</f>
        <v>274</v>
      </c>
      <c r="F28" s="144">
        <f>'1.5Terengganu'!E32</f>
        <v>48</v>
      </c>
      <c r="G28" s="146">
        <f>'1.7Terengganu'!E30</f>
        <v>226</v>
      </c>
    </row>
    <row r="29" spans="2:7" s="53" customFormat="1" ht="15.95" customHeight="1" x14ac:dyDescent="0.2">
      <c r="B29" s="117"/>
      <c r="C29" s="56"/>
      <c r="D29" s="148">
        <v>2019</v>
      </c>
      <c r="E29" s="146">
        <f t="shared" si="6"/>
        <v>293</v>
      </c>
      <c r="F29" s="144">
        <f>'1.5Terengganu'!E33</f>
        <v>40</v>
      </c>
      <c r="G29" s="146">
        <f>'1.7Terengganu'!E31</f>
        <v>253</v>
      </c>
    </row>
    <row r="30" spans="2:7" s="53" customFormat="1" ht="9.9499999999999993" customHeight="1" x14ac:dyDescent="0.2">
      <c r="B30" s="117"/>
      <c r="C30" s="56"/>
      <c r="D30" s="148"/>
      <c r="E30" s="146"/>
      <c r="F30" s="144"/>
      <c r="G30" s="146"/>
    </row>
    <row r="31" spans="2:7" s="53" customFormat="1" ht="15.95" customHeight="1" x14ac:dyDescent="0.2">
      <c r="B31" s="82" t="s">
        <v>121</v>
      </c>
      <c r="C31" s="56"/>
      <c r="D31" s="148">
        <v>2017</v>
      </c>
      <c r="E31" s="146">
        <f>SUM(F31:G31)</f>
        <v>701</v>
      </c>
      <c r="F31" s="144">
        <f>'1.5Terengganu'!E35</f>
        <v>97</v>
      </c>
      <c r="G31" s="146">
        <f>'1.7Terengganu'!E33</f>
        <v>604</v>
      </c>
    </row>
    <row r="32" spans="2:7" s="53" customFormat="1" ht="15.95" customHeight="1" x14ac:dyDescent="0.2">
      <c r="B32" s="117"/>
      <c r="C32" s="56"/>
      <c r="D32" s="148">
        <v>2018</v>
      </c>
      <c r="E32" s="146">
        <f t="shared" ref="E32:E33" si="7">SUM(F32:G32)</f>
        <v>548</v>
      </c>
      <c r="F32" s="144">
        <f>'1.5Terengganu'!E36</f>
        <v>61</v>
      </c>
      <c r="G32" s="146">
        <f>'1.7Terengganu'!E34</f>
        <v>487</v>
      </c>
    </row>
    <row r="33" spans="1:8" s="53" customFormat="1" ht="15.95" customHeight="1" x14ac:dyDescent="0.2">
      <c r="B33" s="117"/>
      <c r="C33" s="56"/>
      <c r="D33" s="148">
        <v>2019</v>
      </c>
      <c r="E33" s="146">
        <f t="shared" si="7"/>
        <v>576</v>
      </c>
      <c r="F33" s="144">
        <f>'1.5Terengganu'!E37</f>
        <v>91</v>
      </c>
      <c r="G33" s="146">
        <f>'1.7Terengganu'!E35</f>
        <v>485</v>
      </c>
    </row>
    <row r="34" spans="1:8" s="53" customFormat="1" ht="9.9499999999999993" customHeight="1" x14ac:dyDescent="0.2">
      <c r="B34" s="117"/>
      <c r="C34" s="56"/>
      <c r="D34" s="148"/>
      <c r="E34" s="146"/>
      <c r="F34" s="144"/>
      <c r="G34" s="146"/>
    </row>
    <row r="35" spans="1:8" s="53" customFormat="1" ht="15.95" customHeight="1" x14ac:dyDescent="0.2">
      <c r="B35" s="82" t="s">
        <v>122</v>
      </c>
      <c r="C35" s="56"/>
      <c r="D35" s="148">
        <v>2017</v>
      </c>
      <c r="E35" s="146">
        <f>SUM(F35:G35)</f>
        <v>172</v>
      </c>
      <c r="F35" s="144">
        <f>'1.5Terengganu'!E39</f>
        <v>29</v>
      </c>
      <c r="G35" s="146">
        <f>'1.7Terengganu'!E37</f>
        <v>143</v>
      </c>
    </row>
    <row r="36" spans="1:8" s="53" customFormat="1" ht="15.95" customHeight="1" x14ac:dyDescent="0.2">
      <c r="B36" s="117"/>
      <c r="C36" s="56"/>
      <c r="D36" s="148">
        <v>2018</v>
      </c>
      <c r="E36" s="146">
        <f t="shared" ref="E36:E37" si="8">SUM(F36:G36)</f>
        <v>140</v>
      </c>
      <c r="F36" s="144">
        <f>'1.5Terengganu'!E40</f>
        <v>26</v>
      </c>
      <c r="G36" s="146">
        <f>'1.7Terengganu'!E38</f>
        <v>114</v>
      </c>
    </row>
    <row r="37" spans="1:8" s="53" customFormat="1" ht="15.95" customHeight="1" x14ac:dyDescent="0.2">
      <c r="B37" s="117"/>
      <c r="C37" s="56"/>
      <c r="D37" s="148">
        <v>2019</v>
      </c>
      <c r="E37" s="146">
        <f t="shared" si="8"/>
        <v>135</v>
      </c>
      <c r="F37" s="144">
        <f>'1.5Terengganu'!E41</f>
        <v>30</v>
      </c>
      <c r="G37" s="146">
        <f>'1.7Terengganu'!E39</f>
        <v>105</v>
      </c>
    </row>
    <row r="38" spans="1:8" s="53" customFormat="1" ht="9.9499999999999993" customHeight="1" x14ac:dyDescent="0.2">
      <c r="B38" s="117"/>
      <c r="C38" s="56"/>
      <c r="D38" s="148"/>
      <c r="E38" s="146"/>
      <c r="F38" s="144"/>
      <c r="G38" s="146"/>
    </row>
    <row r="39" spans="1:8" s="53" customFormat="1" ht="15.95" customHeight="1" x14ac:dyDescent="0.2">
      <c r="B39" s="82" t="s">
        <v>123</v>
      </c>
      <c r="C39" s="56"/>
      <c r="D39" s="148">
        <v>2017</v>
      </c>
      <c r="E39" s="146">
        <f>SUM(F39:G39)</f>
        <v>109</v>
      </c>
      <c r="F39" s="144">
        <f>'1.5Terengganu'!E43</f>
        <v>21</v>
      </c>
      <c r="G39" s="146">
        <f>'1.7Terengganu'!E41</f>
        <v>88</v>
      </c>
    </row>
    <row r="40" spans="1:8" s="53" customFormat="1" ht="15.95" customHeight="1" x14ac:dyDescent="0.2">
      <c r="B40" s="115"/>
      <c r="C40" s="56"/>
      <c r="D40" s="148">
        <v>2018</v>
      </c>
      <c r="E40" s="146">
        <f t="shared" ref="E40:E41" si="9">SUM(F40:G40)</f>
        <v>107</v>
      </c>
      <c r="F40" s="144">
        <f>'1.5Terengganu'!E44</f>
        <v>24</v>
      </c>
      <c r="G40" s="146">
        <f>'1.7Terengganu'!E42</f>
        <v>83</v>
      </c>
    </row>
    <row r="41" spans="1:8" s="53" customFormat="1" ht="15.95" customHeight="1" x14ac:dyDescent="0.2">
      <c r="A41" s="116"/>
      <c r="B41" s="116"/>
      <c r="C41" s="56"/>
      <c r="D41" s="148">
        <v>2019</v>
      </c>
      <c r="E41" s="146">
        <f t="shared" si="9"/>
        <v>104</v>
      </c>
      <c r="F41" s="144">
        <f>'1.5Terengganu'!E45</f>
        <v>15</v>
      </c>
      <c r="G41" s="146">
        <f>'1.7Terengganu'!E43</f>
        <v>89</v>
      </c>
      <c r="H41" s="116"/>
    </row>
    <row r="42" spans="1:8" ht="8.1" customHeight="1" thickBot="1" x14ac:dyDescent="0.25">
      <c r="A42" s="34"/>
      <c r="B42" s="34"/>
      <c r="C42" s="16"/>
      <c r="D42" s="131"/>
      <c r="E42" s="12"/>
      <c r="F42" s="33"/>
      <c r="G42" s="12"/>
      <c r="H42" s="34"/>
    </row>
    <row r="43" spans="1:8" x14ac:dyDescent="0.25">
      <c r="D43" s="130"/>
      <c r="G43" s="112" t="s">
        <v>99</v>
      </c>
    </row>
    <row r="44" spans="1:8" x14ac:dyDescent="0.25">
      <c r="D44" s="130"/>
      <c r="G44" s="41" t="s">
        <v>1</v>
      </c>
    </row>
    <row r="45" spans="1:8" s="37" customFormat="1" x14ac:dyDescent="0.25">
      <c r="B45" s="38"/>
      <c r="C45" s="43"/>
      <c r="D45" s="43"/>
      <c r="F45" s="94"/>
      <c r="G45" s="94"/>
    </row>
    <row r="46" spans="1:8" s="37" customFormat="1" x14ac:dyDescent="0.25">
      <c r="B46" s="44"/>
      <c r="C46" s="43"/>
      <c r="D46" s="43"/>
      <c r="F46" s="94"/>
      <c r="G46" s="94"/>
    </row>
    <row r="47" spans="1:8" x14ac:dyDescent="0.25">
      <c r="D47" s="130"/>
    </row>
    <row r="48" spans="1:8" x14ac:dyDescent="0.25">
      <c r="D48" s="130"/>
    </row>
    <row r="49" spans="4:4" x14ac:dyDescent="0.25">
      <c r="D49" s="130"/>
    </row>
    <row r="50" spans="4:4" x14ac:dyDescent="0.25">
      <c r="D50" s="130"/>
    </row>
    <row r="51" spans="4:4" x14ac:dyDescent="0.25">
      <c r="D51" s="130"/>
    </row>
    <row r="52" spans="4:4" x14ac:dyDescent="0.25">
      <c r="D52" s="130"/>
    </row>
    <row r="53" spans="4:4" x14ac:dyDescent="0.25">
      <c r="D53" s="130"/>
    </row>
    <row r="54" spans="4:4" x14ac:dyDescent="0.25">
      <c r="D54" s="130"/>
    </row>
    <row r="55" spans="4:4" x14ac:dyDescent="0.25">
      <c r="D55" s="130"/>
    </row>
    <row r="56" spans="4:4" x14ac:dyDescent="0.25">
      <c r="D56" s="130"/>
    </row>
    <row r="57" spans="4:4" x14ac:dyDescent="0.25">
      <c r="D57" s="130"/>
    </row>
    <row r="58" spans="4:4" x14ac:dyDescent="0.25">
      <c r="D58" s="130"/>
    </row>
    <row r="59" spans="4:4" x14ac:dyDescent="0.25">
      <c r="D59" s="130"/>
    </row>
    <row r="60" spans="4:4" x14ac:dyDescent="0.25">
      <c r="D60" s="130"/>
    </row>
    <row r="61" spans="4:4" x14ac:dyDescent="0.25">
      <c r="D61" s="130"/>
    </row>
    <row r="62" spans="4:4" x14ac:dyDescent="0.25">
      <c r="D62" s="130"/>
    </row>
    <row r="63" spans="4:4" x14ac:dyDescent="0.25">
      <c r="D63" s="130"/>
    </row>
    <row r="64" spans="4:4" x14ac:dyDescent="0.25">
      <c r="D64" s="130"/>
    </row>
    <row r="65" spans="4:4" x14ac:dyDescent="0.25">
      <c r="D65" s="130"/>
    </row>
    <row r="66" spans="4:4" x14ac:dyDescent="0.25">
      <c r="D66" s="130"/>
    </row>
    <row r="67" spans="4:4" x14ac:dyDescent="0.25">
      <c r="D67" s="130"/>
    </row>
    <row r="68" spans="4:4" x14ac:dyDescent="0.25">
      <c r="D68" s="130"/>
    </row>
    <row r="69" spans="4:4" x14ac:dyDescent="0.25">
      <c r="D69" s="130"/>
    </row>
  </sheetData>
  <mergeCells count="7">
    <mergeCell ref="C6:G6"/>
    <mergeCell ref="E8:E9"/>
    <mergeCell ref="F8:F9"/>
    <mergeCell ref="G8:G9"/>
    <mergeCell ref="E10:G10"/>
    <mergeCell ref="B8:C9"/>
    <mergeCell ref="D8:D9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90" fitToWidth="0" orientation="portrait" r:id="rId1"/>
  <headerFooter>
    <oddHeader xml:space="preserve">&amp;R&amp;"-,Bold"
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showGridLines="0" zoomScale="90" zoomScaleNormal="90" zoomScaleSheetLayoutView="100" workbookViewId="0">
      <selection activeCell="AA22" sqref="AA22"/>
    </sheetView>
  </sheetViews>
  <sheetFormatPr defaultColWidth="9.140625" defaultRowHeight="15" x14ac:dyDescent="0.25"/>
  <cols>
    <col min="1" max="1" width="1.7109375" style="2" customWidth="1"/>
    <col min="2" max="2" width="11.140625" style="3" customWidth="1"/>
    <col min="3" max="4" width="14.5703125" style="3" customWidth="1"/>
    <col min="5" max="5" width="15.7109375" style="4" customWidth="1"/>
    <col min="6" max="7" width="22.85546875" style="5" customWidth="1"/>
    <col min="8" max="8" width="0.85546875" style="2" customWidth="1"/>
    <col min="9" max="16384" width="9.140625" style="2"/>
  </cols>
  <sheetData>
    <row r="1" spans="1:12" s="30" customFormat="1" ht="12" customHeight="1" x14ac:dyDescent="0.25">
      <c r="B1" s="27"/>
      <c r="C1" s="27"/>
      <c r="D1" s="27"/>
      <c r="E1" s="28"/>
      <c r="F1" s="29"/>
      <c r="G1" s="150" t="s">
        <v>179</v>
      </c>
    </row>
    <row r="2" spans="1:12" s="30" customFormat="1" ht="12" customHeight="1" x14ac:dyDescent="0.25">
      <c r="B2" s="27"/>
      <c r="C2" s="27"/>
      <c r="D2" s="27"/>
      <c r="E2" s="28"/>
      <c r="F2" s="29"/>
      <c r="G2" s="151" t="s">
        <v>180</v>
      </c>
    </row>
    <row r="3" spans="1:12" s="30" customFormat="1" ht="12" customHeight="1" x14ac:dyDescent="0.25">
      <c r="B3" s="27"/>
      <c r="C3" s="27"/>
      <c r="D3" s="27"/>
      <c r="E3" s="28"/>
      <c r="F3" s="29"/>
      <c r="G3" s="68"/>
    </row>
    <row r="4" spans="1:12" s="30" customFormat="1" ht="12" customHeight="1" x14ac:dyDescent="0.25">
      <c r="B4" s="27"/>
      <c r="C4" s="27"/>
      <c r="D4" s="27"/>
      <c r="E4" s="28"/>
      <c r="F4" s="29"/>
      <c r="G4" s="68"/>
    </row>
    <row r="5" spans="1:12" s="53" customFormat="1" ht="15" customHeight="1" x14ac:dyDescent="0.2">
      <c r="B5" s="63" t="s">
        <v>184</v>
      </c>
      <c r="C5" s="64" t="s">
        <v>243</v>
      </c>
      <c r="D5" s="64"/>
      <c r="E5" s="63"/>
      <c r="F5" s="64"/>
      <c r="G5" s="152"/>
      <c r="H5" s="64"/>
    </row>
    <row r="6" spans="1:12" s="65" customFormat="1" ht="15" customHeight="1" x14ac:dyDescent="0.2">
      <c r="B6" s="66" t="s">
        <v>185</v>
      </c>
      <c r="C6" s="422" t="s">
        <v>244</v>
      </c>
      <c r="D6" s="422"/>
      <c r="E6" s="422"/>
      <c r="F6" s="422"/>
      <c r="G6" s="422"/>
      <c r="H6" s="67"/>
    </row>
    <row r="7" spans="1:12" ht="9.9499999999999993" customHeight="1" thickBot="1" x14ac:dyDescent="0.3">
      <c r="E7" s="21"/>
      <c r="F7" s="22"/>
      <c r="G7" s="22"/>
    </row>
    <row r="8" spans="1:12" s="53" customFormat="1" ht="20.100000000000001" customHeight="1" thickTop="1" x14ac:dyDescent="0.2">
      <c r="A8" s="371"/>
      <c r="B8" s="429" t="s">
        <v>207</v>
      </c>
      <c r="C8" s="429"/>
      <c r="D8" s="423" t="s">
        <v>96</v>
      </c>
      <c r="E8" s="423" t="s">
        <v>92</v>
      </c>
      <c r="F8" s="425" t="s">
        <v>93</v>
      </c>
      <c r="G8" s="425" t="s">
        <v>94</v>
      </c>
      <c r="H8" s="372"/>
    </row>
    <row r="9" spans="1:12" s="53" customFormat="1" ht="33" customHeight="1" x14ac:dyDescent="0.2">
      <c r="A9" s="373"/>
      <c r="B9" s="430"/>
      <c r="C9" s="430"/>
      <c r="D9" s="424"/>
      <c r="E9" s="424"/>
      <c r="F9" s="426"/>
      <c r="G9" s="426"/>
      <c r="H9" s="369"/>
    </row>
    <row r="10" spans="1:12" s="6" customFormat="1" ht="8.1" customHeight="1" x14ac:dyDescent="0.25">
      <c r="B10" s="13"/>
      <c r="C10" s="13"/>
      <c r="D10" s="13"/>
      <c r="E10" s="52"/>
      <c r="F10" s="52"/>
      <c r="G10" s="1"/>
      <c r="J10" s="42"/>
      <c r="L10" s="42"/>
    </row>
    <row r="11" spans="1:12" s="53" customFormat="1" ht="17.100000000000001" customHeight="1" x14ac:dyDescent="0.2">
      <c r="B11" s="61" t="s">
        <v>175</v>
      </c>
      <c r="C11" s="61"/>
      <c r="D11" s="109">
        <v>2017</v>
      </c>
      <c r="E11" s="118">
        <f>SUM(E15,E19,E23,E27,E31,E35)</f>
        <v>13482</v>
      </c>
      <c r="F11" s="118">
        <f>SUM(F15,F19,F23,F27,F31,F35)</f>
        <v>3999</v>
      </c>
      <c r="G11" s="118">
        <f>SUM(G15,G19,G23,G27,G31,G35)</f>
        <v>9483</v>
      </c>
    </row>
    <row r="12" spans="1:12" s="53" customFormat="1" ht="17.100000000000001" customHeight="1" x14ac:dyDescent="0.2">
      <c r="B12" s="61"/>
      <c r="C12" s="61"/>
      <c r="D12" s="109">
        <v>2018</v>
      </c>
      <c r="E12" s="118">
        <f t="shared" ref="E12" si="0">SUM(E16,E20,E24,E28,E32,E36)</f>
        <v>12127</v>
      </c>
      <c r="F12" s="118">
        <f t="shared" ref="F12:G13" si="1">SUM(F16,F20,F24,F28,F32,F36)</f>
        <v>3137</v>
      </c>
      <c r="G12" s="118">
        <f t="shared" si="1"/>
        <v>8990</v>
      </c>
    </row>
    <row r="13" spans="1:12" s="102" customFormat="1" ht="17.100000000000001" customHeight="1" x14ac:dyDescent="0.2">
      <c r="B13" s="61"/>
      <c r="C13" s="61"/>
      <c r="D13" s="109">
        <v>2019</v>
      </c>
      <c r="E13" s="118">
        <f t="shared" ref="E13" si="2">SUM(E17,E21,E25,E29,E33,E37)</f>
        <v>11172</v>
      </c>
      <c r="F13" s="118">
        <f t="shared" si="1"/>
        <v>2914</v>
      </c>
      <c r="G13" s="118">
        <f t="shared" si="1"/>
        <v>8258</v>
      </c>
      <c r="J13" s="120"/>
    </row>
    <row r="14" spans="1:12" s="102" customFormat="1" ht="8.1" customHeight="1" x14ac:dyDescent="0.2">
      <c r="B14" s="61"/>
      <c r="C14" s="61"/>
      <c r="D14" s="109"/>
      <c r="E14" s="118"/>
      <c r="F14" s="118"/>
      <c r="G14" s="118"/>
      <c r="J14" s="120"/>
    </row>
    <row r="15" spans="1:12" s="53" customFormat="1" ht="17.100000000000001" customHeight="1" x14ac:dyDescent="0.2">
      <c r="B15" s="56" t="s">
        <v>81</v>
      </c>
      <c r="C15" s="56"/>
      <c r="D15" s="108">
        <v>2017</v>
      </c>
      <c r="E15" s="146">
        <f>SUM(F15:G15)</f>
        <v>2020</v>
      </c>
      <c r="F15" s="146">
        <f>'1.5W.P. KL'!E19</f>
        <v>579</v>
      </c>
      <c r="G15" s="146">
        <f>'1.7 KL'!C5</f>
        <v>1441</v>
      </c>
    </row>
    <row r="16" spans="1:12" s="53" customFormat="1" ht="17.100000000000001" customHeight="1" x14ac:dyDescent="0.2">
      <c r="B16" s="56"/>
      <c r="C16" s="56"/>
      <c r="D16" s="108">
        <v>2018</v>
      </c>
      <c r="E16" s="146">
        <f t="shared" ref="E16:E17" si="3">SUM(F16:G16)</f>
        <v>1915</v>
      </c>
      <c r="F16" s="146">
        <f>'1.5W.P. KL'!E20</f>
        <v>418</v>
      </c>
      <c r="G16" s="146">
        <f>'1.7 KL'!C6</f>
        <v>1497</v>
      </c>
    </row>
    <row r="17" spans="2:10" s="102" customFormat="1" ht="17.100000000000001" customHeight="1" x14ac:dyDescent="0.2">
      <c r="B17" s="56"/>
      <c r="C17" s="56"/>
      <c r="D17" s="108">
        <v>2019</v>
      </c>
      <c r="E17" s="146">
        <f t="shared" si="3"/>
        <v>1886</v>
      </c>
      <c r="F17" s="146">
        <f>'1.5W.P. KL'!E21</f>
        <v>394</v>
      </c>
      <c r="G17" s="146">
        <f>'1.7 KL'!C7</f>
        <v>1492</v>
      </c>
      <c r="J17" s="120"/>
    </row>
    <row r="18" spans="2:10" s="102" customFormat="1" ht="8.1" customHeight="1" x14ac:dyDescent="0.2">
      <c r="B18" s="56"/>
      <c r="C18" s="56"/>
      <c r="D18" s="108"/>
      <c r="E18" s="119"/>
      <c r="F18" s="146"/>
      <c r="G18" s="146"/>
      <c r="J18" s="120"/>
    </row>
    <row r="19" spans="2:10" s="53" customFormat="1" ht="17.100000000000001" customHeight="1" x14ac:dyDescent="0.2">
      <c r="B19" s="56" t="s">
        <v>82</v>
      </c>
      <c r="C19" s="56"/>
      <c r="D19" s="108">
        <v>2017</v>
      </c>
      <c r="E19" s="146">
        <f>SUM(F19:G19)</f>
        <v>1942</v>
      </c>
      <c r="F19" s="146">
        <f>'1.5W.P. KL'!E23</f>
        <v>472</v>
      </c>
      <c r="G19" s="146">
        <f>'1.7 KL'!C8</f>
        <v>1470</v>
      </c>
    </row>
    <row r="20" spans="2:10" s="115" customFormat="1" ht="17.100000000000001" customHeight="1" x14ac:dyDescent="0.2">
      <c r="B20" s="56"/>
      <c r="C20" s="56"/>
      <c r="D20" s="108">
        <v>2018</v>
      </c>
      <c r="E20" s="146">
        <f t="shared" ref="E20:E21" si="4">SUM(F20:G20)</f>
        <v>1649</v>
      </c>
      <c r="F20" s="146">
        <f>'1.5W.P. KL'!E24</f>
        <v>279</v>
      </c>
      <c r="G20" s="146">
        <f>'1.7 KL'!C9</f>
        <v>1370</v>
      </c>
      <c r="H20" s="53"/>
    </row>
    <row r="21" spans="2:10" s="102" customFormat="1" ht="17.100000000000001" customHeight="1" x14ac:dyDescent="0.2">
      <c r="B21" s="56"/>
      <c r="C21" s="56"/>
      <c r="D21" s="108">
        <v>2019</v>
      </c>
      <c r="E21" s="146">
        <f t="shared" si="4"/>
        <v>1635</v>
      </c>
      <c r="F21" s="146">
        <f>'1.5W.P. KL'!E25</f>
        <v>377</v>
      </c>
      <c r="G21" s="146">
        <f>'1.7 KL'!C10</f>
        <v>1258</v>
      </c>
      <c r="J21" s="120"/>
    </row>
    <row r="22" spans="2:10" s="102" customFormat="1" ht="8.1" customHeight="1" x14ac:dyDescent="0.2">
      <c r="B22" s="56"/>
      <c r="C22" s="56"/>
      <c r="D22" s="108"/>
      <c r="E22" s="119"/>
      <c r="F22" s="146"/>
      <c r="G22" s="146"/>
      <c r="J22" s="120"/>
    </row>
    <row r="23" spans="2:10" s="53" customFormat="1" ht="17.100000000000001" customHeight="1" x14ac:dyDescent="0.2">
      <c r="B23" s="56" t="s">
        <v>83</v>
      </c>
      <c r="C23" s="56"/>
      <c r="D23" s="108">
        <v>2017</v>
      </c>
      <c r="E23" s="146">
        <f>SUM(F23:G23)</f>
        <v>3606</v>
      </c>
      <c r="F23" s="146">
        <f>'1.5W.P. KL'!E27</f>
        <v>1352</v>
      </c>
      <c r="G23" s="146">
        <f>'1.7 KL'!C11</f>
        <v>2254</v>
      </c>
    </row>
    <row r="24" spans="2:10" s="53" customFormat="1" ht="17.100000000000001" customHeight="1" x14ac:dyDescent="0.2">
      <c r="B24" s="56"/>
      <c r="C24" s="56"/>
      <c r="D24" s="108">
        <v>2018</v>
      </c>
      <c r="E24" s="146">
        <f t="shared" ref="E24:E25" si="5">SUM(F24:G24)</f>
        <v>3516</v>
      </c>
      <c r="F24" s="146">
        <f>'1.5W.P. KL'!E28</f>
        <v>1354</v>
      </c>
      <c r="G24" s="146">
        <f>'1.7 KL'!C12</f>
        <v>2162</v>
      </c>
    </row>
    <row r="25" spans="2:10" s="102" customFormat="1" ht="17.100000000000001" customHeight="1" x14ac:dyDescent="0.2">
      <c r="B25" s="56"/>
      <c r="C25" s="56"/>
      <c r="D25" s="108">
        <v>2019</v>
      </c>
      <c r="E25" s="146">
        <f t="shared" si="5"/>
        <v>2914</v>
      </c>
      <c r="F25" s="146">
        <f>'1.5W.P. KL'!E29</f>
        <v>1265</v>
      </c>
      <c r="G25" s="146">
        <f>'1.7 KL'!C13</f>
        <v>1649</v>
      </c>
      <c r="J25" s="120"/>
    </row>
    <row r="26" spans="2:10" s="102" customFormat="1" ht="8.1" customHeight="1" x14ac:dyDescent="0.2">
      <c r="B26" s="56"/>
      <c r="C26" s="56"/>
      <c r="D26" s="108"/>
      <c r="E26" s="119"/>
      <c r="F26" s="146"/>
      <c r="G26" s="146"/>
      <c r="J26" s="120"/>
    </row>
    <row r="27" spans="2:10" s="53" customFormat="1" ht="17.100000000000001" customHeight="1" x14ac:dyDescent="0.2">
      <c r="B27" s="56" t="s">
        <v>84</v>
      </c>
      <c r="C27" s="56"/>
      <c r="D27" s="108">
        <v>2017</v>
      </c>
      <c r="E27" s="146">
        <f>SUM(F27:G27)</f>
        <v>2847</v>
      </c>
      <c r="F27" s="146">
        <f>'1.5W.P. KL'!E31</f>
        <v>784</v>
      </c>
      <c r="G27" s="146">
        <f>'1.7 KL'!C14</f>
        <v>2063</v>
      </c>
    </row>
    <row r="28" spans="2:10" s="53" customFormat="1" ht="17.100000000000001" customHeight="1" x14ac:dyDescent="0.2">
      <c r="B28" s="56"/>
      <c r="C28" s="56"/>
      <c r="D28" s="108">
        <v>2018</v>
      </c>
      <c r="E28" s="146">
        <f t="shared" ref="E28:E29" si="6">SUM(F28:G28)</f>
        <v>2510</v>
      </c>
      <c r="F28" s="146">
        <f>'1.5W.P. KL'!E32</f>
        <v>660</v>
      </c>
      <c r="G28" s="146">
        <f>'1.7 KL'!C15</f>
        <v>1850</v>
      </c>
    </row>
    <row r="29" spans="2:10" s="102" customFormat="1" ht="17.100000000000001" customHeight="1" x14ac:dyDescent="0.2">
      <c r="B29" s="56"/>
      <c r="C29" s="56"/>
      <c r="D29" s="108">
        <v>2019</v>
      </c>
      <c r="E29" s="146">
        <f t="shared" si="6"/>
        <v>2515</v>
      </c>
      <c r="F29" s="146">
        <f>'1.5W.P. KL'!E33</f>
        <v>510</v>
      </c>
      <c r="G29" s="146">
        <f>'1.7 KL'!C16</f>
        <v>2005</v>
      </c>
      <c r="J29" s="120"/>
    </row>
    <row r="30" spans="2:10" s="102" customFormat="1" ht="8.1" customHeight="1" x14ac:dyDescent="0.2">
      <c r="B30" s="56"/>
      <c r="C30" s="56"/>
      <c r="D30" s="108"/>
      <c r="E30" s="119"/>
      <c r="F30" s="146"/>
      <c r="G30" s="146"/>
      <c r="J30" s="120"/>
    </row>
    <row r="31" spans="2:10" s="53" customFormat="1" ht="17.100000000000001" customHeight="1" x14ac:dyDescent="0.2">
      <c r="B31" s="56" t="s">
        <v>85</v>
      </c>
      <c r="C31" s="56"/>
      <c r="D31" s="108">
        <v>2017</v>
      </c>
      <c r="E31" s="146">
        <f>SUM(F31:G31)</f>
        <v>2812</v>
      </c>
      <c r="F31" s="146">
        <f>'1.5W.P. KL'!E35</f>
        <v>793</v>
      </c>
      <c r="G31" s="146">
        <f>'1.7 KL'!C17</f>
        <v>2019</v>
      </c>
    </row>
    <row r="32" spans="2:10" s="53" customFormat="1" ht="17.100000000000001" customHeight="1" x14ac:dyDescent="0.2">
      <c r="B32" s="56"/>
      <c r="C32" s="85"/>
      <c r="D32" s="108">
        <v>2018</v>
      </c>
      <c r="E32" s="146">
        <f t="shared" ref="E32:E33" si="7">SUM(F32:G32)</f>
        <v>2326</v>
      </c>
      <c r="F32" s="146">
        <f>'1.5W.P. KL'!E36</f>
        <v>410</v>
      </c>
      <c r="G32" s="146">
        <f>'1.7 KL'!C18</f>
        <v>1916</v>
      </c>
    </row>
    <row r="33" spans="1:10" s="102" customFormat="1" ht="17.100000000000001" customHeight="1" x14ac:dyDescent="0.2">
      <c r="B33" s="56"/>
      <c r="C33" s="85"/>
      <c r="D33" s="108">
        <v>2019</v>
      </c>
      <c r="E33" s="146">
        <f t="shared" si="7"/>
        <v>1976</v>
      </c>
      <c r="F33" s="146">
        <f>'1.5W.P. KL'!E37</f>
        <v>345</v>
      </c>
      <c r="G33" s="146">
        <f>'1.7 KL'!C19</f>
        <v>1631</v>
      </c>
      <c r="J33" s="120"/>
    </row>
    <row r="34" spans="1:10" s="102" customFormat="1" ht="8.1" customHeight="1" x14ac:dyDescent="0.2">
      <c r="B34" s="56"/>
      <c r="C34" s="85"/>
      <c r="D34" s="108"/>
      <c r="E34" s="119"/>
      <c r="F34" s="146"/>
      <c r="G34" s="146"/>
      <c r="J34" s="120"/>
    </row>
    <row r="35" spans="1:10" s="53" customFormat="1" ht="17.100000000000001" customHeight="1" x14ac:dyDescent="0.2">
      <c r="B35" s="56" t="s">
        <v>86</v>
      </c>
      <c r="C35" s="56"/>
      <c r="D35" s="108">
        <v>2017</v>
      </c>
      <c r="E35" s="146">
        <f>SUM(F35:G35)</f>
        <v>255</v>
      </c>
      <c r="F35" s="146">
        <f>'1.5W.P. KL'!E39</f>
        <v>19</v>
      </c>
      <c r="G35" s="146">
        <f>'1.7 KL'!C20</f>
        <v>236</v>
      </c>
    </row>
    <row r="36" spans="1:10" s="53" customFormat="1" ht="17.100000000000001" customHeight="1" x14ac:dyDescent="0.2">
      <c r="B36" s="56"/>
      <c r="C36" s="85"/>
      <c r="D36" s="108">
        <v>2018</v>
      </c>
      <c r="E36" s="146">
        <f t="shared" ref="E36:E37" si="8">SUM(F36:G36)</f>
        <v>211</v>
      </c>
      <c r="F36" s="146">
        <f>'1.5W.P. KL'!E40</f>
        <v>16</v>
      </c>
      <c r="G36" s="146">
        <f>'1.7 KL'!C21</f>
        <v>195</v>
      </c>
    </row>
    <row r="37" spans="1:10" s="102" customFormat="1" ht="17.100000000000001" customHeight="1" x14ac:dyDescent="0.2">
      <c r="B37" s="56"/>
      <c r="C37" s="85"/>
      <c r="D37" s="108">
        <v>2019</v>
      </c>
      <c r="E37" s="146">
        <f t="shared" si="8"/>
        <v>246</v>
      </c>
      <c r="F37" s="146">
        <f>'1.5W.P. KL'!E41</f>
        <v>23</v>
      </c>
      <c r="G37" s="146">
        <f>'1.7 KL'!C22</f>
        <v>223</v>
      </c>
      <c r="J37" s="120"/>
    </row>
    <row r="38" spans="1:10" s="24" customFormat="1" ht="8.1" customHeight="1" thickBot="1" x14ac:dyDescent="0.3">
      <c r="A38" s="100"/>
      <c r="B38" s="32"/>
      <c r="C38" s="32"/>
      <c r="D38" s="129"/>
      <c r="E38" s="12"/>
      <c r="F38" s="12"/>
      <c r="G38" s="12"/>
    </row>
    <row r="39" spans="1:10" x14ac:dyDescent="0.25">
      <c r="D39" s="130"/>
      <c r="G39" s="8" t="s">
        <v>99</v>
      </c>
    </row>
    <row r="40" spans="1:10" x14ac:dyDescent="0.25">
      <c r="D40" s="130"/>
      <c r="G40" s="41" t="s">
        <v>1</v>
      </c>
    </row>
    <row r="41" spans="1:10" x14ac:dyDescent="0.25">
      <c r="D41" s="130"/>
    </row>
    <row r="42" spans="1:10" x14ac:dyDescent="0.25">
      <c r="B42" s="38"/>
      <c r="C42" s="43"/>
      <c r="D42" s="130"/>
    </row>
    <row r="43" spans="1:10" x14ac:dyDescent="0.25">
      <c r="B43" s="44"/>
      <c r="C43" s="43"/>
      <c r="D43" s="130"/>
    </row>
    <row r="44" spans="1:10" x14ac:dyDescent="0.25">
      <c r="D44" s="130"/>
    </row>
    <row r="45" spans="1:10" x14ac:dyDescent="0.25">
      <c r="D45" s="130"/>
    </row>
    <row r="46" spans="1:10" x14ac:dyDescent="0.25">
      <c r="D46" s="130"/>
    </row>
    <row r="47" spans="1:10" x14ac:dyDescent="0.25">
      <c r="D47" s="130"/>
    </row>
    <row r="48" spans="1:10" x14ac:dyDescent="0.25">
      <c r="D48" s="130"/>
    </row>
    <row r="49" spans="4:4" x14ac:dyDescent="0.25">
      <c r="D49" s="130"/>
    </row>
    <row r="50" spans="4:4" x14ac:dyDescent="0.25">
      <c r="D50" s="130"/>
    </row>
    <row r="51" spans="4:4" x14ac:dyDescent="0.25">
      <c r="D51" s="130"/>
    </row>
    <row r="52" spans="4:4" x14ac:dyDescent="0.25">
      <c r="D52" s="130"/>
    </row>
    <row r="53" spans="4:4" x14ac:dyDescent="0.25">
      <c r="D53" s="130"/>
    </row>
    <row r="54" spans="4:4" x14ac:dyDescent="0.25">
      <c r="D54" s="130"/>
    </row>
    <row r="55" spans="4:4" x14ac:dyDescent="0.25">
      <c r="D55" s="130"/>
    </row>
    <row r="56" spans="4:4" x14ac:dyDescent="0.25">
      <c r="D56" s="130"/>
    </row>
    <row r="57" spans="4:4" x14ac:dyDescent="0.25">
      <c r="D57" s="130"/>
    </row>
    <row r="58" spans="4:4" x14ac:dyDescent="0.25">
      <c r="D58" s="130"/>
    </row>
    <row r="59" spans="4:4" x14ac:dyDescent="0.25">
      <c r="D59" s="130"/>
    </row>
    <row r="60" spans="4:4" x14ac:dyDescent="0.25">
      <c r="D60" s="130"/>
    </row>
    <row r="61" spans="4:4" x14ac:dyDescent="0.25">
      <c r="D61" s="130"/>
    </row>
    <row r="62" spans="4:4" x14ac:dyDescent="0.25">
      <c r="D62" s="130"/>
    </row>
    <row r="63" spans="4:4" x14ac:dyDescent="0.25">
      <c r="D63" s="130"/>
    </row>
    <row r="64" spans="4:4" x14ac:dyDescent="0.25">
      <c r="D64" s="130"/>
    </row>
    <row r="65" spans="4:4" x14ac:dyDescent="0.25">
      <c r="D65" s="130"/>
    </row>
    <row r="66" spans="4:4" x14ac:dyDescent="0.25">
      <c r="D66" s="130"/>
    </row>
    <row r="67" spans="4:4" x14ac:dyDescent="0.25">
      <c r="D67" s="130"/>
    </row>
    <row r="68" spans="4:4" x14ac:dyDescent="0.25">
      <c r="D68" s="130"/>
    </row>
    <row r="69" spans="4:4" x14ac:dyDescent="0.25">
      <c r="D69" s="130"/>
    </row>
  </sheetData>
  <mergeCells count="6">
    <mergeCell ref="C6:G6"/>
    <mergeCell ref="E8:E9"/>
    <mergeCell ref="F8:F9"/>
    <mergeCell ref="G8:G9"/>
    <mergeCell ref="B8:C9"/>
    <mergeCell ref="D8:D9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90" fitToWidth="0" orientation="portrait" r:id="rId1"/>
  <headerFooter>
    <oddHeader xml:space="preserve">&amp;R&amp;"-,Bold"
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78"/>
  <sheetViews>
    <sheetView showGridLines="0" topLeftCell="D1" zoomScaleNormal="100" zoomScaleSheetLayoutView="100" workbookViewId="0">
      <selection activeCell="D8" sqref="A8:XFD8"/>
    </sheetView>
  </sheetViews>
  <sheetFormatPr defaultColWidth="9.140625" defaultRowHeight="15" x14ac:dyDescent="0.25"/>
  <cols>
    <col min="1" max="1" width="1.28515625" style="30" customWidth="1"/>
    <col min="2" max="2" width="9.85546875" style="27" customWidth="1"/>
    <col min="3" max="3" width="13.7109375" style="27" customWidth="1"/>
    <col min="4" max="4" width="7.5703125" style="27" customWidth="1"/>
    <col min="5" max="5" width="10.7109375" style="28" customWidth="1"/>
    <col min="6" max="8" width="10.7109375" style="29" customWidth="1"/>
    <col min="9" max="9" width="14.85546875" style="29" customWidth="1"/>
    <col min="10" max="10" width="1.7109375" style="29" customWidth="1"/>
    <col min="11" max="11" width="10.7109375" style="29" customWidth="1"/>
    <col min="12" max="12" width="14.85546875" style="29" customWidth="1"/>
    <col min="13" max="13" width="14.42578125" style="168" customWidth="1"/>
    <col min="14" max="14" width="0.85546875" style="30" customWidth="1"/>
    <col min="15" max="15" width="9.140625" style="30"/>
    <col min="16" max="16" width="9.42578125" style="30" bestFit="1" customWidth="1"/>
    <col min="17" max="16384" width="9.140625" style="30"/>
  </cols>
  <sheetData>
    <row r="1" spans="1:20" ht="12" customHeight="1" x14ac:dyDescent="0.25">
      <c r="E1" s="27"/>
      <c r="F1" s="28"/>
      <c r="H1" s="30"/>
      <c r="I1" s="30"/>
      <c r="J1" s="30"/>
      <c r="K1" s="30"/>
      <c r="L1" s="30"/>
      <c r="M1" s="160" t="s">
        <v>179</v>
      </c>
    </row>
    <row r="2" spans="1:20" ht="12" customHeight="1" x14ac:dyDescent="0.25">
      <c r="E2" s="27"/>
      <c r="F2" s="28"/>
      <c r="H2" s="30"/>
      <c r="I2" s="30"/>
      <c r="J2" s="30"/>
      <c r="K2" s="30"/>
      <c r="L2" s="30"/>
      <c r="M2" s="68" t="s">
        <v>180</v>
      </c>
    </row>
    <row r="3" spans="1:20" ht="12" customHeight="1" x14ac:dyDescent="0.25">
      <c r="E3" s="27"/>
      <c r="F3" s="28"/>
      <c r="H3" s="68"/>
      <c r="I3" s="68"/>
      <c r="J3" s="68"/>
      <c r="K3" s="68"/>
      <c r="L3" s="68"/>
      <c r="M3" s="30"/>
    </row>
    <row r="4" spans="1:20" ht="12" customHeight="1" x14ac:dyDescent="0.25">
      <c r="E4" s="27"/>
      <c r="F4" s="28"/>
      <c r="H4" s="68"/>
      <c r="I4" s="68"/>
      <c r="J4" s="68"/>
      <c r="K4" s="68"/>
      <c r="L4" s="68"/>
      <c r="M4" s="30"/>
    </row>
    <row r="5" spans="1:20" s="161" customFormat="1" ht="15" customHeight="1" x14ac:dyDescent="0.25">
      <c r="B5" s="79" t="s">
        <v>197</v>
      </c>
      <c r="C5" s="64" t="s">
        <v>237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</row>
    <row r="6" spans="1:20" s="67" customFormat="1" ht="16.5" customHeight="1" x14ac:dyDescent="0.25">
      <c r="B6" s="80" t="s">
        <v>198</v>
      </c>
      <c r="C6" s="67" t="s">
        <v>238</v>
      </c>
    </row>
    <row r="7" spans="1:20" ht="9.9499999999999993" customHeight="1" thickBot="1" x14ac:dyDescent="0.3"/>
    <row r="8" spans="1:20" s="53" customFormat="1" ht="9.9499999999999993" customHeight="1" thickTop="1" x14ac:dyDescent="0.2">
      <c r="A8" s="378"/>
      <c r="B8" s="388"/>
      <c r="C8" s="388"/>
      <c r="D8" s="389"/>
      <c r="E8" s="374"/>
      <c r="F8" s="375"/>
      <c r="G8" s="375"/>
      <c r="H8" s="376"/>
      <c r="I8" s="375"/>
      <c r="J8" s="375"/>
      <c r="K8" s="375"/>
      <c r="L8" s="375"/>
      <c r="M8" s="377"/>
      <c r="N8" s="378"/>
    </row>
    <row r="9" spans="1:20" s="53" customFormat="1" ht="27.75" customHeight="1" x14ac:dyDescent="0.2">
      <c r="A9" s="390"/>
      <c r="B9" s="432" t="s">
        <v>210</v>
      </c>
      <c r="C9" s="432"/>
      <c r="D9" s="379" t="s">
        <v>222</v>
      </c>
      <c r="E9" s="379" t="s">
        <v>220</v>
      </c>
      <c r="F9" s="379" t="s">
        <v>219</v>
      </c>
      <c r="G9" s="379" t="s">
        <v>218</v>
      </c>
      <c r="H9" s="433" t="s">
        <v>234</v>
      </c>
      <c r="I9" s="433"/>
      <c r="J9" s="380"/>
      <c r="K9" s="433" t="s">
        <v>221</v>
      </c>
      <c r="L9" s="433"/>
      <c r="M9" s="379" t="s">
        <v>217</v>
      </c>
      <c r="N9" s="381"/>
    </row>
    <row r="10" spans="1:20" s="53" customFormat="1" ht="30" customHeight="1" x14ac:dyDescent="0.2">
      <c r="A10" s="390"/>
      <c r="B10" s="434" t="s">
        <v>211</v>
      </c>
      <c r="C10" s="434"/>
      <c r="D10" s="382" t="s">
        <v>212</v>
      </c>
      <c r="E10" s="382" t="s">
        <v>213</v>
      </c>
      <c r="F10" s="382" t="s">
        <v>214</v>
      </c>
      <c r="G10" s="382" t="s">
        <v>215</v>
      </c>
      <c r="H10" s="383" t="s">
        <v>225</v>
      </c>
      <c r="I10" s="383" t="s">
        <v>226</v>
      </c>
      <c r="J10" s="383"/>
      <c r="K10" s="383" t="s">
        <v>225</v>
      </c>
      <c r="L10" s="383" t="s">
        <v>226</v>
      </c>
      <c r="M10" s="384" t="s">
        <v>216</v>
      </c>
      <c r="N10" s="385"/>
    </row>
    <row r="11" spans="1:20" s="53" customFormat="1" ht="30" customHeight="1" x14ac:dyDescent="0.2">
      <c r="A11" s="391"/>
      <c r="B11" s="392"/>
      <c r="C11" s="392"/>
      <c r="D11" s="386"/>
      <c r="E11" s="386"/>
      <c r="F11" s="386"/>
      <c r="G11" s="386"/>
      <c r="H11" s="387" t="s">
        <v>223</v>
      </c>
      <c r="I11" s="387" t="s">
        <v>224</v>
      </c>
      <c r="J11" s="387"/>
      <c r="K11" s="387" t="s">
        <v>223</v>
      </c>
      <c r="L11" s="387" t="s">
        <v>224</v>
      </c>
      <c r="M11" s="370"/>
      <c r="N11" s="373"/>
    </row>
    <row r="12" spans="1:20" s="37" customFormat="1" ht="6.75" customHeight="1" x14ac:dyDescent="0.25">
      <c r="B12" s="40"/>
      <c r="C12" s="40"/>
      <c r="D12" s="38"/>
      <c r="E12" s="43"/>
      <c r="F12" s="94"/>
      <c r="G12" s="169"/>
      <c r="H12" s="94"/>
      <c r="I12" s="94"/>
      <c r="J12" s="94"/>
      <c r="K12" s="94"/>
      <c r="L12" s="94"/>
    </row>
    <row r="13" spans="1:20" s="37" customFormat="1" ht="17.100000000000001" customHeight="1" x14ac:dyDescent="0.25">
      <c r="A13" s="108"/>
      <c r="B13" s="170" t="s">
        <v>181</v>
      </c>
      <c r="C13" s="171"/>
      <c r="D13" s="60">
        <v>2017</v>
      </c>
      <c r="E13" s="145">
        <f>SUM(F13:M13)</f>
        <v>21366</v>
      </c>
      <c r="F13" s="145">
        <f>SUM(F17,F21,F25,F29,F33,F37,F41,F45,F49,F53,F57,F61,F65,F69)</f>
        <v>379</v>
      </c>
      <c r="G13" s="145">
        <f t="shared" ref="G13:I13" si="0">SUM(G17,G21,G25,G29,G33,G37,G41,G45,G49,G53,G57,G61,G65,G69)</f>
        <v>1835</v>
      </c>
      <c r="H13" s="145">
        <f t="shared" si="0"/>
        <v>31</v>
      </c>
      <c r="I13" s="145">
        <f t="shared" si="0"/>
        <v>9779</v>
      </c>
      <c r="J13" s="145"/>
      <c r="K13" s="145">
        <f t="shared" ref="K13:L13" si="1">SUM(K17,K21,K25,K29,K33,K37,K41,K45,K49,K53,K57,K61,K65,K69)</f>
        <v>3</v>
      </c>
      <c r="L13" s="145">
        <f t="shared" si="1"/>
        <v>4315</v>
      </c>
      <c r="M13" s="145">
        <f>SUM(M17,M21,M25,M29,M33,M37,M41,M45,M49,M53,M57,M61,M65,M69)</f>
        <v>5024</v>
      </c>
    </row>
    <row r="14" spans="1:20" s="173" customFormat="1" ht="17.100000000000001" customHeight="1" x14ac:dyDescent="0.25">
      <c r="A14" s="108"/>
      <c r="B14" s="171"/>
      <c r="C14" s="171"/>
      <c r="D14" s="60">
        <v>2018</v>
      </c>
      <c r="E14" s="145">
        <f>SUM(F14:M14)</f>
        <v>16902</v>
      </c>
      <c r="F14" s="145">
        <f>SUM(F18,F22,F26,F30,F34,F38,F42,F46,F50,F54,F58,F62,F66,F70)</f>
        <v>323</v>
      </c>
      <c r="G14" s="145">
        <f t="shared" ref="G14" si="2">SUM(G18,G22,G26,G30,G34,G38,G42,G46,G50,G54,G58,G62,G66,G70)</f>
        <v>1648</v>
      </c>
      <c r="H14" s="203">
        <f t="shared" ref="H14:I14" si="3">SUM(H18,H22,H26,H30,H34,H38,H42,H46,H50,H54,H58,H62,H66,H70)</f>
        <v>31</v>
      </c>
      <c r="I14" s="145">
        <f t="shared" si="3"/>
        <v>6543</v>
      </c>
      <c r="J14" s="145"/>
      <c r="K14" s="145">
        <f t="shared" ref="K14:L14" si="4">SUM(K18,K22,K26,K30,K34,K38,K42,K46,K50,K54,K58,K62,K66,K70)</f>
        <v>9</v>
      </c>
      <c r="L14" s="145">
        <f t="shared" si="4"/>
        <v>3688</v>
      </c>
      <c r="M14" s="203">
        <f>SUM(M18,M22,M26,M30,M34,M38,M42,M46,M50,M54,M58,M62,M66,M70)</f>
        <v>4660</v>
      </c>
      <c r="P14" s="418"/>
    </row>
    <row r="15" spans="1:20" s="173" customFormat="1" ht="17.100000000000001" customHeight="1" x14ac:dyDescent="0.25">
      <c r="A15" s="108"/>
      <c r="B15" s="171"/>
      <c r="C15" s="171"/>
      <c r="D15" s="60">
        <v>2019</v>
      </c>
      <c r="E15" s="145">
        <f>SUM(F15:M15)</f>
        <v>16489</v>
      </c>
      <c r="F15" s="145">
        <f>SUM(F19,F23,F27,F31,F35,F39,F43,F47,F51,F55,F59,F63,F67,F71)</f>
        <v>310</v>
      </c>
      <c r="G15" s="145">
        <f>SUM(G19,G23,G27,G31,G35,G39,G43,G47,G51,G55,G59,G63,G67,G71)</f>
        <v>1738</v>
      </c>
      <c r="H15" s="145">
        <f t="shared" ref="H15:I15" si="5">SUM(H19,H23,H27,H31,H35,H39,H43,H47,H51,H55,H59,H63,H67,H71)</f>
        <v>21</v>
      </c>
      <c r="I15" s="145">
        <f t="shared" si="5"/>
        <v>6058</v>
      </c>
      <c r="J15" s="145"/>
      <c r="K15" s="145">
        <f t="shared" ref="K15:L15" si="6">SUM(K19,K23,K27,K31,K35,K39,K43,K47,K51,K55,K59,K63,K67,K71)</f>
        <v>9</v>
      </c>
      <c r="L15" s="145">
        <f t="shared" si="6"/>
        <v>3641</v>
      </c>
      <c r="M15" s="145">
        <f>SUM(M19,M23,M27,M31,M35,M39,M43,M47,M51,M55,M59,M63,M67,M71)</f>
        <v>4712</v>
      </c>
      <c r="P15" s="418"/>
      <c r="Q15" s="419"/>
      <c r="R15" s="419"/>
      <c r="S15" s="419"/>
      <c r="T15" s="419"/>
    </row>
    <row r="16" spans="1:20" s="173" customFormat="1" ht="8.1" customHeight="1" x14ac:dyDescent="0.25">
      <c r="A16" s="108"/>
      <c r="B16" s="171"/>
      <c r="C16" s="171"/>
      <c r="D16" s="141"/>
      <c r="E16" s="146"/>
      <c r="F16" s="146"/>
      <c r="G16" s="146"/>
      <c r="H16" s="146"/>
      <c r="I16" s="146"/>
      <c r="J16" s="146"/>
      <c r="K16" s="146"/>
      <c r="L16" s="146"/>
      <c r="M16" s="146"/>
      <c r="P16" s="418"/>
    </row>
    <row r="17" spans="1:16" ht="17.100000000000001" customHeight="1" x14ac:dyDescent="0.25">
      <c r="A17" s="162"/>
      <c r="B17" s="174" t="s">
        <v>95</v>
      </c>
      <c r="C17" s="175"/>
      <c r="D17" s="147">
        <v>2017</v>
      </c>
      <c r="E17" s="146">
        <f>SUM(F17:M17)</f>
        <v>2578</v>
      </c>
      <c r="F17" s="146">
        <f>'1.5Johor'!F15</f>
        <v>66</v>
      </c>
      <c r="G17" s="146">
        <f>'1.5Johor'!G15</f>
        <v>196</v>
      </c>
      <c r="H17" s="146">
        <f>'1.5Johor'!H15</f>
        <v>1</v>
      </c>
      <c r="I17" s="146">
        <f>'1.5Johor'!I15</f>
        <v>1220</v>
      </c>
      <c r="J17" s="146"/>
      <c r="K17" s="146" t="str">
        <f>'1.5Johor'!K15</f>
        <v>-</v>
      </c>
      <c r="L17" s="146">
        <f>'1.5Johor'!L15</f>
        <v>481</v>
      </c>
      <c r="M17" s="146">
        <f>'1.5Johor'!M15</f>
        <v>614</v>
      </c>
      <c r="P17" s="418"/>
    </row>
    <row r="18" spans="1:16" ht="17.100000000000001" customHeight="1" x14ac:dyDescent="0.25">
      <c r="A18" s="162"/>
      <c r="B18" s="174"/>
      <c r="C18" s="175"/>
      <c r="D18" s="147">
        <v>2018</v>
      </c>
      <c r="E18" s="146">
        <f>SUM(F18:M18)</f>
        <v>1880</v>
      </c>
      <c r="F18" s="146">
        <f>'1.5Johor'!F16</f>
        <v>43</v>
      </c>
      <c r="G18" s="146">
        <f>'1.5Johor'!G16</f>
        <v>187</v>
      </c>
      <c r="H18" s="146">
        <f>'1.5Johor'!H16</f>
        <v>2</v>
      </c>
      <c r="I18" s="146">
        <f>'1.5Johor'!I16</f>
        <v>740</v>
      </c>
      <c r="J18" s="146"/>
      <c r="K18" s="146" t="str">
        <f>'1.5Johor'!K16</f>
        <v>-</v>
      </c>
      <c r="L18" s="146">
        <f>'1.5Johor'!L16</f>
        <v>330</v>
      </c>
      <c r="M18" s="146">
        <f>'1.5Johor'!M16</f>
        <v>578</v>
      </c>
    </row>
    <row r="19" spans="1:16" ht="17.100000000000001" customHeight="1" x14ac:dyDescent="0.25">
      <c r="A19" s="162"/>
      <c r="B19" s="174"/>
      <c r="C19" s="175"/>
      <c r="D19" s="147">
        <v>2019</v>
      </c>
      <c r="E19" s="146">
        <f>SUM(F19:M19)</f>
        <v>1923</v>
      </c>
      <c r="F19" s="146">
        <f>'1.5Johor'!F17</f>
        <v>35</v>
      </c>
      <c r="G19" s="146">
        <f>'1.5Johor'!G17</f>
        <v>206</v>
      </c>
      <c r="H19" s="146">
        <f>'1.5Johor'!H17</f>
        <v>1</v>
      </c>
      <c r="I19" s="146">
        <f>'1.5Johor'!I17</f>
        <v>753</v>
      </c>
      <c r="J19" s="146"/>
      <c r="K19" s="146">
        <f>'1.5Johor'!K17</f>
        <v>1</v>
      </c>
      <c r="L19" s="146">
        <f>'1.5Johor'!L17</f>
        <v>328</v>
      </c>
      <c r="M19" s="146">
        <f>'1.5Johor'!M17</f>
        <v>599</v>
      </c>
    </row>
    <row r="20" spans="1:16" ht="8.1" customHeight="1" x14ac:dyDescent="0.25">
      <c r="A20" s="162"/>
      <c r="B20" s="174"/>
      <c r="C20" s="175"/>
      <c r="D20" s="141"/>
      <c r="E20" s="146"/>
      <c r="F20" s="313"/>
      <c r="G20" s="313"/>
      <c r="H20" s="313"/>
      <c r="I20" s="313"/>
      <c r="J20" s="313"/>
      <c r="K20" s="313"/>
      <c r="L20" s="313"/>
      <c r="M20" s="313"/>
    </row>
    <row r="21" spans="1:16" ht="17.100000000000001" customHeight="1" x14ac:dyDescent="0.25">
      <c r="A21" s="162"/>
      <c r="B21" s="174" t="s">
        <v>97</v>
      </c>
      <c r="C21" s="175"/>
      <c r="D21" s="147">
        <v>2017</v>
      </c>
      <c r="E21" s="146">
        <f>SUM(F21:M21)</f>
        <v>996</v>
      </c>
      <c r="F21" s="311">
        <f>'1.5Kedah'!F15</f>
        <v>21</v>
      </c>
      <c r="G21" s="311">
        <f>'1.5Kedah'!G15</f>
        <v>119</v>
      </c>
      <c r="H21" s="311">
        <f>'1.5Kedah'!H15</f>
        <v>2</v>
      </c>
      <c r="I21" s="311">
        <f>'1.5Kedah'!I15</f>
        <v>333</v>
      </c>
      <c r="J21" s="311"/>
      <c r="K21" s="311" t="str">
        <f>'1.5Kedah'!K15</f>
        <v>-</v>
      </c>
      <c r="L21" s="311">
        <f>'1.5Kedah'!L15</f>
        <v>157</v>
      </c>
      <c r="M21" s="311">
        <f>'1.5Kedah'!M15</f>
        <v>364</v>
      </c>
    </row>
    <row r="22" spans="1:16" ht="17.100000000000001" customHeight="1" x14ac:dyDescent="0.25">
      <c r="A22" s="162"/>
      <c r="B22" s="174"/>
      <c r="C22" s="175"/>
      <c r="D22" s="147">
        <v>2018</v>
      </c>
      <c r="E22" s="146">
        <f>SUM(F22:M22)</f>
        <v>989</v>
      </c>
      <c r="F22" s="311">
        <f>'1.5Kedah'!F16</f>
        <v>9</v>
      </c>
      <c r="G22" s="311">
        <f>'1.5Kedah'!G16</f>
        <v>119</v>
      </c>
      <c r="H22" s="311">
        <f>'1.5Kedah'!H16</f>
        <v>2</v>
      </c>
      <c r="I22" s="311">
        <f>'1.5Kedah'!I16</f>
        <v>353</v>
      </c>
      <c r="J22" s="311"/>
      <c r="K22" s="311" t="str">
        <f>'1.5Kedah'!K16</f>
        <v>-</v>
      </c>
      <c r="L22" s="311">
        <f>'1.5Kedah'!L16</f>
        <v>169</v>
      </c>
      <c r="M22" s="311">
        <f>'1.5Kedah'!M16</f>
        <v>337</v>
      </c>
    </row>
    <row r="23" spans="1:16" ht="17.100000000000001" customHeight="1" x14ac:dyDescent="0.25">
      <c r="A23" s="162"/>
      <c r="B23" s="174"/>
      <c r="C23" s="175"/>
      <c r="D23" s="147">
        <v>2019</v>
      </c>
      <c r="E23" s="146">
        <f>SUM(F23:M23)</f>
        <v>937</v>
      </c>
      <c r="F23" s="311">
        <f>'1.5Kedah'!F17</f>
        <v>20</v>
      </c>
      <c r="G23" s="311">
        <f>'1.5Kedah'!G17</f>
        <v>145</v>
      </c>
      <c r="H23" s="311">
        <f>'1.5Kedah'!H17</f>
        <v>2</v>
      </c>
      <c r="I23" s="311">
        <f>'1.5Kedah'!I17</f>
        <v>278</v>
      </c>
      <c r="J23" s="311"/>
      <c r="K23" s="311">
        <f>'1.5Kedah'!K17</f>
        <v>2</v>
      </c>
      <c r="L23" s="311">
        <f>'1.5Kedah'!L17</f>
        <v>162</v>
      </c>
      <c r="M23" s="311">
        <f>'1.5Kedah'!M17</f>
        <v>328</v>
      </c>
    </row>
    <row r="24" spans="1:16" ht="8.1" customHeight="1" x14ac:dyDescent="0.25">
      <c r="A24" s="162"/>
      <c r="B24" s="174"/>
      <c r="C24" s="175"/>
      <c r="D24" s="141"/>
      <c r="E24" s="146"/>
      <c r="F24" s="310"/>
      <c r="G24" s="310"/>
      <c r="H24" s="310"/>
      <c r="I24" s="310"/>
      <c r="J24" s="310"/>
      <c r="K24" s="310"/>
      <c r="L24" s="310"/>
      <c r="M24" s="310"/>
    </row>
    <row r="25" spans="1:16" ht="17.100000000000001" customHeight="1" x14ac:dyDescent="0.25">
      <c r="A25" s="162"/>
      <c r="B25" s="174" t="s">
        <v>182</v>
      </c>
      <c r="C25" s="175"/>
      <c r="D25" s="147">
        <v>2017</v>
      </c>
      <c r="E25" s="146">
        <f>SUM(F25:M25)</f>
        <v>600</v>
      </c>
      <c r="F25" s="309">
        <f>'1.5Kelantan'!F15</f>
        <v>13</v>
      </c>
      <c r="G25" s="309">
        <f>'1.5Kelantan'!G15</f>
        <v>114</v>
      </c>
      <c r="H25" s="309">
        <f>'1.5Kelantan'!H15</f>
        <v>2</v>
      </c>
      <c r="I25" s="309">
        <f>'1.5Kelantan'!I15</f>
        <v>141</v>
      </c>
      <c r="J25" s="309"/>
      <c r="K25" s="309" t="str">
        <f>'1.5Kelantan'!K15</f>
        <v>-</v>
      </c>
      <c r="L25" s="309">
        <f>'1.5Kelantan'!L15</f>
        <v>78</v>
      </c>
      <c r="M25" s="309">
        <f>'1.5Kelantan'!M15</f>
        <v>252</v>
      </c>
    </row>
    <row r="26" spans="1:16" ht="17.100000000000001" customHeight="1" x14ac:dyDescent="0.25">
      <c r="A26" s="162"/>
      <c r="B26" s="174"/>
      <c r="C26" s="175"/>
      <c r="D26" s="147">
        <v>2018</v>
      </c>
      <c r="E26" s="146">
        <f>SUM(F26:M26)</f>
        <v>511</v>
      </c>
      <c r="F26" s="309">
        <f>'1.5Kelantan'!F16</f>
        <v>6</v>
      </c>
      <c r="G26" s="309">
        <f>'1.5Kelantan'!G16</f>
        <v>101</v>
      </c>
      <c r="H26" s="309">
        <f>'1.5Kelantan'!H16</f>
        <v>4</v>
      </c>
      <c r="I26" s="309">
        <f>'1.5Kelantan'!I16</f>
        <v>139</v>
      </c>
      <c r="J26" s="309"/>
      <c r="K26" s="309" t="str">
        <f>'1.5Kelantan'!K16</f>
        <v>-</v>
      </c>
      <c r="L26" s="309">
        <f>'1.5Kelantan'!L16</f>
        <v>71</v>
      </c>
      <c r="M26" s="309">
        <f>'1.5Kelantan'!M16</f>
        <v>190</v>
      </c>
    </row>
    <row r="27" spans="1:16" ht="17.100000000000001" customHeight="1" x14ac:dyDescent="0.25">
      <c r="A27" s="162"/>
      <c r="B27" s="174"/>
      <c r="C27" s="175"/>
      <c r="D27" s="147">
        <v>2019</v>
      </c>
      <c r="E27" s="146">
        <f>SUM(F27:M27)</f>
        <v>470</v>
      </c>
      <c r="F27" s="309">
        <f>'1.5Kelantan'!F17</f>
        <v>9</v>
      </c>
      <c r="G27" s="309">
        <f>'1.5Kelantan'!G17</f>
        <v>73</v>
      </c>
      <c r="H27" s="309">
        <f>'1.5Kelantan'!H17</f>
        <v>2</v>
      </c>
      <c r="I27" s="309">
        <f>'1.5Kelantan'!I17</f>
        <v>121</v>
      </c>
      <c r="J27" s="309"/>
      <c r="K27" s="309" t="str">
        <f>'1.5Kelantan'!K17</f>
        <v>-</v>
      </c>
      <c r="L27" s="309">
        <f>'1.5Kelantan'!L17</f>
        <v>87</v>
      </c>
      <c r="M27" s="309">
        <f>'1.5Kelantan'!M17</f>
        <v>178</v>
      </c>
    </row>
    <row r="28" spans="1:16" ht="8.1" customHeight="1" x14ac:dyDescent="0.25">
      <c r="A28" s="162"/>
      <c r="B28" s="174"/>
      <c r="C28" s="175"/>
      <c r="D28" s="141"/>
      <c r="E28" s="146"/>
      <c r="F28" s="355"/>
      <c r="G28" s="355"/>
      <c r="H28" s="355"/>
      <c r="I28" s="355"/>
      <c r="J28" s="355"/>
      <c r="K28" s="355"/>
      <c r="L28" s="355"/>
      <c r="M28" s="355"/>
    </row>
    <row r="29" spans="1:16" ht="17.100000000000001" customHeight="1" x14ac:dyDescent="0.25">
      <c r="A29" s="162"/>
      <c r="B29" s="174" t="s">
        <v>183</v>
      </c>
      <c r="C29" s="175"/>
      <c r="D29" s="147">
        <v>2017</v>
      </c>
      <c r="E29" s="146">
        <f>SUM(F29:M29)</f>
        <v>842</v>
      </c>
      <c r="F29" s="309">
        <f>'1.5Melaka'!F15</f>
        <v>7</v>
      </c>
      <c r="G29" s="309">
        <f>'1.5Melaka'!G15</f>
        <v>69</v>
      </c>
      <c r="H29" s="309">
        <f>'1.5Melaka'!H15</f>
        <v>1</v>
      </c>
      <c r="I29" s="309">
        <f>'1.5Melaka'!I15</f>
        <v>349</v>
      </c>
      <c r="J29" s="309"/>
      <c r="K29" s="309" t="str">
        <f>'1.5Melaka'!K15</f>
        <v>-</v>
      </c>
      <c r="L29" s="309">
        <f>'1.5Melaka'!L15</f>
        <v>240</v>
      </c>
      <c r="M29" s="309">
        <f>'1.5Melaka'!M15</f>
        <v>176</v>
      </c>
    </row>
    <row r="30" spans="1:16" ht="17.100000000000001" customHeight="1" x14ac:dyDescent="0.25">
      <c r="A30" s="162"/>
      <c r="B30" s="174"/>
      <c r="C30" s="175"/>
      <c r="D30" s="147">
        <v>2018</v>
      </c>
      <c r="E30" s="146">
        <f>SUM(F30:M30)</f>
        <v>621</v>
      </c>
      <c r="F30" s="309">
        <f>'1.5Melaka'!F16</f>
        <v>13</v>
      </c>
      <c r="G30" s="309">
        <f>'1.5Melaka'!G16</f>
        <v>51</v>
      </c>
      <c r="H30" s="309">
        <f>'1.5Melaka'!H16</f>
        <v>1</v>
      </c>
      <c r="I30" s="309">
        <f>'1.5Melaka'!I16</f>
        <v>175</v>
      </c>
      <c r="J30" s="309"/>
      <c r="K30" s="309" t="str">
        <f>'1.5Melaka'!K16</f>
        <v>-</v>
      </c>
      <c r="L30" s="309">
        <f>'1.5Melaka'!L16</f>
        <v>183</v>
      </c>
      <c r="M30" s="309">
        <f>'1.5Melaka'!M16</f>
        <v>198</v>
      </c>
    </row>
    <row r="31" spans="1:16" ht="17.100000000000001" customHeight="1" x14ac:dyDescent="0.25">
      <c r="A31" s="162"/>
      <c r="B31" s="174"/>
      <c r="C31" s="175"/>
      <c r="D31" s="147">
        <v>2019</v>
      </c>
      <c r="E31" s="146">
        <f>SUM(F31:M31)</f>
        <v>460</v>
      </c>
      <c r="F31" s="309">
        <f>'1.5Melaka'!F17</f>
        <v>5</v>
      </c>
      <c r="G31" s="309">
        <f>'1.5Melaka'!G17</f>
        <v>22</v>
      </c>
      <c r="H31" s="413" t="s">
        <v>51</v>
      </c>
      <c r="I31" s="309">
        <f>'1.5Melaka'!I17</f>
        <v>151</v>
      </c>
      <c r="J31" s="309"/>
      <c r="K31" s="309" t="str">
        <f>'1.5Melaka'!K17</f>
        <v>-</v>
      </c>
      <c r="L31" s="309">
        <f>'1.5Melaka'!L17</f>
        <v>118</v>
      </c>
      <c r="M31" s="309">
        <f>'1.5Melaka'!M17</f>
        <v>164</v>
      </c>
    </row>
    <row r="32" spans="1:16" ht="8.1" customHeight="1" x14ac:dyDescent="0.25">
      <c r="A32" s="162"/>
      <c r="B32" s="174"/>
      <c r="C32" s="175"/>
      <c r="D32" s="141"/>
      <c r="E32" s="146"/>
      <c r="F32" s="311"/>
      <c r="G32" s="311"/>
      <c r="H32" s="311"/>
      <c r="I32" s="311"/>
      <c r="J32" s="311"/>
      <c r="K32" s="311"/>
      <c r="L32" s="311"/>
      <c r="M32" s="312"/>
    </row>
    <row r="33" spans="1:17" ht="17.100000000000001" customHeight="1" x14ac:dyDescent="0.25">
      <c r="A33" s="162"/>
      <c r="B33" s="174" t="s">
        <v>31</v>
      </c>
      <c r="C33" s="175"/>
      <c r="D33" s="147">
        <v>2017</v>
      </c>
      <c r="E33" s="146">
        <f>SUM(F33:M33)</f>
        <v>884</v>
      </c>
      <c r="F33" s="309">
        <f>'1.5Melaka'!F32</f>
        <v>14</v>
      </c>
      <c r="G33" s="309">
        <f>'1.5Melaka'!G32</f>
        <v>91</v>
      </c>
      <c r="H33" s="309">
        <f>'1.5Melaka'!H32</f>
        <v>2</v>
      </c>
      <c r="I33" s="309">
        <f>'1.5Melaka'!I32</f>
        <v>392</v>
      </c>
      <c r="J33" s="309"/>
      <c r="K33" s="309" t="str">
        <f>'1.5Melaka'!K32</f>
        <v>-</v>
      </c>
      <c r="L33" s="309">
        <f>'1.5Melaka'!L32</f>
        <v>144</v>
      </c>
      <c r="M33" s="309">
        <f>'1.5Melaka'!M32</f>
        <v>241</v>
      </c>
    </row>
    <row r="34" spans="1:17" s="27" customFormat="1" ht="17.100000000000001" customHeight="1" x14ac:dyDescent="0.25">
      <c r="A34" s="103"/>
      <c r="B34" s="174"/>
      <c r="C34" s="175"/>
      <c r="D34" s="147">
        <v>2018</v>
      </c>
      <c r="E34" s="146">
        <f>SUM(F34:M34)</f>
        <v>831</v>
      </c>
      <c r="F34" s="309">
        <f>'1.5Melaka'!F33</f>
        <v>9</v>
      </c>
      <c r="G34" s="309">
        <f>'1.5Melaka'!G33</f>
        <v>97</v>
      </c>
      <c r="H34" s="309" t="str">
        <f>'1.5Melaka'!H33</f>
        <v>-</v>
      </c>
      <c r="I34" s="309">
        <f>'1.5Melaka'!I33</f>
        <v>288</v>
      </c>
      <c r="J34" s="309"/>
      <c r="K34" s="309">
        <f>'1.5Melaka'!K33</f>
        <v>1</v>
      </c>
      <c r="L34" s="309">
        <f>'1.5Melaka'!L33</f>
        <v>187</v>
      </c>
      <c r="M34" s="309">
        <f>'1.5Melaka'!M33</f>
        <v>249</v>
      </c>
      <c r="N34" s="30"/>
      <c r="O34" s="30"/>
      <c r="P34" s="30"/>
      <c r="Q34" s="30"/>
    </row>
    <row r="35" spans="1:17" ht="17.100000000000001" customHeight="1" x14ac:dyDescent="0.25">
      <c r="A35" s="162"/>
      <c r="B35" s="174"/>
      <c r="C35" s="175"/>
      <c r="D35" s="147">
        <v>2019</v>
      </c>
      <c r="E35" s="146">
        <f>SUM(F35:M35)</f>
        <v>778</v>
      </c>
      <c r="F35" s="309">
        <f>'1.5Melaka'!F34</f>
        <v>10</v>
      </c>
      <c r="G35" s="309">
        <f>'1.5Melaka'!G34</f>
        <v>56</v>
      </c>
      <c r="H35" s="413" t="s">
        <v>51</v>
      </c>
      <c r="I35" s="309">
        <f>'1.5Melaka'!I34</f>
        <v>282</v>
      </c>
      <c r="J35" s="309"/>
      <c r="K35" s="309" t="str">
        <f>'1.5Melaka'!K34</f>
        <v>-</v>
      </c>
      <c r="L35" s="309">
        <f>'1.5Melaka'!L34</f>
        <v>172</v>
      </c>
      <c r="M35" s="309">
        <f>'1.5Melaka'!M34</f>
        <v>258</v>
      </c>
    </row>
    <row r="36" spans="1:17" ht="8.1" customHeight="1" x14ac:dyDescent="0.25">
      <c r="A36" s="162"/>
      <c r="B36" s="174"/>
      <c r="C36" s="175"/>
      <c r="D36" s="141"/>
      <c r="E36" s="146"/>
      <c r="F36" s="355"/>
      <c r="G36" s="355"/>
      <c r="H36" s="355"/>
      <c r="I36" s="355"/>
      <c r="J36" s="355"/>
      <c r="K36" s="355"/>
      <c r="L36" s="355"/>
      <c r="M36" s="355"/>
    </row>
    <row r="37" spans="1:17" ht="17.100000000000001" customHeight="1" x14ac:dyDescent="0.25">
      <c r="A37" s="162"/>
      <c r="B37" s="174" t="s">
        <v>98</v>
      </c>
      <c r="C37" s="175"/>
      <c r="D37" s="147">
        <v>2017</v>
      </c>
      <c r="E37" s="146">
        <f>SUM(F37:M37)</f>
        <v>656</v>
      </c>
      <c r="F37" s="309">
        <f>'1.5Pahang'!F15</f>
        <v>16</v>
      </c>
      <c r="G37" s="309">
        <f>'1.5Pahang'!G15</f>
        <v>163</v>
      </c>
      <c r="H37" s="309">
        <f>'1.5Pahang'!H15</f>
        <v>1</v>
      </c>
      <c r="I37" s="309">
        <f>'1.5Pahang'!I15</f>
        <v>201</v>
      </c>
      <c r="J37" s="309"/>
      <c r="K37" s="309" t="str">
        <f>'1.5Pahang'!K15</f>
        <v>-</v>
      </c>
      <c r="L37" s="309">
        <f>'1.5Pahang'!L15</f>
        <v>87</v>
      </c>
      <c r="M37" s="309">
        <f>'1.5Pahang'!M15</f>
        <v>188</v>
      </c>
    </row>
    <row r="38" spans="1:17" ht="17.100000000000001" customHeight="1" x14ac:dyDescent="0.25">
      <c r="A38" s="162"/>
      <c r="B38" s="174"/>
      <c r="C38" s="175"/>
      <c r="D38" s="147">
        <v>2018</v>
      </c>
      <c r="E38" s="146">
        <f>SUM(F38:M38)</f>
        <v>572</v>
      </c>
      <c r="F38" s="309">
        <f>'1.5Pahang'!F16</f>
        <v>8</v>
      </c>
      <c r="G38" s="309">
        <f>'1.5Pahang'!G16</f>
        <v>109</v>
      </c>
      <c r="H38" s="309">
        <f>'1.5Pahang'!H16</f>
        <v>2</v>
      </c>
      <c r="I38" s="309">
        <f>'1.5Pahang'!I16</f>
        <v>164</v>
      </c>
      <c r="J38" s="309"/>
      <c r="K38" s="309" t="str">
        <f>'1.5Pahang'!K16</f>
        <v>-</v>
      </c>
      <c r="L38" s="309">
        <f>'1.5Pahang'!L16</f>
        <v>90</v>
      </c>
      <c r="M38" s="309">
        <f>'1.5Pahang'!M16</f>
        <v>199</v>
      </c>
    </row>
    <row r="39" spans="1:17" ht="17.100000000000001" customHeight="1" x14ac:dyDescent="0.25">
      <c r="A39" s="162"/>
      <c r="B39" s="174"/>
      <c r="C39" s="175"/>
      <c r="D39" s="147">
        <v>2019</v>
      </c>
      <c r="E39" s="146">
        <f>SUM(F39:M39)</f>
        <v>595</v>
      </c>
      <c r="F39" s="309">
        <f>'1.5Pahang'!F17</f>
        <v>16</v>
      </c>
      <c r="G39" s="309">
        <f>'1.5Pahang'!G17</f>
        <v>114</v>
      </c>
      <c r="H39" s="309">
        <f>'1.5Pahang'!H17</f>
        <v>1</v>
      </c>
      <c r="I39" s="309">
        <f>'1.5Pahang'!I17</f>
        <v>152</v>
      </c>
      <c r="J39" s="309"/>
      <c r="K39" s="309" t="str">
        <f>'1.5Pahang'!K17</f>
        <v>-</v>
      </c>
      <c r="L39" s="309">
        <f>'1.5Pahang'!L17</f>
        <v>86</v>
      </c>
      <c r="M39" s="309">
        <f>'1.5Pahang'!M17</f>
        <v>226</v>
      </c>
    </row>
    <row r="40" spans="1:17" ht="8.1" customHeight="1" x14ac:dyDescent="0.25">
      <c r="A40" s="162"/>
      <c r="B40" s="174"/>
      <c r="C40" s="175"/>
      <c r="D40" s="141"/>
      <c r="E40" s="146"/>
      <c r="F40" s="311"/>
      <c r="G40" s="311"/>
      <c r="H40" s="311"/>
      <c r="I40" s="311"/>
      <c r="J40" s="311"/>
      <c r="K40" s="311"/>
      <c r="L40" s="311"/>
      <c r="M40" s="312"/>
    </row>
    <row r="41" spans="1:17" ht="17.100000000000001" customHeight="1" x14ac:dyDescent="0.25">
      <c r="A41" s="162"/>
      <c r="B41" s="174" t="s">
        <v>174</v>
      </c>
      <c r="C41" s="175"/>
      <c r="D41" s="147">
        <v>2017</v>
      </c>
      <c r="E41" s="146">
        <f>SUM(F41:M41)</f>
        <v>1140</v>
      </c>
      <c r="F41" s="146">
        <f>'1.5Perak'!F15</f>
        <v>35</v>
      </c>
      <c r="G41" s="146">
        <f>'1.5Perak'!G15</f>
        <v>95</v>
      </c>
      <c r="H41" s="146">
        <f>'1.5Perak'!H15</f>
        <v>4</v>
      </c>
      <c r="I41" s="146">
        <f>'1.5Perak'!I15</f>
        <v>426</v>
      </c>
      <c r="J41" s="146"/>
      <c r="K41" s="146" t="str">
        <f>'1.5Perak'!K15</f>
        <v>-</v>
      </c>
      <c r="L41" s="146">
        <f>'1.5Perak'!L15</f>
        <v>200</v>
      </c>
      <c r="M41" s="146">
        <f>'1.5Perak'!M15</f>
        <v>380</v>
      </c>
      <c r="N41" s="146">
        <f>'1.5Perak'!N15</f>
        <v>0</v>
      </c>
    </row>
    <row r="42" spans="1:17" ht="17.100000000000001" customHeight="1" x14ac:dyDescent="0.25">
      <c r="A42" s="162"/>
      <c r="B42" s="174"/>
      <c r="C42" s="175"/>
      <c r="D42" s="147">
        <v>2018</v>
      </c>
      <c r="E42" s="146">
        <f>SUM(F42:M42)</f>
        <v>1005</v>
      </c>
      <c r="F42" s="146">
        <f>'1.5Perak'!F16</f>
        <v>33</v>
      </c>
      <c r="G42" s="146">
        <f>'1.5Perak'!G16</f>
        <v>104</v>
      </c>
      <c r="H42" s="146">
        <f>'1.5Perak'!H16</f>
        <v>1</v>
      </c>
      <c r="I42" s="146">
        <f>'1.5Perak'!I16</f>
        <v>365</v>
      </c>
      <c r="J42" s="146"/>
      <c r="K42" s="146">
        <f>'1.5Perak'!K16</f>
        <v>2</v>
      </c>
      <c r="L42" s="146">
        <f>'1.5Perak'!L16</f>
        <v>142</v>
      </c>
      <c r="M42" s="146">
        <f>'1.5Perak'!M16</f>
        <v>358</v>
      </c>
      <c r="N42" s="146">
        <f>'1.5Perak'!N16</f>
        <v>0</v>
      </c>
    </row>
    <row r="43" spans="1:17" ht="17.100000000000001" customHeight="1" x14ac:dyDescent="0.25">
      <c r="A43" s="162"/>
      <c r="B43" s="174"/>
      <c r="C43" s="175"/>
      <c r="D43" s="147">
        <v>2019</v>
      </c>
      <c r="E43" s="146">
        <f>SUM(F43:M43)</f>
        <v>1103</v>
      </c>
      <c r="F43" s="146">
        <f>'1.5Perak'!F17</f>
        <v>31</v>
      </c>
      <c r="G43" s="146">
        <f>'1.5Perak'!G17</f>
        <v>102</v>
      </c>
      <c r="H43" s="146">
        <f>'1.5Perak'!H17</f>
        <v>2</v>
      </c>
      <c r="I43" s="146">
        <f>'1.5Perak'!I17</f>
        <v>382</v>
      </c>
      <c r="J43" s="146"/>
      <c r="K43" s="146" t="str">
        <f>'1.5Perak'!K17</f>
        <v>-</v>
      </c>
      <c r="L43" s="146">
        <f>'1.5Perak'!L17</f>
        <v>167</v>
      </c>
      <c r="M43" s="146">
        <f>'1.5Perak'!M17</f>
        <v>419</v>
      </c>
      <c r="N43" s="146">
        <f>'1.5Perak'!N17</f>
        <v>0</v>
      </c>
    </row>
    <row r="44" spans="1:17" ht="8.1" customHeight="1" x14ac:dyDescent="0.25">
      <c r="A44" s="162"/>
      <c r="B44" s="174"/>
      <c r="C44" s="175"/>
      <c r="D44" s="141"/>
      <c r="E44" s="146"/>
      <c r="F44" s="311"/>
      <c r="G44" s="311"/>
      <c r="H44" s="311"/>
      <c r="I44" s="311"/>
      <c r="J44" s="311"/>
      <c r="K44" s="311"/>
      <c r="L44" s="311"/>
      <c r="M44" s="312"/>
    </row>
    <row r="45" spans="1:17" ht="17.100000000000001" customHeight="1" x14ac:dyDescent="0.25">
      <c r="A45" s="162"/>
      <c r="B45" s="174" t="s">
        <v>49</v>
      </c>
      <c r="C45" s="175"/>
      <c r="D45" s="147">
        <v>2017</v>
      </c>
      <c r="E45" s="146">
        <f>SUM(F45:M45)</f>
        <v>132</v>
      </c>
      <c r="F45" s="144">
        <f>'1.5Perlis'!F15</f>
        <v>2</v>
      </c>
      <c r="G45" s="144">
        <f>'1.5Perlis'!G15</f>
        <v>30</v>
      </c>
      <c r="H45" s="144" t="str">
        <f>'1.5Perlis'!H15</f>
        <v>-</v>
      </c>
      <c r="I45" s="144">
        <f>'1.5Perlis'!I15</f>
        <v>25</v>
      </c>
      <c r="J45" s="144"/>
      <c r="K45" s="144" t="str">
        <f>'1.5Perlis'!K15</f>
        <v>-</v>
      </c>
      <c r="L45" s="144">
        <f>'1.5Perlis'!L15</f>
        <v>28</v>
      </c>
      <c r="M45" s="144">
        <f>'1.5Perlis'!M15</f>
        <v>47</v>
      </c>
    </row>
    <row r="46" spans="1:17" ht="17.100000000000001" customHeight="1" x14ac:dyDescent="0.25">
      <c r="A46" s="162"/>
      <c r="B46" s="174"/>
      <c r="C46" s="175"/>
      <c r="D46" s="147">
        <v>2018</v>
      </c>
      <c r="E46" s="146">
        <f>SUM(F46:M46)</f>
        <v>126</v>
      </c>
      <c r="F46" s="144">
        <f>'1.5Perlis'!F16</f>
        <v>1</v>
      </c>
      <c r="G46" s="144">
        <f>'1.5Perlis'!G16</f>
        <v>30</v>
      </c>
      <c r="H46" s="144" t="str">
        <f>'1.5Perlis'!H16</f>
        <v>-</v>
      </c>
      <c r="I46" s="144">
        <f>'1.5Perlis'!I16</f>
        <v>17</v>
      </c>
      <c r="J46" s="144"/>
      <c r="K46" s="144" t="str">
        <f>'1.5Perlis'!K16</f>
        <v>-</v>
      </c>
      <c r="L46" s="144">
        <f>'1.5Perlis'!L16</f>
        <v>33</v>
      </c>
      <c r="M46" s="144">
        <f>'1.5Perlis'!M16</f>
        <v>45</v>
      </c>
    </row>
    <row r="47" spans="1:17" ht="17.100000000000001" customHeight="1" x14ac:dyDescent="0.25">
      <c r="A47" s="162"/>
      <c r="B47" s="174"/>
      <c r="C47" s="175"/>
      <c r="D47" s="147">
        <v>2019</v>
      </c>
      <c r="E47" s="146">
        <f>SUM(F47:M47)</f>
        <v>121</v>
      </c>
      <c r="F47" s="144">
        <f>'1.5Perlis'!F17</f>
        <v>1</v>
      </c>
      <c r="G47" s="144">
        <f>'1.5Perlis'!G17</f>
        <v>24</v>
      </c>
      <c r="H47" s="144">
        <f>'1.5Perlis'!H17</f>
        <v>1</v>
      </c>
      <c r="I47" s="144">
        <f>'1.5Perlis'!I17</f>
        <v>14</v>
      </c>
      <c r="J47" s="144"/>
      <c r="K47" s="144" t="str">
        <f>'1.5Perlis'!K17</f>
        <v>-</v>
      </c>
      <c r="L47" s="144">
        <f>'1.5Perlis'!L17</f>
        <v>21</v>
      </c>
      <c r="M47" s="144">
        <f>'1.5Perlis'!M17</f>
        <v>60</v>
      </c>
    </row>
    <row r="48" spans="1:17" ht="8.1" customHeight="1" x14ac:dyDescent="0.25">
      <c r="A48" s="162"/>
      <c r="B48" s="174"/>
      <c r="C48" s="175"/>
      <c r="D48" s="141"/>
      <c r="E48" s="146"/>
      <c r="F48" s="311"/>
      <c r="G48" s="311"/>
      <c r="H48" s="311"/>
      <c r="I48" s="311"/>
      <c r="J48" s="311"/>
      <c r="K48" s="311"/>
      <c r="L48" s="311"/>
      <c r="M48" s="312"/>
    </row>
    <row r="49" spans="1:14" ht="17.100000000000001" customHeight="1" x14ac:dyDescent="0.25">
      <c r="A49" s="162"/>
      <c r="B49" s="174" t="s">
        <v>50</v>
      </c>
      <c r="C49" s="175"/>
      <c r="D49" s="147">
        <v>2017</v>
      </c>
      <c r="E49" s="146">
        <f>SUM(F49:M49)</f>
        <v>1078</v>
      </c>
      <c r="F49" s="206">
        <f>'1.5Perlis'!F32</f>
        <v>17</v>
      </c>
      <c r="G49" s="206">
        <f>'1.5Perlis'!G32</f>
        <v>80</v>
      </c>
      <c r="H49" s="206" t="str">
        <f>'1.5Perlis'!H32</f>
        <v>-</v>
      </c>
      <c r="I49" s="206">
        <f>'1.5Perlis'!I32</f>
        <v>481</v>
      </c>
      <c r="J49" s="206"/>
      <c r="K49" s="206" t="str">
        <f>'1.5Perlis'!K32</f>
        <v>-</v>
      </c>
      <c r="L49" s="206">
        <f>'1.5Perlis'!L32</f>
        <v>225</v>
      </c>
      <c r="M49" s="206">
        <f>'1.5Perlis'!M32</f>
        <v>275</v>
      </c>
    </row>
    <row r="50" spans="1:14" ht="17.100000000000001" customHeight="1" x14ac:dyDescent="0.25">
      <c r="A50" s="162"/>
      <c r="B50" s="174"/>
      <c r="C50" s="175"/>
      <c r="D50" s="147">
        <v>2018</v>
      </c>
      <c r="E50" s="146">
        <f>SUM(F50:M50)</f>
        <v>890</v>
      </c>
      <c r="F50" s="206">
        <f>'1.5Perlis'!F33</f>
        <v>21</v>
      </c>
      <c r="G50" s="206">
        <f>'1.5Perlis'!G33</f>
        <v>72</v>
      </c>
      <c r="H50" s="206" t="str">
        <f>'1.5Perlis'!H33</f>
        <v>-</v>
      </c>
      <c r="I50" s="206">
        <f>'1.5Perlis'!I33</f>
        <v>301</v>
      </c>
      <c r="J50" s="206"/>
      <c r="K50" s="206">
        <f>'1.5Perlis'!K33</f>
        <v>1</v>
      </c>
      <c r="L50" s="206">
        <f>'1.5Perlis'!L33</f>
        <v>200</v>
      </c>
      <c r="M50" s="206">
        <f>'1.5Perlis'!M33</f>
        <v>295</v>
      </c>
    </row>
    <row r="51" spans="1:14" ht="17.100000000000001" customHeight="1" x14ac:dyDescent="0.25">
      <c r="A51" s="162"/>
      <c r="B51" s="174"/>
      <c r="C51" s="175"/>
      <c r="D51" s="147">
        <v>2019</v>
      </c>
      <c r="E51" s="146">
        <f>SUM(F51:M51)</f>
        <v>1056</v>
      </c>
      <c r="F51" s="206">
        <f>'1.5Perlis'!F34</f>
        <v>15</v>
      </c>
      <c r="G51" s="206">
        <f>'1.5Perlis'!G34</f>
        <v>80</v>
      </c>
      <c r="H51" s="206">
        <f>'1.5Perlis'!H34</f>
        <v>2</v>
      </c>
      <c r="I51" s="206">
        <f>'1.5Perlis'!I34</f>
        <v>400</v>
      </c>
      <c r="J51" s="206"/>
      <c r="K51" s="206" t="str">
        <f>'1.5Perlis'!K34</f>
        <v>-</v>
      </c>
      <c r="L51" s="206">
        <f>'1.5Perlis'!L34</f>
        <v>218</v>
      </c>
      <c r="M51" s="206">
        <f>'1.5Perlis'!M34</f>
        <v>341</v>
      </c>
    </row>
    <row r="52" spans="1:14" ht="8.1" customHeight="1" x14ac:dyDescent="0.25">
      <c r="A52" s="162"/>
      <c r="B52" s="174"/>
      <c r="C52" s="175"/>
      <c r="D52" s="141"/>
      <c r="E52" s="146"/>
      <c r="F52" s="311"/>
      <c r="G52" s="311"/>
      <c r="H52" s="311"/>
      <c r="I52" s="311"/>
      <c r="J52" s="311"/>
      <c r="K52" s="311"/>
      <c r="L52" s="311"/>
      <c r="M52" s="312"/>
    </row>
    <row r="53" spans="1:14" ht="17.100000000000001" customHeight="1" x14ac:dyDescent="0.25">
      <c r="A53" s="162"/>
      <c r="B53" s="103" t="s">
        <v>228</v>
      </c>
      <c r="C53" s="175"/>
      <c r="D53" s="147">
        <v>2017</v>
      </c>
      <c r="E53" s="146">
        <f>SUM(F53:M53)</f>
        <v>761</v>
      </c>
      <c r="F53" s="146">
        <f>'1.5Sabah'!F15</f>
        <v>36</v>
      </c>
      <c r="G53" s="146">
        <f>'1.5Sabah'!G15</f>
        <v>211</v>
      </c>
      <c r="H53" s="146" t="str">
        <f>'1.5Sabah'!H15</f>
        <v>-</v>
      </c>
      <c r="I53" s="146">
        <f>'1.5Sabah'!I15</f>
        <v>163</v>
      </c>
      <c r="J53" s="146"/>
      <c r="K53" s="146" t="str">
        <f>'1.5Sabah'!K15</f>
        <v>-</v>
      </c>
      <c r="L53" s="146">
        <f>'1.5Sabah'!L15</f>
        <v>121</v>
      </c>
      <c r="M53" s="146">
        <f>'1.5Sabah'!M15</f>
        <v>230</v>
      </c>
    </row>
    <row r="54" spans="1:14" ht="17.100000000000001" customHeight="1" x14ac:dyDescent="0.25">
      <c r="A54" s="162"/>
      <c r="B54" s="174"/>
      <c r="C54" s="175"/>
      <c r="D54" s="147">
        <v>2018</v>
      </c>
      <c r="E54" s="146">
        <f>SUM(F54:M54)</f>
        <v>580</v>
      </c>
      <c r="F54" s="146">
        <f>'1.5Sabah'!F16</f>
        <v>37</v>
      </c>
      <c r="G54" s="146">
        <f>'1.5Sabah'!G16</f>
        <v>178</v>
      </c>
      <c r="H54" s="146">
        <f>'1.5Sabah'!H16</f>
        <v>1</v>
      </c>
      <c r="I54" s="146">
        <f>'1.5Sabah'!I16</f>
        <v>71</v>
      </c>
      <c r="J54" s="146"/>
      <c r="K54" s="146" t="str">
        <f>'1.5Sabah'!K16</f>
        <v>-</v>
      </c>
      <c r="L54" s="146">
        <f>'1.5Sabah'!L16</f>
        <v>77</v>
      </c>
      <c r="M54" s="146">
        <f>'1.5Sabah'!M16</f>
        <v>216</v>
      </c>
    </row>
    <row r="55" spans="1:14" ht="17.100000000000001" customHeight="1" x14ac:dyDescent="0.25">
      <c r="A55" s="162"/>
      <c r="B55" s="174"/>
      <c r="C55" s="175"/>
      <c r="D55" s="147">
        <v>2019</v>
      </c>
      <c r="E55" s="146">
        <f>SUM(F55:M55)</f>
        <v>639</v>
      </c>
      <c r="F55" s="146">
        <f>'1.5Sabah'!F17</f>
        <v>28</v>
      </c>
      <c r="G55" s="146">
        <f>'1.5Sabah'!G17</f>
        <v>219</v>
      </c>
      <c r="H55" s="146">
        <f>'1.5Sabah'!H17</f>
        <v>3</v>
      </c>
      <c r="I55" s="146">
        <f>'1.5Sabah'!I17</f>
        <v>78</v>
      </c>
      <c r="J55" s="146"/>
      <c r="K55" s="146" t="str">
        <f>'1.5Sabah'!K17</f>
        <v>-</v>
      </c>
      <c r="L55" s="146">
        <f>'1.5Sabah'!L17</f>
        <v>90</v>
      </c>
      <c r="M55" s="146">
        <f>'1.5Sabah'!M17</f>
        <v>221</v>
      </c>
    </row>
    <row r="56" spans="1:14" ht="8.1" customHeight="1" x14ac:dyDescent="0.25">
      <c r="A56" s="162"/>
      <c r="B56" s="174"/>
      <c r="C56" s="175"/>
      <c r="D56" s="141"/>
      <c r="E56" s="146"/>
      <c r="F56" s="311"/>
      <c r="G56" s="311"/>
      <c r="H56" s="311"/>
      <c r="I56" s="311"/>
      <c r="J56" s="311"/>
      <c r="K56" s="311"/>
      <c r="L56" s="311"/>
      <c r="M56" s="312"/>
    </row>
    <row r="57" spans="1:14" ht="17.100000000000001" customHeight="1" x14ac:dyDescent="0.25">
      <c r="A57" s="162"/>
      <c r="B57" s="174" t="s">
        <v>124</v>
      </c>
      <c r="C57" s="175"/>
      <c r="D57" s="147">
        <v>2017</v>
      </c>
      <c r="E57" s="146">
        <f>SUM(F57:M57)</f>
        <v>876</v>
      </c>
      <c r="F57" s="146">
        <f>'1.5Sarawak'!F15</f>
        <v>27</v>
      </c>
      <c r="G57" s="146">
        <f>'1.5Sarawak'!G15</f>
        <v>150</v>
      </c>
      <c r="H57" s="146">
        <f>'1.5Sarawak'!H15</f>
        <v>2</v>
      </c>
      <c r="I57" s="146">
        <f>'1.5Sarawak'!I15</f>
        <v>238</v>
      </c>
      <c r="J57" s="146"/>
      <c r="K57" s="146">
        <f>'1.5Sarawak'!K15</f>
        <v>1</v>
      </c>
      <c r="L57" s="146">
        <f>'1.5Sarawak'!L15</f>
        <v>90</v>
      </c>
      <c r="M57" s="146">
        <f>'1.5Sarawak'!M15</f>
        <v>368</v>
      </c>
    </row>
    <row r="58" spans="1:14" ht="17.100000000000001" customHeight="1" x14ac:dyDescent="0.25">
      <c r="A58" s="162"/>
      <c r="B58" s="174"/>
      <c r="C58" s="175"/>
      <c r="D58" s="147">
        <v>2018</v>
      </c>
      <c r="E58" s="146">
        <f>SUM(F58:M58)</f>
        <v>811</v>
      </c>
      <c r="F58" s="146">
        <f>'1.5Sarawak'!F16</f>
        <v>17</v>
      </c>
      <c r="G58" s="146">
        <f>'1.5Sarawak'!G16</f>
        <v>131</v>
      </c>
      <c r="H58" s="146">
        <f>'1.5Sarawak'!H16</f>
        <v>3</v>
      </c>
      <c r="I58" s="146">
        <f>'1.5Sarawak'!I16</f>
        <v>214</v>
      </c>
      <c r="J58" s="146"/>
      <c r="K58" s="146" t="str">
        <f>'1.5Sarawak'!K16</f>
        <v>-</v>
      </c>
      <c r="L58" s="146">
        <f>'1.5Sarawak'!L16</f>
        <v>88</v>
      </c>
      <c r="M58" s="146">
        <f>'1.5Sarawak'!M16</f>
        <v>358</v>
      </c>
    </row>
    <row r="59" spans="1:14" ht="17.100000000000001" customHeight="1" x14ac:dyDescent="0.25">
      <c r="A59" s="162"/>
      <c r="B59" s="174"/>
      <c r="C59" s="175"/>
      <c r="D59" s="147">
        <v>2019</v>
      </c>
      <c r="E59" s="146">
        <f>SUM(F59:M59)</f>
        <v>898</v>
      </c>
      <c r="F59" s="146">
        <f>'1.5Sarawak'!F17</f>
        <v>27</v>
      </c>
      <c r="G59" s="146">
        <f>'1.5Sarawak'!G17</f>
        <v>149</v>
      </c>
      <c r="H59" s="146">
        <f>'1.5Sarawak'!H17</f>
        <v>5</v>
      </c>
      <c r="I59" s="146">
        <f>'1.5Sarawak'!I17</f>
        <v>243</v>
      </c>
      <c r="J59" s="146"/>
      <c r="K59" s="146" t="str">
        <f>'1.5Sarawak'!K17</f>
        <v>-</v>
      </c>
      <c r="L59" s="146">
        <f>'1.5Sarawak'!L17</f>
        <v>139</v>
      </c>
      <c r="M59" s="146">
        <f>'1.5Sarawak'!M17</f>
        <v>335</v>
      </c>
    </row>
    <row r="60" spans="1:14" ht="8.1" customHeight="1" x14ac:dyDescent="0.25">
      <c r="A60" s="162"/>
      <c r="B60" s="174"/>
      <c r="C60" s="175"/>
      <c r="D60" s="141"/>
      <c r="E60" s="146"/>
      <c r="F60" s="313"/>
      <c r="G60" s="313"/>
      <c r="H60" s="313"/>
      <c r="I60" s="313"/>
      <c r="J60" s="313"/>
      <c r="K60" s="313"/>
      <c r="L60" s="313"/>
      <c r="M60" s="313"/>
    </row>
    <row r="61" spans="1:14" ht="17.100000000000001" customHeight="1" x14ac:dyDescent="0.25">
      <c r="A61" s="162"/>
      <c r="B61" s="174" t="s">
        <v>100</v>
      </c>
      <c r="C61" s="175"/>
      <c r="D61" s="147">
        <v>2017</v>
      </c>
      <c r="E61" s="146">
        <f>SUM(F61:M61)</f>
        <v>6470</v>
      </c>
      <c r="F61" s="309">
        <f>'1.5Selangor'!F15</f>
        <v>83</v>
      </c>
      <c r="G61" s="309">
        <f>'1.5Selangor'!G15</f>
        <v>321</v>
      </c>
      <c r="H61" s="309">
        <f>'1.5Selangor'!H15</f>
        <v>12</v>
      </c>
      <c r="I61" s="309">
        <f>'1.5Selangor'!I15</f>
        <v>3747</v>
      </c>
      <c r="J61" s="309"/>
      <c r="K61" s="309">
        <f>'1.5Selangor'!K15</f>
        <v>2</v>
      </c>
      <c r="L61" s="309">
        <f>'1.5Selangor'!L15</f>
        <v>1197</v>
      </c>
      <c r="M61" s="309">
        <f>'1.5Selangor'!M15</f>
        <v>1108</v>
      </c>
      <c r="N61" s="309">
        <f>'1.5Selangor'!N15</f>
        <v>0</v>
      </c>
    </row>
    <row r="62" spans="1:14" ht="17.100000000000001" customHeight="1" x14ac:dyDescent="0.25">
      <c r="A62" s="162"/>
      <c r="B62" s="174"/>
      <c r="C62" s="175"/>
      <c r="D62" s="147">
        <v>2018</v>
      </c>
      <c r="E62" s="146">
        <f>SUM(F62:M62)</f>
        <v>4658</v>
      </c>
      <c r="F62" s="309">
        <f>'1.5Selangor'!F16</f>
        <v>91</v>
      </c>
      <c r="G62" s="309">
        <f>'1.5Selangor'!G16</f>
        <v>294</v>
      </c>
      <c r="H62" s="309">
        <f>'1.5Selangor'!H16</f>
        <v>11</v>
      </c>
      <c r="I62" s="309">
        <f>'1.5Selangor'!I16</f>
        <v>2314</v>
      </c>
      <c r="J62" s="309"/>
      <c r="K62" s="309">
        <f>'1.5Selangor'!K16</f>
        <v>3</v>
      </c>
      <c r="L62" s="309">
        <f>'1.5Selangor'!L16</f>
        <v>952</v>
      </c>
      <c r="M62" s="309">
        <f>'1.5Selangor'!M16</f>
        <v>993</v>
      </c>
      <c r="N62" s="309">
        <f>'1.5Selangor'!N16</f>
        <v>0</v>
      </c>
    </row>
    <row r="63" spans="1:14" ht="17.100000000000001" customHeight="1" x14ac:dyDescent="0.25">
      <c r="A63" s="162"/>
      <c r="B63" s="174"/>
      <c r="C63" s="175"/>
      <c r="D63" s="147">
        <v>2019</v>
      </c>
      <c r="E63" s="146">
        <f>SUM(F63:M63)</f>
        <v>4302</v>
      </c>
      <c r="F63" s="309">
        <f>'1.5Selangor'!F17</f>
        <v>90</v>
      </c>
      <c r="G63" s="309">
        <f>'1.5Selangor'!G17</f>
        <v>346</v>
      </c>
      <c r="H63" s="309">
        <f>'1.5Selangor'!H17</f>
        <v>2</v>
      </c>
      <c r="I63" s="309">
        <f>'1.5Selangor'!I17</f>
        <v>1981</v>
      </c>
      <c r="J63" s="309"/>
      <c r="K63" s="309">
        <f>'1.5Selangor'!K17</f>
        <v>4</v>
      </c>
      <c r="L63" s="309">
        <f>'1.5Selangor'!L17</f>
        <v>919</v>
      </c>
      <c r="M63" s="309">
        <f>'1.5Selangor'!M17</f>
        <v>960</v>
      </c>
      <c r="N63" s="309">
        <f>'1.5Selangor'!N17</f>
        <v>0</v>
      </c>
    </row>
    <row r="64" spans="1:14" ht="8.1" customHeight="1" x14ac:dyDescent="0.25">
      <c r="A64" s="162"/>
      <c r="B64" s="174"/>
      <c r="C64" s="175"/>
      <c r="D64" s="141"/>
      <c r="E64" s="146"/>
      <c r="F64" s="313"/>
      <c r="G64" s="313"/>
      <c r="H64" s="313"/>
      <c r="I64" s="313"/>
      <c r="J64" s="313"/>
      <c r="K64" s="313"/>
      <c r="L64" s="313"/>
      <c r="M64" s="313"/>
    </row>
    <row r="65" spans="1:13" ht="17.100000000000001" customHeight="1" x14ac:dyDescent="0.25">
      <c r="A65" s="162"/>
      <c r="B65" s="174" t="s">
        <v>116</v>
      </c>
      <c r="C65" s="175"/>
      <c r="D65" s="147">
        <v>2017</v>
      </c>
      <c r="E65" s="146">
        <f>SUM(F65:M65)</f>
        <v>354</v>
      </c>
      <c r="F65" s="313">
        <f>'1.5Terengganu'!F15</f>
        <v>5</v>
      </c>
      <c r="G65" s="313">
        <f>'1.5Terengganu'!G15</f>
        <v>64</v>
      </c>
      <c r="H65" s="313" t="str">
        <f>'1.5Terengganu'!H15</f>
        <v>-</v>
      </c>
      <c r="I65" s="313">
        <f>'1.5Terengganu'!I15</f>
        <v>79</v>
      </c>
      <c r="J65" s="313"/>
      <c r="K65" s="313" t="str">
        <f>'1.5Terengganu'!K15</f>
        <v>-</v>
      </c>
      <c r="L65" s="313">
        <f>'1.5Terengganu'!L15</f>
        <v>76</v>
      </c>
      <c r="M65" s="313">
        <f>'1.5Terengganu'!M15</f>
        <v>130</v>
      </c>
    </row>
    <row r="66" spans="1:13" ht="17.100000000000001" customHeight="1" x14ac:dyDescent="0.25">
      <c r="A66" s="162"/>
      <c r="B66" s="174"/>
      <c r="C66" s="175"/>
      <c r="D66" s="147">
        <v>2018</v>
      </c>
      <c r="E66" s="146">
        <f>SUM(F66:M66)</f>
        <v>291</v>
      </c>
      <c r="F66" s="313">
        <f>'1.5Terengganu'!F16</f>
        <v>2</v>
      </c>
      <c r="G66" s="313">
        <f>'1.5Terengganu'!G16</f>
        <v>63</v>
      </c>
      <c r="H66" s="313">
        <f>'1.5Terengganu'!H16</f>
        <v>1</v>
      </c>
      <c r="I66" s="313">
        <f>'1.5Terengganu'!I16</f>
        <v>58</v>
      </c>
      <c r="J66" s="313"/>
      <c r="K66" s="313">
        <f>'1.5Terengganu'!K16</f>
        <v>1</v>
      </c>
      <c r="L66" s="313">
        <f>'1.5Terengganu'!L16</f>
        <v>42</v>
      </c>
      <c r="M66" s="313">
        <f>'1.5Terengganu'!M16</f>
        <v>124</v>
      </c>
    </row>
    <row r="67" spans="1:13" ht="17.100000000000001" customHeight="1" x14ac:dyDescent="0.25">
      <c r="A67" s="162"/>
      <c r="B67" s="174"/>
      <c r="C67" s="175"/>
      <c r="D67" s="147">
        <v>2019</v>
      </c>
      <c r="E67" s="146">
        <f>SUM(F67:M67)</f>
        <v>293</v>
      </c>
      <c r="F67" s="313">
        <f>'1.5Terengganu'!F17</f>
        <v>1</v>
      </c>
      <c r="G67" s="313">
        <f>'1.5Terengganu'!G17</f>
        <v>80</v>
      </c>
      <c r="H67" s="313" t="str">
        <f>'1.5Terengganu'!H17</f>
        <v>-</v>
      </c>
      <c r="I67" s="313">
        <f>'1.5Terengganu'!I17</f>
        <v>50</v>
      </c>
      <c r="J67" s="313"/>
      <c r="K67" s="313" t="str">
        <f>'1.5Terengganu'!K17</f>
        <v>-</v>
      </c>
      <c r="L67" s="313">
        <f>'1.5Terengganu'!L17</f>
        <v>44</v>
      </c>
      <c r="M67" s="313">
        <f>'1.5Terengganu'!M17</f>
        <v>118</v>
      </c>
    </row>
    <row r="68" spans="1:13" ht="8.1" customHeight="1" x14ac:dyDescent="0.25">
      <c r="A68" s="162"/>
      <c r="B68" s="174"/>
      <c r="C68" s="175"/>
      <c r="D68" s="141"/>
      <c r="E68" s="146"/>
      <c r="F68" s="311"/>
      <c r="G68" s="311"/>
      <c r="H68" s="311"/>
      <c r="I68" s="311"/>
      <c r="J68" s="311"/>
      <c r="K68" s="311"/>
      <c r="L68" s="311"/>
      <c r="M68" s="312"/>
    </row>
    <row r="69" spans="1:13" ht="17.100000000000001" customHeight="1" x14ac:dyDescent="0.25">
      <c r="A69" s="162"/>
      <c r="B69" s="103" t="s">
        <v>227</v>
      </c>
      <c r="C69" s="175"/>
      <c r="D69" s="147">
        <v>2017</v>
      </c>
      <c r="E69" s="146">
        <v>3776</v>
      </c>
      <c r="F69" s="309">
        <f>'1.5W.P. KL'!F15</f>
        <v>37</v>
      </c>
      <c r="G69" s="309">
        <f>'1.5W.P. KL'!G15</f>
        <v>132</v>
      </c>
      <c r="H69" s="309">
        <f>'1.5W.P. KL'!H15</f>
        <v>4</v>
      </c>
      <c r="I69" s="309">
        <f>'1.5W.P. KL'!I15</f>
        <v>1984</v>
      </c>
      <c r="J69" s="309"/>
      <c r="K69" s="309" t="str">
        <f>'1.5W.P. KL'!K15</f>
        <v>-</v>
      </c>
      <c r="L69" s="309">
        <f>'1.5W.P. KL'!L15</f>
        <v>1191</v>
      </c>
      <c r="M69" s="309">
        <f>'1.5W.P. KL'!M15</f>
        <v>651</v>
      </c>
    </row>
    <row r="70" spans="1:13" ht="17.100000000000001" customHeight="1" x14ac:dyDescent="0.25">
      <c r="A70" s="162"/>
      <c r="B70" s="175"/>
      <c r="C70" s="175"/>
      <c r="D70" s="141">
        <v>2018</v>
      </c>
      <c r="E70" s="146">
        <f>SUM(F70:M70)</f>
        <v>3137</v>
      </c>
      <c r="F70" s="309">
        <f>'1.5W.P. KL'!F16</f>
        <v>33</v>
      </c>
      <c r="G70" s="309">
        <f>'1.5W.P. KL'!G16</f>
        <v>112</v>
      </c>
      <c r="H70" s="309">
        <f>'1.5W.P. KL'!H16</f>
        <v>3</v>
      </c>
      <c r="I70" s="309">
        <f>'1.5W.P. KL'!I16</f>
        <v>1344</v>
      </c>
      <c r="J70" s="309"/>
      <c r="K70" s="309">
        <f>'1.5W.P. KL'!K16</f>
        <v>1</v>
      </c>
      <c r="L70" s="309">
        <f>'1.5W.P. KL'!L16</f>
        <v>1124</v>
      </c>
      <c r="M70" s="309">
        <f>'1.5W.P. KL'!M16</f>
        <v>520</v>
      </c>
    </row>
    <row r="71" spans="1:13" ht="17.100000000000001" customHeight="1" x14ac:dyDescent="0.25">
      <c r="A71" s="108"/>
      <c r="B71" s="175"/>
      <c r="C71" s="175"/>
      <c r="D71" s="147">
        <v>2019</v>
      </c>
      <c r="E71" s="146">
        <f>SUM(F71:M71)</f>
        <v>2914</v>
      </c>
      <c r="F71" s="309">
        <f>'1.5W.P. KL'!F17</f>
        <v>22</v>
      </c>
      <c r="G71" s="309">
        <f>'1.5W.P. KL'!G17</f>
        <v>122</v>
      </c>
      <c r="H71" s="413" t="s">
        <v>51</v>
      </c>
      <c r="I71" s="309">
        <f>'1.5W.P. KL'!I17</f>
        <v>1173</v>
      </c>
      <c r="J71" s="309"/>
      <c r="K71" s="309">
        <f>'1.5W.P. KL'!K17</f>
        <v>2</v>
      </c>
      <c r="L71" s="309">
        <f>'1.5W.P. KL'!L17</f>
        <v>1090</v>
      </c>
      <c r="M71" s="309">
        <f>'1.5W.P. KL'!M17</f>
        <v>505</v>
      </c>
    </row>
    <row r="72" spans="1:13" ht="8.1" customHeight="1" thickBot="1" x14ac:dyDescent="0.3">
      <c r="A72" s="50"/>
      <c r="B72" s="177"/>
      <c r="C72" s="177"/>
      <c r="D72" s="164"/>
      <c r="E72" s="12"/>
      <c r="F72" s="12"/>
      <c r="G72" s="12"/>
      <c r="H72" s="12"/>
      <c r="I72" s="12"/>
      <c r="J72" s="12"/>
      <c r="K72" s="12"/>
      <c r="L72" s="12"/>
      <c r="M72" s="178"/>
    </row>
    <row r="73" spans="1:13" x14ac:dyDescent="0.2">
      <c r="M73" s="166" t="s">
        <v>99</v>
      </c>
    </row>
    <row r="74" spans="1:13" x14ac:dyDescent="0.25">
      <c r="A74" s="359" t="s">
        <v>229</v>
      </c>
      <c r="M74" s="167" t="s">
        <v>1</v>
      </c>
    </row>
    <row r="75" spans="1:13" x14ac:dyDescent="0.25">
      <c r="A75" s="360" t="s">
        <v>230</v>
      </c>
      <c r="B75" s="361"/>
    </row>
    <row r="76" spans="1:13" x14ac:dyDescent="0.25">
      <c r="A76" s="362" t="s">
        <v>231</v>
      </c>
    </row>
    <row r="77" spans="1:13" x14ac:dyDescent="0.25">
      <c r="A77" s="360" t="s">
        <v>232</v>
      </c>
      <c r="B77" s="361"/>
    </row>
    <row r="78" spans="1:13" x14ac:dyDescent="0.25">
      <c r="A78" s="362" t="s">
        <v>233</v>
      </c>
    </row>
  </sheetData>
  <mergeCells count="4">
    <mergeCell ref="B9:C9"/>
    <mergeCell ref="H9:I9"/>
    <mergeCell ref="K9:L9"/>
    <mergeCell ref="B10:C10"/>
  </mergeCells>
  <printOptions horizontalCentered="1"/>
  <pageMargins left="0.39370078740157483" right="0.39370078740157483" top="0.59055118110236227" bottom="0.39370078740157483" header="0.31496062992125984" footer="0.31496062992125984"/>
  <pageSetup paperSize="9" scale="68" fitToWidth="0" orientation="portrait" r:id="rId1"/>
  <headerFooter>
    <oddHeader xml:space="preserve">&amp;R&amp;"-,Bold"
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77"/>
  <sheetViews>
    <sheetView showGridLines="0" topLeftCell="A6" zoomScaleNormal="100" zoomScaleSheetLayoutView="100" workbookViewId="0">
      <selection activeCell="L38" sqref="L38"/>
    </sheetView>
  </sheetViews>
  <sheetFormatPr defaultRowHeight="15" x14ac:dyDescent="0.25"/>
  <cols>
    <col min="1" max="1" width="1.42578125" style="2" customWidth="1"/>
    <col min="2" max="2" width="9.85546875" style="3" customWidth="1"/>
    <col min="3" max="3" width="12.5703125" style="3" customWidth="1"/>
    <col min="4" max="4" width="8.5703125" style="3" customWidth="1"/>
    <col min="5" max="5" width="8.7109375" style="21" customWidth="1"/>
    <col min="6" max="7" width="8.7109375" style="22" customWidth="1"/>
    <col min="8" max="8" width="10.7109375" style="349" customWidth="1"/>
    <col min="9" max="9" width="14.85546875" style="22" customWidth="1"/>
    <col min="10" max="10" width="1.7109375" style="22" customWidth="1"/>
    <col min="11" max="11" width="10.7109375" style="22" customWidth="1"/>
    <col min="12" max="12" width="14.85546875" style="22" customWidth="1"/>
    <col min="13" max="13" width="14.42578125" style="5" customWidth="1"/>
    <col min="14" max="14" width="0.85546875" style="2" customWidth="1"/>
    <col min="15" max="16384" width="9.140625" style="2"/>
  </cols>
  <sheetData>
    <row r="1" spans="1:19" ht="9.9499999999999993" customHeight="1" x14ac:dyDescent="0.25">
      <c r="B1" s="3" t="s">
        <v>196</v>
      </c>
    </row>
    <row r="2" spans="1:19" s="30" customFormat="1" ht="12.95" customHeight="1" x14ac:dyDescent="0.25">
      <c r="B2" s="27"/>
      <c r="C2" s="27"/>
      <c r="D2" s="29"/>
      <c r="E2" s="28"/>
      <c r="F2" s="29"/>
      <c r="H2" s="350"/>
      <c r="M2" s="160" t="s">
        <v>179</v>
      </c>
      <c r="N2" s="29"/>
    </row>
    <row r="3" spans="1:19" s="30" customFormat="1" ht="12.95" customHeight="1" x14ac:dyDescent="0.25">
      <c r="B3" s="27"/>
      <c r="C3" s="27"/>
      <c r="D3" s="29"/>
      <c r="E3" s="28"/>
      <c r="F3" s="29"/>
      <c r="H3" s="350"/>
      <c r="M3" s="68" t="s">
        <v>180</v>
      </c>
      <c r="N3" s="29"/>
    </row>
    <row r="4" spans="1:19" s="30" customFormat="1" ht="12" customHeight="1" x14ac:dyDescent="0.25">
      <c r="B4" s="27"/>
      <c r="C4" s="27"/>
      <c r="D4" s="29"/>
      <c r="E4" s="28"/>
      <c r="F4" s="29"/>
      <c r="G4" s="68"/>
      <c r="H4" s="350"/>
      <c r="N4" s="29"/>
    </row>
    <row r="5" spans="1:19" s="30" customFormat="1" ht="12" customHeight="1" x14ac:dyDescent="0.25">
      <c r="B5" s="27"/>
      <c r="C5" s="27"/>
      <c r="D5" s="29"/>
      <c r="E5" s="28"/>
      <c r="F5" s="29"/>
      <c r="G5" s="68"/>
      <c r="H5" s="350"/>
      <c r="N5" s="29"/>
    </row>
    <row r="6" spans="1:19" s="53" customFormat="1" ht="9.75" customHeight="1" x14ac:dyDescent="0.2">
      <c r="B6" s="115"/>
      <c r="C6" s="115"/>
      <c r="D6" s="189"/>
      <c r="E6" s="190"/>
      <c r="F6" s="189"/>
      <c r="G6" s="189"/>
      <c r="H6" s="351"/>
      <c r="I6" s="191"/>
      <c r="J6" s="191"/>
      <c r="K6" s="191"/>
      <c r="L6" s="191"/>
      <c r="M6" s="189"/>
      <c r="N6" s="114"/>
    </row>
    <row r="7" spans="1:19" s="53" customFormat="1" ht="15" customHeight="1" x14ac:dyDescent="0.2">
      <c r="B7" s="63" t="s">
        <v>186</v>
      </c>
      <c r="C7" s="64" t="s">
        <v>235</v>
      </c>
      <c r="D7" s="115"/>
      <c r="E7" s="64"/>
      <c r="F7" s="64"/>
      <c r="G7" s="64"/>
      <c r="H7" s="179"/>
      <c r="I7" s="64"/>
      <c r="J7" s="64"/>
      <c r="K7" s="64"/>
      <c r="L7" s="64"/>
      <c r="M7" s="64"/>
      <c r="N7" s="64"/>
    </row>
    <row r="8" spans="1:19" s="65" customFormat="1" ht="15" customHeight="1" x14ac:dyDescent="0.2">
      <c r="B8" s="66" t="s">
        <v>187</v>
      </c>
      <c r="C8" s="67" t="s">
        <v>236</v>
      </c>
      <c r="E8" s="67"/>
      <c r="F8" s="67"/>
      <c r="G8" s="67"/>
      <c r="H8" s="345"/>
      <c r="I8" s="67"/>
      <c r="J8" s="67"/>
      <c r="K8" s="67"/>
      <c r="L8" s="67"/>
      <c r="M8" s="67"/>
      <c r="N8" s="67"/>
    </row>
    <row r="9" spans="1:19" s="53" customFormat="1" ht="9.9499999999999993" customHeight="1" thickBot="1" x14ac:dyDescent="0.25">
      <c r="B9" s="115"/>
      <c r="C9" s="115"/>
      <c r="D9" s="115"/>
      <c r="E9" s="63"/>
      <c r="F9" s="114"/>
      <c r="G9" s="114"/>
      <c r="H9" s="351"/>
      <c r="I9" s="114"/>
      <c r="J9" s="114"/>
      <c r="K9" s="114"/>
      <c r="L9" s="114"/>
      <c r="M9" s="189"/>
    </row>
    <row r="10" spans="1:19" s="53" customFormat="1" ht="9.9499999999999993" customHeight="1" thickTop="1" x14ac:dyDescent="0.2">
      <c r="A10" s="378"/>
      <c r="B10" s="388"/>
      <c r="C10" s="388"/>
      <c r="D10" s="389"/>
      <c r="E10" s="374"/>
      <c r="F10" s="375"/>
      <c r="G10" s="375"/>
      <c r="H10" s="376"/>
      <c r="I10" s="375"/>
      <c r="J10" s="375"/>
      <c r="K10" s="375"/>
      <c r="L10" s="375"/>
      <c r="M10" s="377"/>
      <c r="N10" s="378"/>
    </row>
    <row r="11" spans="1:19" s="53" customFormat="1" ht="27.75" customHeight="1" x14ac:dyDescent="0.2">
      <c r="A11" s="390"/>
      <c r="B11" s="432" t="s">
        <v>210</v>
      </c>
      <c r="C11" s="432"/>
      <c r="D11" s="379" t="s">
        <v>222</v>
      </c>
      <c r="E11" s="379" t="s">
        <v>220</v>
      </c>
      <c r="F11" s="379" t="s">
        <v>219</v>
      </c>
      <c r="G11" s="379" t="s">
        <v>218</v>
      </c>
      <c r="H11" s="433" t="s">
        <v>234</v>
      </c>
      <c r="I11" s="433"/>
      <c r="J11" s="380"/>
      <c r="K11" s="433" t="s">
        <v>221</v>
      </c>
      <c r="L11" s="433"/>
      <c r="M11" s="379" t="s">
        <v>217</v>
      </c>
      <c r="N11" s="381"/>
    </row>
    <row r="12" spans="1:19" s="53" customFormat="1" ht="30" customHeight="1" x14ac:dyDescent="0.2">
      <c r="A12" s="390"/>
      <c r="B12" s="434" t="s">
        <v>211</v>
      </c>
      <c r="C12" s="434"/>
      <c r="D12" s="382" t="s">
        <v>212</v>
      </c>
      <c r="E12" s="382" t="s">
        <v>213</v>
      </c>
      <c r="F12" s="382" t="s">
        <v>214</v>
      </c>
      <c r="G12" s="382" t="s">
        <v>215</v>
      </c>
      <c r="H12" s="383" t="s">
        <v>225</v>
      </c>
      <c r="I12" s="383" t="s">
        <v>226</v>
      </c>
      <c r="J12" s="383"/>
      <c r="K12" s="383" t="s">
        <v>225</v>
      </c>
      <c r="L12" s="383" t="s">
        <v>226</v>
      </c>
      <c r="M12" s="384" t="s">
        <v>216</v>
      </c>
      <c r="N12" s="385"/>
    </row>
    <row r="13" spans="1:19" s="53" customFormat="1" ht="30" customHeight="1" x14ac:dyDescent="0.2">
      <c r="A13" s="391"/>
      <c r="B13" s="392"/>
      <c r="C13" s="392"/>
      <c r="D13" s="386"/>
      <c r="E13" s="386"/>
      <c r="F13" s="386"/>
      <c r="G13" s="386"/>
      <c r="H13" s="387" t="s">
        <v>223</v>
      </c>
      <c r="I13" s="387" t="s">
        <v>224</v>
      </c>
      <c r="J13" s="387"/>
      <c r="K13" s="387" t="s">
        <v>223</v>
      </c>
      <c r="L13" s="387" t="s">
        <v>224</v>
      </c>
      <c r="M13" s="370"/>
      <c r="N13" s="373"/>
    </row>
    <row r="14" spans="1:19" s="53" customFormat="1" ht="8.1" customHeight="1" x14ac:dyDescent="0.2">
      <c r="A14" s="116"/>
      <c r="B14" s="180"/>
      <c r="C14" s="180"/>
      <c r="D14" s="90"/>
      <c r="E14" s="90"/>
      <c r="F14" s="192"/>
      <c r="G14" s="192"/>
      <c r="H14" s="192"/>
      <c r="I14" s="192"/>
      <c r="J14" s="192"/>
      <c r="K14" s="192"/>
      <c r="L14" s="192"/>
      <c r="M14" s="192"/>
      <c r="N14" s="86"/>
    </row>
    <row r="15" spans="1:19" s="116" customFormat="1" ht="12.95" customHeight="1" x14ac:dyDescent="0.2">
      <c r="B15" s="109" t="s">
        <v>95</v>
      </c>
      <c r="C15" s="109"/>
      <c r="D15" s="60">
        <v>2017</v>
      </c>
      <c r="E15" s="145">
        <f t="shared" ref="E15:E16" si="0">SUM(F15:M15)</f>
        <v>2578</v>
      </c>
      <c r="F15" s="145">
        <f t="shared" ref="F15:K17" si="1">SUM(F19,F23,F27,F31,F35,F39,F43,F47,F51,F55,F59,F63,F67,F71)</f>
        <v>66</v>
      </c>
      <c r="G15" s="145">
        <f t="shared" si="1"/>
        <v>196</v>
      </c>
      <c r="H15" s="352">
        <f t="shared" si="1"/>
        <v>1</v>
      </c>
      <c r="I15" s="145">
        <f t="shared" si="1"/>
        <v>1220</v>
      </c>
      <c r="J15" s="145"/>
      <c r="K15" s="137" t="s">
        <v>51</v>
      </c>
      <c r="L15" s="145">
        <f t="shared" ref="L15:M17" si="2">SUM(L19,L23,L27,L31,L35,L39,L43,L47,L51,L55,L59,L63,L67,L71)</f>
        <v>481</v>
      </c>
      <c r="M15" s="145">
        <f t="shared" si="2"/>
        <v>614</v>
      </c>
    </row>
    <row r="16" spans="1:19" s="116" customFormat="1" ht="12.95" customHeight="1" x14ac:dyDescent="0.2">
      <c r="B16" s="109"/>
      <c r="C16" s="109"/>
      <c r="D16" s="60">
        <v>2018</v>
      </c>
      <c r="E16" s="145">
        <f t="shared" si="0"/>
        <v>1880</v>
      </c>
      <c r="F16" s="145">
        <f t="shared" si="1"/>
        <v>43</v>
      </c>
      <c r="G16" s="145">
        <f t="shared" si="1"/>
        <v>187</v>
      </c>
      <c r="H16" s="352">
        <f t="shared" si="1"/>
        <v>2</v>
      </c>
      <c r="I16" s="145">
        <f t="shared" si="1"/>
        <v>740</v>
      </c>
      <c r="J16" s="145"/>
      <c r="K16" s="137" t="s">
        <v>51</v>
      </c>
      <c r="L16" s="145">
        <f t="shared" si="2"/>
        <v>330</v>
      </c>
      <c r="M16" s="145">
        <f t="shared" si="2"/>
        <v>578</v>
      </c>
      <c r="O16" s="193"/>
      <c r="P16" s="193"/>
      <c r="Q16" s="193"/>
      <c r="R16" s="193"/>
      <c r="S16" s="193"/>
    </row>
    <row r="17" spans="2:19" s="116" customFormat="1" ht="12.95" customHeight="1" x14ac:dyDescent="0.2">
      <c r="B17" s="109"/>
      <c r="C17" s="109"/>
      <c r="D17" s="60">
        <v>2019</v>
      </c>
      <c r="E17" s="145">
        <f t="shared" ref="E17" si="3">SUM(F17:M17)</f>
        <v>1923</v>
      </c>
      <c r="F17" s="145">
        <f t="shared" si="1"/>
        <v>35</v>
      </c>
      <c r="G17" s="145">
        <f t="shared" si="1"/>
        <v>206</v>
      </c>
      <c r="H17" s="352">
        <f t="shared" si="1"/>
        <v>1</v>
      </c>
      <c r="I17" s="145">
        <f>SUM(I21,I25,I29,I33,I37,I41,I45,I49,I53,I57,I61,I65,I69,I73)</f>
        <v>753</v>
      </c>
      <c r="J17" s="145"/>
      <c r="K17" s="145">
        <f t="shared" si="1"/>
        <v>1</v>
      </c>
      <c r="L17" s="145">
        <f t="shared" si="2"/>
        <v>328</v>
      </c>
      <c r="M17" s="145">
        <f t="shared" si="2"/>
        <v>599</v>
      </c>
      <c r="O17" s="193"/>
      <c r="P17" s="193"/>
      <c r="Q17" s="193"/>
      <c r="R17" s="193"/>
      <c r="S17" s="193"/>
    </row>
    <row r="18" spans="2:19" s="116" customFormat="1" ht="8.1" customHeight="1" x14ac:dyDescent="0.2">
      <c r="B18" s="109"/>
      <c r="C18" s="109"/>
      <c r="D18" s="141"/>
      <c r="E18" s="145"/>
      <c r="F18" s="145"/>
      <c r="G18" s="145"/>
      <c r="H18" s="352"/>
      <c r="I18" s="145"/>
      <c r="J18" s="145"/>
      <c r="K18" s="145"/>
      <c r="L18" s="145"/>
      <c r="M18" s="145"/>
      <c r="O18" s="193"/>
      <c r="P18" s="193"/>
      <c r="Q18" s="193"/>
      <c r="R18" s="193"/>
      <c r="S18" s="193"/>
    </row>
    <row r="19" spans="2:19" s="116" customFormat="1" ht="12.95" customHeight="1" x14ac:dyDescent="0.2">
      <c r="B19" s="108" t="s">
        <v>2</v>
      </c>
      <c r="C19" s="108"/>
      <c r="D19" s="147">
        <v>2017</v>
      </c>
      <c r="E19" s="146">
        <f t="shared" ref="E19:E21" si="4">SUM(F19:M19)</f>
        <v>123</v>
      </c>
      <c r="F19" s="146" t="s">
        <v>51</v>
      </c>
      <c r="G19" s="146">
        <v>23</v>
      </c>
      <c r="H19" s="353" t="s">
        <v>51</v>
      </c>
      <c r="I19" s="146">
        <v>47</v>
      </c>
      <c r="J19" s="144"/>
      <c r="K19" s="144" t="s">
        <v>51</v>
      </c>
      <c r="L19" s="146">
        <v>12</v>
      </c>
      <c r="M19" s="146">
        <v>41</v>
      </c>
      <c r="O19" s="193"/>
      <c r="P19" s="193"/>
      <c r="Q19" s="193"/>
      <c r="R19" s="193"/>
      <c r="S19" s="193"/>
    </row>
    <row r="20" spans="2:19" s="116" customFormat="1" ht="12.95" customHeight="1" x14ac:dyDescent="0.2">
      <c r="B20" s="108"/>
      <c r="C20" s="108"/>
      <c r="D20" s="147">
        <v>2018</v>
      </c>
      <c r="E20" s="146">
        <f t="shared" si="4"/>
        <v>104</v>
      </c>
      <c r="F20" s="144">
        <v>3</v>
      </c>
      <c r="G20" s="146">
        <v>13</v>
      </c>
      <c r="H20" s="353" t="s">
        <v>51</v>
      </c>
      <c r="I20" s="146">
        <v>33</v>
      </c>
      <c r="J20" s="144"/>
      <c r="K20" s="144" t="s">
        <v>51</v>
      </c>
      <c r="L20" s="146">
        <v>27</v>
      </c>
      <c r="M20" s="146">
        <v>28</v>
      </c>
      <c r="O20" s="193"/>
      <c r="P20" s="193"/>
      <c r="Q20" s="193"/>
      <c r="R20" s="193"/>
      <c r="S20" s="193"/>
    </row>
    <row r="21" spans="2:19" s="116" customFormat="1" ht="12.95" customHeight="1" x14ac:dyDescent="0.2">
      <c r="B21" s="108"/>
      <c r="C21" s="108"/>
      <c r="D21" s="147">
        <v>2019</v>
      </c>
      <c r="E21" s="146">
        <f t="shared" si="4"/>
        <v>139</v>
      </c>
      <c r="F21" s="144">
        <v>3</v>
      </c>
      <c r="G21" s="146">
        <v>29</v>
      </c>
      <c r="H21" s="353" t="s">
        <v>51</v>
      </c>
      <c r="I21" s="144">
        <v>37</v>
      </c>
      <c r="J21" s="144"/>
      <c r="K21" s="144" t="s">
        <v>51</v>
      </c>
      <c r="L21" s="144">
        <v>29</v>
      </c>
      <c r="M21" s="146">
        <v>41</v>
      </c>
      <c r="O21" s="193"/>
      <c r="P21" s="193"/>
      <c r="Q21" s="193"/>
      <c r="R21" s="193"/>
      <c r="S21" s="193"/>
    </row>
    <row r="22" spans="2:19" s="116" customFormat="1" ht="8.1" customHeight="1" x14ac:dyDescent="0.2">
      <c r="B22" s="108"/>
      <c r="C22" s="108"/>
      <c r="D22" s="141"/>
      <c r="E22" s="144"/>
      <c r="F22" s="144"/>
      <c r="G22" s="144"/>
      <c r="H22" s="353"/>
      <c r="I22" s="144"/>
      <c r="J22" s="144"/>
      <c r="K22" s="144"/>
      <c r="L22" s="144"/>
      <c r="M22" s="144"/>
      <c r="O22" s="193"/>
      <c r="P22" s="193"/>
      <c r="Q22" s="193"/>
      <c r="R22" s="193"/>
      <c r="S22" s="193"/>
    </row>
    <row r="23" spans="2:19" s="194" customFormat="1" ht="12.95" customHeight="1" x14ac:dyDescent="0.2">
      <c r="B23" s="108" t="s">
        <v>52</v>
      </c>
      <c r="C23" s="108"/>
      <c r="D23" s="147">
        <v>2017</v>
      </c>
      <c r="E23" s="146">
        <f t="shared" ref="E23:E25" si="5">SUM(F23:M23)</f>
        <v>195</v>
      </c>
      <c r="F23" s="144">
        <v>4</v>
      </c>
      <c r="G23" s="144">
        <v>9</v>
      </c>
      <c r="H23" s="353" t="s">
        <v>51</v>
      </c>
      <c r="I23" s="144">
        <v>102</v>
      </c>
      <c r="J23" s="144"/>
      <c r="K23" s="144" t="s">
        <v>51</v>
      </c>
      <c r="L23" s="144">
        <v>26</v>
      </c>
      <c r="M23" s="144">
        <v>54</v>
      </c>
      <c r="N23" s="116"/>
      <c r="O23" s="116"/>
      <c r="P23" s="116"/>
    </row>
    <row r="24" spans="2:19" s="116" customFormat="1" ht="12.95" customHeight="1" x14ac:dyDescent="0.2">
      <c r="B24" s="108"/>
      <c r="C24" s="108"/>
      <c r="D24" s="147">
        <v>2018</v>
      </c>
      <c r="E24" s="146">
        <f t="shared" si="5"/>
        <v>149</v>
      </c>
      <c r="F24" s="144">
        <v>4</v>
      </c>
      <c r="G24" s="144">
        <v>13</v>
      </c>
      <c r="H24" s="353" t="s">
        <v>51</v>
      </c>
      <c r="I24" s="144">
        <v>53</v>
      </c>
      <c r="J24" s="144"/>
      <c r="K24" s="144" t="s">
        <v>51</v>
      </c>
      <c r="L24" s="144">
        <v>18</v>
      </c>
      <c r="M24" s="144">
        <v>61</v>
      </c>
    </row>
    <row r="25" spans="2:19" s="116" customFormat="1" ht="12.95" customHeight="1" x14ac:dyDescent="0.2">
      <c r="B25" s="108"/>
      <c r="C25" s="108"/>
      <c r="D25" s="147">
        <v>2019</v>
      </c>
      <c r="E25" s="146">
        <f t="shared" si="5"/>
        <v>170</v>
      </c>
      <c r="F25" s="144">
        <v>4</v>
      </c>
      <c r="G25" s="144">
        <v>16</v>
      </c>
      <c r="H25" s="353" t="s">
        <v>51</v>
      </c>
      <c r="I25" s="144">
        <v>74</v>
      </c>
      <c r="J25" s="144"/>
      <c r="K25" s="144" t="s">
        <v>51</v>
      </c>
      <c r="L25" s="144">
        <v>30</v>
      </c>
      <c r="M25" s="144">
        <v>46</v>
      </c>
    </row>
    <row r="26" spans="2:19" s="116" customFormat="1" ht="8.1" customHeight="1" x14ac:dyDescent="0.2">
      <c r="B26" s="108"/>
      <c r="C26" s="108"/>
      <c r="D26" s="141"/>
      <c r="E26" s="146"/>
      <c r="F26" s="146"/>
      <c r="G26" s="146"/>
      <c r="H26" s="158"/>
      <c r="I26" s="146"/>
      <c r="J26" s="144"/>
      <c r="K26" s="146"/>
      <c r="L26" s="146"/>
      <c r="M26" s="146"/>
    </row>
    <row r="27" spans="2:19" s="116" customFormat="1" ht="12.95" customHeight="1" x14ac:dyDescent="0.2">
      <c r="B27" s="108" t="s">
        <v>53</v>
      </c>
      <c r="C27" s="108"/>
      <c r="D27" s="147">
        <v>2017</v>
      </c>
      <c r="E27" s="146">
        <f t="shared" ref="E27:E29" si="6">SUM(F27:M27)</f>
        <v>956</v>
      </c>
      <c r="F27" s="146">
        <v>23</v>
      </c>
      <c r="G27" s="146">
        <v>28</v>
      </c>
      <c r="H27" s="353" t="s">
        <v>51</v>
      </c>
      <c r="I27" s="146">
        <v>528</v>
      </c>
      <c r="J27" s="144"/>
      <c r="K27" s="144" t="s">
        <v>51</v>
      </c>
      <c r="L27" s="146">
        <v>207</v>
      </c>
      <c r="M27" s="146">
        <v>170</v>
      </c>
    </row>
    <row r="28" spans="2:19" s="116" customFormat="1" ht="12.95" customHeight="1" x14ac:dyDescent="0.2">
      <c r="B28" s="108"/>
      <c r="C28" s="108"/>
      <c r="D28" s="147">
        <v>2018</v>
      </c>
      <c r="E28" s="146">
        <f t="shared" si="6"/>
        <v>474</v>
      </c>
      <c r="F28" s="146">
        <v>9</v>
      </c>
      <c r="G28" s="146">
        <v>24</v>
      </c>
      <c r="H28" s="158">
        <v>1</v>
      </c>
      <c r="I28" s="146">
        <v>217</v>
      </c>
      <c r="J28" s="144"/>
      <c r="K28" s="144" t="s">
        <v>51</v>
      </c>
      <c r="L28" s="146">
        <v>108</v>
      </c>
      <c r="M28" s="146">
        <v>115</v>
      </c>
    </row>
    <row r="29" spans="2:19" s="116" customFormat="1" ht="12.95" customHeight="1" x14ac:dyDescent="0.2">
      <c r="B29" s="108"/>
      <c r="C29" s="108"/>
      <c r="D29" s="147">
        <v>2019</v>
      </c>
      <c r="E29" s="146">
        <f t="shared" si="6"/>
        <v>429</v>
      </c>
      <c r="F29" s="146">
        <v>10</v>
      </c>
      <c r="G29" s="146">
        <v>27</v>
      </c>
      <c r="H29" s="353" t="s">
        <v>51</v>
      </c>
      <c r="I29" s="144">
        <v>192</v>
      </c>
      <c r="J29" s="144"/>
      <c r="K29" s="144">
        <v>1</v>
      </c>
      <c r="L29" s="144">
        <v>73</v>
      </c>
      <c r="M29" s="146">
        <v>126</v>
      </c>
    </row>
    <row r="30" spans="2:19" s="116" customFormat="1" ht="8.1" customHeight="1" x14ac:dyDescent="0.2">
      <c r="B30" s="108"/>
      <c r="C30" s="108"/>
      <c r="D30" s="141"/>
      <c r="E30" s="146"/>
      <c r="F30" s="144"/>
      <c r="G30" s="144"/>
      <c r="H30" s="353"/>
      <c r="I30" s="144"/>
      <c r="J30" s="144"/>
      <c r="K30" s="144"/>
      <c r="L30" s="144"/>
      <c r="M30" s="144"/>
    </row>
    <row r="31" spans="2:19" s="116" customFormat="1" ht="12.95" customHeight="1" x14ac:dyDescent="0.2">
      <c r="B31" s="108" t="s">
        <v>54</v>
      </c>
      <c r="C31" s="108"/>
      <c r="D31" s="147">
        <v>2017</v>
      </c>
      <c r="E31" s="146">
        <f t="shared" ref="E31:E33" si="7">SUM(F31:M31)</f>
        <v>412</v>
      </c>
      <c r="F31" s="144">
        <v>8</v>
      </c>
      <c r="G31" s="144">
        <v>16</v>
      </c>
      <c r="H31" s="353">
        <v>1</v>
      </c>
      <c r="I31" s="144">
        <v>202</v>
      </c>
      <c r="J31" s="144"/>
      <c r="K31" s="144" t="s">
        <v>51</v>
      </c>
      <c r="L31" s="144">
        <v>89</v>
      </c>
      <c r="M31" s="144">
        <v>96</v>
      </c>
    </row>
    <row r="32" spans="2:19" s="116" customFormat="1" ht="12.95" customHeight="1" x14ac:dyDescent="0.2">
      <c r="B32" s="108"/>
      <c r="C32" s="108"/>
      <c r="D32" s="147">
        <v>2018</v>
      </c>
      <c r="E32" s="146">
        <f t="shared" si="7"/>
        <v>343</v>
      </c>
      <c r="F32" s="144">
        <v>5</v>
      </c>
      <c r="G32" s="144">
        <v>19</v>
      </c>
      <c r="H32" s="353">
        <v>1</v>
      </c>
      <c r="I32" s="144">
        <v>148</v>
      </c>
      <c r="J32" s="144"/>
      <c r="K32" s="144" t="s">
        <v>51</v>
      </c>
      <c r="L32" s="144">
        <v>68</v>
      </c>
      <c r="M32" s="144">
        <v>102</v>
      </c>
    </row>
    <row r="33" spans="2:13" s="116" customFormat="1" ht="12.95" customHeight="1" x14ac:dyDescent="0.2">
      <c r="B33" s="108"/>
      <c r="C33" s="108"/>
      <c r="D33" s="147">
        <v>2019</v>
      </c>
      <c r="E33" s="146">
        <f t="shared" si="7"/>
        <v>397</v>
      </c>
      <c r="F33" s="144">
        <v>1</v>
      </c>
      <c r="G33" s="144">
        <v>23</v>
      </c>
      <c r="H33" s="353" t="s">
        <v>51</v>
      </c>
      <c r="I33" s="144">
        <v>173</v>
      </c>
      <c r="J33" s="144"/>
      <c r="K33" s="144" t="s">
        <v>51</v>
      </c>
      <c r="L33" s="144">
        <v>60</v>
      </c>
      <c r="M33" s="144">
        <v>140</v>
      </c>
    </row>
    <row r="34" spans="2:13" s="116" customFormat="1" ht="8.1" customHeight="1" x14ac:dyDescent="0.2">
      <c r="B34" s="108"/>
      <c r="C34" s="108"/>
      <c r="D34" s="141"/>
      <c r="E34" s="146"/>
      <c r="F34" s="146"/>
      <c r="G34" s="146"/>
      <c r="H34" s="158"/>
      <c r="I34" s="146"/>
      <c r="J34" s="144"/>
      <c r="K34" s="144"/>
      <c r="L34" s="146"/>
      <c r="M34" s="146"/>
    </row>
    <row r="35" spans="2:13" s="116" customFormat="1" ht="12.95" customHeight="1" x14ac:dyDescent="0.2">
      <c r="B35" s="108" t="s">
        <v>3</v>
      </c>
      <c r="C35" s="108"/>
      <c r="D35" s="147">
        <v>2017</v>
      </c>
      <c r="E35" s="146">
        <f t="shared" ref="E35:E37" si="8">SUM(F35:M35)</f>
        <v>117</v>
      </c>
      <c r="F35" s="146">
        <v>1</v>
      </c>
      <c r="G35" s="146">
        <v>24</v>
      </c>
      <c r="H35" s="353" t="s">
        <v>51</v>
      </c>
      <c r="I35" s="146">
        <v>32</v>
      </c>
      <c r="J35" s="144"/>
      <c r="K35" s="144" t="s">
        <v>51</v>
      </c>
      <c r="L35" s="146">
        <v>15</v>
      </c>
      <c r="M35" s="146">
        <v>45</v>
      </c>
    </row>
    <row r="36" spans="2:13" s="116" customFormat="1" ht="12.95" customHeight="1" x14ac:dyDescent="0.2">
      <c r="B36" s="108"/>
      <c r="C36" s="108"/>
      <c r="D36" s="147">
        <v>2018</v>
      </c>
      <c r="E36" s="146">
        <f t="shared" si="8"/>
        <v>125</v>
      </c>
      <c r="F36" s="146">
        <v>1</v>
      </c>
      <c r="G36" s="146">
        <v>18</v>
      </c>
      <c r="H36" s="353" t="s">
        <v>51</v>
      </c>
      <c r="I36" s="146">
        <v>34</v>
      </c>
      <c r="J36" s="144"/>
      <c r="K36" s="144" t="s">
        <v>51</v>
      </c>
      <c r="L36" s="146">
        <v>15</v>
      </c>
      <c r="M36" s="146">
        <v>57</v>
      </c>
    </row>
    <row r="37" spans="2:13" s="116" customFormat="1" ht="12.95" customHeight="1" x14ac:dyDescent="0.2">
      <c r="B37" s="108"/>
      <c r="C37" s="108"/>
      <c r="D37" s="147">
        <v>2019</v>
      </c>
      <c r="E37" s="146">
        <f t="shared" si="8"/>
        <v>127</v>
      </c>
      <c r="F37" s="146">
        <v>4</v>
      </c>
      <c r="G37" s="146">
        <v>17</v>
      </c>
      <c r="H37" s="353" t="s">
        <v>51</v>
      </c>
      <c r="I37" s="144">
        <v>35</v>
      </c>
      <c r="J37" s="144"/>
      <c r="K37" s="144" t="s">
        <v>51</v>
      </c>
      <c r="L37" s="144">
        <v>11</v>
      </c>
      <c r="M37" s="146">
        <v>60</v>
      </c>
    </row>
    <row r="38" spans="2:13" s="116" customFormat="1" ht="8.1" customHeight="1" x14ac:dyDescent="0.2">
      <c r="B38" s="108"/>
      <c r="C38" s="108"/>
      <c r="D38" s="141"/>
      <c r="E38" s="146"/>
      <c r="F38" s="144"/>
      <c r="G38" s="144"/>
      <c r="H38" s="353"/>
      <c r="I38" s="144"/>
      <c r="J38" s="144"/>
      <c r="K38" s="144"/>
      <c r="L38" s="144"/>
      <c r="M38" s="144"/>
    </row>
    <row r="39" spans="2:13" s="116" customFormat="1" ht="12.95" customHeight="1" x14ac:dyDescent="0.2">
      <c r="B39" s="108" t="s">
        <v>4</v>
      </c>
      <c r="C39" s="108"/>
      <c r="D39" s="147">
        <v>2017</v>
      </c>
      <c r="E39" s="146">
        <f t="shared" ref="E39" si="9">SUM(F39:M39)</f>
        <v>89</v>
      </c>
      <c r="F39" s="144">
        <v>7</v>
      </c>
      <c r="G39" s="144">
        <v>13</v>
      </c>
      <c r="H39" s="353" t="s">
        <v>51</v>
      </c>
      <c r="I39" s="144">
        <v>33</v>
      </c>
      <c r="J39" s="144"/>
      <c r="K39" s="144" t="s">
        <v>51</v>
      </c>
      <c r="L39" s="144">
        <v>15</v>
      </c>
      <c r="M39" s="144">
        <v>21</v>
      </c>
    </row>
    <row r="40" spans="2:13" s="116" customFormat="1" ht="12.95" customHeight="1" x14ac:dyDescent="0.2">
      <c r="B40" s="108"/>
      <c r="C40" s="108"/>
      <c r="D40" s="147">
        <v>2018</v>
      </c>
      <c r="E40" s="146">
        <f>SUM(F40:M40)</f>
        <v>67</v>
      </c>
      <c r="F40" s="144">
        <v>2</v>
      </c>
      <c r="G40" s="144">
        <v>8</v>
      </c>
      <c r="H40" s="353" t="s">
        <v>51</v>
      </c>
      <c r="I40" s="353">
        <v>21</v>
      </c>
      <c r="J40" s="144"/>
      <c r="K40" s="353" t="s">
        <v>51</v>
      </c>
      <c r="L40" s="353">
        <v>6</v>
      </c>
      <c r="M40" s="144">
        <v>30</v>
      </c>
    </row>
    <row r="41" spans="2:13" s="116" customFormat="1" ht="12.95" customHeight="1" x14ac:dyDescent="0.2">
      <c r="B41" s="108"/>
      <c r="C41" s="108"/>
      <c r="D41" s="147">
        <v>2019</v>
      </c>
      <c r="E41" s="146">
        <f t="shared" ref="E41" si="10">SUM(F41:M41)</f>
        <v>70</v>
      </c>
      <c r="F41" s="144">
        <v>6</v>
      </c>
      <c r="G41" s="144">
        <v>11</v>
      </c>
      <c r="H41" s="353" t="s">
        <v>51</v>
      </c>
      <c r="I41" s="144">
        <v>27</v>
      </c>
      <c r="J41" s="144"/>
      <c r="K41" s="144" t="s">
        <v>51</v>
      </c>
      <c r="L41" s="144">
        <v>10</v>
      </c>
      <c r="M41" s="144">
        <v>16</v>
      </c>
    </row>
    <row r="42" spans="2:13" s="116" customFormat="1" ht="8.1" customHeight="1" x14ac:dyDescent="0.2">
      <c r="B42" s="108"/>
      <c r="C42" s="108"/>
      <c r="D42" s="141"/>
      <c r="E42" s="146"/>
      <c r="F42" s="146"/>
      <c r="G42" s="146"/>
      <c r="H42" s="353"/>
      <c r="I42" s="146"/>
      <c r="J42" s="144"/>
      <c r="K42" s="144"/>
      <c r="L42" s="146"/>
      <c r="M42" s="146"/>
    </row>
    <row r="43" spans="2:13" s="116" customFormat="1" ht="12.95" customHeight="1" x14ac:dyDescent="0.2">
      <c r="B43" s="108" t="s">
        <v>9</v>
      </c>
      <c r="C43" s="108"/>
      <c r="D43" s="147">
        <v>2017</v>
      </c>
      <c r="E43" s="146">
        <f t="shared" ref="E43:E44" si="11">SUM(F43:M43)</f>
        <v>209</v>
      </c>
      <c r="F43" s="146">
        <v>6</v>
      </c>
      <c r="G43" s="146">
        <v>11</v>
      </c>
      <c r="H43" s="353" t="s">
        <v>51</v>
      </c>
      <c r="I43" s="146">
        <v>75</v>
      </c>
      <c r="J43" s="144"/>
      <c r="K43" s="144" t="s">
        <v>51</v>
      </c>
      <c r="L43" s="146">
        <v>64</v>
      </c>
      <c r="M43" s="146">
        <v>53</v>
      </c>
    </row>
    <row r="44" spans="2:13" s="116" customFormat="1" ht="12.95" customHeight="1" x14ac:dyDescent="0.2">
      <c r="B44" s="108"/>
      <c r="C44" s="108"/>
      <c r="D44" s="147">
        <v>2018</v>
      </c>
      <c r="E44" s="146">
        <f t="shared" si="11"/>
        <v>202</v>
      </c>
      <c r="F44" s="146">
        <v>7</v>
      </c>
      <c r="G44" s="146">
        <v>20</v>
      </c>
      <c r="H44" s="353" t="s">
        <v>51</v>
      </c>
      <c r="I44" s="146">
        <v>88</v>
      </c>
      <c r="J44" s="144"/>
      <c r="K44" s="144" t="s">
        <v>51</v>
      </c>
      <c r="L44" s="146">
        <v>40</v>
      </c>
      <c r="M44" s="146">
        <v>47</v>
      </c>
    </row>
    <row r="45" spans="2:13" s="116" customFormat="1" ht="12.95" customHeight="1" x14ac:dyDescent="0.2">
      <c r="B45" s="108"/>
      <c r="C45" s="108"/>
      <c r="D45" s="147">
        <v>2019</v>
      </c>
      <c r="E45" s="146">
        <f t="shared" ref="E45" si="12">SUM(F45:M45)</f>
        <v>143</v>
      </c>
      <c r="F45" s="146">
        <v>1</v>
      </c>
      <c r="G45" s="146">
        <v>9</v>
      </c>
      <c r="H45" s="353" t="s">
        <v>51</v>
      </c>
      <c r="I45" s="144">
        <v>53</v>
      </c>
      <c r="J45" s="144"/>
      <c r="K45" s="144" t="s">
        <v>51</v>
      </c>
      <c r="L45" s="144">
        <v>37</v>
      </c>
      <c r="M45" s="146">
        <v>43</v>
      </c>
    </row>
    <row r="46" spans="2:13" s="116" customFormat="1" ht="8.1" customHeight="1" x14ac:dyDescent="0.2">
      <c r="B46" s="108"/>
      <c r="C46" s="108"/>
      <c r="D46" s="141"/>
      <c r="E46" s="146"/>
      <c r="F46" s="144"/>
      <c r="G46" s="144"/>
      <c r="H46" s="353"/>
      <c r="I46" s="144"/>
      <c r="J46" s="144"/>
      <c r="K46" s="144"/>
      <c r="L46" s="144"/>
      <c r="M46" s="144"/>
    </row>
    <row r="47" spans="2:13" s="116" customFormat="1" ht="12.95" customHeight="1" x14ac:dyDescent="0.2">
      <c r="B47" s="108" t="s">
        <v>10</v>
      </c>
      <c r="C47" s="108"/>
      <c r="D47" s="147">
        <v>2017</v>
      </c>
      <c r="E47" s="146">
        <f t="shared" ref="E47:E49" si="13">SUM(F47:M47)</f>
        <v>44</v>
      </c>
      <c r="F47" s="144">
        <v>1</v>
      </c>
      <c r="G47" s="144">
        <v>8</v>
      </c>
      <c r="H47" s="353" t="s">
        <v>51</v>
      </c>
      <c r="I47" s="144">
        <v>21</v>
      </c>
      <c r="J47" s="144"/>
      <c r="K47" s="144" t="s">
        <v>51</v>
      </c>
      <c r="L47" s="144">
        <v>4</v>
      </c>
      <c r="M47" s="144">
        <v>10</v>
      </c>
    </row>
    <row r="48" spans="2:13" s="116" customFormat="1" ht="12.95" customHeight="1" x14ac:dyDescent="0.2">
      <c r="B48" s="108"/>
      <c r="C48" s="108"/>
      <c r="D48" s="147">
        <v>2018</v>
      </c>
      <c r="E48" s="146">
        <f t="shared" si="13"/>
        <v>33</v>
      </c>
      <c r="F48" s="144">
        <v>2</v>
      </c>
      <c r="G48" s="144">
        <v>13</v>
      </c>
      <c r="H48" s="353" t="s">
        <v>51</v>
      </c>
      <c r="I48" s="144">
        <v>3</v>
      </c>
      <c r="J48" s="144"/>
      <c r="K48" s="144" t="s">
        <v>51</v>
      </c>
      <c r="L48" s="144">
        <v>2</v>
      </c>
      <c r="M48" s="144">
        <v>13</v>
      </c>
    </row>
    <row r="49" spans="2:19" s="116" customFormat="1" ht="12.95" customHeight="1" x14ac:dyDescent="0.2">
      <c r="B49" s="108"/>
      <c r="C49" s="108"/>
      <c r="D49" s="147">
        <v>2019</v>
      </c>
      <c r="E49" s="146">
        <f t="shared" si="13"/>
        <v>21</v>
      </c>
      <c r="F49" s="144" t="s">
        <v>51</v>
      </c>
      <c r="G49" s="144">
        <v>2</v>
      </c>
      <c r="H49" s="353" t="s">
        <v>51</v>
      </c>
      <c r="I49" s="144">
        <v>7</v>
      </c>
      <c r="J49" s="144"/>
      <c r="K49" s="144" t="s">
        <v>51</v>
      </c>
      <c r="L49" s="144">
        <v>5</v>
      </c>
      <c r="M49" s="144">
        <v>7</v>
      </c>
    </row>
    <row r="50" spans="2:19" s="116" customFormat="1" ht="8.1" customHeight="1" x14ac:dyDescent="0.2">
      <c r="B50" s="108"/>
      <c r="C50" s="108"/>
      <c r="D50" s="141"/>
      <c r="E50" s="146"/>
      <c r="F50" s="146"/>
      <c r="G50" s="146"/>
      <c r="H50" s="353"/>
      <c r="I50" s="146"/>
      <c r="J50" s="144"/>
      <c r="K50" s="144"/>
      <c r="L50" s="146"/>
      <c r="M50" s="146"/>
    </row>
    <row r="51" spans="2:19" s="116" customFormat="1" ht="12.95" customHeight="1" x14ac:dyDescent="0.2">
      <c r="B51" s="108" t="s">
        <v>5</v>
      </c>
      <c r="C51" s="108"/>
      <c r="D51" s="147">
        <v>2017</v>
      </c>
      <c r="E51" s="146">
        <f t="shared" ref="E51:E53" si="14">SUM(F51:M51)</f>
        <v>31</v>
      </c>
      <c r="F51" s="146">
        <v>1</v>
      </c>
      <c r="G51" s="146">
        <v>6</v>
      </c>
      <c r="H51" s="353" t="s">
        <v>51</v>
      </c>
      <c r="I51" s="146">
        <v>9</v>
      </c>
      <c r="J51" s="144"/>
      <c r="K51" s="144" t="s">
        <v>51</v>
      </c>
      <c r="L51" s="146">
        <v>3</v>
      </c>
      <c r="M51" s="146">
        <v>12</v>
      </c>
    </row>
    <row r="52" spans="2:19" s="116" customFormat="1" ht="12.95" customHeight="1" x14ac:dyDescent="0.2">
      <c r="B52" s="108"/>
      <c r="C52" s="108"/>
      <c r="D52" s="147">
        <v>2018</v>
      </c>
      <c r="E52" s="146">
        <f t="shared" si="14"/>
        <v>29</v>
      </c>
      <c r="F52" s="146" t="s">
        <v>51</v>
      </c>
      <c r="G52" s="146">
        <v>9</v>
      </c>
      <c r="H52" s="353" t="s">
        <v>51</v>
      </c>
      <c r="I52" s="146">
        <v>7</v>
      </c>
      <c r="J52" s="144"/>
      <c r="K52" s="144" t="s">
        <v>51</v>
      </c>
      <c r="L52" s="146">
        <v>4</v>
      </c>
      <c r="M52" s="146">
        <v>9</v>
      </c>
    </row>
    <row r="53" spans="2:19" s="116" customFormat="1" ht="12.95" customHeight="1" x14ac:dyDescent="0.2">
      <c r="B53" s="108"/>
      <c r="C53" s="108"/>
      <c r="D53" s="147">
        <v>2019</v>
      </c>
      <c r="E53" s="146">
        <f t="shared" si="14"/>
        <v>33</v>
      </c>
      <c r="F53" s="144" t="s">
        <v>51</v>
      </c>
      <c r="G53" s="146">
        <v>4</v>
      </c>
      <c r="H53" s="353" t="s">
        <v>51</v>
      </c>
      <c r="I53" s="144">
        <v>7</v>
      </c>
      <c r="J53" s="144"/>
      <c r="K53" s="144" t="s">
        <v>51</v>
      </c>
      <c r="L53" s="144">
        <v>8</v>
      </c>
      <c r="M53" s="146">
        <v>14</v>
      </c>
    </row>
    <row r="54" spans="2:19" s="116" customFormat="1" ht="8.1" customHeight="1" x14ac:dyDescent="0.2">
      <c r="B54" s="108"/>
      <c r="C54" s="108"/>
      <c r="D54" s="141"/>
      <c r="E54" s="146"/>
      <c r="F54" s="144"/>
      <c r="G54" s="144"/>
      <c r="H54" s="353"/>
      <c r="I54" s="144"/>
      <c r="J54" s="144"/>
      <c r="K54" s="144"/>
      <c r="L54" s="144"/>
      <c r="M54" s="144"/>
    </row>
    <row r="55" spans="2:19" s="116" customFormat="1" ht="12.95" customHeight="1" x14ac:dyDescent="0.2">
      <c r="B55" s="108" t="s">
        <v>6</v>
      </c>
      <c r="C55" s="108"/>
      <c r="D55" s="147">
        <v>2017</v>
      </c>
      <c r="E55" s="146">
        <f t="shared" ref="E55:E57" si="15">SUM(F55:M55)</f>
        <v>64</v>
      </c>
      <c r="F55" s="144">
        <v>2</v>
      </c>
      <c r="G55" s="144">
        <v>12</v>
      </c>
      <c r="H55" s="353" t="s">
        <v>51</v>
      </c>
      <c r="I55" s="144">
        <v>22</v>
      </c>
      <c r="J55" s="144"/>
      <c r="K55" s="144" t="s">
        <v>51</v>
      </c>
      <c r="L55" s="144">
        <v>9</v>
      </c>
      <c r="M55" s="144">
        <v>19</v>
      </c>
      <c r="O55" s="193"/>
      <c r="P55" s="193"/>
      <c r="Q55" s="193"/>
      <c r="R55" s="193"/>
      <c r="S55" s="193"/>
    </row>
    <row r="56" spans="2:19" s="116" customFormat="1" ht="12.95" customHeight="1" x14ac:dyDescent="0.2">
      <c r="B56" s="108"/>
      <c r="C56" s="108"/>
      <c r="D56" s="147">
        <v>2018</v>
      </c>
      <c r="E56" s="146">
        <f t="shared" si="15"/>
        <v>49</v>
      </c>
      <c r="F56" s="144">
        <v>2</v>
      </c>
      <c r="G56" s="144">
        <v>13</v>
      </c>
      <c r="H56" s="353" t="s">
        <v>51</v>
      </c>
      <c r="I56" s="144">
        <v>14</v>
      </c>
      <c r="J56" s="144"/>
      <c r="K56" s="144" t="s">
        <v>51</v>
      </c>
      <c r="L56" s="144">
        <v>3</v>
      </c>
      <c r="M56" s="144">
        <v>17</v>
      </c>
      <c r="O56" s="193"/>
      <c r="P56" s="193"/>
      <c r="Q56" s="193"/>
      <c r="R56" s="193"/>
      <c r="S56" s="193"/>
    </row>
    <row r="57" spans="2:19" s="116" customFormat="1" ht="12.95" customHeight="1" x14ac:dyDescent="0.2">
      <c r="B57" s="108"/>
      <c r="C57" s="108"/>
      <c r="D57" s="147">
        <v>2019</v>
      </c>
      <c r="E57" s="146">
        <f t="shared" si="15"/>
        <v>71</v>
      </c>
      <c r="F57" s="144" t="s">
        <v>51</v>
      </c>
      <c r="G57" s="144">
        <v>12</v>
      </c>
      <c r="H57" s="353" t="s">
        <v>51</v>
      </c>
      <c r="I57" s="144">
        <v>20</v>
      </c>
      <c r="J57" s="144"/>
      <c r="K57" s="144" t="s">
        <v>51</v>
      </c>
      <c r="L57" s="144">
        <v>14</v>
      </c>
      <c r="M57" s="144">
        <v>25</v>
      </c>
      <c r="O57" s="193"/>
      <c r="P57" s="193"/>
      <c r="Q57" s="193"/>
      <c r="R57" s="193"/>
      <c r="S57" s="193"/>
    </row>
    <row r="58" spans="2:19" s="116" customFormat="1" ht="8.1" customHeight="1" x14ac:dyDescent="0.2">
      <c r="B58" s="108"/>
      <c r="C58" s="108"/>
      <c r="D58" s="141"/>
      <c r="E58" s="146"/>
      <c r="F58" s="146"/>
      <c r="G58" s="146"/>
      <c r="H58" s="158"/>
      <c r="I58" s="146"/>
      <c r="J58" s="144"/>
      <c r="K58" s="144"/>
      <c r="L58" s="146"/>
      <c r="M58" s="146"/>
      <c r="O58" s="193"/>
      <c r="P58" s="193"/>
      <c r="Q58" s="193"/>
      <c r="R58" s="193"/>
      <c r="S58" s="193"/>
    </row>
    <row r="59" spans="2:19" s="116" customFormat="1" ht="12.95" customHeight="1" x14ac:dyDescent="0.2">
      <c r="B59" s="108" t="s">
        <v>55</v>
      </c>
      <c r="C59" s="108"/>
      <c r="D59" s="147">
        <v>2017</v>
      </c>
      <c r="E59" s="146">
        <f t="shared" ref="E59" si="16">SUM(F59:M59)</f>
        <v>1</v>
      </c>
      <c r="F59" s="146" t="s">
        <v>51</v>
      </c>
      <c r="G59" s="146" t="s">
        <v>51</v>
      </c>
      <c r="H59" s="353" t="s">
        <v>51</v>
      </c>
      <c r="I59" s="144" t="s">
        <v>51</v>
      </c>
      <c r="J59" s="144"/>
      <c r="K59" s="144" t="s">
        <v>51</v>
      </c>
      <c r="L59" s="144" t="s">
        <v>51</v>
      </c>
      <c r="M59" s="146">
        <v>1</v>
      </c>
      <c r="O59" s="193"/>
      <c r="P59" s="193"/>
      <c r="Q59" s="193"/>
      <c r="R59" s="193"/>
      <c r="S59" s="193"/>
    </row>
    <row r="60" spans="2:19" s="116" customFormat="1" ht="12.95" customHeight="1" x14ac:dyDescent="0.2">
      <c r="B60" s="108"/>
      <c r="C60" s="108"/>
      <c r="D60" s="147">
        <v>2018</v>
      </c>
      <c r="E60" s="144" t="s">
        <v>51</v>
      </c>
      <c r="F60" s="144" t="s">
        <v>51</v>
      </c>
      <c r="G60" s="144" t="s">
        <v>51</v>
      </c>
      <c r="H60" s="353" t="s">
        <v>51</v>
      </c>
      <c r="I60" s="144" t="s">
        <v>51</v>
      </c>
      <c r="J60" s="144"/>
      <c r="K60" s="144" t="s">
        <v>51</v>
      </c>
      <c r="L60" s="144" t="s">
        <v>51</v>
      </c>
      <c r="M60" s="144" t="s">
        <v>51</v>
      </c>
      <c r="O60" s="193"/>
      <c r="P60" s="193"/>
      <c r="Q60" s="193"/>
      <c r="R60" s="193"/>
      <c r="S60" s="193"/>
    </row>
    <row r="61" spans="2:19" s="116" customFormat="1" ht="12.95" customHeight="1" x14ac:dyDescent="0.2">
      <c r="B61" s="108"/>
      <c r="C61" s="108"/>
      <c r="D61" s="147">
        <v>2019</v>
      </c>
      <c r="E61" s="144" t="s">
        <v>51</v>
      </c>
      <c r="F61" s="144" t="s">
        <v>51</v>
      </c>
      <c r="G61" s="144" t="s">
        <v>51</v>
      </c>
      <c r="H61" s="353" t="s">
        <v>51</v>
      </c>
      <c r="I61" s="144" t="s">
        <v>51</v>
      </c>
      <c r="J61" s="144"/>
      <c r="K61" s="144" t="s">
        <v>51</v>
      </c>
      <c r="L61" s="144" t="s">
        <v>51</v>
      </c>
      <c r="M61" s="144" t="s">
        <v>51</v>
      </c>
      <c r="O61" s="193"/>
      <c r="P61" s="193"/>
      <c r="Q61" s="193"/>
      <c r="R61" s="193"/>
      <c r="S61" s="193"/>
    </row>
    <row r="62" spans="2:19" s="116" customFormat="1" ht="8.1" customHeight="1" x14ac:dyDescent="0.2">
      <c r="B62" s="108"/>
      <c r="C62" s="108"/>
      <c r="D62" s="141"/>
      <c r="E62" s="146"/>
      <c r="F62" s="144"/>
      <c r="G62" s="144"/>
      <c r="H62" s="353"/>
      <c r="I62" s="144"/>
      <c r="J62" s="144"/>
      <c r="K62" s="144"/>
      <c r="L62" s="144"/>
      <c r="M62" s="144"/>
      <c r="O62" s="193"/>
      <c r="P62" s="193"/>
      <c r="Q62" s="193"/>
      <c r="R62" s="193"/>
      <c r="S62" s="193"/>
    </row>
    <row r="63" spans="2:19" s="116" customFormat="1" ht="12.95" customHeight="1" x14ac:dyDescent="0.2">
      <c r="B63" s="108" t="s">
        <v>7</v>
      </c>
      <c r="C63" s="108"/>
      <c r="D63" s="147">
        <v>2017</v>
      </c>
      <c r="E63" s="146">
        <f t="shared" ref="E63:E65" si="17">SUM(F63:M63)</f>
        <v>39</v>
      </c>
      <c r="F63" s="144">
        <v>4</v>
      </c>
      <c r="G63" s="144">
        <v>2</v>
      </c>
      <c r="H63" s="353" t="s">
        <v>51</v>
      </c>
      <c r="I63" s="144">
        <v>18</v>
      </c>
      <c r="J63" s="144"/>
      <c r="K63" s="144" t="s">
        <v>51</v>
      </c>
      <c r="L63" s="144">
        <v>7</v>
      </c>
      <c r="M63" s="144">
        <v>8</v>
      </c>
      <c r="O63" s="193"/>
      <c r="P63" s="193"/>
      <c r="Q63" s="193"/>
      <c r="R63" s="193"/>
      <c r="S63" s="193"/>
    </row>
    <row r="64" spans="2:19" s="116" customFormat="1" ht="12.95" customHeight="1" x14ac:dyDescent="0.2">
      <c r="B64" s="108"/>
      <c r="C64" s="108"/>
      <c r="D64" s="147">
        <v>2018</v>
      </c>
      <c r="E64" s="146">
        <f t="shared" si="17"/>
        <v>55</v>
      </c>
      <c r="F64" s="144" t="s">
        <v>51</v>
      </c>
      <c r="G64" s="144">
        <v>7</v>
      </c>
      <c r="H64" s="353" t="s">
        <v>51</v>
      </c>
      <c r="I64" s="144">
        <v>23</v>
      </c>
      <c r="J64" s="144"/>
      <c r="K64" s="144" t="s">
        <v>51</v>
      </c>
      <c r="L64" s="144">
        <v>7</v>
      </c>
      <c r="M64" s="144">
        <v>18</v>
      </c>
      <c r="O64" s="193"/>
      <c r="P64" s="193"/>
      <c r="Q64" s="193"/>
      <c r="R64" s="193"/>
      <c r="S64" s="193"/>
    </row>
    <row r="65" spans="1:19" s="116" customFormat="1" ht="12.95" customHeight="1" x14ac:dyDescent="0.2">
      <c r="B65" s="108"/>
      <c r="C65" s="108"/>
      <c r="D65" s="147">
        <v>2019</v>
      </c>
      <c r="E65" s="146">
        <f t="shared" si="17"/>
        <v>41</v>
      </c>
      <c r="F65" s="144" t="s">
        <v>51</v>
      </c>
      <c r="G65" s="144">
        <v>12</v>
      </c>
      <c r="H65" s="353" t="s">
        <v>51</v>
      </c>
      <c r="I65" s="144">
        <v>12</v>
      </c>
      <c r="J65" s="144"/>
      <c r="K65" s="144" t="s">
        <v>51</v>
      </c>
      <c r="L65" s="144">
        <v>9</v>
      </c>
      <c r="M65" s="144">
        <v>8</v>
      </c>
      <c r="O65" s="193"/>
      <c r="P65" s="193"/>
      <c r="Q65" s="193"/>
      <c r="R65" s="193"/>
      <c r="S65" s="193"/>
    </row>
    <row r="66" spans="1:19" s="116" customFormat="1" ht="8.1" customHeight="1" x14ac:dyDescent="0.2">
      <c r="B66" s="108"/>
      <c r="C66" s="108"/>
      <c r="D66" s="141"/>
      <c r="E66" s="146"/>
      <c r="F66" s="146"/>
      <c r="G66" s="146"/>
      <c r="H66" s="353"/>
      <c r="I66" s="146"/>
      <c r="J66" s="144"/>
      <c r="K66" s="144"/>
      <c r="L66" s="146"/>
      <c r="M66" s="146"/>
      <c r="O66" s="193"/>
      <c r="P66" s="193"/>
      <c r="Q66" s="193"/>
      <c r="R66" s="193"/>
      <c r="S66" s="193"/>
    </row>
    <row r="67" spans="1:19" s="116" customFormat="1" ht="12.95" customHeight="1" x14ac:dyDescent="0.2">
      <c r="B67" s="108" t="s">
        <v>8</v>
      </c>
      <c r="C67" s="108"/>
      <c r="D67" s="147">
        <v>2017</v>
      </c>
      <c r="E67" s="146">
        <f t="shared" ref="E67:E69" si="18">SUM(F67:M67)</f>
        <v>45</v>
      </c>
      <c r="F67" s="146">
        <v>2</v>
      </c>
      <c r="G67" s="146">
        <v>4</v>
      </c>
      <c r="H67" s="353" t="s">
        <v>51</v>
      </c>
      <c r="I67" s="146">
        <v>15</v>
      </c>
      <c r="J67" s="144"/>
      <c r="K67" s="144" t="s">
        <v>51</v>
      </c>
      <c r="L67" s="146">
        <v>9</v>
      </c>
      <c r="M67" s="146">
        <v>15</v>
      </c>
    </row>
    <row r="68" spans="1:19" s="116" customFormat="1" ht="12.95" customHeight="1" x14ac:dyDescent="0.2">
      <c r="B68" s="108"/>
      <c r="C68" s="108"/>
      <c r="D68" s="147">
        <v>2018</v>
      </c>
      <c r="E68" s="146">
        <f t="shared" si="18"/>
        <v>61</v>
      </c>
      <c r="F68" s="146">
        <v>1</v>
      </c>
      <c r="G68" s="146">
        <v>13</v>
      </c>
      <c r="H68" s="353" t="s">
        <v>51</v>
      </c>
      <c r="I68" s="146">
        <v>8</v>
      </c>
      <c r="J68" s="144"/>
      <c r="K68" s="144" t="s">
        <v>51</v>
      </c>
      <c r="L68" s="146">
        <v>14</v>
      </c>
      <c r="M68" s="146">
        <v>25</v>
      </c>
    </row>
    <row r="69" spans="1:19" s="116" customFormat="1" ht="12.95" customHeight="1" x14ac:dyDescent="0.2">
      <c r="B69" s="108"/>
      <c r="C69" s="108"/>
      <c r="D69" s="147">
        <v>2019</v>
      </c>
      <c r="E69" s="146">
        <f t="shared" si="18"/>
        <v>70</v>
      </c>
      <c r="F69" s="146">
        <v>1</v>
      </c>
      <c r="G69" s="146">
        <v>9</v>
      </c>
      <c r="H69" s="353" t="s">
        <v>51</v>
      </c>
      <c r="I69" s="144">
        <v>12</v>
      </c>
      <c r="J69" s="144"/>
      <c r="K69" s="144" t="s">
        <v>51</v>
      </c>
      <c r="L69" s="144">
        <v>25</v>
      </c>
      <c r="M69" s="146">
        <v>23</v>
      </c>
    </row>
    <row r="70" spans="1:19" s="116" customFormat="1" ht="8.1" customHeight="1" x14ac:dyDescent="0.2">
      <c r="B70" s="108"/>
      <c r="C70" s="108"/>
      <c r="D70" s="141"/>
      <c r="E70" s="146"/>
      <c r="F70" s="146"/>
      <c r="G70" s="146"/>
      <c r="H70" s="353"/>
      <c r="I70" s="146"/>
      <c r="J70" s="144"/>
      <c r="K70" s="144"/>
      <c r="L70" s="146"/>
      <c r="M70" s="146"/>
    </row>
    <row r="71" spans="1:19" s="116" customFormat="1" ht="12.95" customHeight="1" x14ac:dyDescent="0.2">
      <c r="B71" s="108" t="s">
        <v>56</v>
      </c>
      <c r="C71" s="108"/>
      <c r="D71" s="147">
        <v>2017</v>
      </c>
      <c r="E71" s="146">
        <f t="shared" ref="E71:E73" si="19">SUM(F71:M71)</f>
        <v>253</v>
      </c>
      <c r="F71" s="146">
        <v>7</v>
      </c>
      <c r="G71" s="146">
        <v>40</v>
      </c>
      <c r="H71" s="353" t="s">
        <v>51</v>
      </c>
      <c r="I71" s="146">
        <v>116</v>
      </c>
      <c r="J71" s="144"/>
      <c r="K71" s="144" t="s">
        <v>51</v>
      </c>
      <c r="L71" s="146">
        <v>21</v>
      </c>
      <c r="M71" s="146">
        <v>69</v>
      </c>
    </row>
    <row r="72" spans="1:19" s="116" customFormat="1" ht="12.95" customHeight="1" x14ac:dyDescent="0.2">
      <c r="B72" s="108"/>
      <c r="C72" s="108"/>
      <c r="D72" s="147">
        <v>2018</v>
      </c>
      <c r="E72" s="146">
        <f t="shared" si="19"/>
        <v>189</v>
      </c>
      <c r="F72" s="146">
        <v>7</v>
      </c>
      <c r="G72" s="146">
        <v>17</v>
      </c>
      <c r="H72" s="353" t="s">
        <v>51</v>
      </c>
      <c r="I72" s="146">
        <v>91</v>
      </c>
      <c r="J72" s="144"/>
      <c r="K72" s="144" t="s">
        <v>51</v>
      </c>
      <c r="L72" s="146">
        <v>18</v>
      </c>
      <c r="M72" s="146">
        <v>56</v>
      </c>
    </row>
    <row r="73" spans="1:19" s="116" customFormat="1" ht="12.95" customHeight="1" x14ac:dyDescent="0.2">
      <c r="B73" s="108"/>
      <c r="C73" s="108"/>
      <c r="D73" s="147">
        <v>2019</v>
      </c>
      <c r="E73" s="146">
        <f t="shared" si="19"/>
        <v>212</v>
      </c>
      <c r="F73" s="116">
        <v>5</v>
      </c>
      <c r="G73" s="116">
        <v>35</v>
      </c>
      <c r="H73" s="116">
        <v>1</v>
      </c>
      <c r="I73" s="116">
        <v>104</v>
      </c>
      <c r="K73" s="411" t="s">
        <v>51</v>
      </c>
      <c r="L73" s="116">
        <v>17</v>
      </c>
      <c r="M73" s="116">
        <v>50</v>
      </c>
    </row>
    <row r="74" spans="1:19" s="53" customFormat="1" ht="8.1" customHeight="1" thickBot="1" x14ac:dyDescent="0.25">
      <c r="A74" s="195"/>
      <c r="B74" s="196"/>
      <c r="C74" s="196"/>
      <c r="D74" s="196"/>
      <c r="E74" s="197"/>
      <c r="F74" s="198"/>
      <c r="G74" s="198"/>
      <c r="H74" s="354"/>
      <c r="I74" s="198"/>
      <c r="J74" s="198"/>
      <c r="K74" s="198"/>
      <c r="L74" s="198"/>
      <c r="M74" s="199"/>
      <c r="N74" s="195"/>
    </row>
    <row r="75" spans="1:19" s="53" customFormat="1" ht="12.75" x14ac:dyDescent="0.2">
      <c r="B75" s="115"/>
      <c r="C75" s="115"/>
      <c r="D75" s="115"/>
      <c r="E75" s="63"/>
      <c r="F75" s="114"/>
      <c r="G75" s="114"/>
      <c r="H75" s="351"/>
      <c r="I75" s="114"/>
      <c r="J75" s="114"/>
      <c r="K75" s="114"/>
      <c r="L75" s="114"/>
      <c r="M75" s="189"/>
      <c r="N75" s="8" t="s">
        <v>99</v>
      </c>
    </row>
    <row r="76" spans="1:19" s="53" customFormat="1" ht="12.75" x14ac:dyDescent="0.2">
      <c r="B76" s="115"/>
      <c r="C76" s="115"/>
      <c r="D76" s="115"/>
      <c r="E76" s="63"/>
      <c r="F76" s="114"/>
      <c r="G76" s="114"/>
      <c r="H76" s="351"/>
      <c r="I76" s="114"/>
      <c r="J76" s="114"/>
      <c r="K76" s="114"/>
      <c r="L76" s="114"/>
      <c r="M76" s="189"/>
      <c r="N76" s="41" t="s">
        <v>1</v>
      </c>
    </row>
    <row r="77" spans="1:19" s="53" customFormat="1" ht="12.75" x14ac:dyDescent="0.2">
      <c r="B77" s="115"/>
      <c r="C77" s="115"/>
      <c r="D77" s="115"/>
      <c r="E77" s="63"/>
      <c r="F77" s="114"/>
      <c r="G77" s="114"/>
      <c r="H77" s="351"/>
      <c r="I77" s="114"/>
      <c r="J77" s="114"/>
      <c r="K77" s="114"/>
      <c r="L77" s="114"/>
      <c r="M77" s="189"/>
    </row>
  </sheetData>
  <mergeCells count="4">
    <mergeCell ref="B11:C11"/>
    <mergeCell ref="B12:C12"/>
    <mergeCell ref="H11:I11"/>
    <mergeCell ref="K11:L11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75" fitToWidth="0" orientation="portrait" r:id="rId1"/>
  <headerFooter>
    <oddHeader xml:space="preserve">&amp;R&amp;"-,Bold"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46"/>
  <sheetViews>
    <sheetView showGridLines="0" zoomScaleNormal="100" zoomScaleSheetLayoutView="100" workbookViewId="0">
      <selection activeCell="F53" sqref="F53"/>
    </sheetView>
  </sheetViews>
  <sheetFormatPr defaultColWidth="9.140625" defaultRowHeight="15" x14ac:dyDescent="0.25"/>
  <cols>
    <col min="1" max="1" width="18.5703125" style="27" customWidth="1"/>
    <col min="2" max="2" width="11.28515625" style="27" customWidth="1"/>
    <col min="3" max="3" width="23" style="28" customWidth="1"/>
    <col min="4" max="5" width="20" style="29" customWidth="1"/>
    <col min="6" max="16384" width="9.140625" style="30"/>
  </cols>
  <sheetData>
    <row r="1" spans="1:5" s="162" customFormat="1" ht="19.5" customHeight="1" x14ac:dyDescent="0.25">
      <c r="A1" s="421" t="s">
        <v>258</v>
      </c>
      <c r="B1" s="386" t="s">
        <v>212</v>
      </c>
      <c r="C1" s="386" t="s">
        <v>260</v>
      </c>
      <c r="D1" s="386" t="s">
        <v>259</v>
      </c>
      <c r="E1" s="370" t="s">
        <v>261</v>
      </c>
    </row>
    <row r="2" spans="1:5" s="37" customFormat="1" ht="12.95" customHeight="1" x14ac:dyDescent="0.25">
      <c r="A2" s="109" t="s">
        <v>181</v>
      </c>
      <c r="B2" s="60">
        <v>2017</v>
      </c>
      <c r="C2" s="346">
        <f>D2/E2*100</f>
        <v>309.68441038516545</v>
      </c>
      <c r="D2" s="145">
        <f>SUM(D5,D8,D11,D14,D17,D20,D23,D26,D29,D32,D35,D38,D41,D44,)</f>
        <v>99169</v>
      </c>
      <c r="E2" s="346">
        <v>32022.6</v>
      </c>
    </row>
    <row r="3" spans="1:5" ht="12.95" customHeight="1" x14ac:dyDescent="0.25">
      <c r="A3" s="109" t="s">
        <v>181</v>
      </c>
      <c r="B3" s="60">
        <v>2018</v>
      </c>
      <c r="C3" s="346">
        <f t="shared" ref="C3" si="0">D3/E3*100</f>
        <v>273.79772283006457</v>
      </c>
      <c r="D3" s="145">
        <f>SUM(D6,D9,D12,D15,D18,D21,D24,D27,D30,D33,D36,D39,D42,D45,)</f>
        <v>88662</v>
      </c>
      <c r="E3" s="346">
        <v>32382.3</v>
      </c>
    </row>
    <row r="4" spans="1:5" ht="12.95" customHeight="1" x14ac:dyDescent="0.25">
      <c r="A4" s="109" t="s">
        <v>181</v>
      </c>
      <c r="B4" s="60">
        <v>2019</v>
      </c>
      <c r="C4" s="346">
        <f>D4/E4*100</f>
        <v>256.60609414875626</v>
      </c>
      <c r="D4" s="145">
        <f>SUM(D7,D10,D13,D16,D19,D22,D25,D28,D31,D34,D37,D40,D43,D46,)</f>
        <v>83456</v>
      </c>
      <c r="E4" s="346">
        <v>32523</v>
      </c>
    </row>
    <row r="5" spans="1:5" ht="12.95" customHeight="1" x14ac:dyDescent="0.2">
      <c r="A5" s="103" t="s">
        <v>95</v>
      </c>
      <c r="B5" s="147">
        <v>2017</v>
      </c>
      <c r="C5" s="348">
        <f t="shared" ref="C5:C46" si="1">D5/E5*100</f>
        <v>305.84257506086016</v>
      </c>
      <c r="D5" s="146">
        <f>'1.1 Crime Index '!C5</f>
        <v>11307</v>
      </c>
      <c r="E5" s="358">
        <v>3697</v>
      </c>
    </row>
    <row r="6" spans="1:5" ht="12.95" customHeight="1" x14ac:dyDescent="0.2">
      <c r="A6" s="103" t="s">
        <v>95</v>
      </c>
      <c r="B6" s="147">
        <v>2018</v>
      </c>
      <c r="C6" s="348">
        <f t="shared" si="1"/>
        <v>275.7241158585374</v>
      </c>
      <c r="D6" s="146">
        <f>'1.1 Crime Index '!C6</f>
        <v>10338</v>
      </c>
      <c r="E6" s="358">
        <v>3749.4</v>
      </c>
    </row>
    <row r="7" spans="1:5" ht="12.95" customHeight="1" x14ac:dyDescent="0.25">
      <c r="A7" s="103" t="s">
        <v>95</v>
      </c>
      <c r="B7" s="147">
        <v>2019</v>
      </c>
      <c r="C7" s="348">
        <f t="shared" si="1"/>
        <v>262.41625013293628</v>
      </c>
      <c r="D7" s="146">
        <f>'1.1 Crime Index '!C7</f>
        <v>9870</v>
      </c>
      <c r="E7" s="347">
        <v>3761.2</v>
      </c>
    </row>
    <row r="8" spans="1:5" ht="12.95" customHeight="1" x14ac:dyDescent="0.2">
      <c r="A8" s="103" t="s">
        <v>97</v>
      </c>
      <c r="B8" s="147">
        <v>2017</v>
      </c>
      <c r="C8" s="348">
        <f t="shared" si="1"/>
        <v>315.26657026913568</v>
      </c>
      <c r="D8" s="146">
        <f>'1.1 Crime Index '!C8</f>
        <v>6759</v>
      </c>
      <c r="E8" s="358">
        <v>2143.9</v>
      </c>
    </row>
    <row r="9" spans="1:5" ht="12.95" customHeight="1" x14ac:dyDescent="0.2">
      <c r="A9" s="103" t="s">
        <v>97</v>
      </c>
      <c r="B9" s="147">
        <v>2018</v>
      </c>
      <c r="C9" s="348">
        <f t="shared" si="1"/>
        <v>287.60980120203425</v>
      </c>
      <c r="D9" s="146">
        <f>'1.1 Crime Index '!C9</f>
        <v>6221</v>
      </c>
      <c r="E9" s="358">
        <v>2163</v>
      </c>
    </row>
    <row r="10" spans="1:5" ht="12.95" customHeight="1" x14ac:dyDescent="0.25">
      <c r="A10" s="103" t="s">
        <v>97</v>
      </c>
      <c r="B10" s="147">
        <v>2019</v>
      </c>
      <c r="C10" s="348">
        <f t="shared" si="1"/>
        <v>258.3153149008603</v>
      </c>
      <c r="D10" s="146">
        <f>'1.1 Crime Index '!C10</f>
        <v>5615</v>
      </c>
      <c r="E10" s="347">
        <v>2173.6999999999998</v>
      </c>
    </row>
    <row r="11" spans="1:5" ht="12.95" customHeight="1" x14ac:dyDescent="0.2">
      <c r="A11" s="103" t="s">
        <v>182</v>
      </c>
      <c r="B11" s="147">
        <v>2017</v>
      </c>
      <c r="C11" s="348">
        <f t="shared" si="1"/>
        <v>247.12957900492074</v>
      </c>
      <c r="D11" s="146">
        <f>'1.1 Crime Index '!C11</f>
        <v>4520</v>
      </c>
      <c r="E11" s="358">
        <v>1829</v>
      </c>
    </row>
    <row r="12" spans="1:5" ht="12.95" customHeight="1" x14ac:dyDescent="0.2">
      <c r="A12" s="103" t="s">
        <v>182</v>
      </c>
      <c r="B12" s="147">
        <v>2018</v>
      </c>
      <c r="C12" s="348">
        <f t="shared" si="1"/>
        <v>214.29723192690139</v>
      </c>
      <c r="D12" s="146">
        <f>'1.1 Crime Index '!C12</f>
        <v>3987</v>
      </c>
      <c r="E12" s="358">
        <v>1860.5</v>
      </c>
    </row>
    <row r="13" spans="1:5" ht="12.95" customHeight="1" x14ac:dyDescent="0.25">
      <c r="A13" s="103" t="s">
        <v>182</v>
      </c>
      <c r="B13" s="147">
        <v>2019</v>
      </c>
      <c r="C13" s="348">
        <f t="shared" si="1"/>
        <v>188.18345896591995</v>
      </c>
      <c r="D13" s="146">
        <f>'1.1 Crime Index '!C13</f>
        <v>3545</v>
      </c>
      <c r="E13" s="347">
        <v>1883.8</v>
      </c>
    </row>
    <row r="14" spans="1:5" ht="12.95" customHeight="1" x14ac:dyDescent="0.2">
      <c r="A14" s="103" t="s">
        <v>183</v>
      </c>
      <c r="B14" s="147">
        <v>2017</v>
      </c>
      <c r="C14" s="348">
        <f t="shared" si="1"/>
        <v>339.17424159456795</v>
      </c>
      <c r="D14" s="146">
        <f>'1.1 Crime Index '!C14</f>
        <v>3097</v>
      </c>
      <c r="E14" s="358">
        <v>913.1</v>
      </c>
    </row>
    <row r="15" spans="1:5" ht="12.95" customHeight="1" x14ac:dyDescent="0.2">
      <c r="A15" s="103" t="s">
        <v>183</v>
      </c>
      <c r="B15" s="147">
        <v>2018</v>
      </c>
      <c r="C15" s="348">
        <f t="shared" si="1"/>
        <v>303.55594102341718</v>
      </c>
      <c r="D15" s="146">
        <f>'1.1 Crime Index '!C15</f>
        <v>2800</v>
      </c>
      <c r="E15" s="358">
        <v>922.4</v>
      </c>
    </row>
    <row r="16" spans="1:5" ht="12.95" customHeight="1" x14ac:dyDescent="0.25">
      <c r="A16" s="103" t="s">
        <v>183</v>
      </c>
      <c r="B16" s="147">
        <v>2019</v>
      </c>
      <c r="C16" s="348">
        <f t="shared" si="1"/>
        <v>275.85092632485998</v>
      </c>
      <c r="D16" s="146">
        <f>'1.1 Crime Index '!C16</f>
        <v>2561</v>
      </c>
      <c r="E16" s="347">
        <v>928.4</v>
      </c>
    </row>
    <row r="17" spans="1:5" s="27" customFormat="1" ht="12.95" customHeight="1" x14ac:dyDescent="0.2">
      <c r="A17" s="103" t="s">
        <v>31</v>
      </c>
      <c r="B17" s="147">
        <v>2017</v>
      </c>
      <c r="C17" s="348">
        <f t="shared" si="1"/>
        <v>356.64272890484739</v>
      </c>
      <c r="D17" s="146">
        <f>'1.1 Crime Index '!C17</f>
        <v>3973</v>
      </c>
      <c r="E17" s="358">
        <v>1114</v>
      </c>
    </row>
    <row r="18" spans="1:5" ht="12.95" customHeight="1" x14ac:dyDescent="0.2">
      <c r="A18" s="103" t="s">
        <v>31</v>
      </c>
      <c r="B18" s="147">
        <v>2018</v>
      </c>
      <c r="C18" s="348">
        <f t="shared" si="1"/>
        <v>327.09947457476176</v>
      </c>
      <c r="D18" s="146">
        <f>'1.1 Crime Index '!C18</f>
        <v>3673</v>
      </c>
      <c r="E18" s="358">
        <v>1122.9000000000001</v>
      </c>
    </row>
    <row r="19" spans="1:5" ht="12.95" customHeight="1" x14ac:dyDescent="0.25">
      <c r="A19" s="103" t="s">
        <v>31</v>
      </c>
      <c r="B19" s="147">
        <v>2019</v>
      </c>
      <c r="C19" s="348">
        <f t="shared" si="1"/>
        <v>295.41822056473092</v>
      </c>
      <c r="D19" s="146">
        <f>'1.1 Crime Index '!C19</f>
        <v>3327</v>
      </c>
      <c r="E19" s="347">
        <v>1126.2</v>
      </c>
    </row>
    <row r="20" spans="1:5" ht="12.95" customHeight="1" x14ac:dyDescent="0.2">
      <c r="A20" s="103" t="s">
        <v>98</v>
      </c>
      <c r="B20" s="147">
        <v>2017</v>
      </c>
      <c r="C20" s="348">
        <f t="shared" si="1"/>
        <v>219.00425015179113</v>
      </c>
      <c r="D20" s="146">
        <f>'1.1 Crime Index '!C20</f>
        <v>3607</v>
      </c>
      <c r="E20" s="358">
        <v>1647</v>
      </c>
    </row>
    <row r="21" spans="1:5" ht="12.95" customHeight="1" x14ac:dyDescent="0.2">
      <c r="A21" s="103" t="s">
        <v>98</v>
      </c>
      <c r="B21" s="147">
        <v>2018</v>
      </c>
      <c r="C21" s="348">
        <f t="shared" si="1"/>
        <v>215.29404697543103</v>
      </c>
      <c r="D21" s="146">
        <f>'1.1 Crime Index '!C21</f>
        <v>3584</v>
      </c>
      <c r="E21" s="358">
        <v>1664.7</v>
      </c>
    </row>
    <row r="22" spans="1:5" ht="12.95" customHeight="1" x14ac:dyDescent="0.25">
      <c r="A22" s="103" t="s">
        <v>98</v>
      </c>
      <c r="B22" s="147">
        <v>2019</v>
      </c>
      <c r="C22" s="348">
        <f t="shared" si="1"/>
        <v>195.70420007179609</v>
      </c>
      <c r="D22" s="146">
        <f>'1.1 Crime Index '!C22</f>
        <v>3271</v>
      </c>
      <c r="E22" s="347">
        <v>1671.4</v>
      </c>
    </row>
    <row r="23" spans="1:5" ht="12.95" customHeight="1" x14ac:dyDescent="0.25">
      <c r="A23" s="103" t="s">
        <v>174</v>
      </c>
      <c r="B23" s="147">
        <v>2017</v>
      </c>
      <c r="C23" s="348">
        <f t="shared" si="1"/>
        <v>213.62104925397082</v>
      </c>
      <c r="D23" s="146">
        <f>'1.1 Crime Index '!C23</f>
        <v>5326</v>
      </c>
      <c r="E23" s="417">
        <v>2493.1999999999998</v>
      </c>
    </row>
    <row r="24" spans="1:5" ht="12.95" customHeight="1" x14ac:dyDescent="0.25">
      <c r="A24" s="103" t="s">
        <v>174</v>
      </c>
      <c r="B24" s="147">
        <v>2018</v>
      </c>
      <c r="C24" s="348">
        <f t="shared" si="1"/>
        <v>204.83323347313762</v>
      </c>
      <c r="D24" s="146">
        <f>'1.1 Crime Index '!C24</f>
        <v>5128</v>
      </c>
      <c r="E24" s="417">
        <v>2503.5</v>
      </c>
    </row>
    <row r="25" spans="1:5" ht="12.95" customHeight="1" x14ac:dyDescent="0.25">
      <c r="A25" s="103" t="s">
        <v>174</v>
      </c>
      <c r="B25" s="147">
        <v>2019</v>
      </c>
      <c r="C25" s="348">
        <f t="shared" si="1"/>
        <v>195.7908163265306</v>
      </c>
      <c r="D25" s="146">
        <f>'1.1 Crime Index '!C25</f>
        <v>4912</v>
      </c>
      <c r="E25" s="417">
        <v>2508.8000000000002</v>
      </c>
    </row>
    <row r="26" spans="1:5" ht="12.95" customHeight="1" x14ac:dyDescent="0.2">
      <c r="A26" s="103" t="s">
        <v>49</v>
      </c>
      <c r="B26" s="147">
        <v>2017</v>
      </c>
      <c r="C26" s="348">
        <f t="shared" si="1"/>
        <v>239.68253968253967</v>
      </c>
      <c r="D26" s="146">
        <f>'1.1 Crime Index '!C26</f>
        <v>604</v>
      </c>
      <c r="E26" s="358">
        <v>252</v>
      </c>
    </row>
    <row r="27" spans="1:5" ht="12.95" customHeight="1" x14ac:dyDescent="0.2">
      <c r="A27" s="103" t="s">
        <v>49</v>
      </c>
      <c r="B27" s="147">
        <v>2018</v>
      </c>
      <c r="C27" s="348">
        <f t="shared" si="1"/>
        <v>222.09072978303746</v>
      </c>
      <c r="D27" s="146">
        <f>'1.1 Crime Index '!C27</f>
        <v>563</v>
      </c>
      <c r="E27" s="358">
        <v>253.5</v>
      </c>
    </row>
    <row r="28" spans="1:5" ht="12.95" customHeight="1" x14ac:dyDescent="0.25">
      <c r="A28" s="103" t="s">
        <v>49</v>
      </c>
      <c r="B28" s="147">
        <v>2019</v>
      </c>
      <c r="C28" s="348">
        <f t="shared" si="1"/>
        <v>207.4803149606299</v>
      </c>
      <c r="D28" s="146">
        <f>'1.1 Crime Index '!C28</f>
        <v>527</v>
      </c>
      <c r="E28" s="347">
        <v>254</v>
      </c>
    </row>
    <row r="29" spans="1:5" ht="12.95" customHeight="1" x14ac:dyDescent="0.25">
      <c r="A29" s="103" t="s">
        <v>50</v>
      </c>
      <c r="B29" s="147">
        <v>2017</v>
      </c>
      <c r="C29" s="348">
        <f t="shared" si="1"/>
        <v>318.27303480305028</v>
      </c>
      <c r="D29" s="146">
        <f>'1.1 Crime Index '!C29</f>
        <v>5551</v>
      </c>
      <c r="E29" s="417">
        <v>1744.1</v>
      </c>
    </row>
    <row r="30" spans="1:5" ht="12.95" customHeight="1" x14ac:dyDescent="0.25">
      <c r="A30" s="103" t="s">
        <v>50</v>
      </c>
      <c r="B30" s="147">
        <v>2018</v>
      </c>
      <c r="C30" s="348">
        <f t="shared" si="1"/>
        <v>284.60403902881779</v>
      </c>
      <c r="D30" s="146">
        <f>'1.1 Crime Index '!C30</f>
        <v>5017</v>
      </c>
      <c r="E30" s="417">
        <v>1762.8</v>
      </c>
    </row>
    <row r="31" spans="1:5" ht="12.95" customHeight="1" x14ac:dyDescent="0.25">
      <c r="A31" s="103" t="s">
        <v>50</v>
      </c>
      <c r="B31" s="147">
        <v>2019</v>
      </c>
      <c r="C31" s="348">
        <f t="shared" si="1"/>
        <v>295.00226142017192</v>
      </c>
      <c r="D31" s="146">
        <f>'1.1 Crime Index '!C31</f>
        <v>5218</v>
      </c>
      <c r="E31" s="417">
        <v>1768.8</v>
      </c>
    </row>
    <row r="32" spans="1:5" ht="12.95" customHeight="1" x14ac:dyDescent="0.25">
      <c r="A32" s="103" t="s">
        <v>153</v>
      </c>
      <c r="B32" s="147">
        <v>2017</v>
      </c>
      <c r="C32" s="348">
        <f t="shared" si="1"/>
        <v>157.73365372454785</v>
      </c>
      <c r="D32" s="146">
        <f>'1.1 Crime Index '!C32</f>
        <v>6236</v>
      </c>
      <c r="E32" s="417">
        <v>3953.5</v>
      </c>
    </row>
    <row r="33" spans="1:5" ht="12.95" customHeight="1" x14ac:dyDescent="0.25">
      <c r="A33" s="103" t="s">
        <v>153</v>
      </c>
      <c r="B33" s="147">
        <v>2018</v>
      </c>
      <c r="C33" s="348">
        <f t="shared" si="1"/>
        <v>153.87501876219542</v>
      </c>
      <c r="D33" s="146">
        <f>'1.1 Crime Index '!C33</f>
        <v>6151</v>
      </c>
      <c r="E33" s="417">
        <v>3997.4</v>
      </c>
    </row>
    <row r="34" spans="1:5" ht="12.95" customHeight="1" x14ac:dyDescent="0.25">
      <c r="A34" s="103" t="s">
        <v>153</v>
      </c>
      <c r="B34" s="147">
        <v>2019</v>
      </c>
      <c r="C34" s="348">
        <f t="shared" si="1"/>
        <v>143.49226965057321</v>
      </c>
      <c r="D34" s="146">
        <f>'1.1 Crime Index '!C34</f>
        <v>5745</v>
      </c>
      <c r="E34" s="417">
        <v>4003.7000000000003</v>
      </c>
    </row>
    <row r="35" spans="1:5" ht="12.95" customHeight="1" x14ac:dyDescent="0.25">
      <c r="A35" s="103" t="s">
        <v>124</v>
      </c>
      <c r="B35" s="147">
        <v>2017</v>
      </c>
      <c r="C35" s="348">
        <f t="shared" si="1"/>
        <v>230.66912482377182</v>
      </c>
      <c r="D35" s="146">
        <f>'1.1 Crime Index '!C35</f>
        <v>6381</v>
      </c>
      <c r="E35" s="417">
        <v>2766.3</v>
      </c>
    </row>
    <row r="36" spans="1:5" ht="12.95" customHeight="1" x14ac:dyDescent="0.25">
      <c r="A36" s="103" t="s">
        <v>124</v>
      </c>
      <c r="B36" s="147">
        <v>2018</v>
      </c>
      <c r="C36" s="348">
        <f t="shared" si="1"/>
        <v>208.83332736325539</v>
      </c>
      <c r="D36" s="146">
        <f>'1.1 Crime Index '!C36</f>
        <v>5830</v>
      </c>
      <c r="E36" s="417">
        <v>2791.7</v>
      </c>
    </row>
    <row r="37" spans="1:5" ht="12.95" customHeight="1" x14ac:dyDescent="0.25">
      <c r="A37" s="103" t="s">
        <v>124</v>
      </c>
      <c r="B37" s="147">
        <v>2019</v>
      </c>
      <c r="C37" s="348">
        <f t="shared" si="1"/>
        <v>214.64718460441912</v>
      </c>
      <c r="D37" s="146">
        <f>'1.1 Crime Index '!C37</f>
        <v>6023</v>
      </c>
      <c r="E37" s="417">
        <v>2806</v>
      </c>
    </row>
    <row r="38" spans="1:5" ht="12.95" customHeight="1" x14ac:dyDescent="0.25">
      <c r="A38" s="103" t="s">
        <v>100</v>
      </c>
      <c r="B38" s="147">
        <v>2017</v>
      </c>
      <c r="C38" s="348">
        <f t="shared" si="1"/>
        <v>408.56018932092093</v>
      </c>
      <c r="D38" s="146">
        <f>'1.1 Crime Index '!C38</f>
        <v>26069</v>
      </c>
      <c r="E38" s="417">
        <v>6380.7</v>
      </c>
    </row>
    <row r="39" spans="1:5" ht="12.95" customHeight="1" x14ac:dyDescent="0.25">
      <c r="A39" s="103" t="s">
        <v>100</v>
      </c>
      <c r="B39" s="147">
        <v>2018</v>
      </c>
      <c r="C39" s="348">
        <f t="shared" si="1"/>
        <v>330.81081081081084</v>
      </c>
      <c r="D39" s="146">
        <f>'1.1 Crime Index '!C39</f>
        <v>21420</v>
      </c>
      <c r="E39" s="417">
        <v>6475</v>
      </c>
    </row>
    <row r="40" spans="1:5" ht="12.95" customHeight="1" x14ac:dyDescent="0.25">
      <c r="A40" s="103" t="s">
        <v>100</v>
      </c>
      <c r="B40" s="147">
        <v>2019</v>
      </c>
      <c r="C40" s="348">
        <f t="shared" si="1"/>
        <v>304.32978281920043</v>
      </c>
      <c r="D40" s="146">
        <f>'1.1 Crime Index '!C40</f>
        <v>19800</v>
      </c>
      <c r="E40" s="417">
        <v>6506.1</v>
      </c>
    </row>
    <row r="41" spans="1:5" ht="12.95" customHeight="1" x14ac:dyDescent="0.25">
      <c r="A41" s="103" t="s">
        <v>116</v>
      </c>
      <c r="B41" s="147">
        <v>2017</v>
      </c>
      <c r="C41" s="348">
        <f t="shared" si="1"/>
        <v>186.83774834437085</v>
      </c>
      <c r="D41" s="146">
        <f>'1.1 Crime Index '!C41</f>
        <v>2257</v>
      </c>
      <c r="E41" s="417">
        <v>1208</v>
      </c>
    </row>
    <row r="42" spans="1:5" ht="12.95" customHeight="1" x14ac:dyDescent="0.25">
      <c r="A42" s="103" t="s">
        <v>116</v>
      </c>
      <c r="B42" s="147">
        <v>2018</v>
      </c>
      <c r="C42" s="348">
        <f t="shared" si="1"/>
        <v>148.41651062444029</v>
      </c>
      <c r="D42" s="146">
        <f>'1.1 Crime Index '!C42</f>
        <v>1823</v>
      </c>
      <c r="E42" s="417">
        <v>1228.3</v>
      </c>
    </row>
    <row r="43" spans="1:5" ht="12.95" customHeight="1" x14ac:dyDescent="0.25">
      <c r="A43" s="103" t="s">
        <v>116</v>
      </c>
      <c r="B43" s="147">
        <v>2019</v>
      </c>
      <c r="C43" s="348">
        <f t="shared" si="1"/>
        <v>150.26114905584572</v>
      </c>
      <c r="D43" s="146">
        <f>'1.1 Crime Index '!C43</f>
        <v>1870</v>
      </c>
      <c r="E43" s="417">
        <v>1244.5</v>
      </c>
    </row>
    <row r="44" spans="1:5" ht="12.95" customHeight="1" x14ac:dyDescent="0.2">
      <c r="A44" s="103" t="s">
        <v>262</v>
      </c>
      <c r="B44" s="147">
        <v>2017</v>
      </c>
      <c r="C44" s="348">
        <f t="shared" si="1"/>
        <v>716.86074334024568</v>
      </c>
      <c r="D44" s="146">
        <f>'1.1 Crime Index '!C44</f>
        <v>13482</v>
      </c>
      <c r="E44" s="358">
        <v>1880.7</v>
      </c>
    </row>
    <row r="45" spans="1:5" ht="12.95" customHeight="1" x14ac:dyDescent="0.2">
      <c r="A45" s="103" t="s">
        <v>262</v>
      </c>
      <c r="B45" s="141">
        <v>2018</v>
      </c>
      <c r="C45" s="348">
        <f t="shared" si="1"/>
        <v>642.59220008478167</v>
      </c>
      <c r="D45" s="146">
        <f>'1.1 Crime Index '!C45</f>
        <v>12127</v>
      </c>
      <c r="E45" s="358">
        <v>1887.2</v>
      </c>
    </row>
    <row r="46" spans="1:5" ht="12.95" customHeight="1" x14ac:dyDescent="0.2">
      <c r="A46" s="103" t="s">
        <v>262</v>
      </c>
      <c r="B46" s="147">
        <v>2019</v>
      </c>
      <c r="C46" s="348">
        <f t="shared" si="1"/>
        <v>592.30198282260631</v>
      </c>
      <c r="D46" s="146">
        <f>'1.1 Crime Index '!C46</f>
        <v>11172</v>
      </c>
      <c r="E46" s="358">
        <v>1886.2</v>
      </c>
    </row>
  </sheetData>
  <printOptions horizontalCentered="1"/>
  <pageMargins left="0.39370078740157483" right="0.39370078740157483" top="0.59055118110236227" bottom="0.59055118110236227" header="0.31496062992125984" footer="0.31496062992125984"/>
  <pageSetup paperSize="9" scale="88" fitToWidth="0" orientation="portrait" r:id="rId1"/>
  <headerFooter>
    <oddHeader xml:space="preserve">&amp;R&amp;"-,Bold"
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64"/>
  <sheetViews>
    <sheetView showGridLines="0" topLeftCell="A6" zoomScale="90" zoomScaleNormal="90" zoomScaleSheetLayoutView="100" workbookViewId="0">
      <selection activeCell="AA22" sqref="AA22"/>
    </sheetView>
  </sheetViews>
  <sheetFormatPr defaultRowHeight="15" x14ac:dyDescent="0.25"/>
  <cols>
    <col min="1" max="1" width="1.85546875" style="2" customWidth="1"/>
    <col min="2" max="2" width="10" style="3" customWidth="1"/>
    <col min="3" max="3" width="14.42578125" style="3" customWidth="1"/>
    <col min="4" max="4" width="7.42578125" style="3" customWidth="1"/>
    <col min="5" max="5" width="10.7109375" style="21" customWidth="1"/>
    <col min="6" max="8" width="10.7109375" style="22" customWidth="1"/>
    <col min="9" max="9" width="14.85546875" style="22" customWidth="1"/>
    <col min="10" max="10" width="1.7109375" style="22" customWidth="1"/>
    <col min="11" max="11" width="10.7109375" style="22" customWidth="1"/>
    <col min="12" max="12" width="14.85546875" style="22" customWidth="1"/>
    <col min="13" max="13" width="14.42578125" style="5" customWidth="1"/>
    <col min="14" max="14" width="0.85546875" style="2" customWidth="1"/>
    <col min="15" max="16384" width="9.140625" style="2"/>
  </cols>
  <sheetData>
    <row r="1" spans="1:14" ht="9.9499999999999993" customHeight="1" x14ac:dyDescent="0.25">
      <c r="B1" s="3" t="s">
        <v>196</v>
      </c>
    </row>
    <row r="2" spans="1:14" s="30" customFormat="1" ht="12.95" customHeight="1" x14ac:dyDescent="0.25">
      <c r="B2" s="27"/>
      <c r="C2" s="27"/>
      <c r="D2" s="29"/>
      <c r="E2" s="28"/>
      <c r="F2" s="29"/>
      <c r="M2" s="160" t="s">
        <v>179</v>
      </c>
      <c r="N2" s="29"/>
    </row>
    <row r="3" spans="1:14" s="30" customFormat="1" ht="12.95" customHeight="1" x14ac:dyDescent="0.25">
      <c r="B3" s="27"/>
      <c r="C3" s="27"/>
      <c r="D3" s="29"/>
      <c r="E3" s="28"/>
      <c r="F3" s="29"/>
      <c r="M3" s="68" t="s">
        <v>180</v>
      </c>
      <c r="N3" s="29"/>
    </row>
    <row r="4" spans="1:14" s="30" customFormat="1" ht="12" customHeight="1" x14ac:dyDescent="0.25">
      <c r="B4" s="27"/>
      <c r="C4" s="27"/>
      <c r="D4" s="29"/>
      <c r="E4" s="28"/>
      <c r="F4" s="29"/>
      <c r="G4" s="68"/>
      <c r="N4" s="29"/>
    </row>
    <row r="5" spans="1:14" s="30" customFormat="1" ht="12" customHeight="1" x14ac:dyDescent="0.25">
      <c r="B5" s="27"/>
      <c r="C5" s="27"/>
      <c r="D5" s="29"/>
      <c r="E5" s="28"/>
      <c r="F5" s="29"/>
      <c r="G5" s="68"/>
      <c r="N5" s="29"/>
    </row>
    <row r="6" spans="1:14" s="53" customFormat="1" ht="9.75" customHeight="1" x14ac:dyDescent="0.2">
      <c r="B6" s="115"/>
      <c r="C6" s="115"/>
      <c r="D6" s="189"/>
      <c r="E6" s="190"/>
      <c r="F6" s="189"/>
      <c r="G6" s="189"/>
      <c r="H6" s="191"/>
      <c r="I6" s="191"/>
      <c r="J6" s="191"/>
      <c r="K6" s="191"/>
      <c r="L6" s="191"/>
      <c r="M6" s="189"/>
      <c r="N6" s="114"/>
    </row>
    <row r="7" spans="1:14" s="53" customFormat="1" ht="15" customHeight="1" x14ac:dyDescent="0.2">
      <c r="B7" s="63" t="s">
        <v>186</v>
      </c>
      <c r="C7" s="64" t="s">
        <v>239</v>
      </c>
      <c r="D7" s="115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4" s="65" customFormat="1" ht="15" customHeight="1" x14ac:dyDescent="0.2">
      <c r="B8" s="66" t="s">
        <v>187</v>
      </c>
      <c r="C8" s="364" t="s">
        <v>240</v>
      </c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4" s="53" customFormat="1" ht="9.9499999999999993" customHeight="1" thickBot="1" x14ac:dyDescent="0.25">
      <c r="B9" s="115"/>
      <c r="C9" s="115"/>
      <c r="D9" s="115"/>
      <c r="E9" s="63"/>
      <c r="F9" s="114"/>
      <c r="G9" s="114"/>
      <c r="H9" s="114"/>
      <c r="I9" s="114"/>
      <c r="J9" s="114"/>
      <c r="K9" s="114"/>
      <c r="L9" s="114"/>
      <c r="M9" s="189"/>
    </row>
    <row r="10" spans="1:14" s="53" customFormat="1" ht="9.9499999999999993" customHeight="1" thickTop="1" x14ac:dyDescent="0.2">
      <c r="A10" s="378"/>
      <c r="B10" s="388"/>
      <c r="C10" s="388"/>
      <c r="D10" s="389"/>
      <c r="E10" s="374"/>
      <c r="F10" s="375"/>
      <c r="G10" s="375"/>
      <c r="H10" s="376"/>
      <c r="I10" s="375"/>
      <c r="J10" s="375"/>
      <c r="K10" s="375"/>
      <c r="L10" s="375"/>
      <c r="M10" s="377"/>
      <c r="N10" s="378"/>
    </row>
    <row r="11" spans="1:14" s="53" customFormat="1" ht="27.75" customHeight="1" x14ac:dyDescent="0.2">
      <c r="A11" s="390"/>
      <c r="B11" s="432" t="s">
        <v>210</v>
      </c>
      <c r="C11" s="432"/>
      <c r="D11" s="379" t="s">
        <v>222</v>
      </c>
      <c r="E11" s="379" t="s">
        <v>220</v>
      </c>
      <c r="F11" s="379" t="s">
        <v>219</v>
      </c>
      <c r="G11" s="379" t="s">
        <v>218</v>
      </c>
      <c r="H11" s="433" t="s">
        <v>234</v>
      </c>
      <c r="I11" s="433"/>
      <c r="J11" s="380"/>
      <c r="K11" s="433" t="s">
        <v>221</v>
      </c>
      <c r="L11" s="433"/>
      <c r="M11" s="379" t="s">
        <v>217</v>
      </c>
      <c r="N11" s="381"/>
    </row>
    <row r="12" spans="1:14" s="53" customFormat="1" ht="30" customHeight="1" x14ac:dyDescent="0.2">
      <c r="A12" s="390"/>
      <c r="B12" s="434" t="s">
        <v>211</v>
      </c>
      <c r="C12" s="434"/>
      <c r="D12" s="382" t="s">
        <v>212</v>
      </c>
      <c r="E12" s="382" t="s">
        <v>213</v>
      </c>
      <c r="F12" s="382" t="s">
        <v>214</v>
      </c>
      <c r="G12" s="382" t="s">
        <v>215</v>
      </c>
      <c r="H12" s="383" t="s">
        <v>225</v>
      </c>
      <c r="I12" s="383" t="s">
        <v>226</v>
      </c>
      <c r="J12" s="383"/>
      <c r="K12" s="383" t="s">
        <v>225</v>
      </c>
      <c r="L12" s="383" t="s">
        <v>226</v>
      </c>
      <c r="M12" s="384" t="s">
        <v>216</v>
      </c>
      <c r="N12" s="385"/>
    </row>
    <row r="13" spans="1:14" s="53" customFormat="1" ht="30" customHeight="1" x14ac:dyDescent="0.2">
      <c r="A13" s="391"/>
      <c r="B13" s="392"/>
      <c r="C13" s="392"/>
      <c r="D13" s="386"/>
      <c r="E13" s="386"/>
      <c r="F13" s="386"/>
      <c r="G13" s="386"/>
      <c r="H13" s="387" t="s">
        <v>223</v>
      </c>
      <c r="I13" s="387" t="s">
        <v>224</v>
      </c>
      <c r="J13" s="387"/>
      <c r="K13" s="387" t="s">
        <v>223</v>
      </c>
      <c r="L13" s="387" t="s">
        <v>224</v>
      </c>
      <c r="M13" s="370"/>
      <c r="N13" s="373"/>
    </row>
    <row r="14" spans="1:14" s="53" customFormat="1" ht="8.1" customHeight="1" x14ac:dyDescent="0.2">
      <c r="A14" s="116"/>
      <c r="B14" s="180"/>
      <c r="C14" s="180"/>
      <c r="D14" s="90"/>
      <c r="E14" s="90"/>
      <c r="F14" s="192"/>
      <c r="G14" s="192"/>
      <c r="H14" s="192"/>
      <c r="I14" s="192"/>
      <c r="J14" s="192"/>
      <c r="K14" s="192"/>
      <c r="L14" s="192"/>
      <c r="M14" s="192"/>
      <c r="N14" s="86"/>
    </row>
    <row r="15" spans="1:14" s="116" customFormat="1" ht="20.100000000000001" customHeight="1" x14ac:dyDescent="0.2">
      <c r="B15" s="124" t="s">
        <v>97</v>
      </c>
      <c r="C15" s="124"/>
      <c r="D15" s="62">
        <v>2017</v>
      </c>
      <c r="E15" s="145">
        <f>SUM(F15:M15)</f>
        <v>996</v>
      </c>
      <c r="F15" s="145">
        <f t="shared" ref="F15:I17" si="0">SUM(F19,F23,F27,F31,F35,F39,F43,F47,F51,F55,F59)</f>
        <v>21</v>
      </c>
      <c r="G15" s="145">
        <f t="shared" si="0"/>
        <v>119</v>
      </c>
      <c r="H15" s="145">
        <f t="shared" si="0"/>
        <v>2</v>
      </c>
      <c r="I15" s="145">
        <f t="shared" si="0"/>
        <v>333</v>
      </c>
      <c r="J15" s="145"/>
      <c r="K15" s="137" t="s">
        <v>51</v>
      </c>
      <c r="L15" s="145">
        <f t="shared" ref="L15:M17" si="1">SUM(L19,L23,L27,L31,L35,L39,L43,L47,L51,L55,L59)</f>
        <v>157</v>
      </c>
      <c r="M15" s="145">
        <f t="shared" si="1"/>
        <v>364</v>
      </c>
    </row>
    <row r="16" spans="1:14" s="116" customFormat="1" ht="20.100000000000001" customHeight="1" x14ac:dyDescent="0.2">
      <c r="B16" s="124"/>
      <c r="C16" s="124"/>
      <c r="D16" s="62">
        <v>2018</v>
      </c>
      <c r="E16" s="145">
        <f>SUM(F16:M16)</f>
        <v>989</v>
      </c>
      <c r="F16" s="145">
        <f t="shared" si="0"/>
        <v>9</v>
      </c>
      <c r="G16" s="145">
        <f t="shared" si="0"/>
        <v>119</v>
      </c>
      <c r="H16" s="145">
        <f t="shared" si="0"/>
        <v>2</v>
      </c>
      <c r="I16" s="145">
        <f t="shared" si="0"/>
        <v>353</v>
      </c>
      <c r="J16" s="145"/>
      <c r="K16" s="137" t="s">
        <v>51</v>
      </c>
      <c r="L16" s="145">
        <f t="shared" si="1"/>
        <v>169</v>
      </c>
      <c r="M16" s="145">
        <f t="shared" si="1"/>
        <v>337</v>
      </c>
    </row>
    <row r="17" spans="2:13" s="116" customFormat="1" ht="20.100000000000001" customHeight="1" x14ac:dyDescent="0.2">
      <c r="B17" s="124"/>
      <c r="C17" s="124"/>
      <c r="D17" s="62">
        <v>2019</v>
      </c>
      <c r="E17" s="145">
        <f>SUM(F17:M17)</f>
        <v>937</v>
      </c>
      <c r="F17" s="145">
        <f t="shared" si="0"/>
        <v>20</v>
      </c>
      <c r="G17" s="145">
        <f t="shared" si="0"/>
        <v>145</v>
      </c>
      <c r="H17" s="145">
        <f t="shared" si="0"/>
        <v>2</v>
      </c>
      <c r="I17" s="145">
        <f t="shared" si="0"/>
        <v>278</v>
      </c>
      <c r="J17" s="145"/>
      <c r="K17" s="145">
        <f>SUM(K21,K25,K29,K33,K37,K41,K45,K49,K53,K57,K61)</f>
        <v>2</v>
      </c>
      <c r="L17" s="145">
        <f t="shared" si="1"/>
        <v>162</v>
      </c>
      <c r="M17" s="145">
        <f t="shared" si="1"/>
        <v>328</v>
      </c>
    </row>
    <row r="18" spans="2:13" s="116" customFormat="1" ht="8.1" customHeight="1" x14ac:dyDescent="0.2">
      <c r="B18" s="124"/>
      <c r="C18" s="124"/>
      <c r="D18" s="62"/>
      <c r="E18" s="145"/>
      <c r="F18" s="145"/>
      <c r="G18" s="145"/>
      <c r="H18" s="145"/>
      <c r="I18" s="145"/>
      <c r="J18" s="145"/>
      <c r="K18" s="145"/>
      <c r="L18" s="145"/>
      <c r="M18" s="145"/>
    </row>
    <row r="19" spans="2:13" s="116" customFormat="1" ht="20.100000000000001" customHeight="1" x14ac:dyDescent="0.2">
      <c r="B19" s="82" t="s">
        <v>57</v>
      </c>
      <c r="C19" s="82"/>
      <c r="D19" s="141">
        <v>2017</v>
      </c>
      <c r="E19" s="146">
        <f>SUM(F19:M19)</f>
        <v>65</v>
      </c>
      <c r="F19" s="146" t="s">
        <v>51</v>
      </c>
      <c r="G19" s="146">
        <v>11</v>
      </c>
      <c r="H19" s="144" t="s">
        <v>51</v>
      </c>
      <c r="I19" s="146">
        <v>17</v>
      </c>
      <c r="J19" s="146"/>
      <c r="K19" s="144" t="s">
        <v>51</v>
      </c>
      <c r="L19" s="146">
        <v>8</v>
      </c>
      <c r="M19" s="146">
        <v>29</v>
      </c>
    </row>
    <row r="20" spans="2:13" s="116" customFormat="1" ht="20.100000000000001" customHeight="1" x14ac:dyDescent="0.2">
      <c r="B20" s="82"/>
      <c r="C20" s="82"/>
      <c r="D20" s="141">
        <v>2018</v>
      </c>
      <c r="E20" s="146">
        <f>SUM(F20:M20)</f>
        <v>55</v>
      </c>
      <c r="F20" s="144" t="s">
        <v>51</v>
      </c>
      <c r="G20" s="146">
        <v>5</v>
      </c>
      <c r="H20" s="144" t="s">
        <v>51</v>
      </c>
      <c r="I20" s="146">
        <v>15</v>
      </c>
      <c r="J20" s="146"/>
      <c r="K20" s="144" t="s">
        <v>51</v>
      </c>
      <c r="L20" s="146">
        <v>9</v>
      </c>
      <c r="M20" s="146">
        <v>26</v>
      </c>
    </row>
    <row r="21" spans="2:13" s="116" customFormat="1" ht="20.100000000000001" customHeight="1" x14ac:dyDescent="0.2">
      <c r="B21" s="82"/>
      <c r="C21" s="82"/>
      <c r="D21" s="141">
        <v>2019</v>
      </c>
      <c r="E21" s="146">
        <f>SUM(F21:M21)</f>
        <v>36</v>
      </c>
      <c r="F21" s="144">
        <v>1</v>
      </c>
      <c r="G21" s="146">
        <v>7</v>
      </c>
      <c r="H21" s="144" t="s">
        <v>51</v>
      </c>
      <c r="I21" s="144">
        <v>6</v>
      </c>
      <c r="J21" s="146"/>
      <c r="K21" s="144" t="s">
        <v>51</v>
      </c>
      <c r="L21" s="144">
        <v>2</v>
      </c>
      <c r="M21" s="146">
        <v>20</v>
      </c>
    </row>
    <row r="22" spans="2:13" s="116" customFormat="1" ht="8.1" customHeight="1" x14ac:dyDescent="0.2">
      <c r="B22" s="82"/>
      <c r="C22" s="82"/>
      <c r="D22" s="141"/>
      <c r="E22" s="144"/>
      <c r="F22" s="144"/>
      <c r="G22" s="144"/>
      <c r="H22" s="144"/>
      <c r="I22" s="144"/>
      <c r="J22" s="144"/>
      <c r="K22" s="144"/>
      <c r="L22" s="144"/>
      <c r="M22" s="144"/>
    </row>
    <row r="23" spans="2:13" s="116" customFormat="1" ht="20.100000000000001" customHeight="1" x14ac:dyDescent="0.2">
      <c r="B23" s="82" t="s">
        <v>58</v>
      </c>
      <c r="C23" s="82"/>
      <c r="D23" s="141">
        <v>2017</v>
      </c>
      <c r="E23" s="144">
        <f>SUM(F23:M23)</f>
        <v>11</v>
      </c>
      <c r="F23" s="144" t="s">
        <v>51</v>
      </c>
      <c r="G23" s="144">
        <v>1</v>
      </c>
      <c r="H23" s="144" t="s">
        <v>51</v>
      </c>
      <c r="I23" s="144">
        <v>7</v>
      </c>
      <c r="J23" s="144"/>
      <c r="K23" s="144" t="s">
        <v>51</v>
      </c>
      <c r="L23" s="144">
        <v>1</v>
      </c>
      <c r="M23" s="144">
        <v>2</v>
      </c>
    </row>
    <row r="24" spans="2:13" s="116" customFormat="1" ht="20.100000000000001" customHeight="1" x14ac:dyDescent="0.2">
      <c r="B24" s="82"/>
      <c r="C24" s="82"/>
      <c r="D24" s="141">
        <v>2018</v>
      </c>
      <c r="E24" s="144">
        <f>SUM(F24:M24)</f>
        <v>15</v>
      </c>
      <c r="F24" s="144" t="s">
        <v>51</v>
      </c>
      <c r="G24" s="144">
        <v>3</v>
      </c>
      <c r="H24" s="144" t="s">
        <v>51</v>
      </c>
      <c r="I24" s="144">
        <v>5</v>
      </c>
      <c r="J24" s="144"/>
      <c r="K24" s="144" t="s">
        <v>51</v>
      </c>
      <c r="L24" s="144">
        <v>4</v>
      </c>
      <c r="M24" s="144">
        <v>3</v>
      </c>
    </row>
    <row r="25" spans="2:13" s="116" customFormat="1" ht="20.100000000000001" customHeight="1" x14ac:dyDescent="0.2">
      <c r="B25" s="82"/>
      <c r="C25" s="82"/>
      <c r="D25" s="141">
        <v>2019</v>
      </c>
      <c r="E25" s="146">
        <f>SUM(F25:M25)</f>
        <v>14</v>
      </c>
      <c r="F25" s="144">
        <v>1</v>
      </c>
      <c r="G25" s="144" t="s">
        <v>51</v>
      </c>
      <c r="H25" s="144" t="s">
        <v>51</v>
      </c>
      <c r="I25" s="144">
        <v>7</v>
      </c>
      <c r="J25" s="144"/>
      <c r="K25" s="144" t="s">
        <v>51</v>
      </c>
      <c r="L25" s="144">
        <v>3</v>
      </c>
      <c r="M25" s="144">
        <v>3</v>
      </c>
    </row>
    <row r="26" spans="2:13" s="116" customFormat="1" ht="8.1" customHeight="1" x14ac:dyDescent="0.2">
      <c r="B26" s="82"/>
      <c r="C26" s="82"/>
      <c r="D26" s="141"/>
      <c r="E26" s="146"/>
      <c r="F26" s="146"/>
      <c r="G26" s="146"/>
      <c r="H26" s="144"/>
      <c r="I26" s="146"/>
      <c r="J26" s="146"/>
      <c r="K26" s="144"/>
      <c r="L26" s="146"/>
      <c r="M26" s="146"/>
    </row>
    <row r="27" spans="2:13" s="116" customFormat="1" ht="20.100000000000001" customHeight="1" x14ac:dyDescent="0.2">
      <c r="B27" s="82" t="s">
        <v>59</v>
      </c>
      <c r="C27" s="82"/>
      <c r="D27" s="141">
        <v>2017</v>
      </c>
      <c r="E27" s="146">
        <f>SUM(F27:M27)</f>
        <v>165</v>
      </c>
      <c r="F27" s="146">
        <v>3</v>
      </c>
      <c r="G27" s="146">
        <v>22</v>
      </c>
      <c r="H27" s="144" t="s">
        <v>51</v>
      </c>
      <c r="I27" s="146">
        <v>42</v>
      </c>
      <c r="J27" s="146"/>
      <c r="K27" s="144" t="s">
        <v>51</v>
      </c>
      <c r="L27" s="146">
        <v>30</v>
      </c>
      <c r="M27" s="146">
        <v>68</v>
      </c>
    </row>
    <row r="28" spans="2:13" s="116" customFormat="1" ht="20.100000000000001" customHeight="1" x14ac:dyDescent="0.2">
      <c r="B28" s="82"/>
      <c r="C28" s="82"/>
      <c r="D28" s="141">
        <v>2018</v>
      </c>
      <c r="E28" s="146">
        <f>SUM(F28:M28)</f>
        <v>196</v>
      </c>
      <c r="F28" s="146">
        <v>1</v>
      </c>
      <c r="G28" s="146">
        <v>20</v>
      </c>
      <c r="H28" s="144" t="s">
        <v>51</v>
      </c>
      <c r="I28" s="146">
        <v>83</v>
      </c>
      <c r="J28" s="146"/>
      <c r="K28" s="144" t="s">
        <v>51</v>
      </c>
      <c r="L28" s="146">
        <v>28</v>
      </c>
      <c r="M28" s="146">
        <v>64</v>
      </c>
    </row>
    <row r="29" spans="2:13" s="116" customFormat="1" ht="20.100000000000001" customHeight="1" x14ac:dyDescent="0.2">
      <c r="B29" s="82"/>
      <c r="C29" s="82"/>
      <c r="D29" s="141">
        <v>2019</v>
      </c>
      <c r="E29" s="146">
        <f>SUM(F29:M29)</f>
        <v>181</v>
      </c>
      <c r="F29" s="146">
        <v>2</v>
      </c>
      <c r="G29" s="146">
        <v>28</v>
      </c>
      <c r="H29" s="144" t="s">
        <v>51</v>
      </c>
      <c r="I29" s="144">
        <v>45</v>
      </c>
      <c r="J29" s="146"/>
      <c r="K29" s="144">
        <v>1</v>
      </c>
      <c r="L29" s="144">
        <v>35</v>
      </c>
      <c r="M29" s="146">
        <v>70</v>
      </c>
    </row>
    <row r="30" spans="2:13" s="116" customFormat="1" ht="8.1" customHeight="1" x14ac:dyDescent="0.2">
      <c r="B30" s="82"/>
      <c r="C30" s="82"/>
      <c r="D30" s="141"/>
      <c r="E30" s="144"/>
      <c r="F30" s="144"/>
      <c r="G30" s="144"/>
      <c r="H30" s="144"/>
      <c r="I30" s="144"/>
      <c r="J30" s="144"/>
      <c r="K30" s="144"/>
      <c r="L30" s="144"/>
      <c r="M30" s="144"/>
    </row>
    <row r="31" spans="2:13" s="116" customFormat="1" ht="20.100000000000001" customHeight="1" x14ac:dyDescent="0.2">
      <c r="B31" s="82" t="s">
        <v>60</v>
      </c>
      <c r="C31" s="82"/>
      <c r="D31" s="141">
        <v>2017</v>
      </c>
      <c r="E31" s="144">
        <f>SUM(F31:M31)</f>
        <v>372</v>
      </c>
      <c r="F31" s="144">
        <v>7</v>
      </c>
      <c r="G31" s="144">
        <v>32</v>
      </c>
      <c r="H31" s="144">
        <v>1</v>
      </c>
      <c r="I31" s="144">
        <v>140</v>
      </c>
      <c r="J31" s="144"/>
      <c r="K31" s="144" t="s">
        <v>51</v>
      </c>
      <c r="L31" s="144">
        <v>65</v>
      </c>
      <c r="M31" s="144">
        <v>127</v>
      </c>
    </row>
    <row r="32" spans="2:13" s="116" customFormat="1" ht="20.100000000000001" customHeight="1" x14ac:dyDescent="0.2">
      <c r="B32" s="82"/>
      <c r="C32" s="82"/>
      <c r="D32" s="141">
        <v>2018</v>
      </c>
      <c r="E32" s="144">
        <f>SUM(F32:M32)</f>
        <v>371</v>
      </c>
      <c r="F32" s="144">
        <v>5</v>
      </c>
      <c r="G32" s="144">
        <v>32</v>
      </c>
      <c r="H32" s="144">
        <v>1</v>
      </c>
      <c r="I32" s="144">
        <v>141</v>
      </c>
      <c r="J32" s="144"/>
      <c r="K32" s="144" t="s">
        <v>51</v>
      </c>
      <c r="L32" s="144">
        <v>65</v>
      </c>
      <c r="M32" s="144">
        <v>127</v>
      </c>
    </row>
    <row r="33" spans="2:13" s="116" customFormat="1" ht="20.100000000000001" customHeight="1" x14ac:dyDescent="0.2">
      <c r="B33" s="82"/>
      <c r="C33" s="82"/>
      <c r="D33" s="141">
        <v>2019</v>
      </c>
      <c r="E33" s="146">
        <f>SUM(F33:M33)</f>
        <v>324</v>
      </c>
      <c r="F33" s="144">
        <v>3</v>
      </c>
      <c r="G33" s="144">
        <v>29</v>
      </c>
      <c r="H33" s="144">
        <v>1</v>
      </c>
      <c r="I33" s="144">
        <v>133</v>
      </c>
      <c r="J33" s="144"/>
      <c r="K33" s="144">
        <v>1</v>
      </c>
      <c r="L33" s="144">
        <v>60</v>
      </c>
      <c r="M33" s="144">
        <v>97</v>
      </c>
    </row>
    <row r="34" spans="2:13" s="116" customFormat="1" ht="8.1" customHeight="1" x14ac:dyDescent="0.2">
      <c r="B34" s="82"/>
      <c r="C34" s="82"/>
      <c r="D34" s="141"/>
      <c r="E34" s="146"/>
      <c r="F34" s="146"/>
      <c r="G34" s="146"/>
      <c r="H34" s="146"/>
      <c r="I34" s="146"/>
      <c r="J34" s="146"/>
      <c r="K34" s="144"/>
      <c r="L34" s="146"/>
      <c r="M34" s="146"/>
    </row>
    <row r="35" spans="2:13" s="116" customFormat="1" ht="20.100000000000001" customHeight="1" x14ac:dyDescent="0.2">
      <c r="B35" s="82" t="s">
        <v>61</v>
      </c>
      <c r="C35" s="82"/>
      <c r="D35" s="141">
        <v>2017</v>
      </c>
      <c r="E35" s="146">
        <f>SUM(F35:M35)</f>
        <v>92</v>
      </c>
      <c r="F35" s="146">
        <v>4</v>
      </c>
      <c r="G35" s="146">
        <v>6</v>
      </c>
      <c r="H35" s="146">
        <v>1</v>
      </c>
      <c r="I35" s="146">
        <v>32</v>
      </c>
      <c r="J35" s="146"/>
      <c r="K35" s="144" t="s">
        <v>51</v>
      </c>
      <c r="L35" s="146">
        <v>15</v>
      </c>
      <c r="M35" s="146">
        <v>34</v>
      </c>
    </row>
    <row r="36" spans="2:13" s="116" customFormat="1" ht="20.100000000000001" customHeight="1" x14ac:dyDescent="0.2">
      <c r="B36" s="82"/>
      <c r="C36" s="82"/>
      <c r="D36" s="141">
        <v>2018</v>
      </c>
      <c r="E36" s="146">
        <f>SUM(F36:M36)</f>
        <v>93</v>
      </c>
      <c r="F36" s="146" t="s">
        <v>51</v>
      </c>
      <c r="G36" s="146">
        <v>14</v>
      </c>
      <c r="H36" s="144" t="s">
        <v>51</v>
      </c>
      <c r="I36" s="146">
        <v>29</v>
      </c>
      <c r="J36" s="146"/>
      <c r="K36" s="144" t="s">
        <v>51</v>
      </c>
      <c r="L36" s="146">
        <v>13</v>
      </c>
      <c r="M36" s="146">
        <v>37</v>
      </c>
    </row>
    <row r="37" spans="2:13" s="116" customFormat="1" ht="20.100000000000001" customHeight="1" x14ac:dyDescent="0.2">
      <c r="B37" s="82"/>
      <c r="C37" s="82"/>
      <c r="D37" s="141">
        <v>2019</v>
      </c>
      <c r="E37" s="146">
        <f>SUM(F37:M37)</f>
        <v>96</v>
      </c>
      <c r="F37" s="146">
        <v>2</v>
      </c>
      <c r="G37" s="146">
        <v>14</v>
      </c>
      <c r="H37" s="144" t="s">
        <v>51</v>
      </c>
      <c r="I37" s="144">
        <v>27</v>
      </c>
      <c r="J37" s="146"/>
      <c r="K37" s="144" t="s">
        <v>51</v>
      </c>
      <c r="L37" s="144">
        <v>16</v>
      </c>
      <c r="M37" s="146">
        <v>37</v>
      </c>
    </row>
    <row r="38" spans="2:13" s="116" customFormat="1" ht="8.1" customHeight="1" x14ac:dyDescent="0.2">
      <c r="B38" s="82"/>
      <c r="C38" s="82"/>
      <c r="D38" s="141"/>
      <c r="E38" s="144"/>
      <c r="F38" s="144"/>
      <c r="G38" s="144"/>
      <c r="H38" s="144"/>
      <c r="I38" s="144"/>
      <c r="J38" s="144"/>
      <c r="K38" s="144"/>
      <c r="L38" s="144"/>
      <c r="M38" s="144"/>
    </row>
    <row r="39" spans="2:13" s="116" customFormat="1" ht="20.100000000000001" customHeight="1" x14ac:dyDescent="0.2">
      <c r="B39" s="82" t="s">
        <v>62</v>
      </c>
      <c r="C39" s="82"/>
      <c r="D39" s="141">
        <v>2017</v>
      </c>
      <c r="E39" s="144">
        <f>SUM(F39:M39)</f>
        <v>171</v>
      </c>
      <c r="F39" s="144">
        <v>3</v>
      </c>
      <c r="G39" s="144">
        <v>22</v>
      </c>
      <c r="H39" s="144" t="s">
        <v>51</v>
      </c>
      <c r="I39" s="144">
        <v>65</v>
      </c>
      <c r="J39" s="144"/>
      <c r="K39" s="144" t="s">
        <v>51</v>
      </c>
      <c r="L39" s="144">
        <v>19</v>
      </c>
      <c r="M39" s="144">
        <v>62</v>
      </c>
    </row>
    <row r="40" spans="2:13" s="116" customFormat="1" ht="20.100000000000001" customHeight="1" x14ac:dyDescent="0.2">
      <c r="B40" s="82"/>
      <c r="C40" s="82"/>
      <c r="D40" s="141">
        <v>2018</v>
      </c>
      <c r="E40" s="144">
        <f>SUM(F40:M40)</f>
        <v>131</v>
      </c>
      <c r="F40" s="144">
        <v>1</v>
      </c>
      <c r="G40" s="144">
        <v>17</v>
      </c>
      <c r="H40" s="144" t="s">
        <v>51</v>
      </c>
      <c r="I40" s="144">
        <v>49</v>
      </c>
      <c r="J40" s="144"/>
      <c r="K40" s="144" t="s">
        <v>51</v>
      </c>
      <c r="L40" s="144">
        <v>16</v>
      </c>
      <c r="M40" s="144">
        <v>48</v>
      </c>
    </row>
    <row r="41" spans="2:13" s="116" customFormat="1" ht="20.100000000000001" customHeight="1" x14ac:dyDescent="0.2">
      <c r="B41" s="82"/>
      <c r="C41" s="82"/>
      <c r="D41" s="141">
        <v>2019</v>
      </c>
      <c r="E41" s="146">
        <f>SUM(F41:M41)</f>
        <v>128</v>
      </c>
      <c r="F41" s="144">
        <v>5</v>
      </c>
      <c r="G41" s="144">
        <v>19</v>
      </c>
      <c r="H41" s="144" t="s">
        <v>51</v>
      </c>
      <c r="I41" s="144">
        <v>33</v>
      </c>
      <c r="J41" s="144"/>
      <c r="K41" s="144" t="s">
        <v>51</v>
      </c>
      <c r="L41" s="144">
        <v>26</v>
      </c>
      <c r="M41" s="144">
        <v>45</v>
      </c>
    </row>
    <row r="42" spans="2:13" s="116" customFormat="1" ht="8.1" customHeight="1" x14ac:dyDescent="0.2">
      <c r="B42" s="82"/>
      <c r="C42" s="82"/>
      <c r="D42" s="141"/>
      <c r="E42" s="146"/>
      <c r="F42" s="144"/>
      <c r="G42" s="146"/>
      <c r="H42" s="144"/>
      <c r="I42" s="146"/>
      <c r="J42" s="146"/>
      <c r="K42" s="146"/>
      <c r="L42" s="146"/>
      <c r="M42" s="146"/>
    </row>
    <row r="43" spans="2:13" s="116" customFormat="1" ht="20.100000000000001" customHeight="1" x14ac:dyDescent="0.2">
      <c r="B43" s="82" t="s">
        <v>63</v>
      </c>
      <c r="C43" s="82"/>
      <c r="D43" s="141">
        <v>2017</v>
      </c>
      <c r="E43" s="146">
        <f>SUM(F43:M43)</f>
        <v>42</v>
      </c>
      <c r="F43" s="146">
        <v>3</v>
      </c>
      <c r="G43" s="146">
        <v>6</v>
      </c>
      <c r="H43" s="144" t="s">
        <v>51</v>
      </c>
      <c r="I43" s="146">
        <v>8</v>
      </c>
      <c r="J43" s="146"/>
      <c r="K43" s="144" t="s">
        <v>51</v>
      </c>
      <c r="L43" s="146">
        <v>7</v>
      </c>
      <c r="M43" s="146">
        <v>18</v>
      </c>
    </row>
    <row r="44" spans="2:13" s="116" customFormat="1" ht="20.100000000000001" customHeight="1" x14ac:dyDescent="0.2">
      <c r="B44" s="82"/>
      <c r="C44" s="82"/>
      <c r="D44" s="141">
        <v>2018</v>
      </c>
      <c r="E44" s="146">
        <f>SUM(F44:M44)</f>
        <v>54</v>
      </c>
      <c r="F44" s="146">
        <v>2</v>
      </c>
      <c r="G44" s="146">
        <v>13</v>
      </c>
      <c r="H44" s="146">
        <v>1</v>
      </c>
      <c r="I44" s="146">
        <v>9</v>
      </c>
      <c r="J44" s="146"/>
      <c r="K44" s="144" t="s">
        <v>51</v>
      </c>
      <c r="L44" s="146">
        <v>13</v>
      </c>
      <c r="M44" s="146">
        <v>16</v>
      </c>
    </row>
    <row r="45" spans="2:13" s="116" customFormat="1" ht="20.100000000000001" customHeight="1" x14ac:dyDescent="0.2">
      <c r="B45" s="82"/>
      <c r="C45" s="82"/>
      <c r="D45" s="141">
        <v>2019</v>
      </c>
      <c r="E45" s="146">
        <f>SUM(F45:M45)</f>
        <v>72</v>
      </c>
      <c r="F45" s="146">
        <v>1</v>
      </c>
      <c r="G45" s="146">
        <v>28</v>
      </c>
      <c r="H45" s="144" t="s">
        <v>51</v>
      </c>
      <c r="I45" s="144">
        <v>4</v>
      </c>
      <c r="J45" s="146"/>
      <c r="K45" s="144" t="s">
        <v>51</v>
      </c>
      <c r="L45" s="144">
        <v>13</v>
      </c>
      <c r="M45" s="146">
        <v>26</v>
      </c>
    </row>
    <row r="46" spans="2:13" s="116" customFormat="1" ht="8.1" customHeight="1" x14ac:dyDescent="0.2">
      <c r="B46" s="82"/>
      <c r="C46" s="82"/>
      <c r="D46" s="141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2:13" s="116" customFormat="1" ht="20.100000000000001" customHeight="1" x14ac:dyDescent="0.2">
      <c r="B47" s="82" t="s">
        <v>64</v>
      </c>
      <c r="C47" s="82"/>
      <c r="D47" s="141">
        <v>2017</v>
      </c>
      <c r="E47" s="144">
        <f>SUM(F47:M47)</f>
        <v>21</v>
      </c>
      <c r="F47" s="144" t="s">
        <v>51</v>
      </c>
      <c r="G47" s="144">
        <v>7</v>
      </c>
      <c r="H47" s="144" t="s">
        <v>51</v>
      </c>
      <c r="I47" s="144">
        <v>6</v>
      </c>
      <c r="J47" s="144"/>
      <c r="K47" s="144" t="s">
        <v>51</v>
      </c>
      <c r="L47" s="144" t="s">
        <v>51</v>
      </c>
      <c r="M47" s="144">
        <v>8</v>
      </c>
    </row>
    <row r="48" spans="2:13" s="116" customFormat="1" ht="20.100000000000001" customHeight="1" x14ac:dyDescent="0.2">
      <c r="B48" s="82"/>
      <c r="C48" s="82"/>
      <c r="D48" s="141">
        <v>2018</v>
      </c>
      <c r="E48" s="144">
        <f>SUM(F48:M48)</f>
        <v>26</v>
      </c>
      <c r="F48" s="144" t="s">
        <v>51</v>
      </c>
      <c r="G48" s="144">
        <v>6</v>
      </c>
      <c r="H48" s="144" t="s">
        <v>51</v>
      </c>
      <c r="I48" s="144">
        <v>11</v>
      </c>
      <c r="J48" s="144"/>
      <c r="K48" s="144" t="s">
        <v>51</v>
      </c>
      <c r="L48" s="144">
        <v>3</v>
      </c>
      <c r="M48" s="144">
        <v>6</v>
      </c>
    </row>
    <row r="49" spans="1:14" s="116" customFormat="1" ht="20.100000000000001" customHeight="1" x14ac:dyDescent="0.2">
      <c r="B49" s="82"/>
      <c r="C49" s="82"/>
      <c r="D49" s="141">
        <v>2019</v>
      </c>
      <c r="E49" s="146">
        <f>SUM(F49:M49)</f>
        <v>28</v>
      </c>
      <c r="F49" s="144">
        <v>2</v>
      </c>
      <c r="G49" s="144">
        <v>6</v>
      </c>
      <c r="H49" s="144">
        <v>1</v>
      </c>
      <c r="I49" s="144">
        <v>4</v>
      </c>
      <c r="J49" s="144"/>
      <c r="K49" s="144" t="s">
        <v>51</v>
      </c>
      <c r="L49" s="144" t="s">
        <v>51</v>
      </c>
      <c r="M49" s="144">
        <v>15</v>
      </c>
    </row>
    <row r="50" spans="1:14" s="116" customFormat="1" ht="8.1" customHeight="1" x14ac:dyDescent="0.2">
      <c r="B50" s="82"/>
      <c r="C50" s="82"/>
      <c r="D50" s="141"/>
      <c r="E50" s="146"/>
      <c r="F50" s="146"/>
      <c r="G50" s="146"/>
      <c r="H50" s="144"/>
      <c r="I50" s="146"/>
      <c r="J50" s="146"/>
      <c r="K50" s="144"/>
      <c r="L50" s="146"/>
      <c r="M50" s="146"/>
    </row>
    <row r="51" spans="1:14" s="116" customFormat="1" ht="20.100000000000001" customHeight="1" x14ac:dyDescent="0.2">
      <c r="B51" s="82" t="s">
        <v>65</v>
      </c>
      <c r="C51" s="82"/>
      <c r="D51" s="141">
        <v>2017</v>
      </c>
      <c r="E51" s="146">
        <f>SUM(F51:M51)</f>
        <v>29</v>
      </c>
      <c r="F51" s="144">
        <v>1</v>
      </c>
      <c r="G51" s="146">
        <v>3</v>
      </c>
      <c r="H51" s="144" t="s">
        <v>51</v>
      </c>
      <c r="I51" s="146">
        <v>10</v>
      </c>
      <c r="J51" s="146"/>
      <c r="K51" s="144" t="s">
        <v>51</v>
      </c>
      <c r="L51" s="146">
        <v>6</v>
      </c>
      <c r="M51" s="146">
        <v>9</v>
      </c>
    </row>
    <row r="52" spans="1:14" s="116" customFormat="1" ht="20.100000000000001" customHeight="1" x14ac:dyDescent="0.2">
      <c r="B52" s="82"/>
      <c r="C52" s="82"/>
      <c r="D52" s="141">
        <v>2018</v>
      </c>
      <c r="E52" s="146">
        <f>SUM(F52:M52)</f>
        <v>29</v>
      </c>
      <c r="F52" s="146" t="s">
        <v>51</v>
      </c>
      <c r="G52" s="146">
        <v>6</v>
      </c>
      <c r="H52" s="144" t="s">
        <v>51</v>
      </c>
      <c r="I52" s="146">
        <v>6</v>
      </c>
      <c r="J52" s="146"/>
      <c r="K52" s="144" t="s">
        <v>51</v>
      </c>
      <c r="L52" s="146">
        <v>13</v>
      </c>
      <c r="M52" s="146">
        <v>4</v>
      </c>
    </row>
    <row r="53" spans="1:14" s="116" customFormat="1" ht="20.100000000000001" customHeight="1" x14ac:dyDescent="0.2">
      <c r="B53" s="82"/>
      <c r="C53" s="82"/>
      <c r="D53" s="141">
        <v>2019</v>
      </c>
      <c r="E53" s="146">
        <f>SUM(F53:M53)</f>
        <v>40</v>
      </c>
      <c r="F53" s="146">
        <v>1</v>
      </c>
      <c r="G53" s="146">
        <v>13</v>
      </c>
      <c r="H53" s="144" t="s">
        <v>51</v>
      </c>
      <c r="I53" s="144">
        <v>14</v>
      </c>
      <c r="J53" s="146"/>
      <c r="K53" s="144" t="s">
        <v>51</v>
      </c>
      <c r="L53" s="144">
        <v>4</v>
      </c>
      <c r="M53" s="146">
        <v>8</v>
      </c>
    </row>
    <row r="54" spans="1:14" s="116" customFormat="1" ht="8.1" customHeight="1" x14ac:dyDescent="0.2">
      <c r="B54" s="82"/>
      <c r="C54" s="82"/>
      <c r="D54" s="141"/>
      <c r="E54" s="144"/>
      <c r="F54" s="144"/>
      <c r="G54" s="144"/>
      <c r="H54" s="144"/>
      <c r="I54" s="144"/>
      <c r="J54" s="144"/>
      <c r="K54" s="144"/>
      <c r="L54" s="144"/>
      <c r="M54" s="144"/>
    </row>
    <row r="55" spans="1:14" s="53" customFormat="1" ht="20.100000000000001" customHeight="1" x14ac:dyDescent="0.2">
      <c r="B55" s="82" t="s">
        <v>66</v>
      </c>
      <c r="C55" s="82"/>
      <c r="D55" s="141">
        <v>2017</v>
      </c>
      <c r="E55" s="144">
        <f>SUM(F55:M55)</f>
        <v>11</v>
      </c>
      <c r="F55" s="144" t="s">
        <v>51</v>
      </c>
      <c r="G55" s="144">
        <v>1</v>
      </c>
      <c r="H55" s="144" t="s">
        <v>51</v>
      </c>
      <c r="I55" s="144">
        <v>3</v>
      </c>
      <c r="J55" s="144"/>
      <c r="K55" s="144" t="s">
        <v>51</v>
      </c>
      <c r="L55" s="144">
        <v>4</v>
      </c>
      <c r="M55" s="144">
        <v>3</v>
      </c>
    </row>
    <row r="56" spans="1:14" s="53" customFormat="1" ht="20.100000000000001" customHeight="1" x14ac:dyDescent="0.2">
      <c r="B56" s="82"/>
      <c r="C56" s="82"/>
      <c r="D56" s="141">
        <v>2018</v>
      </c>
      <c r="E56" s="144">
        <f>SUM(F56:M56)</f>
        <v>6</v>
      </c>
      <c r="F56" s="144" t="s">
        <v>51</v>
      </c>
      <c r="G56" s="144" t="s">
        <v>51</v>
      </c>
      <c r="H56" s="144" t="s">
        <v>51</v>
      </c>
      <c r="I56" s="144">
        <v>3</v>
      </c>
      <c r="J56" s="144"/>
      <c r="K56" s="144" t="s">
        <v>51</v>
      </c>
      <c r="L56" s="144">
        <v>1</v>
      </c>
      <c r="M56" s="144">
        <v>2</v>
      </c>
    </row>
    <row r="57" spans="1:14" s="53" customFormat="1" ht="20.100000000000001" customHeight="1" x14ac:dyDescent="0.2">
      <c r="B57" s="82"/>
      <c r="C57" s="82"/>
      <c r="D57" s="141">
        <v>2019</v>
      </c>
      <c r="E57" s="146">
        <f>SUM(F57:M57)</f>
        <v>5</v>
      </c>
      <c r="F57" s="144" t="s">
        <v>51</v>
      </c>
      <c r="G57" s="144">
        <v>1</v>
      </c>
      <c r="H57" s="144" t="s">
        <v>51</v>
      </c>
      <c r="I57" s="144">
        <v>3</v>
      </c>
      <c r="J57" s="144"/>
      <c r="K57" s="144" t="s">
        <v>51</v>
      </c>
      <c r="L57" s="144" t="s">
        <v>51</v>
      </c>
      <c r="M57" s="144">
        <v>1</v>
      </c>
    </row>
    <row r="58" spans="1:14" s="53" customFormat="1" ht="8.1" customHeight="1" x14ac:dyDescent="0.2">
      <c r="B58" s="82"/>
      <c r="C58" s="82"/>
      <c r="D58" s="141"/>
      <c r="E58" s="146"/>
      <c r="F58" s="146"/>
      <c r="G58" s="146"/>
      <c r="H58" s="144"/>
      <c r="I58" s="146"/>
      <c r="J58" s="146"/>
      <c r="K58" s="144"/>
      <c r="L58" s="146"/>
      <c r="M58" s="146"/>
    </row>
    <row r="59" spans="1:14" s="53" customFormat="1" ht="20.100000000000001" customHeight="1" x14ac:dyDescent="0.2">
      <c r="B59" s="82" t="s">
        <v>67</v>
      </c>
      <c r="C59" s="82"/>
      <c r="D59" s="141">
        <v>2017</v>
      </c>
      <c r="E59" s="146">
        <f>SUM(F59:M59)</f>
        <v>17</v>
      </c>
      <c r="F59" s="144" t="s">
        <v>51</v>
      </c>
      <c r="G59" s="146">
        <v>8</v>
      </c>
      <c r="H59" s="144" t="s">
        <v>51</v>
      </c>
      <c r="I59" s="146">
        <v>3</v>
      </c>
      <c r="J59" s="146"/>
      <c r="K59" s="144" t="s">
        <v>51</v>
      </c>
      <c r="L59" s="146">
        <v>2</v>
      </c>
      <c r="M59" s="146">
        <v>4</v>
      </c>
    </row>
    <row r="60" spans="1:14" s="53" customFormat="1" ht="20.100000000000001" customHeight="1" x14ac:dyDescent="0.2">
      <c r="B60" s="82"/>
      <c r="C60" s="82"/>
      <c r="D60" s="141">
        <v>2018</v>
      </c>
      <c r="E60" s="146">
        <f>SUM(F60:M60)</f>
        <v>13</v>
      </c>
      <c r="F60" s="144" t="s">
        <v>51</v>
      </c>
      <c r="G60" s="146">
        <v>3</v>
      </c>
      <c r="H60" s="144" t="s">
        <v>51</v>
      </c>
      <c r="I60" s="146">
        <v>2</v>
      </c>
      <c r="J60" s="146"/>
      <c r="K60" s="144" t="s">
        <v>51</v>
      </c>
      <c r="L60" s="146">
        <v>4</v>
      </c>
      <c r="M60" s="146">
        <v>4</v>
      </c>
    </row>
    <row r="61" spans="1:14" s="53" customFormat="1" ht="20.100000000000001" customHeight="1" x14ac:dyDescent="0.2">
      <c r="B61" s="82"/>
      <c r="C61" s="82"/>
      <c r="D61" s="141">
        <v>2019</v>
      </c>
      <c r="E61" s="146">
        <f>SUM(F61:M61)</f>
        <v>13</v>
      </c>
      <c r="F61" s="53">
        <v>2</v>
      </c>
      <c r="G61" s="407" t="s">
        <v>51</v>
      </c>
      <c r="H61" s="301" t="s">
        <v>51</v>
      </c>
      <c r="I61" s="114">
        <v>2</v>
      </c>
      <c r="J61" s="114"/>
      <c r="K61" s="301" t="s">
        <v>51</v>
      </c>
      <c r="L61" s="53">
        <v>3</v>
      </c>
      <c r="M61" s="53">
        <v>6</v>
      </c>
    </row>
    <row r="62" spans="1:14" s="53" customFormat="1" ht="8.1" customHeight="1" thickBot="1" x14ac:dyDescent="0.25">
      <c r="A62" s="195"/>
      <c r="B62" s="196"/>
      <c r="C62" s="196"/>
      <c r="D62" s="196"/>
      <c r="E62" s="197"/>
      <c r="F62" s="198"/>
      <c r="G62" s="198"/>
      <c r="H62" s="198"/>
      <c r="I62" s="198"/>
      <c r="J62" s="198"/>
      <c r="K62" s="198"/>
      <c r="L62" s="198"/>
      <c r="M62" s="199"/>
      <c r="N62" s="195"/>
    </row>
    <row r="63" spans="1:14" s="53" customFormat="1" ht="12.95" customHeight="1" x14ac:dyDescent="0.2">
      <c r="B63" s="115"/>
      <c r="C63" s="115"/>
      <c r="D63" s="115"/>
      <c r="E63" s="63"/>
      <c r="F63" s="114"/>
      <c r="G63" s="114"/>
      <c r="H63" s="114"/>
      <c r="I63" s="114"/>
      <c r="J63" s="114"/>
      <c r="K63" s="114"/>
      <c r="L63" s="114"/>
      <c r="M63" s="189"/>
      <c r="N63" s="8" t="s">
        <v>99</v>
      </c>
    </row>
    <row r="64" spans="1:14" s="53" customFormat="1" ht="12.95" customHeight="1" x14ac:dyDescent="0.2">
      <c r="B64" s="115"/>
      <c r="C64" s="115"/>
      <c r="D64" s="115"/>
      <c r="E64" s="63"/>
      <c r="F64" s="114"/>
      <c r="G64" s="114"/>
      <c r="H64" s="114"/>
      <c r="I64" s="114"/>
      <c r="J64" s="114"/>
      <c r="K64" s="114"/>
      <c r="L64" s="114"/>
      <c r="M64" s="189"/>
      <c r="N64" s="41" t="s">
        <v>1</v>
      </c>
    </row>
  </sheetData>
  <mergeCells count="4">
    <mergeCell ref="B11:C11"/>
    <mergeCell ref="H11:I11"/>
    <mergeCell ref="K11:L11"/>
    <mergeCell ref="B12:C12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70" fitToWidth="0" orientation="portrait" r:id="rId1"/>
  <headerFooter>
    <oddHeader xml:space="preserve">&amp;R&amp;"-,Bold"
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63"/>
  <sheetViews>
    <sheetView showGridLines="0" topLeftCell="B10" zoomScaleNormal="100" zoomScaleSheetLayoutView="100" workbookViewId="0">
      <selection activeCell="AA22" sqref="AA22"/>
    </sheetView>
  </sheetViews>
  <sheetFormatPr defaultRowHeight="15" x14ac:dyDescent="0.25"/>
  <cols>
    <col min="1" max="1" width="1.42578125" style="2" customWidth="1"/>
    <col min="2" max="2" width="10" style="3" customWidth="1"/>
    <col min="3" max="3" width="14.42578125" style="3" customWidth="1"/>
    <col min="4" max="4" width="7.42578125" style="3" customWidth="1"/>
    <col min="5" max="5" width="10.7109375" style="21" customWidth="1"/>
    <col min="6" max="8" width="10.7109375" style="22" customWidth="1"/>
    <col min="9" max="9" width="14.85546875" style="22" customWidth="1"/>
    <col min="10" max="10" width="1.7109375" style="22" customWidth="1"/>
    <col min="11" max="11" width="10.7109375" style="22" customWidth="1"/>
    <col min="12" max="12" width="14.85546875" style="22" customWidth="1"/>
    <col min="13" max="13" width="14.42578125" style="5" customWidth="1"/>
    <col min="14" max="14" width="0.85546875" style="2" customWidth="1"/>
    <col min="15" max="16384" width="9.140625" style="2"/>
  </cols>
  <sheetData>
    <row r="1" spans="1:15" ht="9.9499999999999993" customHeight="1" x14ac:dyDescent="0.25">
      <c r="B1" s="3" t="s">
        <v>196</v>
      </c>
    </row>
    <row r="2" spans="1:15" s="30" customFormat="1" ht="12.95" customHeight="1" x14ac:dyDescent="0.25">
      <c r="B2" s="27"/>
      <c r="C2" s="27"/>
      <c r="D2" s="29"/>
      <c r="E2" s="28"/>
      <c r="F2" s="29"/>
      <c r="M2" s="160" t="s">
        <v>179</v>
      </c>
      <c r="N2" s="29"/>
    </row>
    <row r="3" spans="1:15" s="30" customFormat="1" ht="12.95" customHeight="1" x14ac:dyDescent="0.25">
      <c r="B3" s="27"/>
      <c r="C3" s="27"/>
      <c r="D3" s="29"/>
      <c r="E3" s="28"/>
      <c r="F3" s="29"/>
      <c r="M3" s="68" t="s">
        <v>180</v>
      </c>
      <c r="N3" s="29"/>
    </row>
    <row r="4" spans="1:15" s="30" customFormat="1" ht="12" customHeight="1" x14ac:dyDescent="0.25">
      <c r="B4" s="27"/>
      <c r="C4" s="27"/>
      <c r="D4" s="29"/>
      <c r="E4" s="28"/>
      <c r="F4" s="29"/>
      <c r="G4" s="68"/>
      <c r="N4" s="29"/>
    </row>
    <row r="5" spans="1:15" s="30" customFormat="1" ht="12" customHeight="1" x14ac:dyDescent="0.25">
      <c r="B5" s="27"/>
      <c r="C5" s="27"/>
      <c r="D5" s="29"/>
      <c r="E5" s="28"/>
      <c r="F5" s="29"/>
      <c r="G5" s="68"/>
      <c r="N5" s="29"/>
    </row>
    <row r="6" spans="1:15" s="53" customFormat="1" ht="9.75" customHeight="1" x14ac:dyDescent="0.2">
      <c r="B6" s="115"/>
      <c r="C6" s="115"/>
      <c r="D6" s="189"/>
      <c r="E6" s="190"/>
      <c r="F6" s="189"/>
      <c r="G6" s="189"/>
      <c r="H6" s="191"/>
      <c r="I6" s="191"/>
      <c r="J6" s="191"/>
      <c r="K6" s="191"/>
      <c r="L6" s="191"/>
      <c r="M6" s="189"/>
      <c r="N6" s="114"/>
    </row>
    <row r="7" spans="1:15" s="53" customFormat="1" ht="15" customHeight="1" x14ac:dyDescent="0.2">
      <c r="B7" s="63" t="s">
        <v>186</v>
      </c>
      <c r="C7" s="64" t="s">
        <v>239</v>
      </c>
      <c r="D7" s="115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5" s="65" customFormat="1" ht="15" customHeight="1" x14ac:dyDescent="0.2">
      <c r="B8" s="66" t="s">
        <v>187</v>
      </c>
      <c r="C8" s="67" t="s">
        <v>240</v>
      </c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5" s="53" customFormat="1" ht="9.9499999999999993" customHeight="1" thickBot="1" x14ac:dyDescent="0.25">
      <c r="B9" s="115"/>
      <c r="C9" s="115"/>
      <c r="D9" s="115"/>
      <c r="E9" s="63"/>
      <c r="F9" s="114"/>
      <c r="G9" s="114"/>
      <c r="H9" s="114"/>
      <c r="I9" s="114"/>
      <c r="J9" s="114"/>
      <c r="K9" s="114"/>
      <c r="L9" s="114"/>
      <c r="M9" s="189"/>
    </row>
    <row r="10" spans="1:15" s="53" customFormat="1" ht="9.9499999999999993" customHeight="1" thickTop="1" x14ac:dyDescent="0.2">
      <c r="A10" s="378"/>
      <c r="B10" s="388"/>
      <c r="C10" s="388"/>
      <c r="D10" s="389"/>
      <c r="E10" s="374"/>
      <c r="F10" s="375"/>
      <c r="G10" s="375"/>
      <c r="H10" s="376"/>
      <c r="I10" s="375"/>
      <c r="J10" s="375"/>
      <c r="K10" s="375"/>
      <c r="L10" s="375"/>
      <c r="M10" s="377"/>
      <c r="N10" s="378"/>
    </row>
    <row r="11" spans="1:15" s="53" customFormat="1" ht="27.75" customHeight="1" x14ac:dyDescent="0.2">
      <c r="A11" s="390"/>
      <c r="B11" s="432" t="s">
        <v>210</v>
      </c>
      <c r="C11" s="432"/>
      <c r="D11" s="379" t="s">
        <v>222</v>
      </c>
      <c r="E11" s="379" t="s">
        <v>220</v>
      </c>
      <c r="F11" s="379" t="s">
        <v>219</v>
      </c>
      <c r="G11" s="379" t="s">
        <v>218</v>
      </c>
      <c r="H11" s="433" t="s">
        <v>234</v>
      </c>
      <c r="I11" s="433"/>
      <c r="J11" s="380"/>
      <c r="K11" s="433" t="s">
        <v>221</v>
      </c>
      <c r="L11" s="433"/>
      <c r="M11" s="379" t="s">
        <v>217</v>
      </c>
      <c r="N11" s="381"/>
    </row>
    <row r="12" spans="1:15" s="53" customFormat="1" ht="30" customHeight="1" x14ac:dyDescent="0.2">
      <c r="A12" s="390"/>
      <c r="B12" s="434" t="s">
        <v>211</v>
      </c>
      <c r="C12" s="434"/>
      <c r="D12" s="382" t="s">
        <v>212</v>
      </c>
      <c r="E12" s="382" t="s">
        <v>213</v>
      </c>
      <c r="F12" s="382" t="s">
        <v>214</v>
      </c>
      <c r="G12" s="382" t="s">
        <v>215</v>
      </c>
      <c r="H12" s="383" t="s">
        <v>225</v>
      </c>
      <c r="I12" s="383" t="s">
        <v>226</v>
      </c>
      <c r="J12" s="383"/>
      <c r="K12" s="383" t="s">
        <v>225</v>
      </c>
      <c r="L12" s="383" t="s">
        <v>226</v>
      </c>
      <c r="M12" s="384" t="s">
        <v>216</v>
      </c>
      <c r="N12" s="385"/>
    </row>
    <row r="13" spans="1:15" s="53" customFormat="1" ht="30" customHeight="1" x14ac:dyDescent="0.2">
      <c r="A13" s="391"/>
      <c r="B13" s="392"/>
      <c r="C13" s="392"/>
      <c r="D13" s="386"/>
      <c r="E13" s="386"/>
      <c r="F13" s="386"/>
      <c r="G13" s="386"/>
      <c r="H13" s="387" t="s">
        <v>223</v>
      </c>
      <c r="I13" s="387" t="s">
        <v>224</v>
      </c>
      <c r="J13" s="387"/>
      <c r="K13" s="387" t="s">
        <v>223</v>
      </c>
      <c r="L13" s="387" t="s">
        <v>224</v>
      </c>
      <c r="M13" s="370"/>
      <c r="N13" s="373"/>
    </row>
    <row r="14" spans="1:15" s="53" customFormat="1" ht="8.1" customHeight="1" x14ac:dyDescent="0.2">
      <c r="A14" s="116"/>
      <c r="B14" s="180"/>
      <c r="C14" s="180"/>
      <c r="D14" s="90"/>
      <c r="E14" s="90"/>
      <c r="F14" s="192"/>
      <c r="G14" s="192"/>
      <c r="H14" s="192"/>
      <c r="I14" s="192"/>
      <c r="J14" s="192"/>
      <c r="K14" s="192"/>
      <c r="L14" s="192"/>
      <c r="M14" s="192"/>
      <c r="N14" s="86"/>
    </row>
    <row r="15" spans="1:15" s="116" customFormat="1" ht="20.100000000000001" customHeight="1" x14ac:dyDescent="0.2">
      <c r="B15" s="124" t="s">
        <v>182</v>
      </c>
      <c r="C15" s="124"/>
      <c r="D15" s="121">
        <v>2017</v>
      </c>
      <c r="E15" s="145">
        <f>SUM(F15:M15)</f>
        <v>600</v>
      </c>
      <c r="F15" s="145">
        <f t="shared" ref="F15:I17" si="0">SUM(F19,F23,F27,F31,F35,F39,F43,F47,F51,F55)</f>
        <v>13</v>
      </c>
      <c r="G15" s="145">
        <f t="shared" si="0"/>
        <v>114</v>
      </c>
      <c r="H15" s="145">
        <f t="shared" si="0"/>
        <v>2</v>
      </c>
      <c r="I15" s="145">
        <f t="shared" si="0"/>
        <v>141</v>
      </c>
      <c r="J15" s="145"/>
      <c r="K15" s="137" t="s">
        <v>51</v>
      </c>
      <c r="L15" s="145">
        <f t="shared" ref="L15:M17" si="1">SUM(L19,L23,L27,L31,L35,L39,L43,L47,L51,L55)</f>
        <v>78</v>
      </c>
      <c r="M15" s="145">
        <f t="shared" si="1"/>
        <v>252</v>
      </c>
      <c r="O15" s="200"/>
    </row>
    <row r="16" spans="1:15" s="116" customFormat="1" ht="20.100000000000001" customHeight="1" x14ac:dyDescent="0.2">
      <c r="B16" s="124"/>
      <c r="C16" s="124"/>
      <c r="D16" s="121">
        <v>2018</v>
      </c>
      <c r="E16" s="145">
        <f>SUM(F16:M16)</f>
        <v>511</v>
      </c>
      <c r="F16" s="145">
        <f t="shared" si="0"/>
        <v>6</v>
      </c>
      <c r="G16" s="145">
        <f t="shared" si="0"/>
        <v>101</v>
      </c>
      <c r="H16" s="145">
        <f t="shared" si="0"/>
        <v>4</v>
      </c>
      <c r="I16" s="145">
        <f t="shared" si="0"/>
        <v>139</v>
      </c>
      <c r="J16" s="145"/>
      <c r="K16" s="137" t="s">
        <v>51</v>
      </c>
      <c r="L16" s="145">
        <f t="shared" si="1"/>
        <v>71</v>
      </c>
      <c r="M16" s="145">
        <f t="shared" si="1"/>
        <v>190</v>
      </c>
    </row>
    <row r="17" spans="2:13" s="116" customFormat="1" ht="20.100000000000001" customHeight="1" x14ac:dyDescent="0.2">
      <c r="B17" s="124"/>
      <c r="C17" s="124"/>
      <c r="D17" s="121">
        <v>2019</v>
      </c>
      <c r="E17" s="145">
        <f>SUM(F17:M17)</f>
        <v>470</v>
      </c>
      <c r="F17" s="145">
        <f t="shared" si="0"/>
        <v>9</v>
      </c>
      <c r="G17" s="145">
        <f t="shared" si="0"/>
        <v>73</v>
      </c>
      <c r="H17" s="145">
        <f t="shared" si="0"/>
        <v>2</v>
      </c>
      <c r="I17" s="145">
        <f t="shared" si="0"/>
        <v>121</v>
      </c>
      <c r="J17" s="145"/>
      <c r="K17" s="137" t="s">
        <v>51</v>
      </c>
      <c r="L17" s="145">
        <f t="shared" si="1"/>
        <v>87</v>
      </c>
      <c r="M17" s="145">
        <f t="shared" si="1"/>
        <v>178</v>
      </c>
    </row>
    <row r="18" spans="2:13" s="116" customFormat="1" ht="8.1" customHeight="1" x14ac:dyDescent="0.2">
      <c r="B18" s="124"/>
      <c r="C18" s="124"/>
      <c r="D18" s="121"/>
      <c r="E18" s="145"/>
      <c r="F18" s="145"/>
      <c r="G18" s="145"/>
      <c r="H18" s="145"/>
      <c r="I18" s="145"/>
      <c r="J18" s="145"/>
      <c r="K18" s="145"/>
      <c r="L18" s="145"/>
      <c r="M18" s="145"/>
    </row>
    <row r="19" spans="2:13" s="116" customFormat="1" ht="20.100000000000001" customHeight="1" x14ac:dyDescent="0.2">
      <c r="B19" s="82" t="s">
        <v>11</v>
      </c>
      <c r="C19" s="82"/>
      <c r="D19" s="148">
        <v>2017</v>
      </c>
      <c r="E19" s="146">
        <f>SUM(F19:M19)</f>
        <v>56</v>
      </c>
      <c r="F19" s="146" t="s">
        <v>51</v>
      </c>
      <c r="G19" s="146">
        <v>16</v>
      </c>
      <c r="H19" s="144" t="s">
        <v>51</v>
      </c>
      <c r="I19" s="146">
        <v>4</v>
      </c>
      <c r="J19" s="146"/>
      <c r="K19" s="144" t="s">
        <v>51</v>
      </c>
      <c r="L19" s="146">
        <v>3</v>
      </c>
      <c r="M19" s="146">
        <v>33</v>
      </c>
    </row>
    <row r="20" spans="2:13" s="116" customFormat="1" ht="20.100000000000001" customHeight="1" x14ac:dyDescent="0.2">
      <c r="B20" s="82"/>
      <c r="C20" s="82"/>
      <c r="D20" s="148">
        <v>2018</v>
      </c>
      <c r="E20" s="146">
        <f>SUM(F20:M20)</f>
        <v>41</v>
      </c>
      <c r="F20" s="146" t="s">
        <v>51</v>
      </c>
      <c r="G20" s="146">
        <v>11</v>
      </c>
      <c r="H20" s="144" t="s">
        <v>51</v>
      </c>
      <c r="I20" s="146">
        <v>7</v>
      </c>
      <c r="J20" s="146"/>
      <c r="K20" s="144" t="s">
        <v>51</v>
      </c>
      <c r="L20" s="146">
        <v>3</v>
      </c>
      <c r="M20" s="146">
        <v>20</v>
      </c>
    </row>
    <row r="21" spans="2:13" s="116" customFormat="1" ht="20.100000000000001" customHeight="1" x14ac:dyDescent="0.2">
      <c r="B21" s="82"/>
      <c r="C21" s="82"/>
      <c r="D21" s="148">
        <v>2019</v>
      </c>
      <c r="E21" s="146">
        <f>SUM(F21:M21)</f>
        <v>42</v>
      </c>
      <c r="F21" s="144">
        <v>1</v>
      </c>
      <c r="G21" s="146">
        <v>10</v>
      </c>
      <c r="H21" s="144" t="s">
        <v>51</v>
      </c>
      <c r="I21" s="146">
        <v>2</v>
      </c>
      <c r="J21" s="146"/>
      <c r="K21" s="144" t="s">
        <v>51</v>
      </c>
      <c r="L21" s="146">
        <v>5</v>
      </c>
      <c r="M21" s="146">
        <v>24</v>
      </c>
    </row>
    <row r="22" spans="2:13" s="116" customFormat="1" ht="8.1" customHeight="1" x14ac:dyDescent="0.2">
      <c r="B22" s="82"/>
      <c r="C22" s="82"/>
      <c r="D22" s="148"/>
      <c r="E22" s="146"/>
      <c r="F22" s="140"/>
      <c r="G22" s="141"/>
      <c r="H22" s="140"/>
      <c r="I22" s="141"/>
      <c r="J22" s="141"/>
      <c r="K22" s="140"/>
      <c r="L22" s="140"/>
      <c r="M22" s="141"/>
    </row>
    <row r="23" spans="2:13" s="116" customFormat="1" ht="20.100000000000001" customHeight="1" x14ac:dyDescent="0.2">
      <c r="B23" s="82" t="s">
        <v>18</v>
      </c>
      <c r="C23" s="82"/>
      <c r="D23" s="148">
        <v>2017</v>
      </c>
      <c r="E23" s="146">
        <f>SUM(F23:M23)</f>
        <v>34</v>
      </c>
      <c r="F23" s="140">
        <v>2</v>
      </c>
      <c r="G23" s="141">
        <v>7</v>
      </c>
      <c r="H23" s="140" t="s">
        <v>51</v>
      </c>
      <c r="I23" s="141">
        <v>6</v>
      </c>
      <c r="J23" s="141"/>
      <c r="K23" s="140" t="s">
        <v>51</v>
      </c>
      <c r="L23" s="141">
        <v>2</v>
      </c>
      <c r="M23" s="141">
        <v>17</v>
      </c>
    </row>
    <row r="24" spans="2:13" s="116" customFormat="1" ht="20.100000000000001" customHeight="1" x14ac:dyDescent="0.2">
      <c r="B24" s="82"/>
      <c r="C24" s="82"/>
      <c r="D24" s="148">
        <v>2018</v>
      </c>
      <c r="E24" s="146">
        <f>SUM(F24:M24)</f>
        <v>26</v>
      </c>
      <c r="F24" s="146" t="s">
        <v>51</v>
      </c>
      <c r="G24" s="141">
        <v>6</v>
      </c>
      <c r="H24" s="141">
        <v>1</v>
      </c>
      <c r="I24" s="141">
        <v>5</v>
      </c>
      <c r="J24" s="141"/>
      <c r="K24" s="140" t="s">
        <v>51</v>
      </c>
      <c r="L24" s="141">
        <v>3</v>
      </c>
      <c r="M24" s="141">
        <v>11</v>
      </c>
    </row>
    <row r="25" spans="2:13" s="116" customFormat="1" ht="20.100000000000001" customHeight="1" x14ac:dyDescent="0.2">
      <c r="B25" s="82"/>
      <c r="C25" s="82"/>
      <c r="D25" s="148">
        <v>2019</v>
      </c>
      <c r="E25" s="146">
        <f>SUM(F25:M25)</f>
        <v>30</v>
      </c>
      <c r="F25" s="140">
        <v>3</v>
      </c>
      <c r="G25" s="141">
        <v>4</v>
      </c>
      <c r="H25" s="140" t="s">
        <v>51</v>
      </c>
      <c r="I25" s="141">
        <v>10</v>
      </c>
      <c r="J25" s="141"/>
      <c r="K25" s="140" t="s">
        <v>51</v>
      </c>
      <c r="L25" s="141">
        <v>1</v>
      </c>
      <c r="M25" s="141">
        <v>12</v>
      </c>
    </row>
    <row r="26" spans="2:13" s="116" customFormat="1" ht="8.1" customHeight="1" x14ac:dyDescent="0.2">
      <c r="B26" s="82"/>
      <c r="C26" s="82"/>
      <c r="D26" s="148"/>
      <c r="E26" s="146"/>
      <c r="F26" s="146"/>
      <c r="G26" s="146"/>
      <c r="H26" s="144"/>
      <c r="I26" s="146"/>
      <c r="J26" s="146"/>
      <c r="K26" s="144"/>
      <c r="L26" s="144"/>
      <c r="M26" s="146"/>
    </row>
    <row r="27" spans="2:13" s="116" customFormat="1" ht="20.100000000000001" customHeight="1" x14ac:dyDescent="0.2">
      <c r="B27" s="82" t="s">
        <v>20</v>
      </c>
      <c r="C27" s="82"/>
      <c r="D27" s="148">
        <v>2017</v>
      </c>
      <c r="E27" s="146">
        <f>SUM(F27:M27)</f>
        <v>6</v>
      </c>
      <c r="F27" s="146" t="s">
        <v>51</v>
      </c>
      <c r="G27" s="146">
        <v>4</v>
      </c>
      <c r="H27" s="144" t="s">
        <v>51</v>
      </c>
      <c r="I27" s="146">
        <v>1</v>
      </c>
      <c r="J27" s="146"/>
      <c r="K27" s="144" t="s">
        <v>51</v>
      </c>
      <c r="L27" s="144" t="s">
        <v>51</v>
      </c>
      <c r="M27" s="146">
        <v>1</v>
      </c>
    </row>
    <row r="28" spans="2:13" s="116" customFormat="1" ht="20.100000000000001" customHeight="1" x14ac:dyDescent="0.2">
      <c r="B28" s="82"/>
      <c r="C28" s="82"/>
      <c r="D28" s="148">
        <v>2018</v>
      </c>
      <c r="E28" s="146">
        <f>SUM(F28:M28)</f>
        <v>9</v>
      </c>
      <c r="F28" s="146" t="s">
        <v>51</v>
      </c>
      <c r="G28" s="146">
        <v>4</v>
      </c>
      <c r="H28" s="144" t="s">
        <v>51</v>
      </c>
      <c r="I28" s="144">
        <v>1</v>
      </c>
      <c r="J28" s="144"/>
      <c r="K28" s="144" t="s">
        <v>51</v>
      </c>
      <c r="L28" s="144">
        <v>1</v>
      </c>
      <c r="M28" s="146">
        <v>3</v>
      </c>
    </row>
    <row r="29" spans="2:13" s="116" customFormat="1" ht="20.100000000000001" customHeight="1" x14ac:dyDescent="0.2">
      <c r="B29" s="82"/>
      <c r="C29" s="82"/>
      <c r="D29" s="148">
        <v>2019</v>
      </c>
      <c r="E29" s="146">
        <f>SUM(F29:M29)</f>
        <v>5</v>
      </c>
      <c r="F29" s="144" t="s">
        <v>51</v>
      </c>
      <c r="G29" s="146">
        <v>2</v>
      </c>
      <c r="H29" s="144" t="s">
        <v>51</v>
      </c>
      <c r="I29" s="144" t="s">
        <v>51</v>
      </c>
      <c r="J29" s="144"/>
      <c r="K29" s="144" t="s">
        <v>51</v>
      </c>
      <c r="L29" s="144">
        <v>1</v>
      </c>
      <c r="M29" s="146">
        <v>2</v>
      </c>
    </row>
    <row r="30" spans="2:13" s="116" customFormat="1" ht="12.95" customHeight="1" x14ac:dyDescent="0.2">
      <c r="B30" s="82"/>
      <c r="C30" s="82"/>
      <c r="D30" s="148"/>
      <c r="E30" s="146"/>
      <c r="F30" s="140"/>
      <c r="G30" s="141"/>
      <c r="H30" s="141"/>
      <c r="I30" s="141"/>
      <c r="J30" s="141"/>
      <c r="K30" s="141"/>
      <c r="L30" s="141"/>
      <c r="M30" s="141"/>
    </row>
    <row r="31" spans="2:13" s="116" customFormat="1" ht="20.100000000000001" customHeight="1" x14ac:dyDescent="0.2">
      <c r="B31" s="82" t="s">
        <v>12</v>
      </c>
      <c r="C31" s="82"/>
      <c r="D31" s="148">
        <v>2017</v>
      </c>
      <c r="E31" s="146">
        <f>SUM(F31:M31)</f>
        <v>188</v>
      </c>
      <c r="F31" s="140">
        <v>3</v>
      </c>
      <c r="G31" s="141">
        <v>28</v>
      </c>
      <c r="H31" s="141">
        <v>2</v>
      </c>
      <c r="I31" s="141">
        <v>63</v>
      </c>
      <c r="J31" s="141"/>
      <c r="K31" s="140" t="s">
        <v>51</v>
      </c>
      <c r="L31" s="141">
        <v>36</v>
      </c>
      <c r="M31" s="141">
        <v>56</v>
      </c>
    </row>
    <row r="32" spans="2:13" s="116" customFormat="1" ht="20.100000000000001" customHeight="1" x14ac:dyDescent="0.2">
      <c r="B32" s="82"/>
      <c r="C32" s="82"/>
      <c r="D32" s="148">
        <v>2018</v>
      </c>
      <c r="E32" s="146">
        <f>SUM(F32:M32)</f>
        <v>168</v>
      </c>
      <c r="F32" s="140">
        <v>2</v>
      </c>
      <c r="G32" s="141">
        <v>25</v>
      </c>
      <c r="H32" s="141">
        <v>2</v>
      </c>
      <c r="I32" s="141">
        <v>61</v>
      </c>
      <c r="J32" s="141"/>
      <c r="K32" s="140" t="s">
        <v>51</v>
      </c>
      <c r="L32" s="141">
        <v>37</v>
      </c>
      <c r="M32" s="141">
        <v>41</v>
      </c>
    </row>
    <row r="33" spans="2:13" s="116" customFormat="1" ht="20.100000000000001" customHeight="1" x14ac:dyDescent="0.2">
      <c r="B33" s="82"/>
      <c r="C33" s="82"/>
      <c r="D33" s="148">
        <v>2019</v>
      </c>
      <c r="E33" s="146">
        <f>SUM(F33:M33)</f>
        <v>133</v>
      </c>
      <c r="F33" s="140">
        <v>1</v>
      </c>
      <c r="G33" s="141">
        <v>11</v>
      </c>
      <c r="H33" s="141">
        <v>2</v>
      </c>
      <c r="I33" s="141">
        <v>50</v>
      </c>
      <c r="J33" s="141"/>
      <c r="K33" s="140" t="s">
        <v>51</v>
      </c>
      <c r="L33" s="141">
        <v>37</v>
      </c>
      <c r="M33" s="141">
        <v>32</v>
      </c>
    </row>
    <row r="34" spans="2:13" s="116" customFormat="1" ht="12.95" customHeight="1" x14ac:dyDescent="0.2">
      <c r="B34" s="82"/>
      <c r="C34" s="82"/>
      <c r="D34" s="148"/>
      <c r="E34" s="146"/>
      <c r="F34" s="146"/>
      <c r="G34" s="146"/>
      <c r="H34" s="144"/>
      <c r="I34" s="146"/>
      <c r="J34" s="146"/>
      <c r="K34" s="144"/>
      <c r="L34" s="146"/>
      <c r="M34" s="146"/>
    </row>
    <row r="35" spans="2:13" s="116" customFormat="1" ht="20.100000000000001" customHeight="1" x14ac:dyDescent="0.2">
      <c r="B35" s="82" t="s">
        <v>19</v>
      </c>
      <c r="C35" s="82"/>
      <c r="D35" s="148">
        <v>2017</v>
      </c>
      <c r="E35" s="146">
        <f>SUM(F35:M35)</f>
        <v>44</v>
      </c>
      <c r="F35" s="146">
        <v>1</v>
      </c>
      <c r="G35" s="146">
        <v>6</v>
      </c>
      <c r="H35" s="144" t="s">
        <v>51</v>
      </c>
      <c r="I35" s="146">
        <v>8</v>
      </c>
      <c r="J35" s="146"/>
      <c r="K35" s="144" t="s">
        <v>51</v>
      </c>
      <c r="L35" s="146">
        <v>3</v>
      </c>
      <c r="M35" s="146">
        <v>26</v>
      </c>
    </row>
    <row r="36" spans="2:13" s="116" customFormat="1" ht="20.100000000000001" customHeight="1" x14ac:dyDescent="0.2">
      <c r="B36" s="82"/>
      <c r="C36" s="82"/>
      <c r="D36" s="148">
        <v>2018</v>
      </c>
      <c r="E36" s="146">
        <f>SUM(F36:M36)</f>
        <v>27</v>
      </c>
      <c r="F36" s="146" t="s">
        <v>51</v>
      </c>
      <c r="G36" s="146">
        <v>5</v>
      </c>
      <c r="H36" s="144" t="s">
        <v>51</v>
      </c>
      <c r="I36" s="146">
        <v>5</v>
      </c>
      <c r="J36" s="146"/>
      <c r="K36" s="144" t="s">
        <v>51</v>
      </c>
      <c r="L36" s="146">
        <v>2</v>
      </c>
      <c r="M36" s="146">
        <v>15</v>
      </c>
    </row>
    <row r="37" spans="2:13" s="116" customFormat="1" ht="20.100000000000001" customHeight="1" x14ac:dyDescent="0.2">
      <c r="B37" s="82"/>
      <c r="C37" s="82"/>
      <c r="D37" s="148">
        <v>2019</v>
      </c>
      <c r="E37" s="146">
        <f>SUM(F37:M37)</f>
        <v>30</v>
      </c>
      <c r="F37" s="144" t="s">
        <v>51</v>
      </c>
      <c r="G37" s="146">
        <v>7</v>
      </c>
      <c r="H37" s="144" t="s">
        <v>51</v>
      </c>
      <c r="I37" s="146">
        <v>2</v>
      </c>
      <c r="J37" s="146"/>
      <c r="K37" s="144" t="s">
        <v>51</v>
      </c>
      <c r="L37" s="146">
        <v>2</v>
      </c>
      <c r="M37" s="146">
        <v>19</v>
      </c>
    </row>
    <row r="38" spans="2:13" s="116" customFormat="1" ht="12.95" customHeight="1" x14ac:dyDescent="0.2">
      <c r="B38" s="82"/>
      <c r="C38" s="82"/>
      <c r="D38" s="148"/>
      <c r="E38" s="146"/>
      <c r="F38" s="140"/>
      <c r="G38" s="141"/>
      <c r="H38" s="140"/>
      <c r="I38" s="141"/>
      <c r="J38" s="141"/>
      <c r="K38" s="140"/>
      <c r="L38" s="141"/>
      <c r="M38" s="141"/>
    </row>
    <row r="39" spans="2:13" s="116" customFormat="1" ht="20.100000000000001" customHeight="1" x14ac:dyDescent="0.2">
      <c r="B39" s="82" t="s">
        <v>13</v>
      </c>
      <c r="C39" s="82"/>
      <c r="D39" s="148">
        <v>2017</v>
      </c>
      <c r="E39" s="146">
        <f>SUM(F39:M39)</f>
        <v>38</v>
      </c>
      <c r="F39" s="140">
        <v>1</v>
      </c>
      <c r="G39" s="141">
        <v>5</v>
      </c>
      <c r="H39" s="140" t="s">
        <v>51</v>
      </c>
      <c r="I39" s="141">
        <v>9</v>
      </c>
      <c r="J39" s="141"/>
      <c r="K39" s="140" t="s">
        <v>51</v>
      </c>
      <c r="L39" s="141">
        <v>6</v>
      </c>
      <c r="M39" s="141">
        <v>17</v>
      </c>
    </row>
    <row r="40" spans="2:13" s="116" customFormat="1" ht="20.100000000000001" customHeight="1" x14ac:dyDescent="0.2">
      <c r="B40" s="82"/>
      <c r="C40" s="82"/>
      <c r="D40" s="148">
        <v>2018</v>
      </c>
      <c r="E40" s="146">
        <f>SUM(F40:M40)</f>
        <v>29</v>
      </c>
      <c r="F40" s="146" t="s">
        <v>51</v>
      </c>
      <c r="G40" s="141">
        <v>5</v>
      </c>
      <c r="H40" s="140" t="s">
        <v>51</v>
      </c>
      <c r="I40" s="141">
        <v>8</v>
      </c>
      <c r="J40" s="141"/>
      <c r="K40" s="140" t="s">
        <v>51</v>
      </c>
      <c r="L40" s="141">
        <v>2</v>
      </c>
      <c r="M40" s="141">
        <v>14</v>
      </c>
    </row>
    <row r="41" spans="2:13" s="116" customFormat="1" ht="20.100000000000001" customHeight="1" x14ac:dyDescent="0.2">
      <c r="B41" s="82"/>
      <c r="C41" s="82"/>
      <c r="D41" s="148">
        <v>2019</v>
      </c>
      <c r="E41" s="146">
        <f>SUM(F41:M41)</f>
        <v>19</v>
      </c>
      <c r="F41" s="140" t="s">
        <v>51</v>
      </c>
      <c r="G41" s="141">
        <v>4</v>
      </c>
      <c r="H41" s="140" t="s">
        <v>51</v>
      </c>
      <c r="I41" s="141">
        <v>6</v>
      </c>
      <c r="J41" s="141"/>
      <c r="K41" s="140" t="s">
        <v>51</v>
      </c>
      <c r="L41" s="141">
        <v>5</v>
      </c>
      <c r="M41" s="141">
        <v>4</v>
      </c>
    </row>
    <row r="42" spans="2:13" s="116" customFormat="1" ht="12.95" customHeight="1" x14ac:dyDescent="0.2">
      <c r="B42" s="82"/>
      <c r="C42" s="82"/>
      <c r="D42" s="148"/>
      <c r="E42" s="146"/>
      <c r="F42" s="146"/>
      <c r="G42" s="146"/>
      <c r="H42" s="144"/>
      <c r="I42" s="146"/>
      <c r="J42" s="146"/>
      <c r="K42" s="144"/>
      <c r="L42" s="146"/>
      <c r="M42" s="146"/>
    </row>
    <row r="43" spans="2:13" s="116" customFormat="1" ht="20.100000000000001" customHeight="1" x14ac:dyDescent="0.2">
      <c r="B43" s="82" t="s">
        <v>14</v>
      </c>
      <c r="C43" s="82"/>
      <c r="D43" s="148">
        <v>2017</v>
      </c>
      <c r="E43" s="146">
        <f>SUM(F43:M43)</f>
        <v>56</v>
      </c>
      <c r="F43" s="146">
        <v>1</v>
      </c>
      <c r="G43" s="146">
        <v>12</v>
      </c>
      <c r="H43" s="144" t="s">
        <v>51</v>
      </c>
      <c r="I43" s="146">
        <v>11</v>
      </c>
      <c r="J43" s="146"/>
      <c r="K43" s="144" t="s">
        <v>51</v>
      </c>
      <c r="L43" s="146">
        <v>7</v>
      </c>
      <c r="M43" s="146">
        <v>25</v>
      </c>
    </row>
    <row r="44" spans="2:13" s="116" customFormat="1" ht="20.100000000000001" customHeight="1" x14ac:dyDescent="0.2">
      <c r="B44" s="82"/>
      <c r="C44" s="82"/>
      <c r="D44" s="148">
        <v>2018</v>
      </c>
      <c r="E44" s="146">
        <f>SUM(F44:M44)</f>
        <v>51</v>
      </c>
      <c r="F44" s="146">
        <v>2</v>
      </c>
      <c r="G44" s="146">
        <v>11</v>
      </c>
      <c r="H44" s="146">
        <v>1</v>
      </c>
      <c r="I44" s="146">
        <v>16</v>
      </c>
      <c r="J44" s="146"/>
      <c r="K44" s="144" t="s">
        <v>51</v>
      </c>
      <c r="L44" s="146">
        <v>6</v>
      </c>
      <c r="M44" s="146">
        <v>15</v>
      </c>
    </row>
    <row r="45" spans="2:13" s="116" customFormat="1" ht="20.100000000000001" customHeight="1" x14ac:dyDescent="0.2">
      <c r="B45" s="82"/>
      <c r="C45" s="82"/>
      <c r="D45" s="148">
        <v>2019</v>
      </c>
      <c r="E45" s="146">
        <f>SUM(F45:M45)</f>
        <v>51</v>
      </c>
      <c r="F45" s="146">
        <v>1</v>
      </c>
      <c r="G45" s="146">
        <v>5</v>
      </c>
      <c r="H45" s="144" t="s">
        <v>51</v>
      </c>
      <c r="I45" s="146">
        <v>17</v>
      </c>
      <c r="J45" s="146"/>
      <c r="K45" s="144" t="s">
        <v>51</v>
      </c>
      <c r="L45" s="146">
        <v>6</v>
      </c>
      <c r="M45" s="146">
        <v>22</v>
      </c>
    </row>
    <row r="46" spans="2:13" s="116" customFormat="1" ht="12.95" customHeight="1" x14ac:dyDescent="0.2">
      <c r="B46" s="82"/>
      <c r="C46" s="82"/>
      <c r="D46" s="148"/>
      <c r="E46" s="146"/>
      <c r="F46" s="140"/>
      <c r="G46" s="141"/>
      <c r="H46" s="140"/>
      <c r="I46" s="141"/>
      <c r="J46" s="141"/>
      <c r="K46" s="140"/>
      <c r="L46" s="141"/>
      <c r="M46" s="141"/>
    </row>
    <row r="47" spans="2:13" s="116" customFormat="1" ht="20.100000000000001" customHeight="1" x14ac:dyDescent="0.2">
      <c r="B47" s="82" t="s">
        <v>15</v>
      </c>
      <c r="C47" s="82"/>
      <c r="D47" s="148">
        <v>2017</v>
      </c>
      <c r="E47" s="146">
        <f>SUM(F47:M47)</f>
        <v>61</v>
      </c>
      <c r="F47" s="140">
        <v>1</v>
      </c>
      <c r="G47" s="141">
        <v>8</v>
      </c>
      <c r="H47" s="140" t="s">
        <v>51</v>
      </c>
      <c r="I47" s="141">
        <v>18</v>
      </c>
      <c r="J47" s="141"/>
      <c r="K47" s="140" t="s">
        <v>51</v>
      </c>
      <c r="L47" s="141">
        <v>4</v>
      </c>
      <c r="M47" s="141">
        <v>30</v>
      </c>
    </row>
    <row r="48" spans="2:13" s="116" customFormat="1" ht="20.100000000000001" customHeight="1" x14ac:dyDescent="0.2">
      <c r="B48" s="82"/>
      <c r="C48" s="82"/>
      <c r="D48" s="148">
        <v>2018</v>
      </c>
      <c r="E48" s="146">
        <f>SUM(F48:M48)</f>
        <v>48</v>
      </c>
      <c r="F48" s="140">
        <v>2</v>
      </c>
      <c r="G48" s="141">
        <v>12</v>
      </c>
      <c r="H48" s="140" t="s">
        <v>51</v>
      </c>
      <c r="I48" s="141">
        <v>10</v>
      </c>
      <c r="J48" s="141"/>
      <c r="K48" s="140" t="s">
        <v>51</v>
      </c>
      <c r="L48" s="141">
        <v>1</v>
      </c>
      <c r="M48" s="141">
        <v>23</v>
      </c>
    </row>
    <row r="49" spans="1:14" s="116" customFormat="1" ht="20.100000000000001" customHeight="1" x14ac:dyDescent="0.2">
      <c r="B49" s="82"/>
      <c r="C49" s="82"/>
      <c r="D49" s="148">
        <v>2019</v>
      </c>
      <c r="E49" s="146">
        <f>SUM(F49:M49)</f>
        <v>58</v>
      </c>
      <c r="F49" s="140">
        <v>2</v>
      </c>
      <c r="G49" s="141">
        <v>9</v>
      </c>
      <c r="H49" s="140" t="s">
        <v>51</v>
      </c>
      <c r="I49" s="141">
        <v>11</v>
      </c>
      <c r="J49" s="141"/>
      <c r="K49" s="140" t="s">
        <v>51</v>
      </c>
      <c r="L49" s="141">
        <v>8</v>
      </c>
      <c r="M49" s="141">
        <v>28</v>
      </c>
    </row>
    <row r="50" spans="1:14" s="116" customFormat="1" ht="12.95" customHeight="1" x14ac:dyDescent="0.2">
      <c r="B50" s="82"/>
      <c r="C50" s="82"/>
      <c r="D50" s="148"/>
      <c r="E50" s="146"/>
      <c r="F50" s="146"/>
      <c r="G50" s="146"/>
      <c r="H50" s="144"/>
      <c r="I50" s="146"/>
      <c r="J50" s="146"/>
      <c r="K50" s="144"/>
      <c r="L50" s="144"/>
      <c r="M50" s="146"/>
    </row>
    <row r="51" spans="1:14" s="116" customFormat="1" ht="20.100000000000001" customHeight="1" x14ac:dyDescent="0.2">
      <c r="B51" s="82" t="s">
        <v>16</v>
      </c>
      <c r="C51" s="82"/>
      <c r="D51" s="148">
        <v>2017</v>
      </c>
      <c r="E51" s="146">
        <f>SUM(F51:M51)</f>
        <v>55</v>
      </c>
      <c r="F51" s="146">
        <v>1</v>
      </c>
      <c r="G51" s="146">
        <v>16</v>
      </c>
      <c r="H51" s="144" t="s">
        <v>51</v>
      </c>
      <c r="I51" s="146">
        <v>4</v>
      </c>
      <c r="J51" s="146"/>
      <c r="K51" s="144" t="s">
        <v>51</v>
      </c>
      <c r="L51" s="146">
        <v>6</v>
      </c>
      <c r="M51" s="146">
        <v>28</v>
      </c>
    </row>
    <row r="52" spans="1:14" s="116" customFormat="1" ht="20.100000000000001" customHeight="1" x14ac:dyDescent="0.2">
      <c r="B52" s="82"/>
      <c r="C52" s="82"/>
      <c r="D52" s="148">
        <v>2018</v>
      </c>
      <c r="E52" s="146">
        <f>SUM(F52:M52)</f>
        <v>51</v>
      </c>
      <c r="F52" s="146" t="s">
        <v>51</v>
      </c>
      <c r="G52" s="146">
        <v>13</v>
      </c>
      <c r="H52" s="144" t="s">
        <v>51</v>
      </c>
      <c r="I52" s="146">
        <v>8</v>
      </c>
      <c r="J52" s="146"/>
      <c r="K52" s="144" t="s">
        <v>51</v>
      </c>
      <c r="L52" s="146">
        <v>5</v>
      </c>
      <c r="M52" s="146">
        <v>25</v>
      </c>
    </row>
    <row r="53" spans="1:14" s="116" customFormat="1" ht="20.100000000000001" customHeight="1" x14ac:dyDescent="0.2">
      <c r="B53" s="82"/>
      <c r="C53" s="82"/>
      <c r="D53" s="148">
        <v>2019</v>
      </c>
      <c r="E53" s="146">
        <f>SUM(F53:M53)</f>
        <v>39</v>
      </c>
      <c r="F53" s="146">
        <v>1</v>
      </c>
      <c r="G53" s="146">
        <v>13</v>
      </c>
      <c r="H53" s="144" t="s">
        <v>51</v>
      </c>
      <c r="I53" s="146">
        <v>5</v>
      </c>
      <c r="J53" s="146"/>
      <c r="K53" s="144" t="s">
        <v>51</v>
      </c>
      <c r="L53" s="146">
        <v>4</v>
      </c>
      <c r="M53" s="146">
        <v>16</v>
      </c>
    </row>
    <row r="54" spans="1:14" s="116" customFormat="1" ht="12.95" customHeight="1" x14ac:dyDescent="0.2">
      <c r="B54" s="82"/>
      <c r="C54" s="82"/>
      <c r="D54" s="148"/>
      <c r="E54" s="146"/>
      <c r="F54" s="141"/>
      <c r="G54" s="141"/>
      <c r="H54" s="140"/>
      <c r="I54" s="141"/>
      <c r="J54" s="141"/>
      <c r="K54" s="140"/>
      <c r="L54" s="141"/>
      <c r="M54" s="141"/>
    </row>
    <row r="55" spans="1:14" s="53" customFormat="1" ht="20.100000000000001" customHeight="1" x14ac:dyDescent="0.2">
      <c r="B55" s="82" t="s">
        <v>17</v>
      </c>
      <c r="C55" s="82"/>
      <c r="D55" s="148">
        <v>2017</v>
      </c>
      <c r="E55" s="146">
        <f>SUM(F55:M55)</f>
        <v>62</v>
      </c>
      <c r="F55" s="140">
        <v>3</v>
      </c>
      <c r="G55" s="141">
        <v>12</v>
      </c>
      <c r="H55" s="140" t="s">
        <v>51</v>
      </c>
      <c r="I55" s="141">
        <v>17</v>
      </c>
      <c r="J55" s="141"/>
      <c r="K55" s="140" t="s">
        <v>51</v>
      </c>
      <c r="L55" s="141">
        <v>11</v>
      </c>
      <c r="M55" s="141">
        <v>19</v>
      </c>
    </row>
    <row r="56" spans="1:14" s="53" customFormat="1" ht="20.100000000000001" customHeight="1" x14ac:dyDescent="0.2">
      <c r="B56" s="82"/>
      <c r="C56" s="82"/>
      <c r="D56" s="148">
        <v>2018</v>
      </c>
      <c r="E56" s="146">
        <f>SUM(F56:M56)</f>
        <v>61</v>
      </c>
      <c r="F56" s="146" t="s">
        <v>51</v>
      </c>
      <c r="G56" s="141">
        <v>9</v>
      </c>
      <c r="H56" s="140" t="s">
        <v>51</v>
      </c>
      <c r="I56" s="141">
        <v>18</v>
      </c>
      <c r="J56" s="141"/>
      <c r="K56" s="140" t="s">
        <v>51</v>
      </c>
      <c r="L56" s="141">
        <v>11</v>
      </c>
      <c r="M56" s="141">
        <v>23</v>
      </c>
    </row>
    <row r="57" spans="1:14" s="53" customFormat="1" ht="20.100000000000001" customHeight="1" x14ac:dyDescent="0.2">
      <c r="B57" s="82"/>
      <c r="C57" s="82"/>
      <c r="D57" s="148">
        <v>2019</v>
      </c>
      <c r="E57" s="146">
        <f>SUM(F57:M57)</f>
        <v>63</v>
      </c>
      <c r="F57" s="301" t="s">
        <v>51</v>
      </c>
      <c r="G57" s="114">
        <v>8</v>
      </c>
      <c r="H57" s="301" t="s">
        <v>51</v>
      </c>
      <c r="I57" s="114">
        <v>18</v>
      </c>
      <c r="J57" s="114"/>
      <c r="K57" s="301" t="s">
        <v>51</v>
      </c>
      <c r="L57" s="53">
        <v>18</v>
      </c>
      <c r="M57" s="53">
        <v>19</v>
      </c>
    </row>
    <row r="58" spans="1:14" s="53" customFormat="1" ht="8.1" customHeight="1" thickBot="1" x14ac:dyDescent="0.25">
      <c r="A58" s="195"/>
      <c r="B58" s="196"/>
      <c r="C58" s="196"/>
      <c r="D58" s="196"/>
      <c r="E58" s="197"/>
      <c r="F58" s="198"/>
      <c r="G58" s="198"/>
      <c r="H58" s="198"/>
      <c r="I58" s="198"/>
      <c r="J58" s="198"/>
      <c r="K58" s="198"/>
      <c r="L58" s="198"/>
      <c r="M58" s="199"/>
      <c r="N58" s="195"/>
    </row>
    <row r="59" spans="1:14" s="53" customFormat="1" ht="12.95" customHeight="1" x14ac:dyDescent="0.2">
      <c r="B59" s="115"/>
      <c r="C59" s="115"/>
      <c r="D59" s="115"/>
      <c r="E59" s="63"/>
      <c r="F59" s="114"/>
      <c r="G59" s="114"/>
      <c r="H59" s="114"/>
      <c r="I59" s="114"/>
      <c r="J59" s="114"/>
      <c r="K59" s="114"/>
      <c r="L59" s="114"/>
      <c r="M59" s="189"/>
      <c r="N59" s="8" t="s">
        <v>99</v>
      </c>
    </row>
    <row r="60" spans="1:14" s="53" customFormat="1" ht="12.95" customHeight="1" x14ac:dyDescent="0.2">
      <c r="B60" s="115"/>
      <c r="C60" s="115"/>
      <c r="D60" s="115"/>
      <c r="E60" s="63"/>
      <c r="F60" s="114"/>
      <c r="G60" s="114"/>
      <c r="H60" s="114"/>
      <c r="I60" s="114"/>
      <c r="J60" s="114"/>
      <c r="K60" s="114"/>
      <c r="L60" s="114"/>
      <c r="M60" s="189"/>
      <c r="N60" s="41" t="s">
        <v>1</v>
      </c>
    </row>
    <row r="61" spans="1:14" ht="12.95" customHeight="1" x14ac:dyDescent="0.25"/>
    <row r="63" spans="1:14" ht="8.1" customHeight="1" x14ac:dyDescent="0.25"/>
  </sheetData>
  <mergeCells count="4">
    <mergeCell ref="B11:C11"/>
    <mergeCell ref="H11:I11"/>
    <mergeCell ref="K11:L11"/>
    <mergeCell ref="B12:C12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70" fitToWidth="0" orientation="portrait" r:id="rId1"/>
  <headerFooter>
    <oddHeader xml:space="preserve">&amp;R&amp;"-,Bold"
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69"/>
  <sheetViews>
    <sheetView showGridLines="0" topLeftCell="C4" zoomScaleNormal="100" zoomScaleSheetLayoutView="100" workbookViewId="0">
      <selection activeCell="E32" sqref="E32"/>
    </sheetView>
  </sheetViews>
  <sheetFormatPr defaultRowHeight="15" x14ac:dyDescent="0.25"/>
  <cols>
    <col min="1" max="1" width="2" style="2" customWidth="1"/>
    <col min="2" max="2" width="10.140625" style="3" customWidth="1"/>
    <col min="3" max="3" width="14.42578125" style="3" customWidth="1"/>
    <col min="4" max="4" width="7.42578125" style="3" customWidth="1"/>
    <col min="5" max="5" width="10.7109375" style="21" customWidth="1"/>
    <col min="6" max="8" width="10.7109375" style="22" customWidth="1"/>
    <col min="9" max="9" width="14.85546875" style="22" customWidth="1"/>
    <col min="10" max="10" width="1.7109375" style="22" customWidth="1"/>
    <col min="11" max="11" width="10.7109375" style="22" customWidth="1"/>
    <col min="12" max="12" width="14.85546875" style="22" customWidth="1"/>
    <col min="13" max="13" width="14.42578125" style="5" customWidth="1"/>
    <col min="14" max="14" width="0.85546875" style="2" customWidth="1"/>
    <col min="15" max="16384" width="9.140625" style="2"/>
  </cols>
  <sheetData>
    <row r="1" spans="1:21" ht="9.9499999999999993" customHeight="1" x14ac:dyDescent="0.25">
      <c r="B1" s="3" t="s">
        <v>196</v>
      </c>
    </row>
    <row r="2" spans="1:21" s="30" customFormat="1" ht="12.95" customHeight="1" x14ac:dyDescent="0.25">
      <c r="B2" s="27"/>
      <c r="C2" s="27"/>
      <c r="D2" s="29"/>
      <c r="E2" s="28"/>
      <c r="F2" s="29"/>
      <c r="M2" s="160" t="s">
        <v>179</v>
      </c>
      <c r="N2" s="29"/>
    </row>
    <row r="3" spans="1:21" s="30" customFormat="1" ht="12.95" customHeight="1" x14ac:dyDescent="0.25">
      <c r="B3" s="27"/>
      <c r="C3" s="27"/>
      <c r="D3" s="29"/>
      <c r="E3" s="28"/>
      <c r="F3" s="29"/>
      <c r="M3" s="68" t="s">
        <v>180</v>
      </c>
      <c r="N3" s="29"/>
    </row>
    <row r="4" spans="1:21" s="30" customFormat="1" ht="12" customHeight="1" x14ac:dyDescent="0.25">
      <c r="B4" s="27"/>
      <c r="C4" s="27"/>
      <c r="D4" s="29"/>
      <c r="E4" s="28"/>
      <c r="F4" s="29"/>
      <c r="G4" s="68"/>
      <c r="N4" s="29"/>
    </row>
    <row r="5" spans="1:21" s="30" customFormat="1" ht="12" customHeight="1" x14ac:dyDescent="0.25">
      <c r="B5" s="27"/>
      <c r="C5" s="27"/>
      <c r="D5" s="29"/>
      <c r="E5" s="28"/>
      <c r="F5" s="29"/>
      <c r="G5" s="68"/>
      <c r="N5" s="29"/>
    </row>
    <row r="6" spans="1:21" s="53" customFormat="1" ht="9.75" customHeight="1" x14ac:dyDescent="0.2">
      <c r="B6" s="115"/>
      <c r="C6" s="115"/>
      <c r="D6" s="189"/>
      <c r="E6" s="190"/>
      <c r="F6" s="189"/>
      <c r="G6" s="189"/>
      <c r="H6" s="191"/>
      <c r="I6" s="191"/>
      <c r="J6" s="191"/>
      <c r="K6" s="191"/>
      <c r="L6" s="191"/>
      <c r="M6" s="189"/>
      <c r="N6" s="114"/>
    </row>
    <row r="7" spans="1:21" s="53" customFormat="1" ht="15" customHeight="1" x14ac:dyDescent="0.2">
      <c r="B7" s="63" t="s">
        <v>186</v>
      </c>
      <c r="C7" s="64" t="s">
        <v>239</v>
      </c>
      <c r="D7" s="115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21" s="65" customFormat="1" ht="15" customHeight="1" x14ac:dyDescent="0.2">
      <c r="B8" s="66" t="s">
        <v>187</v>
      </c>
      <c r="C8" s="67" t="s">
        <v>240</v>
      </c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21" s="53" customFormat="1" ht="9.9499999999999993" customHeight="1" thickBot="1" x14ac:dyDescent="0.25">
      <c r="B9" s="115"/>
      <c r="C9" s="115"/>
      <c r="D9" s="115"/>
      <c r="E9" s="63"/>
      <c r="F9" s="114"/>
      <c r="G9" s="114"/>
      <c r="H9" s="114"/>
      <c r="I9" s="114"/>
      <c r="J9" s="114"/>
      <c r="K9" s="114"/>
      <c r="L9" s="114"/>
      <c r="M9" s="189"/>
    </row>
    <row r="10" spans="1:21" s="53" customFormat="1" ht="9.9499999999999993" customHeight="1" thickTop="1" x14ac:dyDescent="0.2">
      <c r="A10" s="378"/>
      <c r="B10" s="388"/>
      <c r="C10" s="388"/>
      <c r="D10" s="389"/>
      <c r="E10" s="374"/>
      <c r="F10" s="375"/>
      <c r="G10" s="375"/>
      <c r="H10" s="376"/>
      <c r="I10" s="375"/>
      <c r="J10" s="375"/>
      <c r="K10" s="375"/>
      <c r="L10" s="375"/>
      <c r="M10" s="377"/>
      <c r="N10" s="378"/>
    </row>
    <row r="11" spans="1:21" s="53" customFormat="1" ht="27.75" customHeight="1" x14ac:dyDescent="0.2">
      <c r="A11" s="390"/>
      <c r="B11" s="432" t="s">
        <v>210</v>
      </c>
      <c r="C11" s="432"/>
      <c r="D11" s="379" t="s">
        <v>222</v>
      </c>
      <c r="E11" s="379" t="s">
        <v>220</v>
      </c>
      <c r="F11" s="379" t="s">
        <v>219</v>
      </c>
      <c r="G11" s="379" t="s">
        <v>218</v>
      </c>
      <c r="H11" s="433" t="s">
        <v>234</v>
      </c>
      <c r="I11" s="433"/>
      <c r="J11" s="380"/>
      <c r="K11" s="433" t="s">
        <v>221</v>
      </c>
      <c r="L11" s="433"/>
      <c r="M11" s="379" t="s">
        <v>217</v>
      </c>
      <c r="N11" s="381"/>
    </row>
    <row r="12" spans="1:21" s="53" customFormat="1" ht="30" customHeight="1" x14ac:dyDescent="0.2">
      <c r="A12" s="390"/>
      <c r="B12" s="434" t="s">
        <v>211</v>
      </c>
      <c r="C12" s="434"/>
      <c r="D12" s="382" t="s">
        <v>212</v>
      </c>
      <c r="E12" s="382" t="s">
        <v>213</v>
      </c>
      <c r="F12" s="382" t="s">
        <v>214</v>
      </c>
      <c r="G12" s="382" t="s">
        <v>215</v>
      </c>
      <c r="H12" s="383" t="s">
        <v>225</v>
      </c>
      <c r="I12" s="383" t="s">
        <v>226</v>
      </c>
      <c r="J12" s="383"/>
      <c r="K12" s="383" t="s">
        <v>225</v>
      </c>
      <c r="L12" s="383" t="s">
        <v>226</v>
      </c>
      <c r="M12" s="384" t="s">
        <v>216</v>
      </c>
      <c r="N12" s="385"/>
    </row>
    <row r="13" spans="1:21" s="53" customFormat="1" ht="30" customHeight="1" x14ac:dyDescent="0.2">
      <c r="A13" s="391"/>
      <c r="B13" s="392"/>
      <c r="C13" s="392"/>
      <c r="D13" s="386"/>
      <c r="E13" s="386"/>
      <c r="F13" s="386"/>
      <c r="G13" s="386"/>
      <c r="H13" s="387" t="s">
        <v>223</v>
      </c>
      <c r="I13" s="387" t="s">
        <v>224</v>
      </c>
      <c r="J13" s="387"/>
      <c r="K13" s="387" t="s">
        <v>223</v>
      </c>
      <c r="L13" s="387" t="s">
        <v>224</v>
      </c>
      <c r="M13" s="370"/>
      <c r="N13" s="373"/>
    </row>
    <row r="14" spans="1:21" s="53" customFormat="1" ht="8.1" customHeight="1" x14ac:dyDescent="0.2">
      <c r="A14" s="116"/>
      <c r="B14" s="180"/>
      <c r="C14" s="180"/>
      <c r="D14" s="90"/>
      <c r="E14" s="90"/>
      <c r="F14" s="192"/>
      <c r="G14" s="192"/>
      <c r="H14" s="192"/>
      <c r="I14" s="192"/>
      <c r="J14" s="192"/>
      <c r="K14" s="192"/>
      <c r="L14" s="192"/>
      <c r="M14" s="192"/>
      <c r="N14" s="86"/>
    </row>
    <row r="15" spans="1:21" s="53" customFormat="1" ht="15.95" customHeight="1" x14ac:dyDescent="0.2">
      <c r="B15" s="124" t="s">
        <v>183</v>
      </c>
      <c r="C15" s="124"/>
      <c r="D15" s="121">
        <v>2017</v>
      </c>
      <c r="E15" s="145">
        <f>SUM(F15:M15)</f>
        <v>842</v>
      </c>
      <c r="F15" s="145">
        <f t="shared" ref="F15:I17" si="0">SUM(F19,F23,F27)</f>
        <v>7</v>
      </c>
      <c r="G15" s="145">
        <f t="shared" si="0"/>
        <v>69</v>
      </c>
      <c r="H15" s="145">
        <f t="shared" si="0"/>
        <v>1</v>
      </c>
      <c r="I15" s="145">
        <f t="shared" si="0"/>
        <v>349</v>
      </c>
      <c r="J15" s="145"/>
      <c r="K15" s="137" t="s">
        <v>51</v>
      </c>
      <c r="L15" s="145">
        <f t="shared" ref="L15:M17" si="1">SUM(L19,L23,L27)</f>
        <v>240</v>
      </c>
      <c r="M15" s="145">
        <f t="shared" si="1"/>
        <v>176</v>
      </c>
      <c r="O15" s="201"/>
    </row>
    <row r="16" spans="1:21" s="116" customFormat="1" ht="15.95" customHeight="1" x14ac:dyDescent="0.2">
      <c r="B16" s="124"/>
      <c r="C16" s="124"/>
      <c r="D16" s="121">
        <v>2018</v>
      </c>
      <c r="E16" s="145">
        <f t="shared" ref="E16:E17" si="2">SUM(F16:M16)</f>
        <v>621</v>
      </c>
      <c r="F16" s="145">
        <f>SUM(F20,F24,F28)</f>
        <v>13</v>
      </c>
      <c r="G16" s="145">
        <f t="shared" si="0"/>
        <v>51</v>
      </c>
      <c r="H16" s="145">
        <f t="shared" si="0"/>
        <v>1</v>
      </c>
      <c r="I16" s="145">
        <f>SUM(I20,I24,I28)</f>
        <v>175</v>
      </c>
      <c r="J16" s="145"/>
      <c r="K16" s="137" t="s">
        <v>51</v>
      </c>
      <c r="L16" s="145">
        <f t="shared" si="1"/>
        <v>183</v>
      </c>
      <c r="M16" s="145">
        <f t="shared" si="1"/>
        <v>198</v>
      </c>
      <c r="U16" s="53"/>
    </row>
    <row r="17" spans="1:21" s="116" customFormat="1" ht="15.95" customHeight="1" x14ac:dyDescent="0.2">
      <c r="B17" s="124"/>
      <c r="C17" s="124"/>
      <c r="D17" s="121">
        <v>2019</v>
      </c>
      <c r="E17" s="145">
        <f t="shared" si="2"/>
        <v>460</v>
      </c>
      <c r="F17" s="145">
        <f>SUM(F21,F25,F29)</f>
        <v>5</v>
      </c>
      <c r="G17" s="145">
        <f t="shared" si="0"/>
        <v>22</v>
      </c>
      <c r="H17" s="145">
        <f t="shared" si="0"/>
        <v>0</v>
      </c>
      <c r="I17" s="145">
        <f t="shared" si="0"/>
        <v>151</v>
      </c>
      <c r="J17" s="145"/>
      <c r="K17" s="137" t="s">
        <v>51</v>
      </c>
      <c r="L17" s="145">
        <f t="shared" si="1"/>
        <v>118</v>
      </c>
      <c r="M17" s="145">
        <f t="shared" si="1"/>
        <v>164</v>
      </c>
      <c r="U17" s="53"/>
    </row>
    <row r="18" spans="1:21" s="116" customFormat="1" ht="15.95" customHeight="1" x14ac:dyDescent="0.2">
      <c r="B18" s="124"/>
      <c r="C18" s="124"/>
      <c r="D18" s="121"/>
      <c r="E18" s="145"/>
      <c r="F18" s="145"/>
      <c r="G18" s="145"/>
      <c r="H18" s="145"/>
      <c r="I18" s="145"/>
      <c r="J18" s="145"/>
      <c r="K18" s="145"/>
      <c r="L18" s="145"/>
      <c r="M18" s="145"/>
      <c r="U18" s="53"/>
    </row>
    <row r="19" spans="1:21" s="53" customFormat="1" ht="15.95" customHeight="1" x14ac:dyDescent="0.2">
      <c r="B19" s="82" t="s">
        <v>21</v>
      </c>
      <c r="C19" s="82"/>
      <c r="D19" s="148">
        <v>2017</v>
      </c>
      <c r="E19" s="146">
        <f>SUM(F19:M19)</f>
        <v>80</v>
      </c>
      <c r="F19" s="146">
        <v>1</v>
      </c>
      <c r="G19" s="146">
        <v>9</v>
      </c>
      <c r="H19" s="144" t="s">
        <v>51</v>
      </c>
      <c r="I19" s="146">
        <v>34</v>
      </c>
      <c r="J19" s="146"/>
      <c r="K19" s="144" t="s">
        <v>51</v>
      </c>
      <c r="L19" s="146">
        <v>13</v>
      </c>
      <c r="M19" s="146">
        <v>23</v>
      </c>
      <c r="N19" s="116"/>
      <c r="O19" s="201"/>
      <c r="P19" s="201"/>
    </row>
    <row r="20" spans="1:21" s="53" customFormat="1" ht="15.95" customHeight="1" x14ac:dyDescent="0.2">
      <c r="B20" s="82"/>
      <c r="C20" s="82"/>
      <c r="D20" s="148">
        <v>2018</v>
      </c>
      <c r="E20" s="146">
        <f>SUM(F20:M20)</f>
        <v>67</v>
      </c>
      <c r="F20" s="147">
        <f>2</f>
        <v>2</v>
      </c>
      <c r="G20" s="147">
        <f>11</f>
        <v>11</v>
      </c>
      <c r="H20" s="356" t="s">
        <v>51</v>
      </c>
      <c r="I20" s="147">
        <v>19</v>
      </c>
      <c r="J20" s="147"/>
      <c r="K20" s="356" t="s">
        <v>51</v>
      </c>
      <c r="L20" s="147">
        <v>7</v>
      </c>
      <c r="M20" s="147">
        <f>28</f>
        <v>28</v>
      </c>
      <c r="N20" s="116"/>
      <c r="O20" s="201"/>
    </row>
    <row r="21" spans="1:21" s="53" customFormat="1" ht="15.95" customHeight="1" x14ac:dyDescent="0.2">
      <c r="B21" s="82"/>
      <c r="C21" s="82"/>
      <c r="D21" s="148">
        <v>2019</v>
      </c>
      <c r="E21" s="146">
        <f>SUM(F21:M21)</f>
        <v>64</v>
      </c>
      <c r="F21" s="146">
        <v>1</v>
      </c>
      <c r="G21" s="146">
        <v>8</v>
      </c>
      <c r="H21" s="144" t="s">
        <v>51</v>
      </c>
      <c r="I21" s="146">
        <v>15</v>
      </c>
      <c r="J21" s="146"/>
      <c r="K21" s="144" t="s">
        <v>51</v>
      </c>
      <c r="L21" s="146">
        <v>10</v>
      </c>
      <c r="M21" s="146">
        <v>30</v>
      </c>
      <c r="N21" s="116"/>
      <c r="O21" s="201"/>
    </row>
    <row r="22" spans="1:21" s="53" customFormat="1" ht="15.95" customHeight="1" x14ac:dyDescent="0.2">
      <c r="B22" s="82"/>
      <c r="C22" s="82"/>
      <c r="D22" s="148"/>
      <c r="E22" s="146"/>
      <c r="F22" s="140"/>
      <c r="G22" s="141"/>
      <c r="H22" s="140"/>
      <c r="I22" s="141"/>
      <c r="J22" s="141"/>
      <c r="K22" s="140"/>
      <c r="L22" s="141"/>
      <c r="M22" s="141"/>
      <c r="N22" s="116"/>
      <c r="O22" s="201"/>
    </row>
    <row r="23" spans="1:21" s="53" customFormat="1" ht="15.95" customHeight="1" x14ac:dyDescent="0.2">
      <c r="B23" s="82" t="s">
        <v>22</v>
      </c>
      <c r="C23" s="82"/>
      <c r="D23" s="148">
        <v>2017</v>
      </c>
      <c r="E23" s="146">
        <f>SUM(F23:M23)</f>
        <v>67</v>
      </c>
      <c r="F23" s="140">
        <v>1</v>
      </c>
      <c r="G23" s="141">
        <v>17</v>
      </c>
      <c r="H23" s="140" t="s">
        <v>51</v>
      </c>
      <c r="I23" s="141">
        <v>22</v>
      </c>
      <c r="J23" s="141"/>
      <c r="K23" s="140" t="s">
        <v>51</v>
      </c>
      <c r="L23" s="141">
        <v>8</v>
      </c>
      <c r="M23" s="141">
        <v>19</v>
      </c>
      <c r="N23" s="116"/>
      <c r="O23" s="201"/>
    </row>
    <row r="24" spans="1:21" s="53" customFormat="1" ht="15.95" customHeight="1" x14ac:dyDescent="0.2">
      <c r="B24" s="82"/>
      <c r="C24" s="82"/>
      <c r="D24" s="148">
        <v>2018</v>
      </c>
      <c r="E24" s="146">
        <f>SUM(F24:M24)</f>
        <v>39</v>
      </c>
      <c r="F24" s="147">
        <f>1</f>
        <v>1</v>
      </c>
      <c r="G24" s="147">
        <f>5</f>
        <v>5</v>
      </c>
      <c r="H24" s="356" t="s">
        <v>51</v>
      </c>
      <c r="I24" s="147">
        <v>9</v>
      </c>
      <c r="J24" s="147"/>
      <c r="K24" s="356" t="s">
        <v>51</v>
      </c>
      <c r="L24" s="147">
        <v>5</v>
      </c>
      <c r="M24" s="147">
        <f>19</f>
        <v>19</v>
      </c>
      <c r="N24" s="116"/>
      <c r="O24" s="201"/>
    </row>
    <row r="25" spans="1:21" s="53" customFormat="1" ht="15.95" customHeight="1" x14ac:dyDescent="0.2">
      <c r="B25" s="82"/>
      <c r="C25" s="82"/>
      <c r="D25" s="148">
        <v>2019</v>
      </c>
      <c r="E25" s="146">
        <f>SUM(F25:M25)</f>
        <v>43</v>
      </c>
      <c r="F25" s="140" t="s">
        <v>51</v>
      </c>
      <c r="G25" s="141">
        <v>1</v>
      </c>
      <c r="H25" s="140" t="s">
        <v>51</v>
      </c>
      <c r="I25" s="141">
        <v>15</v>
      </c>
      <c r="J25" s="141"/>
      <c r="K25" s="140" t="s">
        <v>51</v>
      </c>
      <c r="L25" s="141">
        <v>5</v>
      </c>
      <c r="M25" s="141">
        <v>22</v>
      </c>
      <c r="N25" s="116"/>
      <c r="O25" s="201"/>
    </row>
    <row r="26" spans="1:21" s="53" customFormat="1" ht="15.95" customHeight="1" x14ac:dyDescent="0.2">
      <c r="B26" s="82"/>
      <c r="C26" s="82"/>
      <c r="D26" s="148"/>
      <c r="E26" s="146"/>
      <c r="F26" s="146"/>
      <c r="G26" s="146"/>
      <c r="H26" s="146"/>
      <c r="I26" s="146"/>
      <c r="J26" s="146"/>
      <c r="K26" s="144"/>
      <c r="L26" s="146"/>
      <c r="M26" s="146"/>
      <c r="N26" s="116"/>
      <c r="O26" s="201"/>
    </row>
    <row r="27" spans="1:21" s="53" customFormat="1" ht="15.95" customHeight="1" x14ac:dyDescent="0.2">
      <c r="B27" s="82" t="s">
        <v>23</v>
      </c>
      <c r="C27" s="82"/>
      <c r="D27" s="148">
        <v>2017</v>
      </c>
      <c r="E27" s="146">
        <f>SUM(F27:M27)</f>
        <v>695</v>
      </c>
      <c r="F27" s="146">
        <v>5</v>
      </c>
      <c r="G27" s="146">
        <v>43</v>
      </c>
      <c r="H27" s="146">
        <v>1</v>
      </c>
      <c r="I27" s="146">
        <v>293</v>
      </c>
      <c r="J27" s="146"/>
      <c r="K27" s="144" t="s">
        <v>51</v>
      </c>
      <c r="L27" s="146">
        <v>219</v>
      </c>
      <c r="M27" s="146">
        <v>134</v>
      </c>
      <c r="N27" s="116"/>
      <c r="O27" s="201"/>
    </row>
    <row r="28" spans="1:21" s="53" customFormat="1" ht="15.95" customHeight="1" x14ac:dyDescent="0.2">
      <c r="B28" s="82"/>
      <c r="C28" s="82"/>
      <c r="D28" s="148">
        <v>2018</v>
      </c>
      <c r="E28" s="146">
        <f>SUM(F28:M28)</f>
        <v>515</v>
      </c>
      <c r="F28" s="147">
        <f>10</f>
        <v>10</v>
      </c>
      <c r="G28" s="147">
        <f>35</f>
        <v>35</v>
      </c>
      <c r="H28" s="147">
        <v>1</v>
      </c>
      <c r="I28" s="147">
        <v>147</v>
      </c>
      <c r="J28" s="147"/>
      <c r="K28" s="356" t="s">
        <v>51</v>
      </c>
      <c r="L28" s="147">
        <v>171</v>
      </c>
      <c r="M28" s="147">
        <f>151</f>
        <v>151</v>
      </c>
      <c r="N28" s="116"/>
      <c r="O28" s="201"/>
    </row>
    <row r="29" spans="1:21" s="53" customFormat="1" ht="15.95" customHeight="1" x14ac:dyDescent="0.2">
      <c r="B29" s="82"/>
      <c r="C29" s="82"/>
      <c r="D29" s="148">
        <v>2019</v>
      </c>
      <c r="E29" s="146">
        <f>SUM(F29:M29)</f>
        <v>353</v>
      </c>
      <c r="F29" s="114">
        <v>4</v>
      </c>
      <c r="G29" s="114">
        <v>13</v>
      </c>
      <c r="H29" s="301" t="s">
        <v>51</v>
      </c>
      <c r="I29" s="114">
        <v>121</v>
      </c>
      <c r="J29" s="114"/>
      <c r="K29" s="301" t="s">
        <v>51</v>
      </c>
      <c r="L29" s="114">
        <v>103</v>
      </c>
      <c r="M29" s="114">
        <v>112</v>
      </c>
      <c r="N29" s="116"/>
      <c r="O29" s="201"/>
    </row>
    <row r="30" spans="1:21" s="53" customFormat="1" ht="8.1" customHeight="1" thickBot="1" x14ac:dyDescent="0.25">
      <c r="A30" s="195"/>
      <c r="B30" s="196"/>
      <c r="C30" s="196"/>
      <c r="D30" s="197"/>
      <c r="E30" s="197"/>
      <c r="F30" s="198"/>
      <c r="G30" s="198"/>
      <c r="H30" s="198"/>
      <c r="I30" s="198"/>
      <c r="J30" s="198"/>
      <c r="K30" s="198"/>
      <c r="L30" s="198"/>
      <c r="M30" s="198"/>
      <c r="N30" s="195"/>
    </row>
    <row r="31" spans="1:21" s="53" customFormat="1" ht="8.1" customHeight="1" x14ac:dyDescent="0.2">
      <c r="B31" s="115"/>
      <c r="C31" s="115"/>
      <c r="D31" s="63"/>
      <c r="E31" s="63"/>
      <c r="F31" s="114"/>
      <c r="G31" s="114"/>
      <c r="H31" s="114"/>
      <c r="I31" s="114"/>
      <c r="J31" s="114"/>
      <c r="K31" s="114"/>
      <c r="L31" s="114"/>
      <c r="M31" s="114"/>
    </row>
    <row r="32" spans="1:21" s="53" customFormat="1" ht="15.95" customHeight="1" x14ac:dyDescent="0.2">
      <c r="B32" s="202" t="s">
        <v>31</v>
      </c>
      <c r="C32" s="202"/>
      <c r="D32" s="121">
        <v>2017</v>
      </c>
      <c r="E32" s="203">
        <f>SUM(F32:M32)</f>
        <v>884</v>
      </c>
      <c r="F32" s="203">
        <f>SUM(F36,F40,F44,F48,F52,F56,F60,F64)</f>
        <v>14</v>
      </c>
      <c r="G32" s="203">
        <f>SUM(G36,G40,G44,G48,G52,G56,G60,G64)</f>
        <v>91</v>
      </c>
      <c r="H32" s="203">
        <f>SUM(H36,H40,H44,H48,H52,H56,H60,H64)</f>
        <v>2</v>
      </c>
      <c r="I32" s="203">
        <f>SUM(I36,I40,I44,I48,I52,I56,I60,I64)</f>
        <v>392</v>
      </c>
      <c r="J32" s="203"/>
      <c r="K32" s="357" t="s">
        <v>51</v>
      </c>
      <c r="L32" s="203">
        <f t="shared" ref="L32:M34" si="3">SUM(L36,L40,L44,L48,L52,L56,L60,L64)</f>
        <v>144</v>
      </c>
      <c r="M32" s="203">
        <f t="shared" si="3"/>
        <v>241</v>
      </c>
    </row>
    <row r="33" spans="2:13" s="53" customFormat="1" ht="15.95" customHeight="1" x14ac:dyDescent="0.2">
      <c r="B33" s="202"/>
      <c r="C33" s="202"/>
      <c r="D33" s="121">
        <v>2018</v>
      </c>
      <c r="E33" s="203">
        <f>SUM(F33:M33)</f>
        <v>831</v>
      </c>
      <c r="F33" s="203">
        <f>SUM(F37,F41,F45,F49,F53,F57,F61,F65)</f>
        <v>9</v>
      </c>
      <c r="G33" s="203">
        <f>SUM(G37,G41,G45,G49,G53,G57,G61,G65)</f>
        <v>97</v>
      </c>
      <c r="H33" s="357" t="s">
        <v>51</v>
      </c>
      <c r="I33" s="203">
        <f>SUM(I37,I41,I45,I49,I53,I57,I61,I65)</f>
        <v>288</v>
      </c>
      <c r="J33" s="203"/>
      <c r="K33" s="203">
        <f>SUM(K37,K41,K45,K49,K53,K57,K61,K65)</f>
        <v>1</v>
      </c>
      <c r="L33" s="203">
        <f t="shared" si="3"/>
        <v>187</v>
      </c>
      <c r="M33" s="203">
        <f t="shared" si="3"/>
        <v>249</v>
      </c>
    </row>
    <row r="34" spans="2:13" s="53" customFormat="1" ht="15.95" customHeight="1" x14ac:dyDescent="0.2">
      <c r="B34" s="202"/>
      <c r="C34" s="202"/>
      <c r="D34" s="121">
        <v>2019</v>
      </c>
      <c r="E34" s="203">
        <f>SUM(F34:M34)</f>
        <v>778</v>
      </c>
      <c r="F34" s="203">
        <f>SUM(F38,F42,F46,F50,F54,F58,F62,F66)</f>
        <v>10</v>
      </c>
      <c r="G34" s="203">
        <f>SUM(G38,G42,G46,G50,G54,G58,G62,G66)</f>
        <v>56</v>
      </c>
      <c r="H34" s="203">
        <f>SUM(H38,H42,H46,H50,H54,H58,H62,H66)</f>
        <v>0</v>
      </c>
      <c r="I34" s="203">
        <f>SUM(I38,I42,I46,I50,I54,I58,I62,I66)</f>
        <v>282</v>
      </c>
      <c r="J34" s="203"/>
      <c r="K34" s="357" t="s">
        <v>51</v>
      </c>
      <c r="L34" s="203">
        <f t="shared" si="3"/>
        <v>172</v>
      </c>
      <c r="M34" s="203">
        <f t="shared" si="3"/>
        <v>258</v>
      </c>
    </row>
    <row r="35" spans="2:13" s="53" customFormat="1" ht="15.95" customHeight="1" x14ac:dyDescent="0.2">
      <c r="B35" s="202"/>
      <c r="C35" s="202"/>
      <c r="D35" s="121"/>
      <c r="E35" s="203"/>
      <c r="F35" s="203"/>
      <c r="G35" s="203"/>
      <c r="H35" s="203"/>
      <c r="I35" s="203"/>
      <c r="J35" s="203"/>
      <c r="K35" s="203"/>
      <c r="L35" s="203"/>
      <c r="M35" s="203"/>
    </row>
    <row r="36" spans="2:13" s="53" customFormat="1" ht="15.95" customHeight="1" x14ac:dyDescent="0.2">
      <c r="B36" s="204" t="s">
        <v>24</v>
      </c>
      <c r="C36" s="204"/>
      <c r="D36" s="148">
        <v>2017</v>
      </c>
      <c r="E36" s="206">
        <f>SUM(F36:M36)</f>
        <v>19</v>
      </c>
      <c r="F36" s="146">
        <v>2</v>
      </c>
      <c r="G36" s="146">
        <v>3</v>
      </c>
      <c r="H36" s="146">
        <v>1</v>
      </c>
      <c r="I36" s="146">
        <v>1</v>
      </c>
      <c r="J36" s="146"/>
      <c r="K36" s="144" t="s">
        <v>51</v>
      </c>
      <c r="L36" s="146">
        <v>2</v>
      </c>
      <c r="M36" s="146">
        <v>10</v>
      </c>
    </row>
    <row r="37" spans="2:13" s="53" customFormat="1" ht="15.95" customHeight="1" x14ac:dyDescent="0.2">
      <c r="B37" s="204"/>
      <c r="C37" s="204"/>
      <c r="D37" s="148">
        <v>2018</v>
      </c>
      <c r="E37" s="206">
        <f>SUM(F37:M37)</f>
        <v>13</v>
      </c>
      <c r="F37" s="314">
        <f>0</f>
        <v>0</v>
      </c>
      <c r="G37" s="114">
        <f>2</f>
        <v>2</v>
      </c>
      <c r="H37" s="301" t="s">
        <v>51</v>
      </c>
      <c r="I37" s="114">
        <v>3</v>
      </c>
      <c r="J37" s="114"/>
      <c r="K37" s="301" t="s">
        <v>51</v>
      </c>
      <c r="L37" s="114">
        <v>5</v>
      </c>
      <c r="M37" s="114">
        <f>3</f>
        <v>3</v>
      </c>
    </row>
    <row r="38" spans="2:13" s="53" customFormat="1" ht="15.95" customHeight="1" x14ac:dyDescent="0.2">
      <c r="B38" s="204"/>
      <c r="C38" s="204"/>
      <c r="D38" s="148">
        <v>2019</v>
      </c>
      <c r="E38" s="206">
        <f>SUM(F38:M38)</f>
        <v>17</v>
      </c>
      <c r="F38" s="144" t="s">
        <v>51</v>
      </c>
      <c r="G38" s="146">
        <v>2</v>
      </c>
      <c r="H38" s="144" t="s">
        <v>51</v>
      </c>
      <c r="I38" s="146">
        <v>4</v>
      </c>
      <c r="J38" s="146"/>
      <c r="K38" s="144" t="s">
        <v>51</v>
      </c>
      <c r="L38" s="146">
        <v>3</v>
      </c>
      <c r="M38" s="146">
        <v>8</v>
      </c>
    </row>
    <row r="39" spans="2:13" s="53" customFormat="1" ht="15.95" customHeight="1" x14ac:dyDescent="0.2">
      <c r="B39" s="204"/>
      <c r="C39" s="204"/>
      <c r="D39" s="148"/>
      <c r="E39" s="206"/>
      <c r="F39" s="144"/>
      <c r="G39" s="146"/>
      <c r="H39" s="144"/>
      <c r="I39" s="146"/>
      <c r="J39" s="146"/>
      <c r="K39" s="146"/>
      <c r="L39" s="146"/>
      <c r="M39" s="146"/>
    </row>
    <row r="40" spans="2:13" s="53" customFormat="1" ht="15.95" customHeight="1" x14ac:dyDescent="0.2">
      <c r="B40" s="204" t="s">
        <v>30</v>
      </c>
      <c r="C40" s="204"/>
      <c r="D40" s="148">
        <v>2017</v>
      </c>
      <c r="E40" s="206">
        <f>SUM(F40:M40)</f>
        <v>69</v>
      </c>
      <c r="F40" s="144">
        <v>4</v>
      </c>
      <c r="G40" s="146">
        <v>17</v>
      </c>
      <c r="H40" s="144" t="s">
        <v>51</v>
      </c>
      <c r="I40" s="146">
        <v>11</v>
      </c>
      <c r="J40" s="146"/>
      <c r="K40" s="144" t="s">
        <v>51</v>
      </c>
      <c r="L40" s="146">
        <v>12</v>
      </c>
      <c r="M40" s="146">
        <v>25</v>
      </c>
    </row>
    <row r="41" spans="2:13" s="53" customFormat="1" ht="15.95" customHeight="1" x14ac:dyDescent="0.2">
      <c r="B41" s="204"/>
      <c r="C41" s="204"/>
      <c r="D41" s="148">
        <v>2018</v>
      </c>
      <c r="E41" s="206">
        <f>SUM(F41:M41)</f>
        <v>51</v>
      </c>
      <c r="F41" s="314">
        <f>0</f>
        <v>0</v>
      </c>
      <c r="G41" s="114">
        <f>12</f>
        <v>12</v>
      </c>
      <c r="H41" s="301" t="s">
        <v>51</v>
      </c>
      <c r="I41" s="114">
        <v>10</v>
      </c>
      <c r="J41" s="114"/>
      <c r="K41" s="301" t="s">
        <v>51</v>
      </c>
      <c r="L41" s="114">
        <v>10</v>
      </c>
      <c r="M41" s="114">
        <f>19</f>
        <v>19</v>
      </c>
    </row>
    <row r="42" spans="2:13" s="53" customFormat="1" ht="15.95" customHeight="1" x14ac:dyDescent="0.2">
      <c r="B42" s="204"/>
      <c r="C42" s="204"/>
      <c r="D42" s="148">
        <v>2019</v>
      </c>
      <c r="E42" s="206">
        <f>SUM(F42:M42)</f>
        <v>49</v>
      </c>
      <c r="F42" s="144" t="s">
        <v>51</v>
      </c>
      <c r="G42" s="146">
        <v>6</v>
      </c>
      <c r="H42" s="144" t="s">
        <v>51</v>
      </c>
      <c r="I42" s="146">
        <v>15</v>
      </c>
      <c r="J42" s="146"/>
      <c r="K42" s="144" t="s">
        <v>51</v>
      </c>
      <c r="L42" s="146">
        <v>4</v>
      </c>
      <c r="M42" s="146">
        <v>24</v>
      </c>
    </row>
    <row r="43" spans="2:13" s="53" customFormat="1" ht="15.95" customHeight="1" x14ac:dyDescent="0.2">
      <c r="B43" s="204"/>
      <c r="C43" s="204"/>
      <c r="D43" s="148"/>
      <c r="E43" s="206"/>
      <c r="F43" s="146"/>
      <c r="G43" s="146"/>
      <c r="H43" s="144"/>
      <c r="I43" s="146"/>
      <c r="J43" s="146"/>
      <c r="K43" s="144"/>
      <c r="L43" s="146"/>
      <c r="M43" s="146"/>
    </row>
    <row r="44" spans="2:13" s="53" customFormat="1" ht="15.95" customHeight="1" x14ac:dyDescent="0.2">
      <c r="B44" s="204" t="s">
        <v>25</v>
      </c>
      <c r="C44" s="204"/>
      <c r="D44" s="148">
        <v>2017</v>
      </c>
      <c r="E44" s="206">
        <f>SUM(F44:M44)</f>
        <v>50</v>
      </c>
      <c r="F44" s="146">
        <v>1</v>
      </c>
      <c r="G44" s="146">
        <v>4</v>
      </c>
      <c r="H44" s="144" t="s">
        <v>51</v>
      </c>
      <c r="I44" s="146">
        <v>19</v>
      </c>
      <c r="J44" s="146"/>
      <c r="K44" s="144" t="s">
        <v>51</v>
      </c>
      <c r="L44" s="146">
        <v>6</v>
      </c>
      <c r="M44" s="146">
        <v>20</v>
      </c>
    </row>
    <row r="45" spans="2:13" s="53" customFormat="1" ht="15.95" customHeight="1" x14ac:dyDescent="0.2">
      <c r="B45" s="204"/>
      <c r="C45" s="204"/>
      <c r="D45" s="148">
        <v>2018</v>
      </c>
      <c r="E45" s="206">
        <f>SUM(F45:M45)</f>
        <v>34</v>
      </c>
      <c r="F45" s="301" t="s">
        <v>51</v>
      </c>
      <c r="G45" s="114">
        <f>6</f>
        <v>6</v>
      </c>
      <c r="H45" s="301" t="s">
        <v>51</v>
      </c>
      <c r="I45" s="114">
        <v>6</v>
      </c>
      <c r="J45" s="114"/>
      <c r="K45" s="301" t="s">
        <v>51</v>
      </c>
      <c r="L45" s="114">
        <v>10</v>
      </c>
      <c r="M45" s="114">
        <f>12</f>
        <v>12</v>
      </c>
    </row>
    <row r="46" spans="2:13" s="53" customFormat="1" ht="15.95" customHeight="1" x14ac:dyDescent="0.2">
      <c r="B46" s="204"/>
      <c r="C46" s="204"/>
      <c r="D46" s="148">
        <v>2019</v>
      </c>
      <c r="E46" s="206">
        <f>SUM(F46:M46)</f>
        <v>34</v>
      </c>
      <c r="F46" s="144" t="s">
        <v>51</v>
      </c>
      <c r="G46" s="146">
        <v>4</v>
      </c>
      <c r="H46" s="144" t="s">
        <v>51</v>
      </c>
      <c r="I46" s="146">
        <v>8</v>
      </c>
      <c r="J46" s="146"/>
      <c r="K46" s="144" t="s">
        <v>51</v>
      </c>
      <c r="L46" s="146">
        <v>3</v>
      </c>
      <c r="M46" s="146">
        <v>19</v>
      </c>
    </row>
    <row r="47" spans="2:13" s="53" customFormat="1" ht="15.95" customHeight="1" x14ac:dyDescent="0.2">
      <c r="B47" s="204"/>
      <c r="C47" s="204"/>
      <c r="D47" s="205"/>
      <c r="E47" s="206"/>
      <c r="F47" s="144"/>
      <c r="G47" s="146"/>
      <c r="H47" s="146"/>
      <c r="I47" s="146"/>
      <c r="J47" s="146"/>
      <c r="K47" s="144"/>
      <c r="L47" s="146"/>
      <c r="M47" s="146"/>
    </row>
    <row r="48" spans="2:13" s="53" customFormat="1" ht="15.95" customHeight="1" x14ac:dyDescent="0.2">
      <c r="B48" s="204" t="s">
        <v>68</v>
      </c>
      <c r="C48" s="204"/>
      <c r="D48" s="148">
        <v>2017</v>
      </c>
      <c r="E48" s="206">
        <f>SUM(F48:M48)</f>
        <v>276</v>
      </c>
      <c r="F48" s="144">
        <v>1</v>
      </c>
      <c r="G48" s="146">
        <v>14</v>
      </c>
      <c r="H48" s="146">
        <v>1</v>
      </c>
      <c r="I48" s="146">
        <v>139</v>
      </c>
      <c r="J48" s="146"/>
      <c r="K48" s="144" t="s">
        <v>51</v>
      </c>
      <c r="L48" s="146">
        <v>48</v>
      </c>
      <c r="M48" s="146">
        <v>73</v>
      </c>
    </row>
    <row r="49" spans="2:13" s="53" customFormat="1" ht="15.95" customHeight="1" x14ac:dyDescent="0.2">
      <c r="B49" s="204"/>
      <c r="C49" s="204"/>
      <c r="D49" s="148">
        <v>2018</v>
      </c>
      <c r="E49" s="206">
        <f>SUM(F49:M49)</f>
        <v>261</v>
      </c>
      <c r="F49" s="314">
        <f>0</f>
        <v>0</v>
      </c>
      <c r="G49" s="114">
        <f>19</f>
        <v>19</v>
      </c>
      <c r="H49" s="301" t="s">
        <v>51</v>
      </c>
      <c r="I49" s="114">
        <v>93</v>
      </c>
      <c r="J49" s="114"/>
      <c r="K49" s="301" t="s">
        <v>51</v>
      </c>
      <c r="L49" s="114">
        <v>56</v>
      </c>
      <c r="M49" s="114">
        <v>93</v>
      </c>
    </row>
    <row r="50" spans="2:13" s="53" customFormat="1" ht="15.95" customHeight="1" x14ac:dyDescent="0.2">
      <c r="B50" s="204"/>
      <c r="C50" s="204"/>
      <c r="D50" s="148">
        <v>2019</v>
      </c>
      <c r="E50" s="206">
        <f>SUM(F50:M50)</f>
        <v>220</v>
      </c>
      <c r="F50" s="144">
        <v>2</v>
      </c>
      <c r="G50" s="146">
        <v>11</v>
      </c>
      <c r="H50" s="144" t="s">
        <v>51</v>
      </c>
      <c r="I50" s="146">
        <v>77</v>
      </c>
      <c r="J50" s="146"/>
      <c r="K50" s="144" t="s">
        <v>51</v>
      </c>
      <c r="L50" s="146">
        <v>55</v>
      </c>
      <c r="M50" s="146">
        <v>75</v>
      </c>
    </row>
    <row r="51" spans="2:13" s="53" customFormat="1" ht="15.95" customHeight="1" x14ac:dyDescent="0.2">
      <c r="B51" s="204"/>
      <c r="C51" s="204"/>
      <c r="D51" s="148"/>
      <c r="E51" s="206"/>
      <c r="F51" s="146"/>
      <c r="G51" s="146"/>
      <c r="H51" s="144"/>
      <c r="I51" s="146"/>
      <c r="J51" s="146"/>
      <c r="K51" s="144"/>
      <c r="L51" s="146"/>
      <c r="M51" s="146"/>
    </row>
    <row r="52" spans="2:13" s="53" customFormat="1" ht="15.95" customHeight="1" x14ac:dyDescent="0.2">
      <c r="B52" s="204" t="s">
        <v>26</v>
      </c>
      <c r="C52" s="204"/>
      <c r="D52" s="148">
        <v>2017</v>
      </c>
      <c r="E52" s="206">
        <f>SUM(F52:M52)</f>
        <v>84</v>
      </c>
      <c r="F52" s="146">
        <v>1</v>
      </c>
      <c r="G52" s="146">
        <v>13</v>
      </c>
      <c r="H52" s="144" t="s">
        <v>51</v>
      </c>
      <c r="I52" s="146">
        <v>33</v>
      </c>
      <c r="J52" s="146"/>
      <c r="K52" s="144" t="s">
        <v>51</v>
      </c>
      <c r="L52" s="146">
        <v>12</v>
      </c>
      <c r="M52" s="146">
        <v>25</v>
      </c>
    </row>
    <row r="53" spans="2:13" s="53" customFormat="1" ht="15.95" customHeight="1" x14ac:dyDescent="0.2">
      <c r="B53" s="204"/>
      <c r="C53" s="204"/>
      <c r="D53" s="148">
        <v>2018</v>
      </c>
      <c r="E53" s="206">
        <f>SUM(F53:M53)</f>
        <v>96</v>
      </c>
      <c r="F53" s="114">
        <f>3</f>
        <v>3</v>
      </c>
      <c r="G53" s="114">
        <f>18</f>
        <v>18</v>
      </c>
      <c r="H53" s="301" t="s">
        <v>51</v>
      </c>
      <c r="I53" s="114">
        <v>36</v>
      </c>
      <c r="J53" s="114"/>
      <c r="K53" s="301" t="s">
        <v>51</v>
      </c>
      <c r="L53" s="114">
        <v>14</v>
      </c>
      <c r="M53" s="114">
        <f>25</f>
        <v>25</v>
      </c>
    </row>
    <row r="54" spans="2:13" s="53" customFormat="1" ht="15.95" customHeight="1" x14ac:dyDescent="0.2">
      <c r="B54" s="204"/>
      <c r="C54" s="204"/>
      <c r="D54" s="148">
        <v>2019</v>
      </c>
      <c r="E54" s="206">
        <f>SUM(F54:M54)</f>
        <v>80</v>
      </c>
      <c r="F54" s="146">
        <v>1</v>
      </c>
      <c r="G54" s="146">
        <v>2</v>
      </c>
      <c r="H54" s="144" t="s">
        <v>51</v>
      </c>
      <c r="I54" s="146">
        <v>37</v>
      </c>
      <c r="J54" s="146"/>
      <c r="K54" s="144" t="s">
        <v>51</v>
      </c>
      <c r="L54" s="146">
        <v>15</v>
      </c>
      <c r="M54" s="146">
        <v>25</v>
      </c>
    </row>
    <row r="55" spans="2:13" s="53" customFormat="1" ht="15.95" customHeight="1" x14ac:dyDescent="0.2">
      <c r="B55" s="204"/>
      <c r="C55" s="204"/>
      <c r="D55" s="148"/>
      <c r="E55" s="206"/>
      <c r="F55" s="144"/>
      <c r="G55" s="146"/>
      <c r="H55" s="144"/>
      <c r="I55" s="146"/>
      <c r="J55" s="146"/>
      <c r="K55" s="144"/>
      <c r="L55" s="146"/>
      <c r="M55" s="146"/>
    </row>
    <row r="56" spans="2:13" s="53" customFormat="1" ht="15.95" customHeight="1" x14ac:dyDescent="0.2">
      <c r="B56" s="204" t="s">
        <v>27</v>
      </c>
      <c r="C56" s="204"/>
      <c r="D56" s="148">
        <v>2017</v>
      </c>
      <c r="E56" s="206">
        <f>SUM(F56:M56)</f>
        <v>16</v>
      </c>
      <c r="F56" s="144" t="s">
        <v>51</v>
      </c>
      <c r="G56" s="146">
        <v>2</v>
      </c>
      <c r="H56" s="144" t="s">
        <v>51</v>
      </c>
      <c r="I56" s="146">
        <v>6</v>
      </c>
      <c r="J56" s="146"/>
      <c r="K56" s="144" t="s">
        <v>51</v>
      </c>
      <c r="L56" s="146">
        <v>1</v>
      </c>
      <c r="M56" s="146">
        <v>7</v>
      </c>
    </row>
    <row r="57" spans="2:13" s="53" customFormat="1" ht="15.95" customHeight="1" x14ac:dyDescent="0.2">
      <c r="B57" s="204"/>
      <c r="C57" s="204"/>
      <c r="D57" s="148">
        <v>2018</v>
      </c>
      <c r="E57" s="206">
        <f>SUM(F57:M57)</f>
        <v>31</v>
      </c>
      <c r="F57" s="114">
        <f>1</f>
        <v>1</v>
      </c>
      <c r="G57" s="114">
        <f>6</f>
        <v>6</v>
      </c>
      <c r="H57" s="301" t="s">
        <v>51</v>
      </c>
      <c r="I57" s="114">
        <v>10</v>
      </c>
      <c r="J57" s="114"/>
      <c r="K57" s="301" t="s">
        <v>51</v>
      </c>
      <c r="L57" s="114">
        <v>5</v>
      </c>
      <c r="M57" s="114">
        <f>9</f>
        <v>9</v>
      </c>
    </row>
    <row r="58" spans="2:13" s="53" customFormat="1" ht="15.95" customHeight="1" x14ac:dyDescent="0.2">
      <c r="B58" s="204"/>
      <c r="C58" s="204"/>
      <c r="D58" s="148">
        <v>2019</v>
      </c>
      <c r="E58" s="206">
        <f>SUM(F58:M58)</f>
        <v>26</v>
      </c>
      <c r="F58" s="144" t="s">
        <v>51</v>
      </c>
      <c r="G58" s="146">
        <v>4</v>
      </c>
      <c r="H58" s="144" t="s">
        <v>51</v>
      </c>
      <c r="I58" s="146">
        <v>6</v>
      </c>
      <c r="J58" s="146"/>
      <c r="K58" s="144" t="s">
        <v>51</v>
      </c>
      <c r="L58" s="146">
        <v>4</v>
      </c>
      <c r="M58" s="146">
        <v>12</v>
      </c>
    </row>
    <row r="59" spans="2:13" s="53" customFormat="1" ht="15.95" customHeight="1" x14ac:dyDescent="0.2">
      <c r="B59" s="204"/>
      <c r="C59" s="204"/>
      <c r="D59" s="205"/>
      <c r="E59" s="206"/>
      <c r="F59" s="146"/>
      <c r="G59" s="146"/>
      <c r="H59" s="146"/>
      <c r="I59" s="146"/>
      <c r="J59" s="146"/>
      <c r="K59" s="146"/>
      <c r="L59" s="146"/>
      <c r="M59" s="146"/>
    </row>
    <row r="60" spans="2:13" s="53" customFormat="1" ht="15.95" customHeight="1" x14ac:dyDescent="0.2">
      <c r="B60" s="204" t="s">
        <v>28</v>
      </c>
      <c r="C60" s="204"/>
      <c r="D60" s="148">
        <v>2017</v>
      </c>
      <c r="E60" s="206">
        <f>SUM(F60:M60)</f>
        <v>331</v>
      </c>
      <c r="F60" s="146">
        <v>4</v>
      </c>
      <c r="G60" s="146">
        <v>28</v>
      </c>
      <c r="H60" s="144" t="s">
        <v>51</v>
      </c>
      <c r="I60" s="146">
        <v>169</v>
      </c>
      <c r="J60" s="146"/>
      <c r="K60" s="144" t="s">
        <v>51</v>
      </c>
      <c r="L60" s="146">
        <v>60</v>
      </c>
      <c r="M60" s="146">
        <v>70</v>
      </c>
    </row>
    <row r="61" spans="2:13" s="53" customFormat="1" ht="15.95" customHeight="1" x14ac:dyDescent="0.2">
      <c r="B61" s="204"/>
      <c r="C61" s="204"/>
      <c r="D61" s="148">
        <v>2018</v>
      </c>
      <c r="E61" s="206">
        <f>SUM(F61:M61)</f>
        <v>310</v>
      </c>
      <c r="F61" s="114">
        <f>5</f>
        <v>5</v>
      </c>
      <c r="G61" s="114">
        <f>30</f>
        <v>30</v>
      </c>
      <c r="H61" s="301" t="s">
        <v>51</v>
      </c>
      <c r="I61" s="114">
        <v>123</v>
      </c>
      <c r="J61" s="114"/>
      <c r="K61" s="114">
        <v>1</v>
      </c>
      <c r="L61" s="114">
        <v>79</v>
      </c>
      <c r="M61" s="114">
        <f>72</f>
        <v>72</v>
      </c>
    </row>
    <row r="62" spans="2:13" s="53" customFormat="1" ht="15.95" customHeight="1" x14ac:dyDescent="0.2">
      <c r="B62" s="204"/>
      <c r="C62" s="204"/>
      <c r="D62" s="148">
        <v>2019</v>
      </c>
      <c r="E62" s="206">
        <f>SUM(F62:M62)</f>
        <v>329</v>
      </c>
      <c r="F62" s="146">
        <v>6</v>
      </c>
      <c r="G62" s="146">
        <v>27</v>
      </c>
      <c r="H62" s="144" t="s">
        <v>51</v>
      </c>
      <c r="I62" s="146">
        <v>132</v>
      </c>
      <c r="J62" s="146"/>
      <c r="K62" s="144" t="s">
        <v>51</v>
      </c>
      <c r="L62" s="146">
        <v>76</v>
      </c>
      <c r="M62" s="146">
        <v>88</v>
      </c>
    </row>
    <row r="63" spans="2:13" s="53" customFormat="1" ht="15.95" customHeight="1" x14ac:dyDescent="0.2">
      <c r="B63" s="204"/>
      <c r="C63" s="204"/>
      <c r="D63" s="148"/>
      <c r="E63" s="206"/>
      <c r="F63" s="144"/>
      <c r="G63" s="141"/>
      <c r="H63" s="144"/>
      <c r="I63" s="146"/>
      <c r="J63" s="146"/>
      <c r="K63" s="144"/>
      <c r="L63" s="146"/>
      <c r="M63" s="141"/>
    </row>
    <row r="64" spans="2:13" s="53" customFormat="1" ht="15.95" customHeight="1" x14ac:dyDescent="0.2">
      <c r="B64" s="204" t="s">
        <v>29</v>
      </c>
      <c r="C64" s="204"/>
      <c r="D64" s="148">
        <v>2017</v>
      </c>
      <c r="E64" s="206">
        <f>SUM(F64:M64)</f>
        <v>39</v>
      </c>
      <c r="F64" s="144">
        <v>1</v>
      </c>
      <c r="G64" s="141">
        <v>10</v>
      </c>
      <c r="H64" s="144" t="s">
        <v>51</v>
      </c>
      <c r="I64" s="146">
        <v>14</v>
      </c>
      <c r="J64" s="146"/>
      <c r="K64" s="144" t="s">
        <v>51</v>
      </c>
      <c r="L64" s="146">
        <v>3</v>
      </c>
      <c r="M64" s="141">
        <v>11</v>
      </c>
    </row>
    <row r="65" spans="1:14" s="53" customFormat="1" ht="15.95" customHeight="1" x14ac:dyDescent="0.2">
      <c r="B65" s="204"/>
      <c r="C65" s="204"/>
      <c r="D65" s="148">
        <v>2018</v>
      </c>
      <c r="E65" s="206">
        <f>SUM(F65:M65)</f>
        <v>35</v>
      </c>
      <c r="F65" s="314">
        <f>0</f>
        <v>0</v>
      </c>
      <c r="G65" s="114">
        <f>4</f>
        <v>4</v>
      </c>
      <c r="H65" s="301" t="s">
        <v>51</v>
      </c>
      <c r="I65" s="114">
        <v>7</v>
      </c>
      <c r="J65" s="114"/>
      <c r="K65" s="301" t="s">
        <v>51</v>
      </c>
      <c r="L65" s="114">
        <v>8</v>
      </c>
      <c r="M65" s="114">
        <f>16</f>
        <v>16</v>
      </c>
    </row>
    <row r="66" spans="1:14" s="53" customFormat="1" ht="15.95" customHeight="1" x14ac:dyDescent="0.2">
      <c r="B66" s="204"/>
      <c r="C66" s="204"/>
      <c r="D66" s="148">
        <v>2019</v>
      </c>
      <c r="E66" s="206">
        <f>SUM(F66:M66)</f>
        <v>23</v>
      </c>
      <c r="F66" s="114">
        <v>1</v>
      </c>
      <c r="G66" s="301" t="s">
        <v>51</v>
      </c>
      <c r="H66" s="301" t="s">
        <v>51</v>
      </c>
      <c r="I66" s="114">
        <v>3</v>
      </c>
      <c r="J66" s="114"/>
      <c r="K66" s="301" t="s">
        <v>51</v>
      </c>
      <c r="L66" s="114">
        <v>12</v>
      </c>
      <c r="M66" s="114">
        <v>7</v>
      </c>
    </row>
    <row r="67" spans="1:14" s="53" customFormat="1" ht="8.1" customHeight="1" thickBot="1" x14ac:dyDescent="0.25">
      <c r="A67" s="195"/>
      <c r="B67" s="196"/>
      <c r="C67" s="196"/>
      <c r="D67" s="196"/>
      <c r="E67" s="197"/>
      <c r="F67" s="198"/>
      <c r="G67" s="198"/>
      <c r="H67" s="198"/>
      <c r="I67" s="198"/>
      <c r="J67" s="198"/>
      <c r="K67" s="198"/>
      <c r="L67" s="198"/>
      <c r="M67" s="199"/>
      <c r="N67" s="195"/>
    </row>
    <row r="68" spans="1:14" s="53" customFormat="1" ht="12.75" x14ac:dyDescent="0.2">
      <c r="B68" s="115"/>
      <c r="C68" s="115"/>
      <c r="D68" s="115"/>
      <c r="E68" s="63"/>
      <c r="F68" s="114"/>
      <c r="G68" s="114"/>
      <c r="H68" s="114"/>
      <c r="I68" s="114"/>
      <c r="J68" s="114"/>
      <c r="K68" s="114"/>
      <c r="L68" s="114"/>
      <c r="M68" s="189"/>
      <c r="N68" s="8" t="s">
        <v>99</v>
      </c>
    </row>
    <row r="69" spans="1:14" s="53" customFormat="1" ht="12.75" x14ac:dyDescent="0.2">
      <c r="B69" s="115"/>
      <c r="C69" s="115"/>
      <c r="D69" s="115"/>
      <c r="E69" s="63"/>
      <c r="F69" s="114"/>
      <c r="G69" s="114"/>
      <c r="H69" s="114"/>
      <c r="I69" s="114"/>
      <c r="J69" s="114"/>
      <c r="K69" s="114"/>
      <c r="L69" s="114"/>
      <c r="M69" s="189"/>
      <c r="N69" s="41" t="s">
        <v>1</v>
      </c>
    </row>
  </sheetData>
  <mergeCells count="4">
    <mergeCell ref="B11:C11"/>
    <mergeCell ref="H11:I11"/>
    <mergeCell ref="K11:L11"/>
    <mergeCell ref="B12:C12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70" fitToWidth="0" orientation="portrait" r:id="rId1"/>
  <headerFooter>
    <oddHeader xml:space="preserve">&amp;R&amp;"-,Bold"
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64"/>
  <sheetViews>
    <sheetView showGridLines="0" topLeftCell="B8" zoomScaleNormal="100" zoomScaleSheetLayoutView="100" workbookViewId="0">
      <selection activeCell="E21" sqref="E21"/>
    </sheetView>
  </sheetViews>
  <sheetFormatPr defaultRowHeight="15" x14ac:dyDescent="0.25"/>
  <cols>
    <col min="1" max="1" width="1.42578125" style="2" customWidth="1"/>
    <col min="2" max="2" width="10.28515625" style="3" customWidth="1"/>
    <col min="3" max="3" width="14.42578125" style="3" customWidth="1"/>
    <col min="4" max="4" width="7.42578125" style="3" customWidth="1"/>
    <col min="5" max="5" width="10.7109375" style="21" customWidth="1"/>
    <col min="6" max="8" width="10.7109375" style="22" customWidth="1"/>
    <col min="9" max="9" width="14.85546875" style="22" customWidth="1"/>
    <col min="10" max="10" width="1.7109375" style="22" customWidth="1"/>
    <col min="11" max="11" width="10.7109375" style="22" customWidth="1"/>
    <col min="12" max="12" width="14.85546875" style="22" customWidth="1"/>
    <col min="13" max="13" width="14.42578125" style="22" customWidth="1"/>
    <col min="14" max="14" width="0.85546875" style="2" customWidth="1"/>
    <col min="15" max="16384" width="9.140625" style="2"/>
  </cols>
  <sheetData>
    <row r="1" spans="1:19" ht="9.9499999999999993" customHeight="1" x14ac:dyDescent="0.25">
      <c r="B1" s="3" t="s">
        <v>196</v>
      </c>
      <c r="M1" s="5"/>
    </row>
    <row r="2" spans="1:19" s="30" customFormat="1" ht="12.95" customHeight="1" x14ac:dyDescent="0.25">
      <c r="B2" s="27"/>
      <c r="C2" s="27"/>
      <c r="D2" s="29"/>
      <c r="E2" s="28"/>
      <c r="F2" s="29"/>
      <c r="M2" s="160" t="s">
        <v>179</v>
      </c>
      <c r="N2" s="29"/>
    </row>
    <row r="3" spans="1:19" s="30" customFormat="1" ht="12.95" customHeight="1" x14ac:dyDescent="0.25">
      <c r="B3" s="27"/>
      <c r="C3" s="27"/>
      <c r="D3" s="29"/>
      <c r="E3" s="28"/>
      <c r="F3" s="29"/>
      <c r="M3" s="68" t="s">
        <v>180</v>
      </c>
      <c r="N3" s="29"/>
    </row>
    <row r="4" spans="1:19" s="30" customFormat="1" ht="12" customHeight="1" x14ac:dyDescent="0.25">
      <c r="B4" s="27"/>
      <c r="C4" s="27"/>
      <c r="D4" s="29"/>
      <c r="E4" s="28"/>
      <c r="F4" s="29"/>
      <c r="G4" s="68"/>
      <c r="N4" s="29"/>
    </row>
    <row r="5" spans="1:19" s="30" customFormat="1" ht="12" customHeight="1" x14ac:dyDescent="0.25">
      <c r="B5" s="27"/>
      <c r="C5" s="27"/>
      <c r="D5" s="29"/>
      <c r="E5" s="28"/>
      <c r="F5" s="29"/>
      <c r="G5" s="68"/>
      <c r="N5" s="29"/>
    </row>
    <row r="6" spans="1:19" s="53" customFormat="1" ht="9.75" customHeight="1" x14ac:dyDescent="0.2">
      <c r="B6" s="115"/>
      <c r="C6" s="115"/>
      <c r="D6" s="189"/>
      <c r="E6" s="190"/>
      <c r="F6" s="189"/>
      <c r="G6" s="189"/>
      <c r="H6" s="191"/>
      <c r="I6" s="191"/>
      <c r="J6" s="191"/>
      <c r="K6" s="191"/>
      <c r="L6" s="191"/>
      <c r="M6" s="189"/>
      <c r="N6" s="114"/>
    </row>
    <row r="7" spans="1:19" s="53" customFormat="1" ht="15" customHeight="1" x14ac:dyDescent="0.2">
      <c r="B7" s="63" t="s">
        <v>186</v>
      </c>
      <c r="C7" s="64" t="s">
        <v>239</v>
      </c>
      <c r="D7" s="115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9" s="65" customFormat="1" ht="15" customHeight="1" x14ac:dyDescent="0.2">
      <c r="B8" s="66" t="s">
        <v>187</v>
      </c>
      <c r="C8" s="67" t="s">
        <v>240</v>
      </c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9" s="53" customFormat="1" ht="9.9499999999999993" customHeight="1" thickBot="1" x14ac:dyDescent="0.25">
      <c r="B9" s="115"/>
      <c r="C9" s="115"/>
      <c r="D9" s="115"/>
      <c r="E9" s="63"/>
      <c r="F9" s="114"/>
      <c r="G9" s="114"/>
      <c r="H9" s="114"/>
      <c r="I9" s="114"/>
      <c r="J9" s="114"/>
      <c r="K9" s="114"/>
      <c r="L9" s="114"/>
      <c r="M9" s="189"/>
    </row>
    <row r="10" spans="1:19" s="53" customFormat="1" ht="9.9499999999999993" customHeight="1" thickTop="1" x14ac:dyDescent="0.2">
      <c r="A10" s="378"/>
      <c r="B10" s="388"/>
      <c r="C10" s="388"/>
      <c r="D10" s="389"/>
      <c r="E10" s="374"/>
      <c r="F10" s="375"/>
      <c r="G10" s="375"/>
      <c r="H10" s="376"/>
      <c r="I10" s="375"/>
      <c r="J10" s="375"/>
      <c r="K10" s="375"/>
      <c r="L10" s="375"/>
      <c r="M10" s="377"/>
      <c r="N10" s="378"/>
    </row>
    <row r="11" spans="1:19" s="53" customFormat="1" ht="27.75" customHeight="1" x14ac:dyDescent="0.2">
      <c r="A11" s="390"/>
      <c r="B11" s="432" t="s">
        <v>210</v>
      </c>
      <c r="C11" s="432"/>
      <c r="D11" s="379" t="s">
        <v>222</v>
      </c>
      <c r="E11" s="379" t="s">
        <v>220</v>
      </c>
      <c r="F11" s="379" t="s">
        <v>219</v>
      </c>
      <c r="G11" s="379" t="s">
        <v>218</v>
      </c>
      <c r="H11" s="433" t="s">
        <v>234</v>
      </c>
      <c r="I11" s="433"/>
      <c r="J11" s="380"/>
      <c r="K11" s="433" t="s">
        <v>221</v>
      </c>
      <c r="L11" s="433"/>
      <c r="M11" s="379" t="s">
        <v>217</v>
      </c>
      <c r="N11" s="381"/>
    </row>
    <row r="12" spans="1:19" s="53" customFormat="1" ht="30" customHeight="1" x14ac:dyDescent="0.2">
      <c r="A12" s="390"/>
      <c r="B12" s="434" t="s">
        <v>211</v>
      </c>
      <c r="C12" s="434"/>
      <c r="D12" s="382" t="s">
        <v>212</v>
      </c>
      <c r="E12" s="382" t="s">
        <v>213</v>
      </c>
      <c r="F12" s="382" t="s">
        <v>214</v>
      </c>
      <c r="G12" s="382" t="s">
        <v>215</v>
      </c>
      <c r="H12" s="383" t="s">
        <v>225</v>
      </c>
      <c r="I12" s="383" t="s">
        <v>226</v>
      </c>
      <c r="J12" s="383"/>
      <c r="K12" s="383" t="s">
        <v>225</v>
      </c>
      <c r="L12" s="383" t="s">
        <v>226</v>
      </c>
      <c r="M12" s="384" t="s">
        <v>216</v>
      </c>
      <c r="N12" s="385"/>
    </row>
    <row r="13" spans="1:19" s="53" customFormat="1" ht="30" customHeight="1" x14ac:dyDescent="0.2">
      <c r="A13" s="391"/>
      <c r="B13" s="392"/>
      <c r="C13" s="392"/>
      <c r="D13" s="386"/>
      <c r="E13" s="386"/>
      <c r="F13" s="386"/>
      <c r="G13" s="386"/>
      <c r="H13" s="387" t="s">
        <v>223</v>
      </c>
      <c r="I13" s="387" t="s">
        <v>224</v>
      </c>
      <c r="J13" s="387"/>
      <c r="K13" s="387" t="s">
        <v>223</v>
      </c>
      <c r="L13" s="387" t="s">
        <v>224</v>
      </c>
      <c r="M13" s="370"/>
      <c r="N13" s="373"/>
    </row>
    <row r="14" spans="1:19" s="53" customFormat="1" ht="8.1" customHeight="1" x14ac:dyDescent="0.2">
      <c r="A14" s="116"/>
      <c r="B14" s="180"/>
      <c r="C14" s="180"/>
      <c r="D14" s="90"/>
      <c r="E14" s="90"/>
      <c r="F14" s="192"/>
      <c r="G14" s="192"/>
      <c r="H14" s="192"/>
      <c r="I14" s="192"/>
      <c r="J14" s="192"/>
      <c r="K14" s="192"/>
      <c r="L14" s="192"/>
      <c r="M14" s="192"/>
      <c r="N14" s="86"/>
    </row>
    <row r="15" spans="1:19" s="53" customFormat="1" ht="18" customHeight="1" x14ac:dyDescent="0.2">
      <c r="B15" s="124" t="s">
        <v>98</v>
      </c>
      <c r="C15" s="124"/>
      <c r="D15" s="121">
        <v>2017</v>
      </c>
      <c r="E15" s="145">
        <f>SUM(F15:M15)</f>
        <v>656</v>
      </c>
      <c r="F15" s="145">
        <f t="shared" ref="F15:I17" si="0">SUM(F19,F23,F27,F31,F35,F39,F43,F47,F51,F55,F59)</f>
        <v>16</v>
      </c>
      <c r="G15" s="145">
        <f t="shared" si="0"/>
        <v>163</v>
      </c>
      <c r="H15" s="145">
        <f t="shared" si="0"/>
        <v>1</v>
      </c>
      <c r="I15" s="145">
        <f t="shared" si="0"/>
        <v>201</v>
      </c>
      <c r="J15" s="145"/>
      <c r="K15" s="137" t="s">
        <v>51</v>
      </c>
      <c r="L15" s="145">
        <f t="shared" ref="L15:M17" si="1">SUM(L19,L23,L27,L31,L35,L39,L43,L47,L51,L55,L59)</f>
        <v>87</v>
      </c>
      <c r="M15" s="145">
        <f t="shared" si="1"/>
        <v>188</v>
      </c>
      <c r="N15" s="201"/>
    </row>
    <row r="16" spans="1:19" s="53" customFormat="1" ht="18" customHeight="1" x14ac:dyDescent="0.2">
      <c r="B16" s="124"/>
      <c r="C16" s="124"/>
      <c r="D16" s="121">
        <v>2018</v>
      </c>
      <c r="E16" s="145">
        <f t="shared" ref="E16:E17" si="2">SUM(F16:M16)</f>
        <v>572</v>
      </c>
      <c r="F16" s="145">
        <f t="shared" si="0"/>
        <v>8</v>
      </c>
      <c r="G16" s="145">
        <f t="shared" si="0"/>
        <v>109</v>
      </c>
      <c r="H16" s="145">
        <f t="shared" si="0"/>
        <v>2</v>
      </c>
      <c r="I16" s="145">
        <f t="shared" si="0"/>
        <v>164</v>
      </c>
      <c r="J16" s="145"/>
      <c r="K16" s="137" t="s">
        <v>51</v>
      </c>
      <c r="L16" s="145">
        <f t="shared" si="1"/>
        <v>90</v>
      </c>
      <c r="M16" s="145">
        <f t="shared" si="1"/>
        <v>199</v>
      </c>
      <c r="N16" s="201"/>
      <c r="O16" s="315"/>
      <c r="P16" s="315"/>
      <c r="Q16" s="315"/>
      <c r="R16" s="315"/>
      <c r="S16" s="315"/>
    </row>
    <row r="17" spans="2:19" s="53" customFormat="1" ht="18" customHeight="1" x14ac:dyDescent="0.2">
      <c r="B17" s="124"/>
      <c r="C17" s="124"/>
      <c r="D17" s="121">
        <v>2019</v>
      </c>
      <c r="E17" s="145">
        <f t="shared" si="2"/>
        <v>595</v>
      </c>
      <c r="F17" s="145">
        <f t="shared" si="0"/>
        <v>16</v>
      </c>
      <c r="G17" s="145">
        <f t="shared" si="0"/>
        <v>114</v>
      </c>
      <c r="H17" s="145">
        <f t="shared" si="0"/>
        <v>1</v>
      </c>
      <c r="I17" s="145">
        <f t="shared" si="0"/>
        <v>152</v>
      </c>
      <c r="J17" s="145"/>
      <c r="K17" s="137" t="s">
        <v>51</v>
      </c>
      <c r="L17" s="145">
        <f t="shared" si="1"/>
        <v>86</v>
      </c>
      <c r="M17" s="145">
        <f t="shared" si="1"/>
        <v>226</v>
      </c>
      <c r="N17" s="201"/>
      <c r="O17" s="315"/>
      <c r="P17" s="315"/>
      <c r="Q17" s="315"/>
      <c r="R17" s="315"/>
      <c r="S17" s="315"/>
    </row>
    <row r="18" spans="2:19" s="53" customFormat="1" ht="18" customHeight="1" x14ac:dyDescent="0.2">
      <c r="B18" s="124"/>
      <c r="C18" s="124"/>
      <c r="D18" s="121"/>
      <c r="E18" s="145"/>
      <c r="F18" s="145"/>
      <c r="G18" s="145"/>
      <c r="H18" s="145"/>
      <c r="I18" s="145"/>
      <c r="J18" s="145"/>
      <c r="K18" s="145"/>
      <c r="L18" s="145"/>
      <c r="M18" s="145"/>
      <c r="N18" s="201"/>
      <c r="O18" s="315"/>
      <c r="P18" s="315"/>
      <c r="Q18" s="315"/>
      <c r="R18" s="315"/>
      <c r="S18" s="315"/>
    </row>
    <row r="19" spans="2:19" s="53" customFormat="1" ht="18" customHeight="1" x14ac:dyDescent="0.2">
      <c r="B19" s="82" t="s">
        <v>32</v>
      </c>
      <c r="C19" s="82"/>
      <c r="D19" s="148">
        <v>2017</v>
      </c>
      <c r="E19" s="146">
        <f t="shared" ref="E19" si="3">SUM(F19:M19)</f>
        <v>47</v>
      </c>
      <c r="F19" s="146">
        <v>2</v>
      </c>
      <c r="G19" s="146">
        <v>7</v>
      </c>
      <c r="H19" s="144" t="s">
        <v>51</v>
      </c>
      <c r="I19" s="146">
        <v>6</v>
      </c>
      <c r="J19" s="146"/>
      <c r="K19" s="144" t="s">
        <v>51</v>
      </c>
      <c r="L19" s="146">
        <v>8</v>
      </c>
      <c r="M19" s="146">
        <v>24</v>
      </c>
      <c r="N19" s="201"/>
      <c r="O19" s="315"/>
      <c r="P19" s="315"/>
      <c r="Q19" s="315"/>
      <c r="R19" s="315"/>
      <c r="S19" s="315"/>
    </row>
    <row r="20" spans="2:19" s="53" customFormat="1" ht="18" customHeight="1" x14ac:dyDescent="0.2">
      <c r="B20" s="82"/>
      <c r="C20" s="82"/>
      <c r="D20" s="148">
        <v>2018</v>
      </c>
      <c r="E20" s="146">
        <f>SUM(F20:M20)</f>
        <v>55</v>
      </c>
      <c r="F20" s="114">
        <f>1</f>
        <v>1</v>
      </c>
      <c r="G20" s="114">
        <f>5</f>
        <v>5</v>
      </c>
      <c r="H20" s="301" t="s">
        <v>51</v>
      </c>
      <c r="I20" s="114">
        <v>12</v>
      </c>
      <c r="J20" s="114"/>
      <c r="K20" s="301" t="s">
        <v>51</v>
      </c>
      <c r="L20" s="114">
        <v>7</v>
      </c>
      <c r="M20" s="114">
        <f>30</f>
        <v>30</v>
      </c>
      <c r="N20" s="201"/>
      <c r="O20" s="315"/>
      <c r="P20" s="315"/>
      <c r="Q20" s="315"/>
      <c r="R20" s="315"/>
      <c r="S20" s="315"/>
    </row>
    <row r="21" spans="2:19" s="53" customFormat="1" ht="18" customHeight="1" x14ac:dyDescent="0.2">
      <c r="B21" s="82"/>
      <c r="C21" s="82"/>
      <c r="D21" s="148">
        <v>2019</v>
      </c>
      <c r="E21" s="146">
        <f t="shared" ref="E21" si="4">SUM(F21:M21)</f>
        <v>69</v>
      </c>
      <c r="F21" s="146">
        <v>5</v>
      </c>
      <c r="G21" s="146">
        <v>12</v>
      </c>
      <c r="H21" s="144" t="s">
        <v>51</v>
      </c>
      <c r="I21" s="146">
        <v>20</v>
      </c>
      <c r="J21" s="146"/>
      <c r="K21" s="144" t="s">
        <v>51</v>
      </c>
      <c r="L21" s="146">
        <v>10</v>
      </c>
      <c r="M21" s="146">
        <v>22</v>
      </c>
      <c r="N21" s="201"/>
      <c r="O21" s="315"/>
      <c r="P21" s="315"/>
      <c r="Q21" s="315"/>
      <c r="R21" s="315"/>
      <c r="S21" s="315"/>
    </row>
    <row r="22" spans="2:19" s="53" customFormat="1" ht="18" customHeight="1" x14ac:dyDescent="0.2">
      <c r="B22" s="82"/>
      <c r="C22" s="82"/>
      <c r="D22" s="148"/>
      <c r="E22" s="146"/>
      <c r="F22" s="144"/>
      <c r="G22" s="146"/>
      <c r="H22" s="144"/>
      <c r="I22" s="146"/>
      <c r="J22" s="146"/>
      <c r="K22" s="144"/>
      <c r="L22" s="146"/>
      <c r="M22" s="146"/>
      <c r="N22" s="201"/>
      <c r="O22" s="315"/>
      <c r="P22" s="315"/>
      <c r="Q22" s="315"/>
      <c r="R22" s="315"/>
      <c r="S22" s="315"/>
    </row>
    <row r="23" spans="2:19" s="53" customFormat="1" ht="18" customHeight="1" x14ac:dyDescent="0.2">
      <c r="B23" s="82" t="s">
        <v>42</v>
      </c>
      <c r="C23" s="82"/>
      <c r="D23" s="148">
        <v>2017</v>
      </c>
      <c r="E23" s="146">
        <f>SUM(F23:M23)</f>
        <v>40</v>
      </c>
      <c r="F23" s="144">
        <v>2</v>
      </c>
      <c r="G23" s="146">
        <v>11</v>
      </c>
      <c r="H23" s="144" t="s">
        <v>51</v>
      </c>
      <c r="I23" s="146">
        <v>14</v>
      </c>
      <c r="J23" s="146"/>
      <c r="K23" s="144" t="s">
        <v>51</v>
      </c>
      <c r="L23" s="146">
        <v>2</v>
      </c>
      <c r="M23" s="146">
        <v>11</v>
      </c>
    </row>
    <row r="24" spans="2:19" s="53" customFormat="1" ht="18" customHeight="1" x14ac:dyDescent="0.2">
      <c r="B24" s="82"/>
      <c r="C24" s="82"/>
      <c r="D24" s="148">
        <v>2018</v>
      </c>
      <c r="E24" s="146">
        <f>SUM(F24:M24)</f>
        <v>21</v>
      </c>
      <c r="F24" s="114">
        <v>1</v>
      </c>
      <c r="G24" s="114">
        <v>2</v>
      </c>
      <c r="H24" s="301" t="s">
        <v>51</v>
      </c>
      <c r="I24" s="114">
        <v>6</v>
      </c>
      <c r="J24" s="114"/>
      <c r="K24" s="301" t="s">
        <v>51</v>
      </c>
      <c r="L24" s="301" t="s">
        <v>51</v>
      </c>
      <c r="M24" s="114">
        <f>12</f>
        <v>12</v>
      </c>
    </row>
    <row r="25" spans="2:19" s="53" customFormat="1" ht="18" customHeight="1" x14ac:dyDescent="0.2">
      <c r="B25" s="82"/>
      <c r="C25" s="82"/>
      <c r="D25" s="148">
        <v>2019</v>
      </c>
      <c r="E25" s="146">
        <f t="shared" ref="E25" si="5">SUM(F25:M25)</f>
        <v>32</v>
      </c>
      <c r="F25" s="144">
        <v>2</v>
      </c>
      <c r="G25" s="146">
        <v>6</v>
      </c>
      <c r="H25" s="146">
        <v>1</v>
      </c>
      <c r="I25" s="146">
        <v>2</v>
      </c>
      <c r="J25" s="146"/>
      <c r="K25" s="144" t="s">
        <v>51</v>
      </c>
      <c r="L25" s="146">
        <v>4</v>
      </c>
      <c r="M25" s="146">
        <v>17</v>
      </c>
    </row>
    <row r="26" spans="2:19" s="53" customFormat="1" ht="18" customHeight="1" x14ac:dyDescent="0.2">
      <c r="B26" s="82"/>
      <c r="C26" s="82"/>
      <c r="D26" s="148"/>
      <c r="E26" s="146"/>
      <c r="F26" s="146"/>
      <c r="G26" s="146"/>
      <c r="H26" s="144"/>
      <c r="I26" s="146"/>
      <c r="J26" s="146"/>
      <c r="K26" s="144"/>
      <c r="L26" s="144"/>
      <c r="M26" s="146"/>
    </row>
    <row r="27" spans="2:19" s="53" customFormat="1" ht="18" customHeight="1" x14ac:dyDescent="0.2">
      <c r="B27" s="82" t="s">
        <v>33</v>
      </c>
      <c r="C27" s="82"/>
      <c r="D27" s="148">
        <v>2017</v>
      </c>
      <c r="E27" s="146">
        <f>SUM(F27:M27)</f>
        <v>13</v>
      </c>
      <c r="F27" s="144" t="s">
        <v>51</v>
      </c>
      <c r="G27" s="146">
        <v>1</v>
      </c>
      <c r="H27" s="144" t="s">
        <v>51</v>
      </c>
      <c r="I27" s="146">
        <v>2</v>
      </c>
      <c r="J27" s="146"/>
      <c r="K27" s="144" t="s">
        <v>51</v>
      </c>
      <c r="L27" s="144" t="s">
        <v>51</v>
      </c>
      <c r="M27" s="146">
        <v>10</v>
      </c>
    </row>
    <row r="28" spans="2:19" s="53" customFormat="1" ht="18" customHeight="1" x14ac:dyDescent="0.2">
      <c r="B28" s="82"/>
      <c r="C28" s="82"/>
      <c r="D28" s="148">
        <v>2018</v>
      </c>
      <c r="E28" s="146">
        <f>SUM(F28:M28)</f>
        <v>23</v>
      </c>
      <c r="F28" s="316">
        <f>0</f>
        <v>0</v>
      </c>
      <c r="G28" s="146">
        <f>2</f>
        <v>2</v>
      </c>
      <c r="H28" s="301" t="s">
        <v>51</v>
      </c>
      <c r="I28" s="114">
        <v>10</v>
      </c>
      <c r="J28" s="114"/>
      <c r="K28" s="301" t="s">
        <v>51</v>
      </c>
      <c r="L28" s="114">
        <v>1</v>
      </c>
      <c r="M28" s="114">
        <f>10</f>
        <v>10</v>
      </c>
    </row>
    <row r="29" spans="2:19" s="53" customFormat="1" ht="18" customHeight="1" x14ac:dyDescent="0.2">
      <c r="B29" s="82"/>
      <c r="C29" s="82"/>
      <c r="D29" s="148">
        <v>2019</v>
      </c>
      <c r="E29" s="146">
        <f t="shared" ref="E29" si="6">SUM(F29:M29)</f>
        <v>6</v>
      </c>
      <c r="F29" s="144" t="s">
        <v>51</v>
      </c>
      <c r="G29" s="146">
        <v>1</v>
      </c>
      <c r="H29" s="144" t="s">
        <v>51</v>
      </c>
      <c r="I29" s="144" t="s">
        <v>51</v>
      </c>
      <c r="J29" s="146"/>
      <c r="K29" s="144" t="s">
        <v>51</v>
      </c>
      <c r="L29" s="146">
        <v>1</v>
      </c>
      <c r="M29" s="146">
        <v>4</v>
      </c>
    </row>
    <row r="30" spans="2:19" s="53" customFormat="1" ht="18" customHeight="1" x14ac:dyDescent="0.2">
      <c r="B30" s="82"/>
      <c r="C30" s="82"/>
      <c r="D30" s="148"/>
      <c r="E30" s="146"/>
      <c r="F30" s="144"/>
      <c r="G30" s="146"/>
      <c r="H30" s="144"/>
      <c r="I30" s="146"/>
      <c r="J30" s="146"/>
      <c r="K30" s="144"/>
      <c r="L30" s="146"/>
      <c r="M30" s="146"/>
    </row>
    <row r="31" spans="2:19" s="53" customFormat="1" ht="18" customHeight="1" x14ac:dyDescent="0.2">
      <c r="B31" s="82" t="s">
        <v>34</v>
      </c>
      <c r="C31" s="82"/>
      <c r="D31" s="148">
        <v>2017</v>
      </c>
      <c r="E31" s="146">
        <f>SUM(F31:M31)</f>
        <v>31</v>
      </c>
      <c r="F31" s="144">
        <v>1</v>
      </c>
      <c r="G31" s="146">
        <v>6</v>
      </c>
      <c r="H31" s="144" t="s">
        <v>51</v>
      </c>
      <c r="I31" s="146">
        <v>10</v>
      </c>
      <c r="J31" s="146"/>
      <c r="K31" s="144" t="s">
        <v>51</v>
      </c>
      <c r="L31" s="144" t="s">
        <v>51</v>
      </c>
      <c r="M31" s="146">
        <v>14</v>
      </c>
    </row>
    <row r="32" spans="2:19" s="53" customFormat="1" ht="18" customHeight="1" x14ac:dyDescent="0.2">
      <c r="B32" s="82"/>
      <c r="C32" s="82"/>
      <c r="D32" s="148">
        <v>2018</v>
      </c>
      <c r="E32" s="146">
        <f>SUM(F32:M32)</f>
        <v>35</v>
      </c>
      <c r="F32" s="114">
        <f>1</f>
        <v>1</v>
      </c>
      <c r="G32" s="114">
        <f>10</f>
        <v>10</v>
      </c>
      <c r="H32" s="301" t="s">
        <v>51</v>
      </c>
      <c r="I32" s="114">
        <v>3</v>
      </c>
      <c r="J32" s="114"/>
      <c r="K32" s="301" t="s">
        <v>51</v>
      </c>
      <c r="L32" s="114">
        <v>4</v>
      </c>
      <c r="M32" s="114">
        <f>17</f>
        <v>17</v>
      </c>
    </row>
    <row r="33" spans="2:13" s="53" customFormat="1" ht="18" customHeight="1" x14ac:dyDescent="0.2">
      <c r="B33" s="82"/>
      <c r="C33" s="82"/>
      <c r="D33" s="148">
        <v>2019</v>
      </c>
      <c r="E33" s="146">
        <f>SUM(F33:M33)</f>
        <v>36</v>
      </c>
      <c r="F33" s="144">
        <v>2</v>
      </c>
      <c r="G33" s="146">
        <v>13</v>
      </c>
      <c r="H33" s="144" t="s">
        <v>51</v>
      </c>
      <c r="I33" s="146">
        <v>7</v>
      </c>
      <c r="J33" s="146"/>
      <c r="K33" s="144" t="s">
        <v>51</v>
      </c>
      <c r="L33" s="146">
        <v>4</v>
      </c>
      <c r="M33" s="146">
        <v>10</v>
      </c>
    </row>
    <row r="34" spans="2:13" s="53" customFormat="1" ht="18" customHeight="1" x14ac:dyDescent="0.2">
      <c r="B34" s="82"/>
      <c r="C34" s="82"/>
      <c r="D34" s="148"/>
      <c r="E34" s="146"/>
      <c r="F34" s="146"/>
      <c r="G34" s="146"/>
      <c r="H34" s="144"/>
      <c r="I34" s="146"/>
      <c r="J34" s="146"/>
      <c r="K34" s="146"/>
      <c r="L34" s="144"/>
      <c r="M34" s="146"/>
    </row>
    <row r="35" spans="2:13" s="53" customFormat="1" ht="18" customHeight="1" x14ac:dyDescent="0.2">
      <c r="B35" s="82" t="s">
        <v>36</v>
      </c>
      <c r="C35" s="82"/>
      <c r="D35" s="148">
        <v>2017</v>
      </c>
      <c r="E35" s="146">
        <f>SUM(F35:M35)</f>
        <v>13</v>
      </c>
      <c r="F35" s="146">
        <v>1</v>
      </c>
      <c r="G35" s="146">
        <v>5</v>
      </c>
      <c r="H35" s="146">
        <v>1</v>
      </c>
      <c r="I35" s="146">
        <v>1</v>
      </c>
      <c r="J35" s="146"/>
      <c r="K35" s="144" t="s">
        <v>51</v>
      </c>
      <c r="L35" s="144" t="s">
        <v>51</v>
      </c>
      <c r="M35" s="146">
        <v>5</v>
      </c>
    </row>
    <row r="36" spans="2:13" s="53" customFormat="1" ht="18" customHeight="1" x14ac:dyDescent="0.2">
      <c r="B36" s="82"/>
      <c r="C36" s="82"/>
      <c r="D36" s="148">
        <v>2018</v>
      </c>
      <c r="E36" s="146">
        <f>SUM(F36:M36)</f>
        <v>13</v>
      </c>
      <c r="F36" s="314">
        <f>0</f>
        <v>0</v>
      </c>
      <c r="G36" s="114">
        <f>4</f>
        <v>4</v>
      </c>
      <c r="H36" s="301" t="s">
        <v>51</v>
      </c>
      <c r="I36" s="114">
        <v>1</v>
      </c>
      <c r="J36" s="114"/>
      <c r="K36" s="301" t="s">
        <v>51</v>
      </c>
      <c r="L36" s="114">
        <v>1</v>
      </c>
      <c r="M36" s="114">
        <f>7</f>
        <v>7</v>
      </c>
    </row>
    <row r="37" spans="2:13" s="53" customFormat="1" ht="18" customHeight="1" x14ac:dyDescent="0.2">
      <c r="B37" s="82"/>
      <c r="C37" s="82"/>
      <c r="D37" s="148">
        <v>2019</v>
      </c>
      <c r="E37" s="146">
        <f t="shared" ref="E37" si="7">SUM(F37:M37)</f>
        <v>18</v>
      </c>
      <c r="F37" s="144" t="s">
        <v>51</v>
      </c>
      <c r="G37" s="146">
        <v>6</v>
      </c>
      <c r="H37" s="144" t="s">
        <v>51</v>
      </c>
      <c r="I37" s="146">
        <v>1</v>
      </c>
      <c r="J37" s="146"/>
      <c r="K37" s="144" t="s">
        <v>51</v>
      </c>
      <c r="L37" s="144" t="s">
        <v>51</v>
      </c>
      <c r="M37" s="146">
        <v>11</v>
      </c>
    </row>
    <row r="38" spans="2:13" s="53" customFormat="1" ht="18" customHeight="1" x14ac:dyDescent="0.2">
      <c r="B38" s="82"/>
      <c r="C38" s="82"/>
      <c r="D38" s="148"/>
      <c r="E38" s="146"/>
      <c r="F38" s="144"/>
      <c r="G38" s="146"/>
      <c r="H38" s="144"/>
      <c r="I38" s="146"/>
      <c r="J38" s="146"/>
      <c r="K38" s="144"/>
      <c r="L38" s="146"/>
      <c r="M38" s="146"/>
    </row>
    <row r="39" spans="2:13" s="53" customFormat="1" ht="18" customHeight="1" x14ac:dyDescent="0.2">
      <c r="B39" s="82" t="s">
        <v>35</v>
      </c>
      <c r="C39" s="82"/>
      <c r="D39" s="148">
        <v>2017</v>
      </c>
      <c r="E39" s="146">
        <f>SUM(F39:M39)</f>
        <v>324</v>
      </c>
      <c r="F39" s="144">
        <v>4</v>
      </c>
      <c r="G39" s="146">
        <v>81</v>
      </c>
      <c r="H39" s="144" t="s">
        <v>51</v>
      </c>
      <c r="I39" s="146">
        <v>124</v>
      </c>
      <c r="J39" s="146"/>
      <c r="K39" s="144" t="s">
        <v>51</v>
      </c>
      <c r="L39" s="146">
        <v>61</v>
      </c>
      <c r="M39" s="146">
        <v>54</v>
      </c>
    </row>
    <row r="40" spans="2:13" s="53" customFormat="1" ht="18" customHeight="1" x14ac:dyDescent="0.2">
      <c r="B40" s="82"/>
      <c r="C40" s="82"/>
      <c r="D40" s="148">
        <v>2018</v>
      </c>
      <c r="E40" s="146">
        <f>SUM(F40:M40)</f>
        <v>247</v>
      </c>
      <c r="F40" s="114">
        <f>2</f>
        <v>2</v>
      </c>
      <c r="G40" s="114">
        <f>36</f>
        <v>36</v>
      </c>
      <c r="H40" s="114">
        <v>1</v>
      </c>
      <c r="I40" s="114">
        <v>95</v>
      </c>
      <c r="J40" s="114"/>
      <c r="K40" s="301" t="s">
        <v>51</v>
      </c>
      <c r="L40" s="114">
        <v>54</v>
      </c>
      <c r="M40" s="114">
        <f>59</f>
        <v>59</v>
      </c>
    </row>
    <row r="41" spans="2:13" s="53" customFormat="1" ht="18" customHeight="1" x14ac:dyDescent="0.2">
      <c r="B41" s="82"/>
      <c r="C41" s="82"/>
      <c r="D41" s="148">
        <v>2019</v>
      </c>
      <c r="E41" s="146">
        <f t="shared" ref="E41" si="8">SUM(F41:M41)</f>
        <v>257</v>
      </c>
      <c r="F41" s="144">
        <v>3</v>
      </c>
      <c r="G41" s="146">
        <v>37</v>
      </c>
      <c r="H41" s="144" t="s">
        <v>51</v>
      </c>
      <c r="I41" s="146">
        <v>87</v>
      </c>
      <c r="J41" s="146"/>
      <c r="K41" s="144" t="s">
        <v>51</v>
      </c>
      <c r="L41" s="146">
        <v>51</v>
      </c>
      <c r="M41" s="146">
        <v>79</v>
      </c>
    </row>
    <row r="42" spans="2:13" s="53" customFormat="1" ht="18" customHeight="1" x14ac:dyDescent="0.2">
      <c r="B42" s="82"/>
      <c r="C42" s="82"/>
      <c r="D42" s="148"/>
      <c r="E42" s="146"/>
      <c r="F42" s="146"/>
      <c r="G42" s="146"/>
      <c r="H42" s="144"/>
      <c r="I42" s="146"/>
      <c r="J42" s="146"/>
      <c r="K42" s="144"/>
      <c r="L42" s="146"/>
      <c r="M42" s="146"/>
    </row>
    <row r="43" spans="2:13" s="53" customFormat="1" ht="18" customHeight="1" x14ac:dyDescent="0.2">
      <c r="B43" s="82" t="s">
        <v>41</v>
      </c>
      <c r="C43" s="82"/>
      <c r="D43" s="148">
        <v>2017</v>
      </c>
      <c r="E43" s="146">
        <f t="shared" ref="E43:E44" si="9">SUM(F43:M43)</f>
        <v>36</v>
      </c>
      <c r="F43" s="144" t="s">
        <v>51</v>
      </c>
      <c r="G43" s="146">
        <v>13</v>
      </c>
      <c r="H43" s="144" t="s">
        <v>51</v>
      </c>
      <c r="I43" s="146">
        <v>7</v>
      </c>
      <c r="J43" s="146"/>
      <c r="K43" s="144" t="s">
        <v>51</v>
      </c>
      <c r="L43" s="146">
        <v>5</v>
      </c>
      <c r="M43" s="146">
        <v>11</v>
      </c>
    </row>
    <row r="44" spans="2:13" s="53" customFormat="1" ht="18" customHeight="1" x14ac:dyDescent="0.2">
      <c r="B44" s="82"/>
      <c r="C44" s="82"/>
      <c r="D44" s="148">
        <v>2018</v>
      </c>
      <c r="E44" s="146">
        <f t="shared" si="9"/>
        <v>35</v>
      </c>
      <c r="F44" s="114">
        <f>2</f>
        <v>2</v>
      </c>
      <c r="G44" s="114">
        <f>15</f>
        <v>15</v>
      </c>
      <c r="H44" s="301" t="s">
        <v>51</v>
      </c>
      <c r="I44" s="114">
        <v>4</v>
      </c>
      <c r="J44" s="114"/>
      <c r="K44" s="301" t="s">
        <v>51</v>
      </c>
      <c r="L44" s="114">
        <v>8</v>
      </c>
      <c r="M44" s="114">
        <f>6</f>
        <v>6</v>
      </c>
    </row>
    <row r="45" spans="2:13" s="53" customFormat="1" ht="18" customHeight="1" x14ac:dyDescent="0.2">
      <c r="B45" s="82"/>
      <c r="C45" s="82"/>
      <c r="D45" s="148">
        <v>2019</v>
      </c>
      <c r="E45" s="146">
        <f t="shared" ref="E45" si="10">SUM(F45:M45)</f>
        <v>29</v>
      </c>
      <c r="F45" s="144" t="s">
        <v>51</v>
      </c>
      <c r="G45" s="146">
        <v>7</v>
      </c>
      <c r="H45" s="144" t="s">
        <v>51</v>
      </c>
      <c r="I45" s="146">
        <v>4</v>
      </c>
      <c r="J45" s="146"/>
      <c r="K45" s="144" t="s">
        <v>51</v>
      </c>
      <c r="L45" s="146">
        <v>1</v>
      </c>
      <c r="M45" s="146">
        <v>17</v>
      </c>
    </row>
    <row r="46" spans="2:13" s="53" customFormat="1" ht="18" customHeight="1" x14ac:dyDescent="0.2">
      <c r="B46" s="82"/>
      <c r="C46" s="82"/>
      <c r="D46" s="148"/>
      <c r="E46" s="146"/>
      <c r="F46" s="144"/>
      <c r="G46" s="146"/>
      <c r="H46" s="144"/>
      <c r="I46" s="146"/>
      <c r="J46" s="146"/>
      <c r="K46" s="144"/>
      <c r="L46" s="146"/>
      <c r="M46" s="146"/>
    </row>
    <row r="47" spans="2:13" s="53" customFormat="1" ht="18" customHeight="1" x14ac:dyDescent="0.2">
      <c r="B47" s="82" t="s">
        <v>37</v>
      </c>
      <c r="C47" s="82"/>
      <c r="D47" s="148">
        <v>2017</v>
      </c>
      <c r="E47" s="146">
        <f t="shared" ref="E47:E48" si="11">SUM(F47:M47)</f>
        <v>33</v>
      </c>
      <c r="F47" s="144" t="s">
        <v>51</v>
      </c>
      <c r="G47" s="146">
        <v>13</v>
      </c>
      <c r="H47" s="144" t="s">
        <v>51</v>
      </c>
      <c r="I47" s="146">
        <v>9</v>
      </c>
      <c r="J47" s="146"/>
      <c r="K47" s="144" t="s">
        <v>51</v>
      </c>
      <c r="L47" s="144" t="s">
        <v>51</v>
      </c>
      <c r="M47" s="146">
        <v>11</v>
      </c>
    </row>
    <row r="48" spans="2:13" s="53" customFormat="1" ht="18" customHeight="1" x14ac:dyDescent="0.2">
      <c r="B48" s="82"/>
      <c r="C48" s="82"/>
      <c r="D48" s="148">
        <v>2018</v>
      </c>
      <c r="E48" s="146">
        <f t="shared" si="11"/>
        <v>27</v>
      </c>
      <c r="F48" s="314">
        <f>0</f>
        <v>0</v>
      </c>
      <c r="G48" s="114">
        <f>4</f>
        <v>4</v>
      </c>
      <c r="H48" s="301" t="s">
        <v>51</v>
      </c>
      <c r="I48" s="114">
        <v>7</v>
      </c>
      <c r="J48" s="114"/>
      <c r="K48" s="301" t="s">
        <v>51</v>
      </c>
      <c r="L48" s="114">
        <v>2</v>
      </c>
      <c r="M48" s="114">
        <f>14</f>
        <v>14</v>
      </c>
    </row>
    <row r="49" spans="1:14" s="53" customFormat="1" ht="18" customHeight="1" x14ac:dyDescent="0.2">
      <c r="B49" s="82"/>
      <c r="C49" s="82"/>
      <c r="D49" s="148">
        <v>2019</v>
      </c>
      <c r="E49" s="146">
        <f t="shared" ref="E49" si="12">SUM(F49:M49)</f>
        <v>21</v>
      </c>
      <c r="F49" s="146">
        <v>2</v>
      </c>
      <c r="G49" s="146">
        <v>8</v>
      </c>
      <c r="H49" s="144" t="s">
        <v>51</v>
      </c>
      <c r="I49" s="146">
        <v>4</v>
      </c>
      <c r="J49" s="146"/>
      <c r="K49" s="144" t="s">
        <v>51</v>
      </c>
      <c r="L49" s="144" t="s">
        <v>51</v>
      </c>
      <c r="M49" s="146">
        <v>7</v>
      </c>
    </row>
    <row r="50" spans="1:14" s="53" customFormat="1" ht="18" customHeight="1" x14ac:dyDescent="0.2">
      <c r="B50" s="82"/>
      <c r="C50" s="82"/>
      <c r="D50" s="141"/>
      <c r="E50" s="146"/>
      <c r="F50" s="146"/>
      <c r="G50" s="146"/>
      <c r="H50" s="144"/>
      <c r="I50" s="146"/>
      <c r="J50" s="146"/>
      <c r="K50" s="144"/>
      <c r="L50" s="146"/>
      <c r="M50" s="146"/>
    </row>
    <row r="51" spans="1:14" s="53" customFormat="1" ht="18" customHeight="1" x14ac:dyDescent="0.2">
      <c r="B51" s="82" t="s">
        <v>38</v>
      </c>
      <c r="C51" s="82"/>
      <c r="D51" s="148">
        <v>2017</v>
      </c>
      <c r="E51" s="146">
        <f t="shared" ref="E51:E52" si="13">SUM(F51:M51)</f>
        <v>22</v>
      </c>
      <c r="F51" s="146">
        <v>2</v>
      </c>
      <c r="G51" s="146">
        <v>6</v>
      </c>
      <c r="H51" s="144" t="s">
        <v>51</v>
      </c>
      <c r="I51" s="144" t="s">
        <v>51</v>
      </c>
      <c r="J51" s="146"/>
      <c r="K51" s="144" t="s">
        <v>51</v>
      </c>
      <c r="L51" s="144">
        <v>2</v>
      </c>
      <c r="M51" s="146">
        <v>12</v>
      </c>
    </row>
    <row r="52" spans="1:14" s="53" customFormat="1" ht="18" customHeight="1" x14ac:dyDescent="0.2">
      <c r="B52" s="82"/>
      <c r="C52" s="82"/>
      <c r="D52" s="148">
        <v>2018</v>
      </c>
      <c r="E52" s="146">
        <f t="shared" si="13"/>
        <v>26</v>
      </c>
      <c r="F52" s="314">
        <f>0</f>
        <v>0</v>
      </c>
      <c r="G52" s="114">
        <f>8</f>
        <v>8</v>
      </c>
      <c r="H52" s="301" t="s">
        <v>51</v>
      </c>
      <c r="I52" s="114">
        <v>1</v>
      </c>
      <c r="J52" s="114"/>
      <c r="K52" s="301" t="s">
        <v>51</v>
      </c>
      <c r="L52" s="114">
        <v>4</v>
      </c>
      <c r="M52" s="114">
        <f>13</f>
        <v>13</v>
      </c>
    </row>
    <row r="53" spans="1:14" s="53" customFormat="1" ht="18" customHeight="1" x14ac:dyDescent="0.2">
      <c r="B53" s="82"/>
      <c r="C53" s="82"/>
      <c r="D53" s="148">
        <v>2019</v>
      </c>
      <c r="E53" s="146">
        <f t="shared" ref="E53" si="14">SUM(F53:M53)</f>
        <v>26</v>
      </c>
      <c r="F53" s="144" t="s">
        <v>51</v>
      </c>
      <c r="G53" s="146">
        <v>2</v>
      </c>
      <c r="H53" s="144" t="s">
        <v>51</v>
      </c>
      <c r="I53" s="146">
        <v>2</v>
      </c>
      <c r="J53" s="146"/>
      <c r="K53" s="144" t="s">
        <v>51</v>
      </c>
      <c r="L53" s="146">
        <v>3</v>
      </c>
      <c r="M53" s="146">
        <v>19</v>
      </c>
    </row>
    <row r="54" spans="1:14" s="53" customFormat="1" ht="18" customHeight="1" x14ac:dyDescent="0.2">
      <c r="B54" s="82"/>
      <c r="C54" s="82"/>
      <c r="D54" s="148"/>
      <c r="E54" s="146"/>
      <c r="F54" s="144"/>
      <c r="G54" s="146"/>
      <c r="H54" s="144"/>
      <c r="I54" s="146"/>
      <c r="J54" s="146"/>
      <c r="K54" s="144"/>
      <c r="L54" s="146"/>
      <c r="M54" s="146"/>
    </row>
    <row r="55" spans="1:14" s="53" customFormat="1" ht="18" customHeight="1" x14ac:dyDescent="0.2">
      <c r="B55" s="82" t="s">
        <v>40</v>
      </c>
      <c r="C55" s="82"/>
      <c r="D55" s="148">
        <v>2017</v>
      </c>
      <c r="E55" s="146">
        <f t="shared" ref="E55:E56" si="15">SUM(F55:M55)</f>
        <v>42</v>
      </c>
      <c r="F55" s="144">
        <v>2</v>
      </c>
      <c r="G55" s="146">
        <v>12</v>
      </c>
      <c r="H55" s="144" t="s">
        <v>51</v>
      </c>
      <c r="I55" s="146">
        <v>6</v>
      </c>
      <c r="J55" s="146"/>
      <c r="K55" s="144" t="s">
        <v>51</v>
      </c>
      <c r="L55" s="144">
        <v>4</v>
      </c>
      <c r="M55" s="146">
        <v>18</v>
      </c>
    </row>
    <row r="56" spans="1:14" s="53" customFormat="1" ht="18" customHeight="1" x14ac:dyDescent="0.2">
      <c r="B56" s="82"/>
      <c r="C56" s="82"/>
      <c r="D56" s="148">
        <v>2018</v>
      </c>
      <c r="E56" s="146">
        <f t="shared" si="15"/>
        <v>37</v>
      </c>
      <c r="F56" s="314">
        <f>0</f>
        <v>0</v>
      </c>
      <c r="G56" s="114">
        <f>13</f>
        <v>13</v>
      </c>
      <c r="H56" s="114">
        <v>1</v>
      </c>
      <c r="I56" s="114">
        <v>7</v>
      </c>
      <c r="J56" s="114"/>
      <c r="K56" s="301" t="s">
        <v>51</v>
      </c>
      <c r="L56" s="114">
        <v>4</v>
      </c>
      <c r="M56" s="114">
        <f>12</f>
        <v>12</v>
      </c>
    </row>
    <row r="57" spans="1:14" s="53" customFormat="1" ht="18" customHeight="1" x14ac:dyDescent="0.2">
      <c r="B57" s="82"/>
      <c r="C57" s="82"/>
      <c r="D57" s="148">
        <v>2019</v>
      </c>
      <c r="E57" s="146">
        <f t="shared" ref="E57:E61" si="16">SUM(F57:M57)</f>
        <v>28</v>
      </c>
      <c r="F57" s="144" t="s">
        <v>51</v>
      </c>
      <c r="G57" s="146">
        <v>7</v>
      </c>
      <c r="H57" s="144" t="s">
        <v>51</v>
      </c>
      <c r="I57" s="146">
        <v>3</v>
      </c>
      <c r="J57" s="146"/>
      <c r="K57" s="144" t="s">
        <v>51</v>
      </c>
      <c r="L57" s="146">
        <v>5</v>
      </c>
      <c r="M57" s="146">
        <v>13</v>
      </c>
    </row>
    <row r="58" spans="1:14" s="53" customFormat="1" ht="18" customHeight="1" x14ac:dyDescent="0.2">
      <c r="B58" s="82"/>
      <c r="C58" s="82"/>
      <c r="D58" s="148"/>
      <c r="E58" s="146"/>
      <c r="F58" s="146"/>
      <c r="G58" s="146"/>
      <c r="H58" s="144"/>
      <c r="I58" s="146"/>
      <c r="J58" s="146"/>
      <c r="K58" s="144"/>
      <c r="L58" s="146"/>
      <c r="M58" s="146"/>
    </row>
    <row r="59" spans="1:14" s="53" customFormat="1" ht="18" customHeight="1" x14ac:dyDescent="0.2">
      <c r="B59" s="82" t="s">
        <v>39</v>
      </c>
      <c r="C59" s="82"/>
      <c r="D59" s="148">
        <v>2017</v>
      </c>
      <c r="E59" s="146">
        <f t="shared" si="16"/>
        <v>55</v>
      </c>
      <c r="F59" s="146">
        <v>2</v>
      </c>
      <c r="G59" s="146">
        <v>8</v>
      </c>
      <c r="H59" s="144" t="s">
        <v>51</v>
      </c>
      <c r="I59" s="146">
        <v>22</v>
      </c>
      <c r="J59" s="146"/>
      <c r="K59" s="144" t="s">
        <v>51</v>
      </c>
      <c r="L59" s="146">
        <v>5</v>
      </c>
      <c r="M59" s="146">
        <v>18</v>
      </c>
    </row>
    <row r="60" spans="1:14" s="53" customFormat="1" ht="18" customHeight="1" x14ac:dyDescent="0.2">
      <c r="B60" s="82"/>
      <c r="C60" s="82"/>
      <c r="D60" s="148">
        <v>2018</v>
      </c>
      <c r="E60" s="146">
        <f t="shared" si="16"/>
        <v>53</v>
      </c>
      <c r="F60" s="114">
        <f>1</f>
        <v>1</v>
      </c>
      <c r="G60" s="114">
        <f>10</f>
        <v>10</v>
      </c>
      <c r="H60" s="301" t="s">
        <v>51</v>
      </c>
      <c r="I60" s="114">
        <v>18</v>
      </c>
      <c r="J60" s="114"/>
      <c r="K60" s="301" t="s">
        <v>51</v>
      </c>
      <c r="L60" s="114">
        <v>5</v>
      </c>
      <c r="M60" s="114">
        <f>19</f>
        <v>19</v>
      </c>
    </row>
    <row r="61" spans="1:14" s="53" customFormat="1" ht="18" customHeight="1" x14ac:dyDescent="0.2">
      <c r="B61" s="82"/>
      <c r="C61" s="82"/>
      <c r="D61" s="148">
        <v>2019</v>
      </c>
      <c r="E61" s="146">
        <f t="shared" si="16"/>
        <v>73</v>
      </c>
      <c r="F61" s="114">
        <v>2</v>
      </c>
      <c r="G61" s="114">
        <v>15</v>
      </c>
      <c r="H61" s="301" t="s">
        <v>51</v>
      </c>
      <c r="I61" s="114">
        <v>22</v>
      </c>
      <c r="J61" s="114"/>
      <c r="K61" s="301" t="s">
        <v>51</v>
      </c>
      <c r="L61" s="114">
        <v>7</v>
      </c>
      <c r="M61" s="114">
        <v>27</v>
      </c>
    </row>
    <row r="62" spans="1:14" s="53" customFormat="1" ht="8.1" customHeight="1" thickBot="1" x14ac:dyDescent="0.25">
      <c r="A62" s="195"/>
      <c r="B62" s="196"/>
      <c r="C62" s="196"/>
      <c r="D62" s="196"/>
      <c r="E62" s="197"/>
      <c r="F62" s="198"/>
      <c r="G62" s="198"/>
      <c r="H62" s="198"/>
      <c r="I62" s="198"/>
      <c r="J62" s="198"/>
      <c r="K62" s="198"/>
      <c r="L62" s="198"/>
      <c r="M62" s="199"/>
      <c r="N62" s="195"/>
    </row>
    <row r="63" spans="1:14" s="53" customFormat="1" ht="12.75" x14ac:dyDescent="0.2">
      <c r="B63" s="115"/>
      <c r="C63" s="115"/>
      <c r="D63" s="115"/>
      <c r="E63" s="63"/>
      <c r="F63" s="114"/>
      <c r="G63" s="114"/>
      <c r="H63" s="114"/>
      <c r="I63" s="114"/>
      <c r="J63" s="114"/>
      <c r="K63" s="114"/>
      <c r="L63" s="114"/>
      <c r="M63" s="189"/>
      <c r="N63" s="8" t="s">
        <v>99</v>
      </c>
    </row>
    <row r="64" spans="1:14" s="53" customFormat="1" ht="12.75" x14ac:dyDescent="0.2">
      <c r="B64" s="115"/>
      <c r="C64" s="115"/>
      <c r="D64" s="115"/>
      <c r="E64" s="63"/>
      <c r="F64" s="114"/>
      <c r="G64" s="114"/>
      <c r="H64" s="114"/>
      <c r="I64" s="114"/>
      <c r="J64" s="114"/>
      <c r="K64" s="114"/>
      <c r="L64" s="114"/>
      <c r="M64" s="189"/>
      <c r="N64" s="41" t="s">
        <v>1</v>
      </c>
    </row>
  </sheetData>
  <mergeCells count="4">
    <mergeCell ref="B11:C11"/>
    <mergeCell ref="H11:I11"/>
    <mergeCell ref="K11:L11"/>
    <mergeCell ref="B12:C12"/>
  </mergeCells>
  <pageMargins left="0.39370078740157483" right="0.39370078740157483" top="0.59055118110236227" bottom="0.59055118110236227" header="0.31496062992125984" footer="0.31496062992125984"/>
  <pageSetup paperSize="9" scale="70" fitToWidth="0" orientation="portrait" r:id="rId1"/>
  <headerFooter>
    <oddHeader xml:space="preserve">&amp;R&amp;"-,Bold"
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81"/>
  <sheetViews>
    <sheetView showGridLines="0" topLeftCell="A11" zoomScaleNormal="100" zoomScaleSheetLayoutView="100" workbookViewId="0">
      <selection activeCell="AA22" sqref="AA22"/>
    </sheetView>
  </sheetViews>
  <sheetFormatPr defaultRowHeight="15" x14ac:dyDescent="0.25"/>
  <cols>
    <col min="1" max="1" width="1.28515625" style="209" customWidth="1"/>
    <col min="2" max="2" width="10.140625" style="3" customWidth="1"/>
    <col min="3" max="3" width="14.42578125" style="3" customWidth="1"/>
    <col min="4" max="4" width="7.42578125" style="3" customWidth="1"/>
    <col min="5" max="5" width="10.7109375" style="21" customWidth="1"/>
    <col min="6" max="8" width="10.7109375" style="22" customWidth="1"/>
    <col min="9" max="9" width="14.85546875" style="22" customWidth="1"/>
    <col min="10" max="10" width="1.7109375" style="22" customWidth="1"/>
    <col min="11" max="11" width="10.7109375" style="22" customWidth="1"/>
    <col min="12" max="12" width="14.85546875" style="22" customWidth="1"/>
    <col min="13" max="13" width="14.42578125" style="209" customWidth="1"/>
    <col min="14" max="14" width="1" style="2" customWidth="1"/>
    <col min="15" max="16384" width="9.140625" style="2"/>
  </cols>
  <sheetData>
    <row r="1" spans="1:14" ht="9.9499999999999993" customHeight="1" x14ac:dyDescent="0.25">
      <c r="A1" s="2"/>
      <c r="B1" s="3" t="s">
        <v>196</v>
      </c>
      <c r="M1" s="5"/>
    </row>
    <row r="2" spans="1:14" s="30" customFormat="1" ht="12.95" customHeight="1" x14ac:dyDescent="0.25">
      <c r="B2" s="27"/>
      <c r="C2" s="27"/>
      <c r="D2" s="29"/>
      <c r="E2" s="28"/>
      <c r="F2" s="29"/>
      <c r="M2" s="160" t="s">
        <v>179</v>
      </c>
      <c r="N2" s="29"/>
    </row>
    <row r="3" spans="1:14" s="30" customFormat="1" ht="12.95" customHeight="1" x14ac:dyDescent="0.25">
      <c r="B3" s="27"/>
      <c r="C3" s="27"/>
      <c r="D3" s="29"/>
      <c r="E3" s="28"/>
      <c r="F3" s="29"/>
      <c r="M3" s="68" t="s">
        <v>180</v>
      </c>
      <c r="N3" s="29"/>
    </row>
    <row r="4" spans="1:14" s="30" customFormat="1" ht="12" customHeight="1" x14ac:dyDescent="0.25">
      <c r="B4" s="27"/>
      <c r="C4" s="27"/>
      <c r="D4" s="29"/>
      <c r="E4" s="28"/>
      <c r="F4" s="29"/>
      <c r="G4" s="68"/>
      <c r="N4" s="29"/>
    </row>
    <row r="5" spans="1:14" s="30" customFormat="1" ht="12" customHeight="1" x14ac:dyDescent="0.25">
      <c r="B5" s="27"/>
      <c r="C5" s="27"/>
      <c r="D5" s="29"/>
      <c r="E5" s="28"/>
      <c r="F5" s="29"/>
      <c r="G5" s="68"/>
      <c r="N5" s="29"/>
    </row>
    <row r="6" spans="1:14" s="53" customFormat="1" ht="9.75" customHeight="1" x14ac:dyDescent="0.2">
      <c r="B6" s="115"/>
      <c r="C6" s="115"/>
      <c r="D6" s="189"/>
      <c r="E6" s="190"/>
      <c r="F6" s="189"/>
      <c r="G6" s="189"/>
      <c r="H6" s="191"/>
      <c r="I6" s="191"/>
      <c r="J6" s="191"/>
      <c r="K6" s="191"/>
      <c r="L6" s="191"/>
      <c r="M6" s="189"/>
      <c r="N6" s="114"/>
    </row>
    <row r="7" spans="1:14" s="53" customFormat="1" ht="15" customHeight="1" x14ac:dyDescent="0.2">
      <c r="B7" s="63" t="s">
        <v>186</v>
      </c>
      <c r="C7" s="64" t="s">
        <v>239</v>
      </c>
      <c r="D7" s="115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4" s="65" customFormat="1" ht="15" customHeight="1" x14ac:dyDescent="0.2">
      <c r="B8" s="66" t="s">
        <v>187</v>
      </c>
      <c r="C8" s="67" t="s">
        <v>240</v>
      </c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4" s="53" customFormat="1" ht="6.75" customHeight="1" thickBot="1" x14ac:dyDescent="0.25">
      <c r="B9" s="115"/>
      <c r="C9" s="115"/>
      <c r="D9" s="115"/>
      <c r="E9" s="63"/>
      <c r="F9" s="114"/>
      <c r="G9" s="114"/>
      <c r="H9" s="114"/>
      <c r="I9" s="114"/>
      <c r="J9" s="114"/>
      <c r="K9" s="114"/>
      <c r="L9" s="114"/>
      <c r="M9" s="189"/>
    </row>
    <row r="10" spans="1:14" s="53" customFormat="1" ht="9.9499999999999993" customHeight="1" thickTop="1" x14ac:dyDescent="0.2">
      <c r="A10" s="378"/>
      <c r="B10" s="388"/>
      <c r="C10" s="388"/>
      <c r="D10" s="389"/>
      <c r="E10" s="374"/>
      <c r="F10" s="375"/>
      <c r="G10" s="375"/>
      <c r="H10" s="376"/>
      <c r="I10" s="375"/>
      <c r="J10" s="375"/>
      <c r="K10" s="375"/>
      <c r="L10" s="375"/>
      <c r="M10" s="377"/>
      <c r="N10" s="378"/>
    </row>
    <row r="11" spans="1:14" s="53" customFormat="1" ht="27.75" customHeight="1" x14ac:dyDescent="0.2">
      <c r="A11" s="390"/>
      <c r="B11" s="432" t="s">
        <v>210</v>
      </c>
      <c r="C11" s="432"/>
      <c r="D11" s="379" t="s">
        <v>222</v>
      </c>
      <c r="E11" s="379" t="s">
        <v>220</v>
      </c>
      <c r="F11" s="379" t="s">
        <v>219</v>
      </c>
      <c r="G11" s="379" t="s">
        <v>218</v>
      </c>
      <c r="H11" s="433" t="s">
        <v>234</v>
      </c>
      <c r="I11" s="433"/>
      <c r="J11" s="380"/>
      <c r="K11" s="433" t="s">
        <v>221</v>
      </c>
      <c r="L11" s="433"/>
      <c r="M11" s="379" t="s">
        <v>217</v>
      </c>
      <c r="N11" s="381"/>
    </row>
    <row r="12" spans="1:14" s="53" customFormat="1" ht="30" customHeight="1" x14ac:dyDescent="0.2">
      <c r="A12" s="390"/>
      <c r="B12" s="434" t="s">
        <v>211</v>
      </c>
      <c r="C12" s="434"/>
      <c r="D12" s="382" t="s">
        <v>212</v>
      </c>
      <c r="E12" s="382" t="s">
        <v>213</v>
      </c>
      <c r="F12" s="382" t="s">
        <v>214</v>
      </c>
      <c r="G12" s="382" t="s">
        <v>215</v>
      </c>
      <c r="H12" s="383" t="s">
        <v>225</v>
      </c>
      <c r="I12" s="383" t="s">
        <v>226</v>
      </c>
      <c r="J12" s="383"/>
      <c r="K12" s="383" t="s">
        <v>225</v>
      </c>
      <c r="L12" s="383" t="s">
        <v>226</v>
      </c>
      <c r="M12" s="384" t="s">
        <v>216</v>
      </c>
      <c r="N12" s="385"/>
    </row>
    <row r="13" spans="1:14" s="53" customFormat="1" ht="30" customHeight="1" x14ac:dyDescent="0.2">
      <c r="A13" s="391"/>
      <c r="B13" s="392"/>
      <c r="C13" s="392"/>
      <c r="D13" s="386"/>
      <c r="E13" s="386"/>
      <c r="F13" s="386"/>
      <c r="G13" s="386"/>
      <c r="H13" s="387" t="s">
        <v>223</v>
      </c>
      <c r="I13" s="387" t="s">
        <v>224</v>
      </c>
      <c r="J13" s="387"/>
      <c r="K13" s="387" t="s">
        <v>223</v>
      </c>
      <c r="L13" s="387" t="s">
        <v>224</v>
      </c>
      <c r="M13" s="370"/>
      <c r="N13" s="373"/>
    </row>
    <row r="14" spans="1:14" s="53" customFormat="1" ht="6" customHeight="1" x14ac:dyDescent="0.2">
      <c r="A14" s="116"/>
      <c r="B14" s="180"/>
      <c r="C14" s="180"/>
      <c r="D14" s="90"/>
      <c r="E14" s="90"/>
      <c r="F14" s="192"/>
      <c r="G14" s="192"/>
      <c r="H14" s="192"/>
      <c r="I14" s="192"/>
      <c r="J14" s="192"/>
      <c r="K14" s="192"/>
      <c r="L14" s="192"/>
      <c r="M14" s="192"/>
      <c r="N14" s="86"/>
    </row>
    <row r="15" spans="1:14" s="53" customFormat="1" ht="15.6" customHeight="1" x14ac:dyDescent="0.2">
      <c r="A15" s="208"/>
      <c r="B15" s="124" t="s">
        <v>174</v>
      </c>
      <c r="C15" s="124"/>
      <c r="D15" s="109">
        <v>2017</v>
      </c>
      <c r="E15" s="145">
        <f t="shared" ref="E15:E16" si="0">SUM(F15:M15)</f>
        <v>1140</v>
      </c>
      <c r="F15" s="145">
        <f t="shared" ref="F15:I17" si="1">SUM(F19,F23,F27,F31,F35,F39,F43,F47,F51,F55,F59,F63,F67,F71,F75)</f>
        <v>35</v>
      </c>
      <c r="G15" s="145">
        <f t="shared" si="1"/>
        <v>95</v>
      </c>
      <c r="H15" s="145">
        <f t="shared" si="1"/>
        <v>4</v>
      </c>
      <c r="I15" s="145">
        <f t="shared" si="1"/>
        <v>426</v>
      </c>
      <c r="J15" s="145"/>
      <c r="K15" s="137" t="s">
        <v>51</v>
      </c>
      <c r="L15" s="145">
        <f t="shared" ref="L15:M17" si="2">SUM(L19,L23,L27,L31,L35,L39,L43,L47,L51,L55,L59,L63,L67,L71,L75)</f>
        <v>200</v>
      </c>
      <c r="M15" s="145">
        <f t="shared" si="2"/>
        <v>380</v>
      </c>
    </row>
    <row r="16" spans="1:14" s="53" customFormat="1" ht="15.6" customHeight="1" x14ac:dyDescent="0.2">
      <c r="A16" s="208"/>
      <c r="B16" s="124"/>
      <c r="C16" s="124"/>
      <c r="D16" s="109">
        <v>2018</v>
      </c>
      <c r="E16" s="145">
        <f t="shared" si="0"/>
        <v>1005</v>
      </c>
      <c r="F16" s="145">
        <f t="shared" si="1"/>
        <v>33</v>
      </c>
      <c r="G16" s="145">
        <f t="shared" si="1"/>
        <v>104</v>
      </c>
      <c r="H16" s="145">
        <f t="shared" si="1"/>
        <v>1</v>
      </c>
      <c r="I16" s="145">
        <f t="shared" si="1"/>
        <v>365</v>
      </c>
      <c r="J16" s="145"/>
      <c r="K16" s="145">
        <f>SUM(K20,K24,K28,K32,K36,K40,K44,K48,K52,K56,K60,K64,K68,K72,K76)</f>
        <v>2</v>
      </c>
      <c r="L16" s="145">
        <f t="shared" si="2"/>
        <v>142</v>
      </c>
      <c r="M16" s="145">
        <f t="shared" si="2"/>
        <v>358</v>
      </c>
    </row>
    <row r="17" spans="1:13" s="53" customFormat="1" ht="15.6" customHeight="1" x14ac:dyDescent="0.2">
      <c r="A17" s="208"/>
      <c r="B17" s="124"/>
      <c r="C17" s="124"/>
      <c r="D17" s="109">
        <v>2019</v>
      </c>
      <c r="E17" s="145">
        <f t="shared" ref="E17:E77" si="3">SUM(F17:M17)</f>
        <v>1103</v>
      </c>
      <c r="F17" s="145">
        <f t="shared" si="1"/>
        <v>31</v>
      </c>
      <c r="G17" s="145">
        <f t="shared" si="1"/>
        <v>102</v>
      </c>
      <c r="H17" s="145">
        <f t="shared" si="1"/>
        <v>2</v>
      </c>
      <c r="I17" s="145">
        <f t="shared" si="1"/>
        <v>382</v>
      </c>
      <c r="J17" s="145"/>
      <c r="K17" s="137" t="s">
        <v>51</v>
      </c>
      <c r="L17" s="145">
        <f t="shared" si="2"/>
        <v>167</v>
      </c>
      <c r="M17" s="145">
        <f t="shared" si="2"/>
        <v>419</v>
      </c>
    </row>
    <row r="18" spans="1:13" s="53" customFormat="1" ht="6" customHeight="1" x14ac:dyDescent="0.2">
      <c r="A18" s="208"/>
      <c r="B18" s="124"/>
      <c r="C18" s="124"/>
      <c r="D18" s="109"/>
      <c r="E18" s="145"/>
      <c r="F18" s="145"/>
      <c r="G18" s="145"/>
      <c r="H18" s="145"/>
      <c r="I18" s="145"/>
      <c r="J18" s="145"/>
      <c r="K18" s="145"/>
      <c r="L18" s="145"/>
      <c r="M18" s="145"/>
    </row>
    <row r="19" spans="1:13" s="53" customFormat="1" ht="15.6" customHeight="1" x14ac:dyDescent="0.2">
      <c r="A19" s="83"/>
      <c r="B19" s="82" t="s">
        <v>69</v>
      </c>
      <c r="C19" s="82"/>
      <c r="D19" s="108">
        <v>2017</v>
      </c>
      <c r="E19" s="146">
        <f t="shared" si="3"/>
        <v>23</v>
      </c>
      <c r="F19" s="146">
        <v>1</v>
      </c>
      <c r="G19" s="146">
        <v>3</v>
      </c>
      <c r="H19" s="144" t="s">
        <v>51</v>
      </c>
      <c r="I19" s="146">
        <v>9</v>
      </c>
      <c r="J19" s="146"/>
      <c r="K19" s="144" t="s">
        <v>51</v>
      </c>
      <c r="L19" s="146">
        <v>3</v>
      </c>
      <c r="M19" s="146">
        <v>7</v>
      </c>
    </row>
    <row r="20" spans="1:13" s="53" customFormat="1" ht="15.6" customHeight="1" x14ac:dyDescent="0.2">
      <c r="A20" s="83"/>
      <c r="B20" s="82"/>
      <c r="C20" s="82"/>
      <c r="D20" s="108">
        <v>2018</v>
      </c>
      <c r="E20" s="146">
        <f t="shared" si="3"/>
        <v>17</v>
      </c>
      <c r="F20" s="146">
        <v>1</v>
      </c>
      <c r="G20" s="146">
        <v>2</v>
      </c>
      <c r="H20" s="144" t="s">
        <v>51</v>
      </c>
      <c r="I20" s="146">
        <v>5</v>
      </c>
      <c r="J20" s="146"/>
      <c r="K20" s="144" t="s">
        <v>51</v>
      </c>
      <c r="L20" s="146">
        <v>1</v>
      </c>
      <c r="M20" s="146">
        <v>8</v>
      </c>
    </row>
    <row r="21" spans="1:13" s="53" customFormat="1" ht="15.6" customHeight="1" x14ac:dyDescent="0.2">
      <c r="A21" s="83"/>
      <c r="B21" s="82"/>
      <c r="C21" s="82"/>
      <c r="D21" s="108">
        <v>2019</v>
      </c>
      <c r="E21" s="146">
        <f t="shared" si="3"/>
        <v>25</v>
      </c>
      <c r="F21" s="146">
        <v>3</v>
      </c>
      <c r="G21" s="146">
        <v>3</v>
      </c>
      <c r="H21" s="144" t="s">
        <v>51</v>
      </c>
      <c r="I21" s="146">
        <v>13</v>
      </c>
      <c r="J21" s="146"/>
      <c r="K21" s="144" t="s">
        <v>51</v>
      </c>
      <c r="L21" s="146">
        <v>3</v>
      </c>
      <c r="M21" s="146">
        <v>3</v>
      </c>
    </row>
    <row r="22" spans="1:13" s="53" customFormat="1" ht="6" customHeight="1" x14ac:dyDescent="0.2">
      <c r="A22" s="83"/>
      <c r="B22" s="82"/>
      <c r="C22" s="82"/>
      <c r="D22" s="108"/>
      <c r="E22" s="146"/>
      <c r="F22" s="146"/>
      <c r="G22" s="146"/>
      <c r="H22" s="144"/>
      <c r="I22" s="146"/>
      <c r="J22" s="146"/>
      <c r="K22" s="144"/>
      <c r="L22" s="146"/>
      <c r="M22" s="146"/>
    </row>
    <row r="23" spans="1:13" s="53" customFormat="1" ht="15.6" customHeight="1" x14ac:dyDescent="0.2">
      <c r="A23" s="83"/>
      <c r="B23" s="82" t="s">
        <v>70</v>
      </c>
      <c r="C23" s="82"/>
      <c r="D23" s="108">
        <v>2017</v>
      </c>
      <c r="E23" s="146">
        <f t="shared" si="3"/>
        <v>16</v>
      </c>
      <c r="F23" s="146">
        <v>2</v>
      </c>
      <c r="G23" s="146">
        <v>5</v>
      </c>
      <c r="H23" s="144" t="s">
        <v>51</v>
      </c>
      <c r="I23" s="146">
        <v>1</v>
      </c>
      <c r="J23" s="146"/>
      <c r="K23" s="144" t="s">
        <v>51</v>
      </c>
      <c r="L23" s="146">
        <v>2</v>
      </c>
      <c r="M23" s="146">
        <v>6</v>
      </c>
    </row>
    <row r="24" spans="1:13" s="53" customFormat="1" ht="15.6" customHeight="1" x14ac:dyDescent="0.2">
      <c r="A24" s="83"/>
      <c r="B24" s="82"/>
      <c r="C24" s="82"/>
      <c r="D24" s="108">
        <v>2018</v>
      </c>
      <c r="E24" s="146">
        <f t="shared" si="3"/>
        <v>15</v>
      </c>
      <c r="F24" s="146">
        <v>3</v>
      </c>
      <c r="G24" s="146">
        <v>5</v>
      </c>
      <c r="H24" s="144" t="s">
        <v>51</v>
      </c>
      <c r="I24" s="146">
        <v>3</v>
      </c>
      <c r="J24" s="146"/>
      <c r="K24" s="144" t="s">
        <v>51</v>
      </c>
      <c r="L24" s="144" t="s">
        <v>51</v>
      </c>
      <c r="M24" s="146">
        <v>4</v>
      </c>
    </row>
    <row r="25" spans="1:13" s="53" customFormat="1" ht="15.6" customHeight="1" x14ac:dyDescent="0.2">
      <c r="A25" s="83"/>
      <c r="B25" s="82"/>
      <c r="C25" s="82"/>
      <c r="D25" s="108">
        <v>2019</v>
      </c>
      <c r="E25" s="146">
        <f t="shared" si="3"/>
        <v>17</v>
      </c>
      <c r="F25" s="144" t="s">
        <v>51</v>
      </c>
      <c r="G25" s="146">
        <v>5</v>
      </c>
      <c r="H25" s="144" t="s">
        <v>51</v>
      </c>
      <c r="I25" s="146">
        <v>4</v>
      </c>
      <c r="J25" s="146"/>
      <c r="K25" s="144" t="s">
        <v>51</v>
      </c>
      <c r="L25" s="146">
        <v>3</v>
      </c>
      <c r="M25" s="146">
        <v>5</v>
      </c>
    </row>
    <row r="26" spans="1:13" s="53" customFormat="1" ht="8.1" customHeight="1" x14ac:dyDescent="0.2">
      <c r="A26" s="83"/>
      <c r="B26" s="82"/>
      <c r="C26" s="82"/>
      <c r="D26" s="108"/>
      <c r="E26" s="146"/>
      <c r="F26" s="146"/>
      <c r="G26" s="146"/>
      <c r="H26" s="144"/>
      <c r="I26" s="146"/>
      <c r="J26" s="146"/>
      <c r="K26" s="144"/>
      <c r="L26" s="146"/>
      <c r="M26" s="146"/>
    </row>
    <row r="27" spans="1:13" s="115" customFormat="1" ht="15.6" customHeight="1" x14ac:dyDescent="0.2">
      <c r="A27" s="83"/>
      <c r="B27" s="82" t="s">
        <v>46</v>
      </c>
      <c r="C27" s="82"/>
      <c r="D27" s="108">
        <v>2017</v>
      </c>
      <c r="E27" s="146">
        <f t="shared" si="3"/>
        <v>128</v>
      </c>
      <c r="F27" s="146">
        <v>5</v>
      </c>
      <c r="G27" s="146">
        <v>7</v>
      </c>
      <c r="H27" s="146">
        <v>1</v>
      </c>
      <c r="I27" s="146">
        <v>32</v>
      </c>
      <c r="J27" s="146"/>
      <c r="K27" s="144" t="s">
        <v>51</v>
      </c>
      <c r="L27" s="146">
        <v>16</v>
      </c>
      <c r="M27" s="146">
        <v>67</v>
      </c>
    </row>
    <row r="28" spans="1:13" s="53" customFormat="1" ht="15.6" customHeight="1" x14ac:dyDescent="0.2">
      <c r="A28" s="83"/>
      <c r="B28" s="82"/>
      <c r="C28" s="82"/>
      <c r="D28" s="108">
        <v>2018</v>
      </c>
      <c r="E28" s="146">
        <f t="shared" si="3"/>
        <v>113</v>
      </c>
      <c r="F28" s="146">
        <v>6</v>
      </c>
      <c r="G28" s="146">
        <v>5</v>
      </c>
      <c r="H28" s="146">
        <v>1</v>
      </c>
      <c r="I28" s="146">
        <v>27</v>
      </c>
      <c r="J28" s="146"/>
      <c r="K28" s="144" t="s">
        <v>51</v>
      </c>
      <c r="L28" s="146">
        <v>14</v>
      </c>
      <c r="M28" s="146">
        <v>60</v>
      </c>
    </row>
    <row r="29" spans="1:13" s="53" customFormat="1" ht="15.6" customHeight="1" x14ac:dyDescent="0.2">
      <c r="A29" s="83"/>
      <c r="B29" s="82"/>
      <c r="C29" s="82"/>
      <c r="D29" s="108">
        <v>2019</v>
      </c>
      <c r="E29" s="146">
        <f t="shared" si="3"/>
        <v>113</v>
      </c>
      <c r="F29" s="146">
        <v>1</v>
      </c>
      <c r="G29" s="146">
        <v>10</v>
      </c>
      <c r="H29" s="144" t="s">
        <v>51</v>
      </c>
      <c r="I29" s="146">
        <v>27</v>
      </c>
      <c r="J29" s="146"/>
      <c r="K29" s="144" t="s">
        <v>51</v>
      </c>
      <c r="L29" s="146">
        <v>11</v>
      </c>
      <c r="M29" s="146">
        <v>64</v>
      </c>
    </row>
    <row r="30" spans="1:13" s="53" customFormat="1" ht="8.1" customHeight="1" x14ac:dyDescent="0.2">
      <c r="A30" s="83"/>
      <c r="B30" s="82"/>
      <c r="C30" s="82"/>
      <c r="D30" s="108"/>
      <c r="E30" s="146"/>
      <c r="F30" s="146"/>
      <c r="G30" s="146"/>
      <c r="H30" s="146"/>
      <c r="I30" s="146"/>
      <c r="J30" s="146"/>
      <c r="K30" s="144"/>
      <c r="L30" s="146"/>
      <c r="M30" s="146"/>
    </row>
    <row r="31" spans="1:13" s="53" customFormat="1" ht="15.6" customHeight="1" x14ac:dyDescent="0.2">
      <c r="A31" s="83"/>
      <c r="B31" s="82" t="s">
        <v>71</v>
      </c>
      <c r="C31" s="82"/>
      <c r="D31" s="108">
        <v>2017</v>
      </c>
      <c r="E31" s="146">
        <f t="shared" si="3"/>
        <v>450</v>
      </c>
      <c r="F31" s="146">
        <v>9</v>
      </c>
      <c r="G31" s="146">
        <v>13</v>
      </c>
      <c r="H31" s="144" t="s">
        <v>51</v>
      </c>
      <c r="I31" s="146">
        <v>206</v>
      </c>
      <c r="J31" s="146"/>
      <c r="K31" s="144" t="s">
        <v>51</v>
      </c>
      <c r="L31" s="146">
        <v>101</v>
      </c>
      <c r="M31" s="146">
        <v>121</v>
      </c>
    </row>
    <row r="32" spans="1:13" s="53" customFormat="1" ht="15.6" customHeight="1" x14ac:dyDescent="0.2">
      <c r="A32" s="83"/>
      <c r="B32" s="82"/>
      <c r="C32" s="82"/>
      <c r="D32" s="108">
        <v>2018</v>
      </c>
      <c r="E32" s="146">
        <f t="shared" si="3"/>
        <v>377</v>
      </c>
      <c r="F32" s="146">
        <v>6</v>
      </c>
      <c r="G32" s="146">
        <v>24</v>
      </c>
      <c r="H32" s="144" t="s">
        <v>51</v>
      </c>
      <c r="I32" s="146">
        <v>172</v>
      </c>
      <c r="J32" s="146"/>
      <c r="K32" s="146">
        <v>2</v>
      </c>
      <c r="L32" s="146">
        <v>69</v>
      </c>
      <c r="M32" s="146">
        <v>104</v>
      </c>
    </row>
    <row r="33" spans="1:13" s="53" customFormat="1" ht="15.6" customHeight="1" x14ac:dyDescent="0.2">
      <c r="A33" s="83"/>
      <c r="B33" s="82"/>
      <c r="C33" s="82"/>
      <c r="D33" s="108">
        <v>2019</v>
      </c>
      <c r="E33" s="146">
        <f t="shared" si="3"/>
        <v>445</v>
      </c>
      <c r="F33" s="146">
        <v>11</v>
      </c>
      <c r="G33" s="146">
        <v>25</v>
      </c>
      <c r="H33" s="146">
        <v>1</v>
      </c>
      <c r="I33" s="146">
        <v>184</v>
      </c>
      <c r="J33" s="146"/>
      <c r="K33" s="144" t="s">
        <v>51</v>
      </c>
      <c r="L33" s="146">
        <v>88</v>
      </c>
      <c r="M33" s="146">
        <v>136</v>
      </c>
    </row>
    <row r="34" spans="1:13" s="53" customFormat="1" ht="8.1" customHeight="1" x14ac:dyDescent="0.2">
      <c r="A34" s="83"/>
      <c r="B34" s="82"/>
      <c r="C34" s="82"/>
      <c r="D34" s="108"/>
      <c r="E34" s="146"/>
      <c r="F34" s="146"/>
      <c r="G34" s="146"/>
      <c r="H34" s="146"/>
      <c r="I34" s="146"/>
      <c r="J34" s="146"/>
      <c r="K34" s="144"/>
      <c r="L34" s="146"/>
      <c r="M34" s="146"/>
    </row>
    <row r="35" spans="1:13" s="53" customFormat="1" ht="15.6" customHeight="1" x14ac:dyDescent="0.2">
      <c r="A35" s="83"/>
      <c r="B35" s="82" t="s">
        <v>48</v>
      </c>
      <c r="C35" s="82"/>
      <c r="D35" s="108">
        <v>2017</v>
      </c>
      <c r="E35" s="146">
        <f t="shared" si="3"/>
        <v>36</v>
      </c>
      <c r="F35" s="146">
        <v>2</v>
      </c>
      <c r="G35" s="146">
        <v>3</v>
      </c>
      <c r="H35" s="144" t="s">
        <v>51</v>
      </c>
      <c r="I35" s="146">
        <v>16</v>
      </c>
      <c r="J35" s="146"/>
      <c r="K35" s="144" t="s">
        <v>51</v>
      </c>
      <c r="L35" s="146">
        <v>6</v>
      </c>
      <c r="M35" s="146">
        <v>9</v>
      </c>
    </row>
    <row r="36" spans="1:13" s="53" customFormat="1" ht="15.6" customHeight="1" x14ac:dyDescent="0.2">
      <c r="A36" s="83"/>
      <c r="B36" s="82"/>
      <c r="C36" s="82"/>
      <c r="D36" s="108">
        <v>2018</v>
      </c>
      <c r="E36" s="146">
        <f t="shared" si="3"/>
        <v>32</v>
      </c>
      <c r="F36" s="146" t="s">
        <v>51</v>
      </c>
      <c r="G36" s="146">
        <v>1</v>
      </c>
      <c r="H36" s="144" t="s">
        <v>51</v>
      </c>
      <c r="I36" s="146">
        <v>20</v>
      </c>
      <c r="J36" s="146"/>
      <c r="K36" s="144" t="s">
        <v>51</v>
      </c>
      <c r="L36" s="146">
        <v>1</v>
      </c>
      <c r="M36" s="146">
        <v>10</v>
      </c>
    </row>
    <row r="37" spans="1:13" s="53" customFormat="1" ht="15.6" customHeight="1" x14ac:dyDescent="0.2">
      <c r="A37" s="83"/>
      <c r="B37" s="82"/>
      <c r="C37" s="82"/>
      <c r="D37" s="108">
        <v>2019</v>
      </c>
      <c r="E37" s="146">
        <f t="shared" si="3"/>
        <v>34</v>
      </c>
      <c r="F37" s="144" t="s">
        <v>51</v>
      </c>
      <c r="G37" s="146">
        <v>3</v>
      </c>
      <c r="H37" s="144" t="s">
        <v>51</v>
      </c>
      <c r="I37" s="146">
        <v>14</v>
      </c>
      <c r="J37" s="146"/>
      <c r="K37" s="144" t="s">
        <v>51</v>
      </c>
      <c r="L37" s="146">
        <v>2</v>
      </c>
      <c r="M37" s="146">
        <v>15</v>
      </c>
    </row>
    <row r="38" spans="1:13" s="53" customFormat="1" ht="8.1" customHeight="1" x14ac:dyDescent="0.2">
      <c r="A38" s="83"/>
      <c r="B38" s="82"/>
      <c r="C38" s="82"/>
      <c r="D38" s="108"/>
      <c r="E38" s="146"/>
      <c r="F38" s="146"/>
      <c r="G38" s="146"/>
      <c r="H38" s="144"/>
      <c r="I38" s="146"/>
      <c r="J38" s="146"/>
      <c r="K38" s="144"/>
      <c r="L38" s="146"/>
      <c r="M38" s="146"/>
    </row>
    <row r="39" spans="1:13" s="53" customFormat="1" ht="15.6" customHeight="1" x14ac:dyDescent="0.2">
      <c r="A39" s="83"/>
      <c r="B39" s="82" t="s">
        <v>44</v>
      </c>
      <c r="C39" s="82"/>
      <c r="D39" s="108">
        <v>2017</v>
      </c>
      <c r="E39" s="146">
        <f t="shared" si="3"/>
        <v>39</v>
      </c>
      <c r="F39" s="146">
        <v>4</v>
      </c>
      <c r="G39" s="146">
        <v>2</v>
      </c>
      <c r="H39" s="144" t="s">
        <v>51</v>
      </c>
      <c r="I39" s="146">
        <v>18</v>
      </c>
      <c r="J39" s="146"/>
      <c r="K39" s="144" t="s">
        <v>51</v>
      </c>
      <c r="L39" s="146">
        <v>7</v>
      </c>
      <c r="M39" s="146">
        <v>8</v>
      </c>
    </row>
    <row r="40" spans="1:13" s="53" customFormat="1" ht="15.6" customHeight="1" x14ac:dyDescent="0.2">
      <c r="A40" s="83"/>
      <c r="B40" s="82"/>
      <c r="C40" s="82"/>
      <c r="D40" s="108">
        <v>2018</v>
      </c>
      <c r="E40" s="146">
        <f t="shared" si="3"/>
        <v>37</v>
      </c>
      <c r="F40" s="146">
        <v>1</v>
      </c>
      <c r="G40" s="146">
        <v>8</v>
      </c>
      <c r="H40" s="144" t="s">
        <v>51</v>
      </c>
      <c r="I40" s="146">
        <v>13</v>
      </c>
      <c r="J40" s="146"/>
      <c r="K40" s="144" t="s">
        <v>51</v>
      </c>
      <c r="L40" s="146">
        <v>8</v>
      </c>
      <c r="M40" s="146">
        <v>7</v>
      </c>
    </row>
    <row r="41" spans="1:13" s="53" customFormat="1" ht="15.6" customHeight="1" x14ac:dyDescent="0.2">
      <c r="A41" s="83"/>
      <c r="B41" s="82"/>
      <c r="C41" s="82"/>
      <c r="D41" s="108">
        <v>2019</v>
      </c>
      <c r="E41" s="146">
        <f t="shared" si="3"/>
        <v>37</v>
      </c>
      <c r="F41" s="144" t="s">
        <v>51</v>
      </c>
      <c r="G41" s="146">
        <v>6</v>
      </c>
      <c r="H41" s="144" t="s">
        <v>51</v>
      </c>
      <c r="I41" s="146">
        <v>5</v>
      </c>
      <c r="J41" s="146"/>
      <c r="K41" s="144" t="s">
        <v>51</v>
      </c>
      <c r="L41" s="146">
        <v>10</v>
      </c>
      <c r="M41" s="146">
        <v>16</v>
      </c>
    </row>
    <row r="42" spans="1:13" s="53" customFormat="1" ht="8.1" customHeight="1" x14ac:dyDescent="0.2">
      <c r="A42" s="83"/>
      <c r="B42" s="82"/>
      <c r="C42" s="82"/>
      <c r="D42" s="108"/>
      <c r="E42" s="146"/>
      <c r="F42" s="146"/>
      <c r="G42" s="146"/>
      <c r="H42" s="146"/>
      <c r="I42" s="146"/>
      <c r="J42" s="146"/>
      <c r="K42" s="144"/>
      <c r="L42" s="146"/>
      <c r="M42" s="146"/>
    </row>
    <row r="43" spans="1:13" s="53" customFormat="1" ht="15.6" customHeight="1" x14ac:dyDescent="0.2">
      <c r="A43" s="83"/>
      <c r="B43" s="82" t="s">
        <v>45</v>
      </c>
      <c r="C43" s="82"/>
      <c r="D43" s="108">
        <v>2017</v>
      </c>
      <c r="E43" s="146">
        <f t="shared" si="3"/>
        <v>21</v>
      </c>
      <c r="F43" s="146">
        <v>1</v>
      </c>
      <c r="G43" s="146">
        <v>6</v>
      </c>
      <c r="H43" s="144" t="s">
        <v>51</v>
      </c>
      <c r="I43" s="146">
        <v>4</v>
      </c>
      <c r="J43" s="146"/>
      <c r="K43" s="144" t="s">
        <v>51</v>
      </c>
      <c r="L43" s="146">
        <v>4</v>
      </c>
      <c r="M43" s="146">
        <v>6</v>
      </c>
    </row>
    <row r="44" spans="1:13" s="53" customFormat="1" ht="15.6" customHeight="1" x14ac:dyDescent="0.2">
      <c r="A44" s="83"/>
      <c r="B44" s="82"/>
      <c r="C44" s="82"/>
      <c r="D44" s="108">
        <v>2018</v>
      </c>
      <c r="E44" s="146">
        <f t="shared" si="3"/>
        <v>24</v>
      </c>
      <c r="F44" s="146">
        <v>1</v>
      </c>
      <c r="G44" s="146">
        <v>5</v>
      </c>
      <c r="H44" s="144" t="s">
        <v>51</v>
      </c>
      <c r="I44" s="146">
        <v>6</v>
      </c>
      <c r="J44" s="146"/>
      <c r="K44" s="144" t="s">
        <v>51</v>
      </c>
      <c r="L44" s="146">
        <v>3</v>
      </c>
      <c r="M44" s="146">
        <v>9</v>
      </c>
    </row>
    <row r="45" spans="1:13" s="53" customFormat="1" ht="15.6" customHeight="1" x14ac:dyDescent="0.2">
      <c r="A45" s="83"/>
      <c r="B45" s="82"/>
      <c r="C45" s="82"/>
      <c r="D45" s="108">
        <v>2019</v>
      </c>
      <c r="E45" s="146">
        <f t="shared" si="3"/>
        <v>26</v>
      </c>
      <c r="F45" s="144" t="s">
        <v>51</v>
      </c>
      <c r="G45" s="146">
        <v>3</v>
      </c>
      <c r="H45" s="144" t="s">
        <v>51</v>
      </c>
      <c r="I45" s="146">
        <v>10</v>
      </c>
      <c r="J45" s="146"/>
      <c r="K45" s="144" t="s">
        <v>51</v>
      </c>
      <c r="L45" s="146">
        <v>4</v>
      </c>
      <c r="M45" s="146">
        <v>9</v>
      </c>
    </row>
    <row r="46" spans="1:13" s="53" customFormat="1" ht="8.1" customHeight="1" x14ac:dyDescent="0.2">
      <c r="A46" s="83"/>
      <c r="B46" s="82"/>
      <c r="C46" s="82"/>
      <c r="D46" s="108"/>
      <c r="E46" s="146"/>
      <c r="F46" s="146"/>
      <c r="G46" s="146"/>
      <c r="H46" s="146"/>
      <c r="I46" s="146"/>
      <c r="J46" s="146"/>
      <c r="K46" s="144"/>
      <c r="L46" s="146"/>
      <c r="M46" s="146"/>
    </row>
    <row r="47" spans="1:13" s="53" customFormat="1" ht="15.6" customHeight="1" x14ac:dyDescent="0.2">
      <c r="A47" s="83"/>
      <c r="B47" s="82" t="s">
        <v>43</v>
      </c>
      <c r="C47" s="82"/>
      <c r="D47" s="108">
        <v>2017</v>
      </c>
      <c r="E47" s="146">
        <f t="shared" si="3"/>
        <v>116</v>
      </c>
      <c r="F47" s="146">
        <v>7</v>
      </c>
      <c r="G47" s="146">
        <v>11</v>
      </c>
      <c r="H47" s="146">
        <v>2</v>
      </c>
      <c r="I47" s="146">
        <v>28</v>
      </c>
      <c r="J47" s="146"/>
      <c r="K47" s="144" t="s">
        <v>51</v>
      </c>
      <c r="L47" s="146">
        <v>20</v>
      </c>
      <c r="M47" s="146">
        <v>48</v>
      </c>
    </row>
    <row r="48" spans="1:13" s="53" customFormat="1" ht="15.6" customHeight="1" x14ac:dyDescent="0.2">
      <c r="A48" s="83"/>
      <c r="B48" s="82"/>
      <c r="C48" s="82"/>
      <c r="D48" s="108">
        <v>2018</v>
      </c>
      <c r="E48" s="146">
        <f t="shared" si="3"/>
        <v>99</v>
      </c>
      <c r="F48" s="146">
        <v>6</v>
      </c>
      <c r="G48" s="146">
        <v>8</v>
      </c>
      <c r="H48" s="144" t="s">
        <v>51</v>
      </c>
      <c r="I48" s="146">
        <v>22</v>
      </c>
      <c r="J48" s="146"/>
      <c r="K48" s="144" t="s">
        <v>51</v>
      </c>
      <c r="L48" s="146">
        <v>10</v>
      </c>
      <c r="M48" s="146">
        <v>53</v>
      </c>
    </row>
    <row r="49" spans="1:13" s="53" customFormat="1" ht="15.6" customHeight="1" x14ac:dyDescent="0.2">
      <c r="A49" s="83"/>
      <c r="B49" s="82"/>
      <c r="C49" s="82"/>
      <c r="D49" s="108">
        <v>2019</v>
      </c>
      <c r="E49" s="146">
        <f t="shared" si="3"/>
        <v>105</v>
      </c>
      <c r="F49" s="146">
        <v>6</v>
      </c>
      <c r="G49" s="146">
        <v>8</v>
      </c>
      <c r="H49" s="144" t="s">
        <v>51</v>
      </c>
      <c r="I49" s="146">
        <v>28</v>
      </c>
      <c r="J49" s="146"/>
      <c r="K49" s="144" t="s">
        <v>51</v>
      </c>
      <c r="L49" s="146">
        <v>15</v>
      </c>
      <c r="M49" s="146">
        <v>48</v>
      </c>
    </row>
    <row r="50" spans="1:13" s="53" customFormat="1" ht="8.1" customHeight="1" x14ac:dyDescent="0.2">
      <c r="A50" s="83"/>
      <c r="B50" s="82"/>
      <c r="C50" s="82"/>
      <c r="D50" s="108"/>
      <c r="E50" s="146"/>
      <c r="F50" s="146"/>
      <c r="G50" s="146"/>
      <c r="H50" s="144"/>
      <c r="I50" s="146"/>
      <c r="J50" s="146"/>
      <c r="K50" s="144"/>
      <c r="L50" s="144"/>
      <c r="M50" s="146"/>
    </row>
    <row r="51" spans="1:13" s="53" customFormat="1" ht="15.6" customHeight="1" x14ac:dyDescent="0.2">
      <c r="A51" s="83"/>
      <c r="B51" s="82" t="s">
        <v>72</v>
      </c>
      <c r="C51" s="82"/>
      <c r="D51" s="108">
        <v>2017</v>
      </c>
      <c r="E51" s="146">
        <f t="shared" si="3"/>
        <v>2</v>
      </c>
      <c r="F51" s="146" t="s">
        <v>51</v>
      </c>
      <c r="G51" s="146">
        <v>2</v>
      </c>
      <c r="H51" s="144" t="s">
        <v>51</v>
      </c>
      <c r="I51" s="144" t="s">
        <v>51</v>
      </c>
      <c r="J51" s="146"/>
      <c r="K51" s="144" t="s">
        <v>51</v>
      </c>
      <c r="L51" s="144" t="s">
        <v>51</v>
      </c>
      <c r="M51" s="146" t="s">
        <v>51</v>
      </c>
    </row>
    <row r="52" spans="1:13" s="53" customFormat="1" ht="15.6" customHeight="1" x14ac:dyDescent="0.2">
      <c r="A52" s="83"/>
      <c r="B52" s="82"/>
      <c r="C52" s="82"/>
      <c r="D52" s="108">
        <v>2018</v>
      </c>
      <c r="E52" s="146">
        <f t="shared" si="3"/>
        <v>3</v>
      </c>
      <c r="F52" s="146" t="s">
        <v>51</v>
      </c>
      <c r="G52" s="146">
        <v>3</v>
      </c>
      <c r="H52" s="144" t="s">
        <v>51</v>
      </c>
      <c r="I52" s="144" t="s">
        <v>51</v>
      </c>
      <c r="J52" s="146"/>
      <c r="K52" s="144" t="s">
        <v>51</v>
      </c>
      <c r="L52" s="144" t="s">
        <v>51</v>
      </c>
      <c r="M52" s="146" t="s">
        <v>51</v>
      </c>
    </row>
    <row r="53" spans="1:13" s="53" customFormat="1" ht="15.6" customHeight="1" x14ac:dyDescent="0.2">
      <c r="A53" s="83"/>
      <c r="B53" s="82"/>
      <c r="C53" s="82"/>
      <c r="D53" s="108">
        <v>2019</v>
      </c>
      <c r="E53" s="146">
        <f t="shared" si="3"/>
        <v>1</v>
      </c>
      <c r="F53" s="144" t="s">
        <v>51</v>
      </c>
      <c r="G53" s="144" t="s">
        <v>51</v>
      </c>
      <c r="H53" s="144" t="s">
        <v>51</v>
      </c>
      <c r="I53" s="144" t="s">
        <v>51</v>
      </c>
      <c r="J53" s="146"/>
      <c r="K53" s="144" t="s">
        <v>51</v>
      </c>
      <c r="L53" s="144" t="s">
        <v>51</v>
      </c>
      <c r="M53" s="146">
        <v>1</v>
      </c>
    </row>
    <row r="54" spans="1:13" s="53" customFormat="1" ht="8.1" customHeight="1" x14ac:dyDescent="0.2">
      <c r="A54" s="83"/>
      <c r="B54" s="82"/>
      <c r="C54" s="82"/>
      <c r="D54" s="108"/>
      <c r="E54" s="146"/>
      <c r="F54" s="146"/>
      <c r="G54" s="146"/>
      <c r="H54" s="144"/>
      <c r="I54" s="146"/>
      <c r="J54" s="146"/>
      <c r="K54" s="144"/>
      <c r="L54" s="146"/>
      <c r="M54" s="146"/>
    </row>
    <row r="55" spans="1:13" s="53" customFormat="1" ht="15.6" customHeight="1" x14ac:dyDescent="0.2">
      <c r="A55" s="83"/>
      <c r="B55" s="82" t="s">
        <v>47</v>
      </c>
      <c r="C55" s="82"/>
      <c r="D55" s="108">
        <v>2017</v>
      </c>
      <c r="E55" s="146">
        <f t="shared" si="3"/>
        <v>24</v>
      </c>
      <c r="F55" s="146" t="s">
        <v>51</v>
      </c>
      <c r="G55" s="146">
        <v>8</v>
      </c>
      <c r="H55" s="144" t="s">
        <v>51</v>
      </c>
      <c r="I55" s="146">
        <v>9</v>
      </c>
      <c r="J55" s="146"/>
      <c r="K55" s="144" t="s">
        <v>51</v>
      </c>
      <c r="L55" s="144" t="s">
        <v>51</v>
      </c>
      <c r="M55" s="146">
        <v>7</v>
      </c>
    </row>
    <row r="56" spans="1:13" s="53" customFormat="1" ht="15.6" customHeight="1" x14ac:dyDescent="0.2">
      <c r="A56" s="83"/>
      <c r="B56" s="82"/>
      <c r="C56" s="82"/>
      <c r="D56" s="108">
        <v>2018</v>
      </c>
      <c r="E56" s="146">
        <f t="shared" si="3"/>
        <v>11</v>
      </c>
      <c r="F56" s="144">
        <v>3</v>
      </c>
      <c r="G56" s="146">
        <v>3</v>
      </c>
      <c r="H56" s="144" t="s">
        <v>51</v>
      </c>
      <c r="I56" s="146">
        <v>1</v>
      </c>
      <c r="J56" s="146"/>
      <c r="K56" s="144" t="s">
        <v>51</v>
      </c>
      <c r="L56" s="144" t="s">
        <v>51</v>
      </c>
      <c r="M56" s="146">
        <v>4</v>
      </c>
    </row>
    <row r="57" spans="1:13" s="53" customFormat="1" ht="15.6" customHeight="1" x14ac:dyDescent="0.2">
      <c r="A57" s="83"/>
      <c r="B57" s="82"/>
      <c r="C57" s="82"/>
      <c r="D57" s="108">
        <v>2019</v>
      </c>
      <c r="E57" s="146">
        <f t="shared" si="3"/>
        <v>17</v>
      </c>
      <c r="F57" s="146">
        <v>1</v>
      </c>
      <c r="G57" s="146">
        <v>9</v>
      </c>
      <c r="H57" s="144" t="s">
        <v>51</v>
      </c>
      <c r="I57" s="146">
        <v>2</v>
      </c>
      <c r="J57" s="146"/>
      <c r="K57" s="144" t="s">
        <v>51</v>
      </c>
      <c r="L57" s="146">
        <v>2</v>
      </c>
      <c r="M57" s="146">
        <v>3</v>
      </c>
    </row>
    <row r="58" spans="1:13" s="53" customFormat="1" ht="8.1" customHeight="1" x14ac:dyDescent="0.2">
      <c r="A58" s="83"/>
      <c r="B58" s="82"/>
      <c r="C58" s="82"/>
      <c r="D58" s="108"/>
      <c r="E58" s="146"/>
      <c r="F58" s="146"/>
      <c r="G58" s="146"/>
      <c r="H58" s="144"/>
      <c r="I58" s="146"/>
      <c r="J58" s="146"/>
      <c r="K58" s="144"/>
      <c r="L58" s="146"/>
      <c r="M58" s="146"/>
    </row>
    <row r="59" spans="1:13" s="53" customFormat="1" ht="15.6" customHeight="1" x14ac:dyDescent="0.2">
      <c r="A59" s="83"/>
      <c r="B59" s="82" t="s">
        <v>73</v>
      </c>
      <c r="C59" s="82"/>
      <c r="D59" s="108">
        <v>2017</v>
      </c>
      <c r="E59" s="146">
        <f t="shared" si="3"/>
        <v>3</v>
      </c>
      <c r="F59" s="146" t="s">
        <v>51</v>
      </c>
      <c r="G59" s="146">
        <v>1</v>
      </c>
      <c r="H59" s="144" t="s">
        <v>51</v>
      </c>
      <c r="I59" s="146">
        <v>1</v>
      </c>
      <c r="J59" s="146"/>
      <c r="K59" s="144" t="s">
        <v>51</v>
      </c>
      <c r="L59" s="144" t="s">
        <v>51</v>
      </c>
      <c r="M59" s="146">
        <v>1</v>
      </c>
    </row>
    <row r="60" spans="1:13" s="53" customFormat="1" ht="15.6" customHeight="1" x14ac:dyDescent="0.2">
      <c r="A60" s="83"/>
      <c r="B60" s="82"/>
      <c r="C60" s="82"/>
      <c r="D60" s="108">
        <v>2018</v>
      </c>
      <c r="E60" s="146">
        <f t="shared" si="3"/>
        <v>8</v>
      </c>
      <c r="F60" s="146" t="s">
        <v>51</v>
      </c>
      <c r="G60" s="146">
        <v>3</v>
      </c>
      <c r="H60" s="144" t="s">
        <v>51</v>
      </c>
      <c r="I60" s="146">
        <v>3</v>
      </c>
      <c r="J60" s="146"/>
      <c r="K60" s="144" t="s">
        <v>51</v>
      </c>
      <c r="L60" s="144" t="s">
        <v>51</v>
      </c>
      <c r="M60" s="146">
        <v>2</v>
      </c>
    </row>
    <row r="61" spans="1:13" s="53" customFormat="1" ht="15.6" customHeight="1" x14ac:dyDescent="0.2">
      <c r="A61" s="83"/>
      <c r="B61" s="82"/>
      <c r="C61" s="82"/>
      <c r="D61" s="108">
        <v>2019</v>
      </c>
      <c r="E61" s="146">
        <f t="shared" si="3"/>
        <v>7</v>
      </c>
      <c r="F61" s="144" t="s">
        <v>51</v>
      </c>
      <c r="G61" s="146">
        <v>3</v>
      </c>
      <c r="H61" s="144" t="s">
        <v>51</v>
      </c>
      <c r="I61" s="146">
        <v>2</v>
      </c>
      <c r="J61" s="146"/>
      <c r="K61" s="144" t="s">
        <v>51</v>
      </c>
      <c r="L61" s="144" t="s">
        <v>51</v>
      </c>
      <c r="M61" s="146">
        <v>2</v>
      </c>
    </row>
    <row r="62" spans="1:13" s="53" customFormat="1" ht="8.1" customHeight="1" x14ac:dyDescent="0.2">
      <c r="A62" s="83"/>
      <c r="B62" s="82"/>
      <c r="C62" s="82"/>
      <c r="D62" s="108"/>
      <c r="E62" s="146"/>
      <c r="F62" s="146"/>
      <c r="G62" s="146"/>
      <c r="H62" s="144"/>
      <c r="I62" s="146"/>
      <c r="J62" s="146"/>
      <c r="K62" s="144"/>
      <c r="L62" s="146"/>
      <c r="M62" s="146"/>
    </row>
    <row r="63" spans="1:13" s="53" customFormat="1" ht="15.6" customHeight="1" x14ac:dyDescent="0.2">
      <c r="A63" s="83"/>
      <c r="B63" s="82" t="s">
        <v>74</v>
      </c>
      <c r="C63" s="82"/>
      <c r="D63" s="108">
        <v>2017</v>
      </c>
      <c r="E63" s="146">
        <f t="shared" si="3"/>
        <v>31</v>
      </c>
      <c r="F63" s="146">
        <v>1</v>
      </c>
      <c r="G63" s="146">
        <v>9</v>
      </c>
      <c r="H63" s="144" t="s">
        <v>51</v>
      </c>
      <c r="I63" s="146">
        <v>12</v>
      </c>
      <c r="J63" s="146"/>
      <c r="K63" s="144" t="s">
        <v>51</v>
      </c>
      <c r="L63" s="146">
        <v>4</v>
      </c>
      <c r="M63" s="146">
        <v>5</v>
      </c>
    </row>
    <row r="64" spans="1:13" s="53" customFormat="1" ht="15.6" customHeight="1" x14ac:dyDescent="0.2">
      <c r="A64" s="83"/>
      <c r="B64" s="82"/>
      <c r="C64" s="82"/>
      <c r="D64" s="108">
        <v>2018</v>
      </c>
      <c r="E64" s="146">
        <f t="shared" si="3"/>
        <v>35</v>
      </c>
      <c r="F64" s="146">
        <v>1</v>
      </c>
      <c r="G64" s="146">
        <v>5</v>
      </c>
      <c r="H64" s="144" t="s">
        <v>51</v>
      </c>
      <c r="I64" s="146">
        <v>13</v>
      </c>
      <c r="J64" s="146"/>
      <c r="K64" s="144" t="s">
        <v>51</v>
      </c>
      <c r="L64" s="144" t="s">
        <v>51</v>
      </c>
      <c r="M64" s="146">
        <v>16</v>
      </c>
    </row>
    <row r="65" spans="1:14" s="53" customFormat="1" ht="15.6" customHeight="1" x14ac:dyDescent="0.2">
      <c r="A65" s="83"/>
      <c r="B65" s="82"/>
      <c r="C65" s="82"/>
      <c r="D65" s="108">
        <v>2019</v>
      </c>
      <c r="E65" s="146">
        <f t="shared" si="3"/>
        <v>30</v>
      </c>
      <c r="F65" s="146">
        <v>1</v>
      </c>
      <c r="G65" s="144" t="s">
        <v>51</v>
      </c>
      <c r="H65" s="146">
        <v>1</v>
      </c>
      <c r="I65" s="146">
        <v>11</v>
      </c>
      <c r="J65" s="146"/>
      <c r="K65" s="144" t="s">
        <v>51</v>
      </c>
      <c r="L65" s="146">
        <v>1</v>
      </c>
      <c r="M65" s="146">
        <v>16</v>
      </c>
    </row>
    <row r="66" spans="1:14" s="53" customFormat="1" ht="8.1" customHeight="1" x14ac:dyDescent="0.2">
      <c r="A66" s="83"/>
      <c r="B66" s="82"/>
      <c r="C66" s="82"/>
      <c r="D66" s="108"/>
      <c r="E66" s="146"/>
      <c r="F66" s="146"/>
      <c r="G66" s="146"/>
      <c r="H66" s="146"/>
      <c r="I66" s="146"/>
      <c r="J66" s="146"/>
      <c r="K66" s="144"/>
      <c r="L66" s="146"/>
      <c r="M66" s="146"/>
    </row>
    <row r="67" spans="1:14" s="53" customFormat="1" ht="15.6" customHeight="1" x14ac:dyDescent="0.2">
      <c r="A67" s="83"/>
      <c r="B67" s="82" t="s">
        <v>75</v>
      </c>
      <c r="C67" s="82"/>
      <c r="D67" s="108">
        <v>2017</v>
      </c>
      <c r="E67" s="146">
        <f t="shared" si="3"/>
        <v>170</v>
      </c>
      <c r="F67" s="146">
        <v>2</v>
      </c>
      <c r="G67" s="146">
        <v>10</v>
      </c>
      <c r="H67" s="146">
        <v>1</v>
      </c>
      <c r="I67" s="146">
        <v>60</v>
      </c>
      <c r="J67" s="146"/>
      <c r="K67" s="144" t="s">
        <v>51</v>
      </c>
      <c r="L67" s="146">
        <v>34</v>
      </c>
      <c r="M67" s="146">
        <v>63</v>
      </c>
    </row>
    <row r="68" spans="1:14" s="53" customFormat="1" ht="15.6" customHeight="1" x14ac:dyDescent="0.2">
      <c r="A68" s="83"/>
      <c r="B68" s="82"/>
      <c r="C68" s="82"/>
      <c r="D68" s="108">
        <v>2018</v>
      </c>
      <c r="E68" s="146">
        <f t="shared" si="3"/>
        <v>165</v>
      </c>
      <c r="F68" s="146">
        <v>3</v>
      </c>
      <c r="G68" s="146">
        <v>26</v>
      </c>
      <c r="H68" s="144" t="s">
        <v>51</v>
      </c>
      <c r="I68" s="146">
        <v>50</v>
      </c>
      <c r="J68" s="146"/>
      <c r="K68" s="144" t="s">
        <v>51</v>
      </c>
      <c r="L68" s="146">
        <v>24</v>
      </c>
      <c r="M68" s="146">
        <v>62</v>
      </c>
    </row>
    <row r="69" spans="1:14" s="53" customFormat="1" ht="15.6" customHeight="1" x14ac:dyDescent="0.2">
      <c r="A69" s="83"/>
      <c r="B69" s="82"/>
      <c r="C69" s="82"/>
      <c r="D69" s="108">
        <v>2019</v>
      </c>
      <c r="E69" s="146">
        <f t="shared" si="3"/>
        <v>181</v>
      </c>
      <c r="F69" s="146">
        <v>3</v>
      </c>
      <c r="G69" s="146">
        <v>20</v>
      </c>
      <c r="H69" s="144" t="s">
        <v>51</v>
      </c>
      <c r="I69" s="146">
        <v>58</v>
      </c>
      <c r="J69" s="146"/>
      <c r="K69" s="144" t="s">
        <v>51</v>
      </c>
      <c r="L69" s="146">
        <v>24</v>
      </c>
      <c r="M69" s="146">
        <v>76</v>
      </c>
    </row>
    <row r="70" spans="1:14" s="53" customFormat="1" ht="8.1" customHeight="1" x14ac:dyDescent="0.2">
      <c r="A70" s="83"/>
      <c r="B70" s="82"/>
      <c r="C70" s="82"/>
      <c r="D70" s="108"/>
      <c r="E70" s="146"/>
      <c r="F70" s="146"/>
      <c r="G70" s="146"/>
      <c r="H70" s="146"/>
      <c r="I70" s="146"/>
      <c r="J70" s="146"/>
      <c r="K70" s="146"/>
      <c r="L70" s="146"/>
      <c r="M70" s="146"/>
    </row>
    <row r="71" spans="1:14" s="53" customFormat="1" ht="15.6" customHeight="1" x14ac:dyDescent="0.2">
      <c r="A71" s="83"/>
      <c r="B71" s="82" t="s">
        <v>76</v>
      </c>
      <c r="C71" s="82"/>
      <c r="D71" s="108">
        <v>2017</v>
      </c>
      <c r="E71" s="146">
        <f t="shared" si="3"/>
        <v>31</v>
      </c>
      <c r="F71" s="146" t="s">
        <v>51</v>
      </c>
      <c r="G71" s="146">
        <v>3</v>
      </c>
      <c r="H71" s="144" t="s">
        <v>51</v>
      </c>
      <c r="I71" s="146">
        <v>21</v>
      </c>
      <c r="J71" s="146"/>
      <c r="K71" s="144" t="s">
        <v>51</v>
      </c>
      <c r="L71" s="144" t="s">
        <v>51</v>
      </c>
      <c r="M71" s="146">
        <v>7</v>
      </c>
    </row>
    <row r="72" spans="1:14" s="53" customFormat="1" ht="15.6" customHeight="1" x14ac:dyDescent="0.2">
      <c r="A72" s="83"/>
      <c r="B72" s="82"/>
      <c r="C72" s="82"/>
      <c r="D72" s="108">
        <v>2018</v>
      </c>
      <c r="E72" s="146">
        <f t="shared" si="3"/>
        <v>20</v>
      </c>
      <c r="F72" s="144">
        <v>1</v>
      </c>
      <c r="G72" s="146">
        <v>1</v>
      </c>
      <c r="H72" s="144" t="s">
        <v>51</v>
      </c>
      <c r="I72" s="146">
        <v>11</v>
      </c>
      <c r="J72" s="146"/>
      <c r="K72" s="144" t="s">
        <v>51</v>
      </c>
      <c r="L72" s="146">
        <v>4</v>
      </c>
      <c r="M72" s="146">
        <v>3</v>
      </c>
    </row>
    <row r="73" spans="1:14" s="53" customFormat="1" ht="15.6" customHeight="1" x14ac:dyDescent="0.2">
      <c r="A73" s="83"/>
      <c r="B73" s="82"/>
      <c r="C73" s="82"/>
      <c r="D73" s="108">
        <v>2019</v>
      </c>
      <c r="E73" s="146">
        <f t="shared" si="3"/>
        <v>23</v>
      </c>
      <c r="F73" s="146">
        <v>1</v>
      </c>
      <c r="G73" s="146">
        <v>1</v>
      </c>
      <c r="H73" s="144" t="s">
        <v>51</v>
      </c>
      <c r="I73" s="146">
        <v>7</v>
      </c>
      <c r="J73" s="146"/>
      <c r="K73" s="144" t="s">
        <v>51</v>
      </c>
      <c r="L73" s="146">
        <v>3</v>
      </c>
      <c r="M73" s="146">
        <v>11</v>
      </c>
    </row>
    <row r="74" spans="1:14" s="53" customFormat="1" ht="8.1" customHeight="1" x14ac:dyDescent="0.2">
      <c r="A74" s="83"/>
      <c r="B74" s="82"/>
      <c r="C74" s="82"/>
      <c r="D74" s="108"/>
      <c r="E74" s="146"/>
      <c r="F74" s="146"/>
      <c r="G74" s="146"/>
      <c r="H74" s="144"/>
      <c r="I74" s="146"/>
      <c r="J74" s="146"/>
      <c r="K74" s="144"/>
      <c r="L74" s="146"/>
      <c r="M74" s="146"/>
    </row>
    <row r="75" spans="1:14" s="53" customFormat="1" ht="15.6" customHeight="1" x14ac:dyDescent="0.2">
      <c r="A75" s="83"/>
      <c r="B75" s="82" t="s">
        <v>77</v>
      </c>
      <c r="C75" s="82"/>
      <c r="D75" s="108">
        <v>2017</v>
      </c>
      <c r="E75" s="146">
        <f t="shared" si="3"/>
        <v>50</v>
      </c>
      <c r="F75" s="146">
        <v>1</v>
      </c>
      <c r="G75" s="146">
        <v>12</v>
      </c>
      <c r="H75" s="144" t="s">
        <v>51</v>
      </c>
      <c r="I75" s="146">
        <v>9</v>
      </c>
      <c r="J75" s="146"/>
      <c r="K75" s="144" t="s">
        <v>51</v>
      </c>
      <c r="L75" s="146">
        <v>3</v>
      </c>
      <c r="M75" s="146">
        <v>25</v>
      </c>
    </row>
    <row r="76" spans="1:14" s="53" customFormat="1" ht="15.6" customHeight="1" x14ac:dyDescent="0.2">
      <c r="A76" s="83"/>
      <c r="B76" s="82"/>
      <c r="C76" s="82"/>
      <c r="D76" s="108">
        <v>2018</v>
      </c>
      <c r="E76" s="146">
        <f t="shared" si="3"/>
        <v>49</v>
      </c>
      <c r="F76" s="146">
        <v>1</v>
      </c>
      <c r="G76" s="146">
        <v>5</v>
      </c>
      <c r="H76" s="144" t="s">
        <v>51</v>
      </c>
      <c r="I76" s="146">
        <v>19</v>
      </c>
      <c r="J76" s="146"/>
      <c r="K76" s="144" t="s">
        <v>51</v>
      </c>
      <c r="L76" s="146">
        <v>8</v>
      </c>
      <c r="M76" s="146">
        <v>16</v>
      </c>
    </row>
    <row r="77" spans="1:14" s="53" customFormat="1" ht="15.6" customHeight="1" x14ac:dyDescent="0.2">
      <c r="A77" s="83"/>
      <c r="B77" s="82"/>
      <c r="C77" s="82"/>
      <c r="D77" s="108">
        <v>2019</v>
      </c>
      <c r="E77" s="146">
        <f t="shared" si="3"/>
        <v>42</v>
      </c>
      <c r="F77" s="53">
        <v>4</v>
      </c>
      <c r="G77" s="53">
        <v>6</v>
      </c>
      <c r="H77" s="301" t="s">
        <v>51</v>
      </c>
      <c r="I77" s="114">
        <v>17</v>
      </c>
      <c r="J77" s="114"/>
      <c r="K77" s="301" t="s">
        <v>51</v>
      </c>
      <c r="L77" s="53">
        <v>1</v>
      </c>
      <c r="M77" s="53">
        <v>14</v>
      </c>
    </row>
    <row r="78" spans="1:14" s="53" customFormat="1" ht="2.25" customHeight="1" thickBot="1" x14ac:dyDescent="0.25">
      <c r="A78" s="195"/>
      <c r="B78" s="196"/>
      <c r="C78" s="196"/>
      <c r="D78" s="196"/>
      <c r="E78" s="197"/>
      <c r="F78" s="198"/>
      <c r="G78" s="198"/>
      <c r="H78" s="198"/>
      <c r="I78" s="198"/>
      <c r="J78" s="198"/>
      <c r="K78" s="198"/>
      <c r="L78" s="198"/>
      <c r="M78" s="199"/>
      <c r="N78" s="195"/>
    </row>
    <row r="79" spans="1:14" s="53" customFormat="1" ht="12.75" x14ac:dyDescent="0.2">
      <c r="B79" s="115"/>
      <c r="C79" s="115"/>
      <c r="D79" s="115"/>
      <c r="E79" s="63"/>
      <c r="F79" s="114"/>
      <c r="G79" s="114"/>
      <c r="H79" s="114"/>
      <c r="I79" s="114"/>
      <c r="J79" s="114"/>
      <c r="K79" s="114"/>
      <c r="L79" s="114"/>
      <c r="M79" s="189"/>
      <c r="N79" s="8" t="s">
        <v>99</v>
      </c>
    </row>
    <row r="80" spans="1:14" s="53" customFormat="1" ht="12.75" x14ac:dyDescent="0.2">
      <c r="B80" s="115"/>
      <c r="C80" s="115"/>
      <c r="D80" s="115"/>
      <c r="E80" s="63"/>
      <c r="F80" s="114"/>
      <c r="G80" s="114"/>
      <c r="H80" s="114"/>
      <c r="I80" s="114"/>
      <c r="J80" s="114"/>
      <c r="K80" s="114"/>
      <c r="L80" s="114"/>
      <c r="M80" s="189"/>
      <c r="N80" s="41" t="s">
        <v>1</v>
      </c>
    </row>
    <row r="81" spans="1:13" s="53" customFormat="1" ht="12.95" customHeight="1" x14ac:dyDescent="0.2">
      <c r="A81" s="113"/>
      <c r="B81" s="115"/>
      <c r="C81" s="115"/>
      <c r="D81" s="115"/>
      <c r="E81" s="63"/>
      <c r="F81" s="114"/>
      <c r="G81" s="114"/>
      <c r="H81" s="114"/>
      <c r="I81" s="114"/>
      <c r="J81" s="114"/>
      <c r="K81" s="114"/>
      <c r="L81" s="114"/>
      <c r="M81" s="113"/>
    </row>
  </sheetData>
  <mergeCells count="4">
    <mergeCell ref="B11:C11"/>
    <mergeCell ref="H11:I11"/>
    <mergeCell ref="K11:L11"/>
    <mergeCell ref="B12:C12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70" fitToWidth="0" orientation="portrait" r:id="rId1"/>
  <headerFooter>
    <oddHeader xml:space="preserve">&amp;R&amp;"-,Bold"
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7"/>
  <sheetViews>
    <sheetView showGridLines="0" topLeftCell="C7" zoomScaleNormal="100" zoomScaleSheetLayoutView="100" workbookViewId="0">
      <selection activeCell="AA22" sqref="AA22"/>
    </sheetView>
  </sheetViews>
  <sheetFormatPr defaultRowHeight="15" x14ac:dyDescent="0.25"/>
  <cols>
    <col min="1" max="1" width="1.42578125" style="2" customWidth="1"/>
    <col min="2" max="2" width="10" style="3" customWidth="1"/>
    <col min="3" max="3" width="14.42578125" style="3" customWidth="1"/>
    <col min="4" max="4" width="7.42578125" style="3" customWidth="1"/>
    <col min="5" max="5" width="10.7109375" style="21" customWidth="1"/>
    <col min="6" max="8" width="10.7109375" style="22" customWidth="1"/>
    <col min="9" max="9" width="14.85546875" style="22" customWidth="1"/>
    <col min="10" max="10" width="1.7109375" style="22" customWidth="1"/>
    <col min="11" max="11" width="10.7109375" style="22" customWidth="1"/>
    <col min="12" max="12" width="14.85546875" style="22" customWidth="1"/>
    <col min="13" max="13" width="14.42578125" style="5" customWidth="1"/>
    <col min="14" max="14" width="1.140625" style="2" customWidth="1"/>
    <col min="15" max="16384" width="9.140625" style="2"/>
  </cols>
  <sheetData>
    <row r="1" spans="1:14" ht="9.9499999999999993" customHeight="1" x14ac:dyDescent="0.25">
      <c r="B1" s="3" t="s">
        <v>196</v>
      </c>
    </row>
    <row r="2" spans="1:14" s="30" customFormat="1" ht="12.95" customHeight="1" x14ac:dyDescent="0.25">
      <c r="B2" s="27"/>
      <c r="C2" s="27"/>
      <c r="D2" s="29"/>
      <c r="E2" s="28"/>
      <c r="F2" s="29"/>
      <c r="M2" s="160" t="s">
        <v>179</v>
      </c>
      <c r="N2" s="29"/>
    </row>
    <row r="3" spans="1:14" s="30" customFormat="1" ht="12.95" customHeight="1" x14ac:dyDescent="0.25">
      <c r="B3" s="27"/>
      <c r="C3" s="27"/>
      <c r="D3" s="29"/>
      <c r="E3" s="28"/>
      <c r="F3" s="29"/>
      <c r="M3" s="68" t="s">
        <v>180</v>
      </c>
      <c r="N3" s="29"/>
    </row>
    <row r="4" spans="1:14" s="30" customFormat="1" ht="12" customHeight="1" x14ac:dyDescent="0.25">
      <c r="B4" s="27"/>
      <c r="C4" s="27"/>
      <c r="D4" s="29"/>
      <c r="E4" s="28"/>
      <c r="F4" s="29"/>
      <c r="G4" s="68"/>
      <c r="N4" s="29"/>
    </row>
    <row r="5" spans="1:14" s="30" customFormat="1" ht="12" customHeight="1" x14ac:dyDescent="0.25">
      <c r="B5" s="27"/>
      <c r="C5" s="27"/>
      <c r="D5" s="29"/>
      <c r="E5" s="28"/>
      <c r="F5" s="29"/>
      <c r="G5" s="68"/>
      <c r="N5" s="29"/>
    </row>
    <row r="6" spans="1:14" s="53" customFormat="1" ht="9.75" customHeight="1" x14ac:dyDescent="0.2">
      <c r="B6" s="115"/>
      <c r="C6" s="115"/>
      <c r="D6" s="189"/>
      <c r="E6" s="190"/>
      <c r="F6" s="189"/>
      <c r="G6" s="189"/>
      <c r="H6" s="191"/>
      <c r="I6" s="191"/>
      <c r="J6" s="191"/>
      <c r="K6" s="191"/>
      <c r="L6" s="191"/>
      <c r="M6" s="189"/>
      <c r="N6" s="114"/>
    </row>
    <row r="7" spans="1:14" s="53" customFormat="1" ht="15" customHeight="1" x14ac:dyDescent="0.2">
      <c r="B7" s="63" t="s">
        <v>186</v>
      </c>
      <c r="C7" s="64" t="s">
        <v>239</v>
      </c>
      <c r="D7" s="115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4" s="65" customFormat="1" ht="15" customHeight="1" x14ac:dyDescent="0.2">
      <c r="B8" s="66" t="s">
        <v>187</v>
      </c>
      <c r="C8" s="67" t="s">
        <v>240</v>
      </c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4" s="53" customFormat="1" ht="6.75" customHeight="1" thickBot="1" x14ac:dyDescent="0.25">
      <c r="B9" s="115"/>
      <c r="C9" s="115"/>
      <c r="D9" s="115"/>
      <c r="E9" s="63"/>
      <c r="F9" s="114"/>
      <c r="G9" s="114"/>
      <c r="H9" s="114"/>
      <c r="I9" s="114"/>
      <c r="J9" s="114"/>
      <c r="K9" s="114"/>
      <c r="L9" s="114"/>
      <c r="M9" s="189"/>
    </row>
    <row r="10" spans="1:14" s="53" customFormat="1" ht="9.9499999999999993" customHeight="1" thickTop="1" x14ac:dyDescent="0.2">
      <c r="A10" s="378"/>
      <c r="B10" s="388"/>
      <c r="C10" s="388"/>
      <c r="D10" s="389"/>
      <c r="E10" s="374"/>
      <c r="F10" s="375"/>
      <c r="G10" s="375"/>
      <c r="H10" s="376"/>
      <c r="I10" s="375"/>
      <c r="J10" s="375"/>
      <c r="K10" s="375"/>
      <c r="L10" s="375"/>
      <c r="M10" s="377"/>
      <c r="N10" s="378"/>
    </row>
    <row r="11" spans="1:14" s="53" customFormat="1" ht="27.75" customHeight="1" x14ac:dyDescent="0.2">
      <c r="A11" s="390"/>
      <c r="B11" s="432" t="s">
        <v>210</v>
      </c>
      <c r="C11" s="432"/>
      <c r="D11" s="379" t="s">
        <v>222</v>
      </c>
      <c r="E11" s="379" t="s">
        <v>220</v>
      </c>
      <c r="F11" s="379" t="s">
        <v>219</v>
      </c>
      <c r="G11" s="379" t="s">
        <v>218</v>
      </c>
      <c r="H11" s="433" t="s">
        <v>234</v>
      </c>
      <c r="I11" s="433"/>
      <c r="J11" s="380"/>
      <c r="K11" s="433" t="s">
        <v>221</v>
      </c>
      <c r="L11" s="433"/>
      <c r="M11" s="379" t="s">
        <v>217</v>
      </c>
      <c r="N11" s="381"/>
    </row>
    <row r="12" spans="1:14" s="53" customFormat="1" ht="30" customHeight="1" x14ac:dyDescent="0.2">
      <c r="A12" s="390"/>
      <c r="B12" s="434" t="s">
        <v>211</v>
      </c>
      <c r="C12" s="434"/>
      <c r="D12" s="382" t="s">
        <v>212</v>
      </c>
      <c r="E12" s="382" t="s">
        <v>213</v>
      </c>
      <c r="F12" s="382" t="s">
        <v>214</v>
      </c>
      <c r="G12" s="382" t="s">
        <v>215</v>
      </c>
      <c r="H12" s="383" t="s">
        <v>225</v>
      </c>
      <c r="I12" s="383" t="s">
        <v>226</v>
      </c>
      <c r="J12" s="383"/>
      <c r="K12" s="383" t="s">
        <v>225</v>
      </c>
      <c r="L12" s="383" t="s">
        <v>226</v>
      </c>
      <c r="M12" s="384" t="s">
        <v>216</v>
      </c>
      <c r="N12" s="385"/>
    </row>
    <row r="13" spans="1:14" s="53" customFormat="1" ht="30" customHeight="1" x14ac:dyDescent="0.2">
      <c r="A13" s="391"/>
      <c r="B13" s="392"/>
      <c r="C13" s="392"/>
      <c r="D13" s="386"/>
      <c r="E13" s="386"/>
      <c r="F13" s="386"/>
      <c r="G13" s="386"/>
      <c r="H13" s="387" t="s">
        <v>223</v>
      </c>
      <c r="I13" s="387" t="s">
        <v>224</v>
      </c>
      <c r="J13" s="387"/>
      <c r="K13" s="387" t="s">
        <v>223</v>
      </c>
      <c r="L13" s="387" t="s">
        <v>224</v>
      </c>
      <c r="M13" s="370"/>
      <c r="N13" s="373"/>
    </row>
    <row r="14" spans="1:14" s="53" customFormat="1" ht="6" customHeight="1" x14ac:dyDescent="0.2">
      <c r="A14" s="116"/>
      <c r="B14" s="180"/>
      <c r="C14" s="180"/>
      <c r="D14" s="90"/>
      <c r="E14" s="90"/>
      <c r="F14" s="192"/>
      <c r="G14" s="192"/>
      <c r="H14" s="192"/>
      <c r="I14" s="192"/>
      <c r="J14" s="192"/>
      <c r="K14" s="192"/>
      <c r="L14" s="192"/>
      <c r="M14" s="192"/>
      <c r="N14" s="86"/>
    </row>
    <row r="15" spans="1:14" s="53" customFormat="1" ht="18" customHeight="1" x14ac:dyDescent="0.2">
      <c r="B15" s="124" t="s">
        <v>49</v>
      </c>
      <c r="C15" s="124"/>
      <c r="D15" s="121">
        <v>2017</v>
      </c>
      <c r="E15" s="118">
        <f>SUM(F15:M15)</f>
        <v>132</v>
      </c>
      <c r="F15" s="145">
        <f>SUM(F19,F23,F27)</f>
        <v>2</v>
      </c>
      <c r="G15" s="145">
        <f t="shared" ref="G15:M15" si="0">SUM(G19,G23,G27)</f>
        <v>30</v>
      </c>
      <c r="H15" s="357" t="s">
        <v>51</v>
      </c>
      <c r="I15" s="145">
        <f t="shared" si="0"/>
        <v>25</v>
      </c>
      <c r="J15" s="145"/>
      <c r="K15" s="357" t="s">
        <v>51</v>
      </c>
      <c r="L15" s="145">
        <f t="shared" si="0"/>
        <v>28</v>
      </c>
      <c r="M15" s="145">
        <f t="shared" si="0"/>
        <v>47</v>
      </c>
    </row>
    <row r="16" spans="1:14" s="53" customFormat="1" ht="18" customHeight="1" x14ac:dyDescent="0.2">
      <c r="B16" s="124"/>
      <c r="C16" s="124"/>
      <c r="D16" s="121">
        <v>2018</v>
      </c>
      <c r="E16" s="118">
        <f>SUM(F16:M16)</f>
        <v>126</v>
      </c>
      <c r="F16" s="145">
        <f t="shared" ref="F16:M17" si="1">SUM(F20,F24,F28)</f>
        <v>1</v>
      </c>
      <c r="G16" s="145">
        <f t="shared" si="1"/>
        <v>30</v>
      </c>
      <c r="H16" s="357" t="s">
        <v>51</v>
      </c>
      <c r="I16" s="145">
        <f t="shared" si="1"/>
        <v>17</v>
      </c>
      <c r="J16" s="145"/>
      <c r="K16" s="357" t="s">
        <v>51</v>
      </c>
      <c r="L16" s="145">
        <f t="shared" si="1"/>
        <v>33</v>
      </c>
      <c r="M16" s="145">
        <f t="shared" si="1"/>
        <v>45</v>
      </c>
    </row>
    <row r="17" spans="1:15" s="53" customFormat="1" ht="18" customHeight="1" x14ac:dyDescent="0.2">
      <c r="B17" s="124"/>
      <c r="C17" s="124"/>
      <c r="D17" s="121">
        <v>2019</v>
      </c>
      <c r="E17" s="118">
        <f>SUM(F17:M17)</f>
        <v>121</v>
      </c>
      <c r="F17" s="145">
        <f t="shared" si="1"/>
        <v>1</v>
      </c>
      <c r="G17" s="145">
        <f t="shared" si="1"/>
        <v>24</v>
      </c>
      <c r="H17" s="145">
        <f t="shared" si="1"/>
        <v>1</v>
      </c>
      <c r="I17" s="145">
        <f t="shared" si="1"/>
        <v>14</v>
      </c>
      <c r="J17" s="145"/>
      <c r="K17" s="357" t="s">
        <v>51</v>
      </c>
      <c r="L17" s="145">
        <f t="shared" si="1"/>
        <v>21</v>
      </c>
      <c r="M17" s="145">
        <f t="shared" si="1"/>
        <v>60</v>
      </c>
    </row>
    <row r="18" spans="1:15" s="53" customFormat="1" ht="18" customHeight="1" x14ac:dyDescent="0.2">
      <c r="B18" s="124"/>
      <c r="C18" s="124"/>
      <c r="D18" s="121"/>
      <c r="E18" s="146"/>
      <c r="F18" s="144"/>
      <c r="G18" s="146"/>
      <c r="H18" s="146"/>
      <c r="I18" s="146"/>
      <c r="J18" s="146"/>
      <c r="K18" s="146"/>
      <c r="L18" s="146"/>
      <c r="M18" s="146"/>
    </row>
    <row r="19" spans="1:15" s="102" customFormat="1" ht="18" customHeight="1" x14ac:dyDescent="0.2">
      <c r="B19" s="82" t="s">
        <v>78</v>
      </c>
      <c r="C19" s="82"/>
      <c r="D19" s="148">
        <v>2017</v>
      </c>
      <c r="E19" s="146">
        <f t="shared" ref="E19:E20" si="2">SUM(F19:M19)</f>
        <v>37</v>
      </c>
      <c r="F19" s="144">
        <v>1</v>
      </c>
      <c r="G19" s="146">
        <v>10</v>
      </c>
      <c r="H19" s="144" t="s">
        <v>51</v>
      </c>
      <c r="I19" s="146">
        <v>5</v>
      </c>
      <c r="J19" s="146"/>
      <c r="K19" s="144" t="s">
        <v>51</v>
      </c>
      <c r="L19" s="146">
        <v>13</v>
      </c>
      <c r="M19" s="146">
        <v>8</v>
      </c>
    </row>
    <row r="20" spans="1:15" s="102" customFormat="1" ht="18" customHeight="1" x14ac:dyDescent="0.2">
      <c r="B20" s="82"/>
      <c r="C20" s="82"/>
      <c r="D20" s="148">
        <v>2018</v>
      </c>
      <c r="E20" s="146">
        <f t="shared" si="2"/>
        <v>34</v>
      </c>
      <c r="F20" s="144" t="s">
        <v>51</v>
      </c>
      <c r="G20" s="146">
        <v>11</v>
      </c>
      <c r="H20" s="144" t="s">
        <v>51</v>
      </c>
      <c r="I20" s="146">
        <v>4</v>
      </c>
      <c r="J20" s="146"/>
      <c r="K20" s="144" t="s">
        <v>51</v>
      </c>
      <c r="L20" s="146">
        <v>7</v>
      </c>
      <c r="M20" s="146">
        <v>12</v>
      </c>
    </row>
    <row r="21" spans="1:15" s="102" customFormat="1" ht="18" customHeight="1" x14ac:dyDescent="0.2">
      <c r="B21" s="82"/>
      <c r="C21" s="82"/>
      <c r="D21" s="148">
        <v>2019</v>
      </c>
      <c r="E21" s="303">
        <f>SUM(F21:M21)</f>
        <v>29</v>
      </c>
      <c r="F21" s="144" t="s">
        <v>51</v>
      </c>
      <c r="G21" s="146">
        <v>8</v>
      </c>
      <c r="H21" s="146">
        <v>1</v>
      </c>
      <c r="I21" s="146">
        <v>3</v>
      </c>
      <c r="J21" s="146"/>
      <c r="K21" s="144" t="s">
        <v>51</v>
      </c>
      <c r="L21" s="146">
        <v>6</v>
      </c>
      <c r="M21" s="146">
        <v>11</v>
      </c>
    </row>
    <row r="22" spans="1:15" s="102" customFormat="1" ht="18" customHeight="1" x14ac:dyDescent="0.2">
      <c r="B22" s="82"/>
      <c r="C22" s="82"/>
      <c r="D22" s="148"/>
      <c r="E22" s="146"/>
      <c r="F22" s="144"/>
      <c r="G22" s="146"/>
      <c r="H22" s="144"/>
      <c r="I22" s="146"/>
      <c r="J22" s="146"/>
      <c r="K22" s="144"/>
      <c r="L22" s="146"/>
      <c r="M22" s="146"/>
    </row>
    <row r="23" spans="1:15" s="102" customFormat="1" ht="18" customHeight="1" x14ac:dyDescent="0.2">
      <c r="B23" s="82" t="s">
        <v>79</v>
      </c>
      <c r="C23" s="82"/>
      <c r="D23" s="148">
        <v>2017</v>
      </c>
      <c r="E23" s="146">
        <f t="shared" ref="E23:E24" si="3">SUM(F23:M23)</f>
        <v>64</v>
      </c>
      <c r="F23" s="144" t="s">
        <v>51</v>
      </c>
      <c r="G23" s="146">
        <v>9</v>
      </c>
      <c r="H23" s="144" t="s">
        <v>51</v>
      </c>
      <c r="I23" s="146">
        <v>14</v>
      </c>
      <c r="J23" s="146"/>
      <c r="K23" s="144" t="s">
        <v>51</v>
      </c>
      <c r="L23" s="146">
        <v>14</v>
      </c>
      <c r="M23" s="146">
        <v>27</v>
      </c>
      <c r="O23" s="120"/>
    </row>
    <row r="24" spans="1:15" s="116" customFormat="1" ht="18" customHeight="1" x14ac:dyDescent="0.2">
      <c r="B24" s="82"/>
      <c r="C24" s="82"/>
      <c r="D24" s="148">
        <v>2018</v>
      </c>
      <c r="E24" s="146">
        <f t="shared" si="3"/>
        <v>79</v>
      </c>
      <c r="F24" s="146">
        <v>1</v>
      </c>
      <c r="G24" s="146">
        <v>16</v>
      </c>
      <c r="H24" s="144" t="s">
        <v>51</v>
      </c>
      <c r="I24" s="146">
        <v>11</v>
      </c>
      <c r="J24" s="146"/>
      <c r="K24" s="144" t="s">
        <v>51</v>
      </c>
      <c r="L24" s="146">
        <v>20</v>
      </c>
      <c r="M24" s="146">
        <v>31</v>
      </c>
    </row>
    <row r="25" spans="1:15" s="53" customFormat="1" ht="18" customHeight="1" x14ac:dyDescent="0.2">
      <c r="B25" s="82"/>
      <c r="C25" s="82"/>
      <c r="D25" s="148">
        <v>2019</v>
      </c>
      <c r="E25" s="303">
        <f>SUM(F25:M25)</f>
        <v>72</v>
      </c>
      <c r="F25" s="144" t="s">
        <v>51</v>
      </c>
      <c r="G25" s="146">
        <v>11</v>
      </c>
      <c r="H25" s="144" t="s">
        <v>51</v>
      </c>
      <c r="I25" s="146">
        <v>9</v>
      </c>
      <c r="J25" s="146"/>
      <c r="K25" s="144" t="s">
        <v>51</v>
      </c>
      <c r="L25" s="146">
        <v>14</v>
      </c>
      <c r="M25" s="146">
        <v>38</v>
      </c>
    </row>
    <row r="26" spans="1:15" s="53" customFormat="1" ht="18" customHeight="1" x14ac:dyDescent="0.2">
      <c r="B26" s="82"/>
      <c r="C26" s="82"/>
      <c r="D26" s="148"/>
      <c r="E26" s="146"/>
      <c r="F26" s="144"/>
      <c r="G26" s="146"/>
      <c r="H26" s="144"/>
      <c r="I26" s="146"/>
      <c r="J26" s="146"/>
      <c r="K26" s="144"/>
      <c r="L26" s="146"/>
      <c r="M26" s="146"/>
    </row>
    <row r="27" spans="1:15" s="53" customFormat="1" ht="18" customHeight="1" x14ac:dyDescent="0.2">
      <c r="B27" s="82" t="s">
        <v>80</v>
      </c>
      <c r="C27" s="82"/>
      <c r="D27" s="148">
        <v>2017</v>
      </c>
      <c r="E27" s="146">
        <f t="shared" ref="E27:E28" si="4">SUM(F27:M27)</f>
        <v>31</v>
      </c>
      <c r="F27" s="144">
        <v>1</v>
      </c>
      <c r="G27" s="146">
        <v>11</v>
      </c>
      <c r="H27" s="144" t="s">
        <v>51</v>
      </c>
      <c r="I27" s="146">
        <v>6</v>
      </c>
      <c r="J27" s="146"/>
      <c r="K27" s="144" t="s">
        <v>51</v>
      </c>
      <c r="L27" s="146">
        <v>1</v>
      </c>
      <c r="M27" s="146">
        <v>12</v>
      </c>
    </row>
    <row r="28" spans="1:15" s="53" customFormat="1" ht="18" customHeight="1" x14ac:dyDescent="0.2">
      <c r="B28" s="82"/>
      <c r="C28" s="82"/>
      <c r="D28" s="148">
        <v>2018</v>
      </c>
      <c r="E28" s="146">
        <f t="shared" si="4"/>
        <v>13</v>
      </c>
      <c r="F28" s="301" t="s">
        <v>51</v>
      </c>
      <c r="G28" s="114">
        <v>3</v>
      </c>
      <c r="H28" s="144" t="s">
        <v>51</v>
      </c>
      <c r="I28" s="114">
        <v>2</v>
      </c>
      <c r="J28" s="114"/>
      <c r="K28" s="144" t="s">
        <v>51</v>
      </c>
      <c r="L28" s="114">
        <v>6</v>
      </c>
      <c r="M28" s="114">
        <v>2</v>
      </c>
    </row>
    <row r="29" spans="1:15" s="53" customFormat="1" ht="18" customHeight="1" x14ac:dyDescent="0.2">
      <c r="B29" s="82"/>
      <c r="C29" s="82"/>
      <c r="D29" s="148">
        <v>2019</v>
      </c>
      <c r="E29" s="303">
        <f>SUM(F29:M29)</f>
        <v>20</v>
      </c>
      <c r="F29" s="53">
        <v>1</v>
      </c>
      <c r="G29" s="53">
        <v>5</v>
      </c>
      <c r="H29" s="301" t="s">
        <v>51</v>
      </c>
      <c r="I29" s="114">
        <v>2</v>
      </c>
      <c r="J29" s="114"/>
      <c r="K29" s="301" t="s">
        <v>51</v>
      </c>
      <c r="L29" s="53">
        <v>1</v>
      </c>
      <c r="M29" s="53">
        <v>11</v>
      </c>
    </row>
    <row r="30" spans="1:15" s="53" customFormat="1" ht="8.1" customHeight="1" thickBot="1" x14ac:dyDescent="0.25">
      <c r="A30" s="195"/>
      <c r="B30" s="196"/>
      <c r="C30" s="196"/>
      <c r="D30" s="69"/>
      <c r="E30" s="197"/>
      <c r="F30" s="198"/>
      <c r="G30" s="198"/>
      <c r="H30" s="198"/>
      <c r="I30" s="198"/>
      <c r="J30" s="198"/>
      <c r="K30" s="198"/>
      <c r="L30" s="198"/>
      <c r="M30" s="199"/>
      <c r="N30" s="195"/>
    </row>
    <row r="31" spans="1:15" s="53" customFormat="1" ht="8.1" customHeight="1" x14ac:dyDescent="0.2">
      <c r="B31" s="115"/>
      <c r="C31" s="115"/>
      <c r="D31" s="141"/>
      <c r="E31" s="63"/>
      <c r="F31" s="114"/>
      <c r="G31" s="114"/>
      <c r="H31" s="114"/>
      <c r="I31" s="114"/>
      <c r="J31" s="114"/>
      <c r="K31" s="114"/>
      <c r="L31" s="114"/>
      <c r="M31" s="189"/>
    </row>
    <row r="32" spans="1:15" s="53" customFormat="1" ht="18" customHeight="1" x14ac:dyDescent="0.2">
      <c r="B32" s="202" t="s">
        <v>50</v>
      </c>
      <c r="C32" s="202"/>
      <c r="D32" s="121">
        <v>2017</v>
      </c>
      <c r="E32" s="302">
        <f>SUM(F32:M32)</f>
        <v>1078</v>
      </c>
      <c r="F32" s="302">
        <f t="shared" ref="F32:G34" si="5">SUM(F36,F40,F44,F48,F52)</f>
        <v>17</v>
      </c>
      <c r="G32" s="302">
        <f t="shared" si="5"/>
        <v>80</v>
      </c>
      <c r="H32" s="357" t="s">
        <v>51</v>
      </c>
      <c r="I32" s="302">
        <f>SUM(I36,I40,I44,I48,I52)</f>
        <v>481</v>
      </c>
      <c r="J32" s="302"/>
      <c r="K32" s="357" t="s">
        <v>51</v>
      </c>
      <c r="L32" s="302">
        <f t="shared" ref="L32:M34" si="6">SUM(L36,L40,L44,L48,L52)</f>
        <v>225</v>
      </c>
      <c r="M32" s="302">
        <f t="shared" si="6"/>
        <v>275</v>
      </c>
    </row>
    <row r="33" spans="2:13" s="53" customFormat="1" ht="18" customHeight="1" x14ac:dyDescent="0.2">
      <c r="B33" s="202"/>
      <c r="C33" s="202"/>
      <c r="D33" s="121">
        <v>2018</v>
      </c>
      <c r="E33" s="302">
        <f>SUM(F33:M33)</f>
        <v>890</v>
      </c>
      <c r="F33" s="302">
        <f t="shared" si="5"/>
        <v>21</v>
      </c>
      <c r="G33" s="302">
        <f t="shared" si="5"/>
        <v>72</v>
      </c>
      <c r="H33" s="357" t="s">
        <v>51</v>
      </c>
      <c r="I33" s="302">
        <f>SUM(I37,I41,I45,I49,I53)</f>
        <v>301</v>
      </c>
      <c r="J33" s="302"/>
      <c r="K33" s="302">
        <f>SUM(K37,K41,K45,K49,K53)</f>
        <v>1</v>
      </c>
      <c r="L33" s="302">
        <f t="shared" si="6"/>
        <v>200</v>
      </c>
      <c r="M33" s="302">
        <f t="shared" si="6"/>
        <v>295</v>
      </c>
    </row>
    <row r="34" spans="2:13" s="53" customFormat="1" ht="18" customHeight="1" x14ac:dyDescent="0.2">
      <c r="B34" s="202"/>
      <c r="C34" s="202"/>
      <c r="D34" s="121">
        <v>2019</v>
      </c>
      <c r="E34" s="302">
        <f>SUM(F34:M34)</f>
        <v>1056</v>
      </c>
      <c r="F34" s="302">
        <f t="shared" si="5"/>
        <v>15</v>
      </c>
      <c r="G34" s="302">
        <f t="shared" si="5"/>
        <v>80</v>
      </c>
      <c r="H34" s="302">
        <f>SUM(H38,H42,H46,H50,H54)</f>
        <v>2</v>
      </c>
      <c r="I34" s="302">
        <f>SUM(I38,I42,I46,I50,I54)</f>
        <v>400</v>
      </c>
      <c r="J34" s="302"/>
      <c r="K34" s="357" t="s">
        <v>51</v>
      </c>
      <c r="L34" s="302">
        <f t="shared" si="6"/>
        <v>218</v>
      </c>
      <c r="M34" s="302">
        <f t="shared" si="6"/>
        <v>341</v>
      </c>
    </row>
    <row r="35" spans="2:13" s="53" customFormat="1" ht="18" customHeight="1" x14ac:dyDescent="0.2">
      <c r="B35" s="202"/>
      <c r="C35" s="202"/>
      <c r="D35" s="121"/>
      <c r="E35" s="302"/>
      <c r="F35" s="302"/>
      <c r="G35" s="302"/>
      <c r="H35" s="302"/>
      <c r="I35" s="302"/>
      <c r="J35" s="302"/>
      <c r="K35" s="302"/>
      <c r="L35" s="302"/>
      <c r="M35" s="302"/>
    </row>
    <row r="36" spans="2:13" s="53" customFormat="1" ht="18" customHeight="1" x14ac:dyDescent="0.2">
      <c r="B36" s="210" t="s">
        <v>87</v>
      </c>
      <c r="C36" s="210"/>
      <c r="D36" s="148">
        <v>2017</v>
      </c>
      <c r="E36" s="304">
        <f>SUM(F36:M36)</f>
        <v>89</v>
      </c>
      <c r="F36" s="144" t="s">
        <v>51</v>
      </c>
      <c r="G36" s="146">
        <v>11</v>
      </c>
      <c r="H36" s="144" t="s">
        <v>51</v>
      </c>
      <c r="I36" s="146">
        <v>35</v>
      </c>
      <c r="J36" s="146"/>
      <c r="K36" s="144" t="s">
        <v>51</v>
      </c>
      <c r="L36" s="146">
        <v>10</v>
      </c>
      <c r="M36" s="146">
        <v>33</v>
      </c>
    </row>
    <row r="37" spans="2:13" s="53" customFormat="1" ht="18" customHeight="1" x14ac:dyDescent="0.2">
      <c r="B37" s="210"/>
      <c r="C37" s="210"/>
      <c r="D37" s="148">
        <v>2018</v>
      </c>
      <c r="E37" s="303">
        <f>SUM(F37:M37)</f>
        <v>64</v>
      </c>
      <c r="F37" s="114">
        <f>1</f>
        <v>1</v>
      </c>
      <c r="G37" s="114">
        <f>7</f>
        <v>7</v>
      </c>
      <c r="H37" s="144" t="s">
        <v>51</v>
      </c>
      <c r="I37" s="114">
        <v>18</v>
      </c>
      <c r="J37" s="114"/>
      <c r="K37" s="144" t="s">
        <v>51</v>
      </c>
      <c r="L37" s="114">
        <v>6</v>
      </c>
      <c r="M37" s="114">
        <f>32</f>
        <v>32</v>
      </c>
    </row>
    <row r="38" spans="2:13" s="53" customFormat="1" ht="18" customHeight="1" x14ac:dyDescent="0.2">
      <c r="B38" s="210"/>
      <c r="C38" s="210"/>
      <c r="D38" s="148">
        <v>2019</v>
      </c>
      <c r="E38" s="303">
        <f>SUM(F38:M38)</f>
        <v>74</v>
      </c>
      <c r="F38" s="144">
        <v>1</v>
      </c>
      <c r="G38" s="146">
        <v>5</v>
      </c>
      <c r="H38" s="144" t="s">
        <v>51</v>
      </c>
      <c r="I38" s="146">
        <v>24</v>
      </c>
      <c r="J38" s="146"/>
      <c r="K38" s="144" t="s">
        <v>51</v>
      </c>
      <c r="L38" s="146">
        <v>13</v>
      </c>
      <c r="M38" s="146">
        <v>31</v>
      </c>
    </row>
    <row r="39" spans="2:13" s="53" customFormat="1" ht="18" customHeight="1" x14ac:dyDescent="0.2">
      <c r="B39" s="210"/>
      <c r="C39" s="210"/>
      <c r="D39" s="148"/>
      <c r="E39" s="303"/>
      <c r="F39" s="246"/>
      <c r="G39" s="246"/>
      <c r="H39" s="144"/>
      <c r="I39" s="246"/>
      <c r="J39" s="246"/>
      <c r="K39" s="144"/>
      <c r="L39" s="246"/>
      <c r="M39" s="246"/>
    </row>
    <row r="40" spans="2:13" s="53" customFormat="1" ht="18" customHeight="1" x14ac:dyDescent="0.2">
      <c r="B40" s="210" t="s">
        <v>88</v>
      </c>
      <c r="C40" s="210"/>
      <c r="D40" s="148">
        <v>2017</v>
      </c>
      <c r="E40" s="304">
        <f>SUM(F40:M40)</f>
        <v>138</v>
      </c>
      <c r="F40" s="146">
        <v>3</v>
      </c>
      <c r="G40" s="146">
        <v>7</v>
      </c>
      <c r="H40" s="144" t="s">
        <v>51</v>
      </c>
      <c r="I40" s="146">
        <v>74</v>
      </c>
      <c r="J40" s="146"/>
      <c r="K40" s="144" t="s">
        <v>51</v>
      </c>
      <c r="L40" s="146">
        <v>20</v>
      </c>
      <c r="M40" s="146">
        <v>34</v>
      </c>
    </row>
    <row r="41" spans="2:13" s="53" customFormat="1" ht="18" customHeight="1" x14ac:dyDescent="0.2">
      <c r="B41" s="210"/>
      <c r="C41" s="210"/>
      <c r="D41" s="148">
        <v>2018</v>
      </c>
      <c r="E41" s="303">
        <f>SUM(F41:M41)</f>
        <v>125</v>
      </c>
      <c r="F41" s="114">
        <f>2</f>
        <v>2</v>
      </c>
      <c r="G41" s="114">
        <f>14</f>
        <v>14</v>
      </c>
      <c r="H41" s="144" t="s">
        <v>51</v>
      </c>
      <c r="I41" s="114">
        <v>40</v>
      </c>
      <c r="J41" s="114"/>
      <c r="K41" s="144" t="s">
        <v>51</v>
      </c>
      <c r="L41" s="114">
        <v>23</v>
      </c>
      <c r="M41" s="114">
        <f>46</f>
        <v>46</v>
      </c>
    </row>
    <row r="42" spans="2:13" s="53" customFormat="1" ht="18" customHeight="1" x14ac:dyDescent="0.2">
      <c r="B42" s="210"/>
      <c r="C42" s="210"/>
      <c r="D42" s="148">
        <v>2019</v>
      </c>
      <c r="E42" s="303">
        <f>SUM(F42:M42)</f>
        <v>120</v>
      </c>
      <c r="F42" s="144" t="s">
        <v>51</v>
      </c>
      <c r="G42" s="146">
        <v>17</v>
      </c>
      <c r="H42" s="144" t="s">
        <v>51</v>
      </c>
      <c r="I42" s="146">
        <v>44</v>
      </c>
      <c r="J42" s="146"/>
      <c r="K42" s="144" t="s">
        <v>51</v>
      </c>
      <c r="L42" s="146">
        <v>10</v>
      </c>
      <c r="M42" s="146">
        <v>49</v>
      </c>
    </row>
    <row r="43" spans="2:13" s="53" customFormat="1" ht="18" customHeight="1" x14ac:dyDescent="0.2">
      <c r="B43" s="210"/>
      <c r="C43" s="210"/>
      <c r="D43" s="148"/>
      <c r="E43" s="303"/>
      <c r="F43" s="246"/>
      <c r="G43" s="246"/>
      <c r="H43" s="144"/>
      <c r="I43" s="246"/>
      <c r="J43" s="246"/>
      <c r="K43" s="144"/>
      <c r="L43" s="246"/>
      <c r="M43" s="246"/>
    </row>
    <row r="44" spans="2:13" s="53" customFormat="1" ht="18" customHeight="1" x14ac:dyDescent="0.2">
      <c r="B44" s="210" t="s">
        <v>89</v>
      </c>
      <c r="C44" s="210"/>
      <c r="D44" s="148">
        <v>2017</v>
      </c>
      <c r="E44" s="304">
        <f>SUM(F44:M44)</f>
        <v>322</v>
      </c>
      <c r="F44" s="146">
        <v>6</v>
      </c>
      <c r="G44" s="146">
        <v>35</v>
      </c>
      <c r="H44" s="144" t="s">
        <v>51</v>
      </c>
      <c r="I44" s="146">
        <v>168</v>
      </c>
      <c r="J44" s="146"/>
      <c r="K44" s="144" t="s">
        <v>51</v>
      </c>
      <c r="L44" s="146">
        <v>62</v>
      </c>
      <c r="M44" s="146">
        <v>51</v>
      </c>
    </row>
    <row r="45" spans="2:13" s="53" customFormat="1" ht="18" customHeight="1" x14ac:dyDescent="0.2">
      <c r="B45" s="210"/>
      <c r="C45" s="210"/>
      <c r="D45" s="148">
        <v>2018</v>
      </c>
      <c r="E45" s="304">
        <f>SUM(F45:M45)</f>
        <v>268</v>
      </c>
      <c r="F45" s="114">
        <f>7</f>
        <v>7</v>
      </c>
      <c r="G45" s="114">
        <f>12</f>
        <v>12</v>
      </c>
      <c r="H45" s="144" t="s">
        <v>51</v>
      </c>
      <c r="I45" s="114">
        <v>129</v>
      </c>
      <c r="J45" s="114"/>
      <c r="K45" s="144" t="s">
        <v>51</v>
      </c>
      <c r="L45" s="114">
        <v>38</v>
      </c>
      <c r="M45" s="114">
        <f>82</f>
        <v>82</v>
      </c>
    </row>
    <row r="46" spans="2:13" s="53" customFormat="1" ht="18" customHeight="1" x14ac:dyDescent="0.2">
      <c r="B46" s="210"/>
      <c r="C46" s="210"/>
      <c r="D46" s="148">
        <v>2019</v>
      </c>
      <c r="E46" s="303">
        <f>SUM(F46:M46)</f>
        <v>422</v>
      </c>
      <c r="F46" s="146">
        <v>4</v>
      </c>
      <c r="G46" s="146">
        <v>32</v>
      </c>
      <c r="H46" s="144" t="s">
        <v>51</v>
      </c>
      <c r="I46" s="146">
        <v>199</v>
      </c>
      <c r="J46" s="146"/>
      <c r="K46" s="144" t="s">
        <v>51</v>
      </c>
      <c r="L46" s="146">
        <v>99</v>
      </c>
      <c r="M46" s="146">
        <v>88</v>
      </c>
    </row>
    <row r="47" spans="2:13" s="53" customFormat="1" ht="18" customHeight="1" x14ac:dyDescent="0.2">
      <c r="B47" s="210"/>
      <c r="C47" s="210"/>
      <c r="D47" s="205"/>
      <c r="E47" s="303"/>
      <c r="F47" s="246"/>
      <c r="G47" s="246"/>
      <c r="H47" s="144"/>
      <c r="I47" s="246"/>
      <c r="J47" s="246"/>
      <c r="K47" s="246"/>
      <c r="L47" s="246"/>
      <c r="M47" s="246"/>
    </row>
    <row r="48" spans="2:13" s="53" customFormat="1" ht="18" customHeight="1" x14ac:dyDescent="0.2">
      <c r="B48" s="210" t="s">
        <v>90</v>
      </c>
      <c r="C48" s="210"/>
      <c r="D48" s="148">
        <v>2017</v>
      </c>
      <c r="E48" s="304">
        <f>SUM(F48:M48)</f>
        <v>159</v>
      </c>
      <c r="F48" s="146">
        <v>2</v>
      </c>
      <c r="G48" s="146">
        <v>14</v>
      </c>
      <c r="H48" s="144" t="s">
        <v>51</v>
      </c>
      <c r="I48" s="146">
        <v>64</v>
      </c>
      <c r="J48" s="146"/>
      <c r="K48" s="144" t="s">
        <v>51</v>
      </c>
      <c r="L48" s="146">
        <v>26</v>
      </c>
      <c r="M48" s="146">
        <v>53</v>
      </c>
    </row>
    <row r="49" spans="1:14" s="53" customFormat="1" ht="18" customHeight="1" x14ac:dyDescent="0.2">
      <c r="B49" s="210"/>
      <c r="C49" s="210"/>
      <c r="D49" s="148">
        <v>2018</v>
      </c>
      <c r="E49" s="304">
        <f>SUM(F49:M49)</f>
        <v>150</v>
      </c>
      <c r="F49" s="114">
        <f>5</f>
        <v>5</v>
      </c>
      <c r="G49" s="114">
        <f>24</f>
        <v>24</v>
      </c>
      <c r="H49" s="144" t="s">
        <v>51</v>
      </c>
      <c r="I49" s="114">
        <v>36</v>
      </c>
      <c r="J49" s="114"/>
      <c r="K49" s="114">
        <v>1</v>
      </c>
      <c r="L49" s="114">
        <v>27</v>
      </c>
      <c r="M49" s="114">
        <f>57</f>
        <v>57</v>
      </c>
    </row>
    <row r="50" spans="1:14" s="53" customFormat="1" ht="18" customHeight="1" x14ac:dyDescent="0.2">
      <c r="B50" s="210"/>
      <c r="C50" s="210"/>
      <c r="D50" s="148">
        <v>2019</v>
      </c>
      <c r="E50" s="303">
        <f>SUM(F50:M50)</f>
        <v>129</v>
      </c>
      <c r="F50" s="146">
        <v>4</v>
      </c>
      <c r="G50" s="146">
        <v>6</v>
      </c>
      <c r="H50" s="144" t="s">
        <v>51</v>
      </c>
      <c r="I50" s="146">
        <v>48</v>
      </c>
      <c r="J50" s="146"/>
      <c r="K50" s="144" t="s">
        <v>51</v>
      </c>
      <c r="L50" s="146">
        <v>29</v>
      </c>
      <c r="M50" s="146">
        <v>42</v>
      </c>
    </row>
    <row r="51" spans="1:14" s="53" customFormat="1" ht="18" customHeight="1" x14ac:dyDescent="0.2">
      <c r="B51" s="210"/>
      <c r="C51" s="210"/>
      <c r="D51" s="148"/>
      <c r="E51" s="303"/>
      <c r="F51" s="246"/>
      <c r="G51" s="246"/>
      <c r="H51" s="246"/>
      <c r="I51" s="246"/>
      <c r="J51" s="246"/>
      <c r="K51" s="144"/>
      <c r="L51" s="246"/>
      <c r="M51" s="246"/>
    </row>
    <row r="52" spans="1:14" s="53" customFormat="1" ht="18" customHeight="1" x14ac:dyDescent="0.2">
      <c r="B52" s="210" t="s">
        <v>91</v>
      </c>
      <c r="C52" s="210"/>
      <c r="D52" s="148">
        <v>2017</v>
      </c>
      <c r="E52" s="304">
        <f>SUM(F52:M52)</f>
        <v>370</v>
      </c>
      <c r="F52" s="146">
        <v>6</v>
      </c>
      <c r="G52" s="146">
        <v>13</v>
      </c>
      <c r="H52" s="144" t="s">
        <v>51</v>
      </c>
      <c r="I52" s="146">
        <v>140</v>
      </c>
      <c r="J52" s="146"/>
      <c r="K52" s="144" t="s">
        <v>51</v>
      </c>
      <c r="L52" s="146">
        <v>107</v>
      </c>
      <c r="M52" s="146">
        <v>104</v>
      </c>
    </row>
    <row r="53" spans="1:14" s="53" customFormat="1" ht="18" customHeight="1" x14ac:dyDescent="0.2">
      <c r="B53" s="210"/>
      <c r="C53" s="210"/>
      <c r="D53" s="148">
        <v>2018</v>
      </c>
      <c r="E53" s="304">
        <f>SUM(F53:M53)</f>
        <v>283</v>
      </c>
      <c r="F53" s="114">
        <f>6</f>
        <v>6</v>
      </c>
      <c r="G53" s="114">
        <f>15</f>
        <v>15</v>
      </c>
      <c r="H53" s="144" t="s">
        <v>51</v>
      </c>
      <c r="I53" s="114">
        <v>78</v>
      </c>
      <c r="J53" s="114"/>
      <c r="K53" s="144" t="s">
        <v>51</v>
      </c>
      <c r="L53" s="114">
        <v>106</v>
      </c>
      <c r="M53" s="114">
        <f>78</f>
        <v>78</v>
      </c>
    </row>
    <row r="54" spans="1:14" s="53" customFormat="1" ht="18" customHeight="1" x14ac:dyDescent="0.2">
      <c r="B54" s="210"/>
      <c r="C54" s="210"/>
      <c r="D54" s="148">
        <v>2019</v>
      </c>
      <c r="E54" s="303">
        <f>SUM(F54:M54)</f>
        <v>311</v>
      </c>
      <c r="F54" s="53">
        <v>6</v>
      </c>
      <c r="G54" s="53">
        <v>20</v>
      </c>
      <c r="H54" s="53">
        <v>2</v>
      </c>
      <c r="I54" s="53">
        <v>85</v>
      </c>
      <c r="K54" s="301" t="s">
        <v>51</v>
      </c>
      <c r="L54" s="53">
        <v>67</v>
      </c>
      <c r="M54" s="53">
        <v>131</v>
      </c>
    </row>
    <row r="55" spans="1:14" s="53" customFormat="1" ht="8.1" customHeight="1" thickBot="1" x14ac:dyDescent="0.25">
      <c r="A55" s="195"/>
      <c r="B55" s="196"/>
      <c r="C55" s="196"/>
      <c r="D55" s="196"/>
      <c r="E55" s="197"/>
      <c r="F55" s="198"/>
      <c r="G55" s="198"/>
      <c r="H55" s="198"/>
      <c r="I55" s="198"/>
      <c r="J55" s="198"/>
      <c r="K55" s="198"/>
      <c r="L55" s="198"/>
      <c r="M55" s="199"/>
      <c r="N55" s="195"/>
    </row>
    <row r="56" spans="1:14" s="53" customFormat="1" ht="12.75" x14ac:dyDescent="0.2">
      <c r="B56" s="115"/>
      <c r="C56" s="115"/>
      <c r="D56" s="115"/>
      <c r="E56" s="63"/>
      <c r="F56" s="114"/>
      <c r="G56" s="114"/>
      <c r="H56" s="114"/>
      <c r="I56" s="114"/>
      <c r="J56" s="114"/>
      <c r="K56" s="114"/>
      <c r="L56" s="114"/>
      <c r="M56" s="189"/>
      <c r="N56" s="8" t="s">
        <v>99</v>
      </c>
    </row>
    <row r="57" spans="1:14" s="53" customFormat="1" ht="12.75" x14ac:dyDescent="0.2">
      <c r="B57" s="115"/>
      <c r="C57" s="115"/>
      <c r="D57" s="115"/>
      <c r="E57" s="63"/>
      <c r="F57" s="114"/>
      <c r="G57" s="114"/>
      <c r="H57" s="114"/>
      <c r="I57" s="114"/>
      <c r="J57" s="114"/>
      <c r="K57" s="114"/>
      <c r="L57" s="114"/>
      <c r="M57" s="189"/>
      <c r="N57" s="41" t="s">
        <v>1</v>
      </c>
    </row>
  </sheetData>
  <mergeCells count="4">
    <mergeCell ref="B11:C11"/>
    <mergeCell ref="H11:I11"/>
    <mergeCell ref="K11:L11"/>
    <mergeCell ref="B12:C12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70" fitToWidth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7"/>
  <sheetViews>
    <sheetView showGridLines="0" topLeftCell="A7" zoomScale="85" zoomScaleNormal="85" zoomScaleSheetLayoutView="100" workbookViewId="0">
      <selection activeCell="L16" sqref="L16"/>
    </sheetView>
  </sheetViews>
  <sheetFormatPr defaultRowHeight="15" x14ac:dyDescent="0.25"/>
  <cols>
    <col min="1" max="1" width="1.5703125" style="2" customWidth="1"/>
    <col min="2" max="2" width="10.140625" style="3" customWidth="1"/>
    <col min="3" max="3" width="14.42578125" style="3" customWidth="1"/>
    <col min="4" max="4" width="7.42578125" style="3" customWidth="1"/>
    <col min="5" max="5" width="10.7109375" style="21" customWidth="1"/>
    <col min="6" max="6" width="10.7109375" style="22" customWidth="1"/>
    <col min="7" max="7" width="9.140625" style="22" customWidth="1"/>
    <col min="8" max="8" width="11.42578125" style="22" customWidth="1"/>
    <col min="9" max="9" width="14.85546875" style="22" customWidth="1"/>
    <col min="10" max="10" width="1.7109375" style="22" customWidth="1"/>
    <col min="11" max="11" width="11.42578125" style="22" customWidth="1"/>
    <col min="12" max="12" width="14.85546875" style="22" customWidth="1"/>
    <col min="13" max="13" width="15.5703125" style="209" customWidth="1"/>
    <col min="14" max="14" width="1.42578125" style="2" customWidth="1"/>
    <col min="15" max="16384" width="9.140625" style="2"/>
  </cols>
  <sheetData>
    <row r="1" spans="1:14" ht="9.9499999999999993" customHeight="1" x14ac:dyDescent="0.25">
      <c r="B1" s="3" t="s">
        <v>196</v>
      </c>
      <c r="M1" s="5"/>
    </row>
    <row r="2" spans="1:14" s="30" customFormat="1" ht="12.95" customHeight="1" x14ac:dyDescent="0.25">
      <c r="B2" s="27"/>
      <c r="C2" s="27"/>
      <c r="D2" s="29"/>
      <c r="E2" s="28"/>
      <c r="F2" s="29"/>
      <c r="M2" s="160" t="s">
        <v>179</v>
      </c>
      <c r="N2" s="29"/>
    </row>
    <row r="3" spans="1:14" s="30" customFormat="1" ht="12.95" customHeight="1" x14ac:dyDescent="0.25">
      <c r="B3" s="27"/>
      <c r="C3" s="27"/>
      <c r="D3" s="29"/>
      <c r="E3" s="28"/>
      <c r="F3" s="29"/>
      <c r="M3" s="68" t="s">
        <v>180</v>
      </c>
      <c r="N3" s="29"/>
    </row>
    <row r="4" spans="1:14" s="30" customFormat="1" ht="12" customHeight="1" x14ac:dyDescent="0.25">
      <c r="B4" s="27"/>
      <c r="C4" s="27"/>
      <c r="D4" s="29"/>
      <c r="E4" s="28"/>
      <c r="F4" s="29"/>
      <c r="G4" s="68"/>
      <c r="N4" s="29"/>
    </row>
    <row r="5" spans="1:14" s="30" customFormat="1" ht="12" customHeight="1" x14ac:dyDescent="0.25">
      <c r="B5" s="27"/>
      <c r="C5" s="27"/>
      <c r="D5" s="29"/>
      <c r="E5" s="28"/>
      <c r="F5" s="29"/>
      <c r="G5" s="68"/>
      <c r="N5" s="29"/>
    </row>
    <row r="6" spans="1:14" s="53" customFormat="1" ht="9.75" customHeight="1" x14ac:dyDescent="0.2">
      <c r="B6" s="115"/>
      <c r="C6" s="115"/>
      <c r="D6" s="189"/>
      <c r="E6" s="190"/>
      <c r="F6" s="189"/>
      <c r="G6" s="189"/>
      <c r="H6" s="191"/>
      <c r="I6" s="191"/>
      <c r="J6" s="191"/>
      <c r="K6" s="191"/>
      <c r="L6" s="191"/>
      <c r="M6" s="189"/>
      <c r="N6" s="114"/>
    </row>
    <row r="7" spans="1:14" s="53" customFormat="1" ht="15" customHeight="1" x14ac:dyDescent="0.2">
      <c r="B7" s="63" t="s">
        <v>186</v>
      </c>
      <c r="C7" s="64" t="s">
        <v>239</v>
      </c>
      <c r="D7" s="115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4" s="65" customFormat="1" ht="15" customHeight="1" x14ac:dyDescent="0.2">
      <c r="B8" s="66" t="s">
        <v>187</v>
      </c>
      <c r="C8" s="67" t="s">
        <v>240</v>
      </c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4" s="53" customFormat="1" ht="6.75" customHeight="1" thickBot="1" x14ac:dyDescent="0.25">
      <c r="B9" s="115"/>
      <c r="C9" s="115"/>
      <c r="D9" s="115"/>
      <c r="E9" s="63"/>
      <c r="F9" s="114"/>
      <c r="G9" s="114"/>
      <c r="H9" s="114"/>
      <c r="I9" s="114"/>
      <c r="J9" s="114"/>
      <c r="K9" s="114"/>
      <c r="L9" s="114"/>
      <c r="M9" s="189"/>
    </row>
    <row r="10" spans="1:14" s="53" customFormat="1" ht="9.9499999999999993" customHeight="1" thickTop="1" x14ac:dyDescent="0.2">
      <c r="A10" s="378"/>
      <c r="B10" s="388"/>
      <c r="C10" s="388"/>
      <c r="D10" s="389"/>
      <c r="E10" s="374"/>
      <c r="F10" s="375"/>
      <c r="G10" s="375"/>
      <c r="H10" s="376"/>
      <c r="I10" s="375"/>
      <c r="J10" s="375"/>
      <c r="K10" s="375"/>
      <c r="L10" s="375"/>
      <c r="M10" s="377"/>
      <c r="N10" s="378"/>
    </row>
    <row r="11" spans="1:14" s="53" customFormat="1" ht="27.75" customHeight="1" x14ac:dyDescent="0.2">
      <c r="A11" s="390"/>
      <c r="B11" s="432" t="s">
        <v>210</v>
      </c>
      <c r="C11" s="432"/>
      <c r="D11" s="379" t="s">
        <v>222</v>
      </c>
      <c r="E11" s="379" t="s">
        <v>220</v>
      </c>
      <c r="F11" s="379" t="s">
        <v>219</v>
      </c>
      <c r="G11" s="379" t="s">
        <v>218</v>
      </c>
      <c r="H11" s="433" t="s">
        <v>234</v>
      </c>
      <c r="I11" s="433"/>
      <c r="J11" s="380"/>
      <c r="K11" s="433" t="s">
        <v>221</v>
      </c>
      <c r="L11" s="433"/>
      <c r="M11" s="379" t="s">
        <v>217</v>
      </c>
      <c r="N11" s="381"/>
    </row>
    <row r="12" spans="1:14" s="53" customFormat="1" ht="30" customHeight="1" x14ac:dyDescent="0.2">
      <c r="A12" s="390"/>
      <c r="B12" s="434" t="s">
        <v>211</v>
      </c>
      <c r="C12" s="434"/>
      <c r="D12" s="382" t="s">
        <v>212</v>
      </c>
      <c r="E12" s="382" t="s">
        <v>213</v>
      </c>
      <c r="F12" s="382" t="s">
        <v>214</v>
      </c>
      <c r="G12" s="382" t="s">
        <v>215</v>
      </c>
      <c r="H12" s="383" t="s">
        <v>225</v>
      </c>
      <c r="I12" s="383" t="s">
        <v>226</v>
      </c>
      <c r="J12" s="383"/>
      <c r="K12" s="383" t="s">
        <v>225</v>
      </c>
      <c r="L12" s="383" t="s">
        <v>226</v>
      </c>
      <c r="M12" s="384" t="s">
        <v>216</v>
      </c>
      <c r="N12" s="385"/>
    </row>
    <row r="13" spans="1:14" s="53" customFormat="1" ht="30" customHeight="1" x14ac:dyDescent="0.2">
      <c r="A13" s="391"/>
      <c r="B13" s="392"/>
      <c r="C13" s="392"/>
      <c r="D13" s="386"/>
      <c r="E13" s="386"/>
      <c r="F13" s="386"/>
      <c r="G13" s="386"/>
      <c r="H13" s="387" t="s">
        <v>223</v>
      </c>
      <c r="I13" s="387" t="s">
        <v>224</v>
      </c>
      <c r="J13" s="387"/>
      <c r="K13" s="387" t="s">
        <v>223</v>
      </c>
      <c r="L13" s="387" t="s">
        <v>224</v>
      </c>
      <c r="M13" s="370"/>
      <c r="N13" s="373"/>
    </row>
    <row r="14" spans="1:14" s="53" customFormat="1" ht="6" customHeight="1" x14ac:dyDescent="0.2">
      <c r="A14" s="116"/>
      <c r="B14" s="180"/>
      <c r="C14" s="180"/>
      <c r="D14" s="90"/>
      <c r="E14" s="90"/>
      <c r="F14" s="192"/>
      <c r="G14" s="192"/>
      <c r="H14" s="192"/>
      <c r="I14" s="192"/>
      <c r="J14" s="192"/>
      <c r="K14" s="192"/>
      <c r="L14" s="192"/>
      <c r="M14" s="192"/>
      <c r="N14" s="86"/>
    </row>
    <row r="15" spans="1:14" s="102" customFormat="1" ht="20.100000000000001" customHeight="1" x14ac:dyDescent="0.2">
      <c r="B15" s="124" t="s">
        <v>153</v>
      </c>
      <c r="C15" s="124"/>
      <c r="D15" s="121">
        <v>2017</v>
      </c>
      <c r="E15" s="145">
        <f>SUM(F15:M15)</f>
        <v>761</v>
      </c>
      <c r="F15" s="145">
        <f>SUM(F19,F23,F27,F31,F35,F39,F43,F47,F51,'1.5Sabah (2)'!F17,'1.5Sabah (2)'!F21,'1.5Sabah (2)'!F25,'1.5Sabah (2)'!F29,'1.5Sabah (2)'!F33,'1.5Sabah (2)'!F37,'1.5Sabah (2)'!F41,'1.5Sabah (2)'!F45,'1.5Sabah (2)'!F49,'1.5Sabah (2)'!F53,'1.5Sabah (2)'!F57)</f>
        <v>36</v>
      </c>
      <c r="G15" s="145">
        <f>SUM(G19,G23,G27,G31,G35,G39,G43,G47,G51,'1.5Sabah (2)'!G17,'1.5Sabah (2)'!G21,'1.5Sabah (2)'!G25,'1.5Sabah (2)'!G29,'1.5Sabah (2)'!G33,'1.5Sabah (2)'!G37,'1.5Sabah (2)'!G41,'1.5Sabah (2)'!G45,'1.5Sabah (2)'!G49,'1.5Sabah (2)'!G53,'1.5Sabah (2)'!G57)</f>
        <v>211</v>
      </c>
      <c r="H15" s="357" t="s">
        <v>51</v>
      </c>
      <c r="I15" s="145">
        <f>SUM(I19,I23,I27,I31,I35,I39,I43,I47,I51,'1.5Sabah (2)'!I17,'1.5Sabah (2)'!I21,'1.5Sabah (2)'!I25,'1.5Sabah (2)'!I29,'1.5Sabah (2)'!I33,'1.5Sabah (2)'!I37,'1.5Sabah (2)'!I41,'1.5Sabah (2)'!I45,'1.5Sabah (2)'!I49,'1.5Sabah (2)'!I53,'1.5Sabah (2)'!I57)</f>
        <v>163</v>
      </c>
      <c r="J15" s="145">
        <f>SUM(J19,J23,J27,J31,J35,J39,J43,J47,J51,'1.5Sabah (2)'!J17,'1.5Sabah (2)'!J21,'1.5Sabah (2)'!J25,'1.5Sabah (2)'!J29,'1.5Sabah (2)'!J33,'1.5Sabah (2)'!J37,'1.5Sabah (2)'!J41,'1.5Sabah (2)'!J45,'1.5Sabah (2)'!J49,'1.5Sabah (2)'!J53,'1.5Sabah (2)'!J57)</f>
        <v>0</v>
      </c>
      <c r="K15" s="357" t="s">
        <v>51</v>
      </c>
      <c r="L15" s="145">
        <f>SUM(L19,L23,L27,L31,L35,L39,L43,L47,L51,'1.5Sabah (2)'!L17,'1.5Sabah (2)'!L21,'1.5Sabah (2)'!L25,'1.5Sabah (2)'!L29,'1.5Sabah (2)'!L33,'1.5Sabah (2)'!L37,'1.5Sabah (2)'!L41,'1.5Sabah (2)'!L45,'1.5Sabah (2)'!L49,'1.5Sabah (2)'!L53,'1.5Sabah (2)'!L57)</f>
        <v>121</v>
      </c>
      <c r="M15" s="145">
        <f>SUM(M19,M23,M27,M31,M35,M39,M43,M47,M51,'1.5Sabah (2)'!M17,'1.5Sabah (2)'!M21,'1.5Sabah (2)'!M25,'1.5Sabah (2)'!M29,'1.5Sabah (2)'!M33,'1.5Sabah (2)'!M37,'1.5Sabah (2)'!M41,'1.5Sabah (2)'!M45,'1.5Sabah (2)'!M49,'1.5Sabah (2)'!M53,'1.5Sabah (2)'!M57)</f>
        <v>230</v>
      </c>
    </row>
    <row r="16" spans="1:14" s="102" customFormat="1" ht="20.100000000000001" customHeight="1" x14ac:dyDescent="0.2">
      <c r="B16" s="124"/>
      <c r="C16" s="124"/>
      <c r="D16" s="121">
        <v>2018</v>
      </c>
      <c r="E16" s="145">
        <f>SUM(F16:M16)</f>
        <v>580</v>
      </c>
      <c r="F16" s="145">
        <f>SUM(F20,F24,F28,F32,F36,F40,F44,F48,F52,'1.5Sabah (2)'!F18,'1.5Sabah (2)'!F22,'1.5Sabah (2)'!F26,'1.5Sabah (2)'!F30,'1.5Sabah (2)'!F34,'1.5Sabah (2)'!F38,'1.5Sabah (2)'!F42,'1.5Sabah (2)'!F46,'1.5Sabah (2)'!F50,'1.5Sabah (2)'!F54,'1.5Sabah (2)'!F58)</f>
        <v>37</v>
      </c>
      <c r="G16" s="145">
        <f>SUM(G20,G24,G28,G32,G36,G40,G44,G48,G52,'1.5Sabah (2)'!G18,'1.5Sabah (2)'!G22,'1.5Sabah (2)'!G26,'1.5Sabah (2)'!G30,'1.5Sabah (2)'!G34,'1.5Sabah (2)'!G38,'1.5Sabah (2)'!G42,'1.5Sabah (2)'!G46,'1.5Sabah (2)'!G50,'1.5Sabah (2)'!G54,'1.5Sabah (2)'!G58)</f>
        <v>178</v>
      </c>
      <c r="H16" s="145">
        <f>SUM(H20,H24,H28,H32,H36,H40,H44,H48,H52,'1.5Sabah (2)'!H18,'1.5Sabah (2)'!H22,'1.5Sabah (2)'!H26,'1.5Sabah (2)'!H30,'1.5Sabah (2)'!H34,'1.5Sabah (2)'!H38,'1.5Sabah (2)'!H42,'1.5Sabah (2)'!H46,'1.5Sabah (2)'!H50,'1.5Sabah (2)'!H54,'1.5Sabah (2)'!H58)</f>
        <v>1</v>
      </c>
      <c r="I16" s="145">
        <f>SUM(I20,I24,I28,I32,I36,I40,I44,I48,I52,'1.5Sabah (2)'!I18,'1.5Sabah (2)'!I22,'1.5Sabah (2)'!I26,'1.5Sabah (2)'!I30,'1.5Sabah (2)'!I34,'1.5Sabah (2)'!I38,'1.5Sabah (2)'!I42,'1.5Sabah (2)'!I46,'1.5Sabah (2)'!I50,'1.5Sabah (2)'!I54,'1.5Sabah (2)'!I58)</f>
        <v>71</v>
      </c>
      <c r="J16" s="145">
        <f>SUM(J20,J24,J28,J32,J36,J40,J44,J48,J52,'1.5Sabah (2)'!J18,'1.5Sabah (2)'!J22,'1.5Sabah (2)'!J26,'1.5Sabah (2)'!J30,'1.5Sabah (2)'!J34,'1.5Sabah (2)'!J38,'1.5Sabah (2)'!J42,'1.5Sabah (2)'!J46,'1.5Sabah (2)'!J50,'1.5Sabah (2)'!J54,'1.5Sabah (2)'!J58)</f>
        <v>0</v>
      </c>
      <c r="K16" s="357" t="s">
        <v>51</v>
      </c>
      <c r="L16" s="145">
        <f>SUM(L20,L24,L28,L32,L36,L40,L44,L48,L52,'1.5Sabah (2)'!L18,'1.5Sabah (2)'!L22,'1.5Sabah (2)'!L26,'1.5Sabah (2)'!L30,'1.5Sabah (2)'!L34,'1.5Sabah (2)'!L38,'1.5Sabah (2)'!L42,'1.5Sabah (2)'!L46,'1.5Sabah (2)'!L50,'1.5Sabah (2)'!L54,'1.5Sabah (2)'!L58)</f>
        <v>77</v>
      </c>
      <c r="M16" s="145">
        <f>SUM(M20,M24,M28,M32,M36,M40,M44,M48,M52,'1.5Sabah (2)'!M18,'1.5Sabah (2)'!M22,'1.5Sabah (2)'!M26,'1.5Sabah (2)'!M30,'1.5Sabah (2)'!M34,'1.5Sabah (2)'!M38,'1.5Sabah (2)'!M42,'1.5Sabah (2)'!M46,'1.5Sabah (2)'!M50,'1.5Sabah (2)'!M54,'1.5Sabah (2)'!M58)</f>
        <v>216</v>
      </c>
    </row>
    <row r="17" spans="2:14" s="102" customFormat="1" ht="20.100000000000001" customHeight="1" x14ac:dyDescent="0.2">
      <c r="B17" s="124"/>
      <c r="C17" s="124"/>
      <c r="D17" s="121">
        <v>2019</v>
      </c>
      <c r="E17" s="145">
        <f>SUM(F17:M17)</f>
        <v>639</v>
      </c>
      <c r="F17" s="145">
        <f>SUM(F21,F25,F29,F33,F37,F41,F45,F49,F53,'1.5Sabah (2)'!F19,'1.5Sabah (2)'!F23,'1.5Sabah (2)'!F27,'1.5Sabah (2)'!F31,'1.5Sabah (2)'!F35,'1.5Sabah (2)'!F39,'1.5Sabah (2)'!F43,'1.5Sabah (2)'!F47,'1.5Sabah (2)'!F51,'1.5Sabah (2)'!F55,'1.5Sabah (2)'!F59)</f>
        <v>28</v>
      </c>
      <c r="G17" s="145">
        <f>SUM(G21,G25,G29,G33,G37,G41,G45,G49,G53,'1.5Sabah (2)'!G19,'1.5Sabah (2)'!G23,'1.5Sabah (2)'!G27,'1.5Sabah (2)'!G31,'1.5Sabah (2)'!G35,'1.5Sabah (2)'!G39,'1.5Sabah (2)'!G43,'1.5Sabah (2)'!G47,'1.5Sabah (2)'!G51,'1.5Sabah (2)'!G55,'1.5Sabah (2)'!G59)</f>
        <v>219</v>
      </c>
      <c r="H17" s="145">
        <f>SUM(H21,H25,H29,H33,H37,H41,H45,H49,H53,'1.5Sabah (2)'!H19,'1.5Sabah (2)'!H23,'1.5Sabah (2)'!H27,'1.5Sabah (2)'!H31,'1.5Sabah (2)'!H35,'1.5Sabah (2)'!H39,'1.5Sabah (2)'!H43,'1.5Sabah (2)'!H47,'1.5Sabah (2)'!H51,'1.5Sabah (2)'!H55,'1.5Sabah (2)'!H59)</f>
        <v>3</v>
      </c>
      <c r="I17" s="145">
        <f>SUM(I21,I25,I29,I33,I37,I41,I45,I49,I53,'1.5Sabah (2)'!I19,'1.5Sabah (2)'!I23,'1.5Sabah (2)'!I27,'1.5Sabah (2)'!I31,'1.5Sabah (2)'!I35,'1.5Sabah (2)'!I39,'1.5Sabah (2)'!I43,'1.5Sabah (2)'!I47,'1.5Sabah (2)'!I51,'1.5Sabah (2)'!I55,'1.5Sabah (2)'!I59)</f>
        <v>78</v>
      </c>
      <c r="J17" s="145">
        <f>SUM(J21,J25,J29,J33,J37,J41,J45,J49,J53,'1.5Sabah (2)'!J19,'1.5Sabah (2)'!J23,'1.5Sabah (2)'!J27,'1.5Sabah (2)'!J31,'1.5Sabah (2)'!J35,'1.5Sabah (2)'!J39,'1.5Sabah (2)'!J43,'1.5Sabah (2)'!J47,'1.5Sabah (2)'!J51,'1.5Sabah (2)'!J55,'1.5Sabah (2)'!J59)</f>
        <v>0</v>
      </c>
      <c r="K17" s="357" t="s">
        <v>51</v>
      </c>
      <c r="L17" s="145">
        <f>SUM(L21,L25,L29,L33,L37,L41,L45,L49,L53,'1.5Sabah (2)'!L19,'1.5Sabah (2)'!L23,'1.5Sabah (2)'!L27,'1.5Sabah (2)'!L31,'1.5Sabah (2)'!L35,'1.5Sabah (2)'!L39,'1.5Sabah (2)'!L43,'1.5Sabah (2)'!L47,'1.5Sabah (2)'!L51,'1.5Sabah (2)'!L55,'1.5Sabah (2)'!L59)</f>
        <v>90</v>
      </c>
      <c r="M17" s="145">
        <f>SUM(M21,M25,M29,M33,M37,M41,M45,M49,M53,'1.5Sabah (2)'!M19,'1.5Sabah (2)'!M23,'1.5Sabah (2)'!M27,'1.5Sabah (2)'!M31,'1.5Sabah (2)'!M35,'1.5Sabah (2)'!M39,'1.5Sabah (2)'!M43,'1.5Sabah (2)'!M47,'1.5Sabah (2)'!M51,'1.5Sabah (2)'!M55,'1.5Sabah (2)'!M59)</f>
        <v>221</v>
      </c>
      <c r="N17" s="145">
        <f>N21+N25+N29+N33+N37+N41+N45+N49+N53+'1.5Sabah (2)'!N19+'1.5Sabah (2)'!N23+'1.5Sabah (2)'!N27+'1.5Sabah (2)'!N31+'1.5Sabah (2)'!N35+'1.5Sabah (2)'!N39+'1.5Sabah (2)'!N43+'1.5Sabah (2)'!N47</f>
        <v>0</v>
      </c>
    </row>
    <row r="18" spans="2:14" s="102" customFormat="1" ht="20.100000000000001" customHeight="1" x14ac:dyDescent="0.2">
      <c r="B18" s="124"/>
      <c r="C18" s="124"/>
      <c r="D18" s="121"/>
      <c r="E18" s="145"/>
      <c r="F18" s="145"/>
      <c r="G18" s="145"/>
      <c r="H18" s="145"/>
      <c r="I18" s="145"/>
      <c r="J18" s="145"/>
      <c r="K18" s="145"/>
      <c r="L18" s="145"/>
      <c r="M18" s="118"/>
    </row>
    <row r="19" spans="2:14" s="102" customFormat="1" ht="20.100000000000001" customHeight="1" x14ac:dyDescent="0.2">
      <c r="B19" s="82" t="s">
        <v>154</v>
      </c>
      <c r="C19" s="82"/>
      <c r="D19" s="148">
        <v>2017</v>
      </c>
      <c r="E19" s="146">
        <f>SUM(F19:M19)</f>
        <v>22</v>
      </c>
      <c r="F19" s="318" t="s">
        <v>51</v>
      </c>
      <c r="G19" s="317">
        <v>14</v>
      </c>
      <c r="H19" s="318" t="s">
        <v>51</v>
      </c>
      <c r="I19" s="317">
        <v>1</v>
      </c>
      <c r="J19" s="317"/>
      <c r="K19" s="318" t="s">
        <v>51</v>
      </c>
      <c r="L19" s="317">
        <v>2</v>
      </c>
      <c r="M19" s="317">
        <v>5</v>
      </c>
    </row>
    <row r="20" spans="2:14" s="102" customFormat="1" ht="20.100000000000001" customHeight="1" x14ac:dyDescent="0.2">
      <c r="B20" s="82"/>
      <c r="C20" s="82"/>
      <c r="D20" s="148">
        <v>2018</v>
      </c>
      <c r="E20" s="146">
        <f t="shared" ref="E20:E21" si="0">SUM(F20:M20)</f>
        <v>12</v>
      </c>
      <c r="F20" s="319" t="s">
        <v>51</v>
      </c>
      <c r="G20" s="351">
        <f>7</f>
        <v>7</v>
      </c>
      <c r="H20" s="318" t="s">
        <v>51</v>
      </c>
      <c r="I20" s="351">
        <v>1</v>
      </c>
      <c r="J20" s="351"/>
      <c r="K20" s="318" t="s">
        <v>51</v>
      </c>
      <c r="L20" s="351">
        <v>2</v>
      </c>
      <c r="M20" s="351">
        <f>2</f>
        <v>2</v>
      </c>
    </row>
    <row r="21" spans="2:14" s="102" customFormat="1" ht="20.100000000000001" customHeight="1" x14ac:dyDescent="0.2">
      <c r="B21" s="82"/>
      <c r="C21" s="82"/>
      <c r="D21" s="148">
        <v>2019</v>
      </c>
      <c r="E21" s="146">
        <f t="shared" si="0"/>
        <v>19</v>
      </c>
      <c r="F21" s="318" t="s">
        <v>51</v>
      </c>
      <c r="G21" s="317">
        <v>6</v>
      </c>
      <c r="H21" s="318" t="s">
        <v>51</v>
      </c>
      <c r="I21" s="317">
        <v>1</v>
      </c>
      <c r="J21" s="317"/>
      <c r="K21" s="318" t="s">
        <v>51</v>
      </c>
      <c r="L21" s="317">
        <v>1</v>
      </c>
      <c r="M21" s="317">
        <v>11</v>
      </c>
    </row>
    <row r="22" spans="2:14" s="102" customFormat="1" ht="20.100000000000001" customHeight="1" x14ac:dyDescent="0.2">
      <c r="B22" s="82"/>
      <c r="C22" s="82"/>
      <c r="D22" s="148"/>
      <c r="E22" s="146"/>
      <c r="F22" s="317"/>
      <c r="G22" s="317"/>
      <c r="H22" s="318"/>
      <c r="I22" s="317"/>
      <c r="J22" s="317"/>
      <c r="K22" s="318"/>
      <c r="L22" s="317"/>
      <c r="M22" s="317"/>
    </row>
    <row r="23" spans="2:14" s="53" customFormat="1" ht="20.100000000000001" customHeight="1" x14ac:dyDescent="0.2">
      <c r="B23" s="82" t="s">
        <v>155</v>
      </c>
      <c r="C23" s="82"/>
      <c r="D23" s="148">
        <v>2017</v>
      </c>
      <c r="E23" s="146">
        <f>SUM(F23:M23)</f>
        <v>21</v>
      </c>
      <c r="F23" s="317">
        <v>2</v>
      </c>
      <c r="G23" s="317">
        <v>12</v>
      </c>
      <c r="H23" s="318" t="s">
        <v>51</v>
      </c>
      <c r="I23" s="317">
        <v>3</v>
      </c>
      <c r="J23" s="317"/>
      <c r="K23" s="318" t="s">
        <v>51</v>
      </c>
      <c r="L23" s="317">
        <v>1</v>
      </c>
      <c r="M23" s="317">
        <v>3</v>
      </c>
    </row>
    <row r="24" spans="2:14" s="53" customFormat="1" ht="20.100000000000001" customHeight="1" x14ac:dyDescent="0.2">
      <c r="B24" s="82"/>
      <c r="C24" s="82"/>
      <c r="D24" s="148">
        <v>2018</v>
      </c>
      <c r="E24" s="146">
        <f t="shared" ref="E24:E25" si="1">SUM(F24:M24)</f>
        <v>14</v>
      </c>
      <c r="F24" s="351">
        <f>2</f>
        <v>2</v>
      </c>
      <c r="G24" s="351">
        <f>6</f>
        <v>6</v>
      </c>
      <c r="H24" s="318" t="s">
        <v>51</v>
      </c>
      <c r="I24" s="318" t="s">
        <v>51</v>
      </c>
      <c r="J24" s="351"/>
      <c r="K24" s="318" t="s">
        <v>51</v>
      </c>
      <c r="L24" s="351">
        <v>1</v>
      </c>
      <c r="M24" s="351">
        <f>5</f>
        <v>5</v>
      </c>
    </row>
    <row r="25" spans="2:14" s="53" customFormat="1" ht="20.100000000000001" customHeight="1" x14ac:dyDescent="0.2">
      <c r="B25" s="82"/>
      <c r="C25" s="82"/>
      <c r="D25" s="148">
        <v>2019</v>
      </c>
      <c r="E25" s="146">
        <f t="shared" si="1"/>
        <v>20</v>
      </c>
      <c r="F25" s="317">
        <v>1</v>
      </c>
      <c r="G25" s="317">
        <v>11</v>
      </c>
      <c r="H25" s="317">
        <v>1</v>
      </c>
      <c r="I25" s="317">
        <v>2</v>
      </c>
      <c r="J25" s="317"/>
      <c r="K25" s="318" t="s">
        <v>51</v>
      </c>
      <c r="L25" s="318" t="s">
        <v>51</v>
      </c>
      <c r="M25" s="317">
        <v>5</v>
      </c>
    </row>
    <row r="26" spans="2:14" s="53" customFormat="1" ht="20.100000000000001" customHeight="1" x14ac:dyDescent="0.2">
      <c r="B26" s="82"/>
      <c r="C26" s="82"/>
      <c r="D26" s="148"/>
      <c r="E26" s="146"/>
      <c r="F26" s="317"/>
      <c r="G26" s="317"/>
      <c r="H26" s="318"/>
      <c r="I26" s="317"/>
      <c r="J26" s="317"/>
      <c r="K26" s="318"/>
      <c r="L26" s="317"/>
      <c r="M26" s="317"/>
    </row>
    <row r="27" spans="2:14" s="53" customFormat="1" ht="20.100000000000001" customHeight="1" x14ac:dyDescent="0.2">
      <c r="B27" s="82" t="s">
        <v>156</v>
      </c>
      <c r="C27" s="82"/>
      <c r="D27" s="148">
        <v>2017</v>
      </c>
      <c r="E27" s="146">
        <f>SUM(F27:M27)</f>
        <v>39</v>
      </c>
      <c r="F27" s="317">
        <v>2</v>
      </c>
      <c r="G27" s="317">
        <v>11</v>
      </c>
      <c r="H27" s="318" t="s">
        <v>51</v>
      </c>
      <c r="I27" s="317">
        <v>7</v>
      </c>
      <c r="J27" s="317"/>
      <c r="K27" s="318" t="s">
        <v>51</v>
      </c>
      <c r="L27" s="317">
        <v>3</v>
      </c>
      <c r="M27" s="317">
        <v>16</v>
      </c>
    </row>
    <row r="28" spans="2:14" s="53" customFormat="1" ht="20.100000000000001" customHeight="1" x14ac:dyDescent="0.2">
      <c r="B28" s="82"/>
      <c r="C28" s="82"/>
      <c r="D28" s="148">
        <v>2018</v>
      </c>
      <c r="E28" s="146">
        <f t="shared" ref="E28:E29" si="2">SUM(F28:M28)</f>
        <v>38</v>
      </c>
      <c r="F28" s="351">
        <v>2</v>
      </c>
      <c r="G28" s="351">
        <f>15</f>
        <v>15</v>
      </c>
      <c r="H28" s="318" t="s">
        <v>51</v>
      </c>
      <c r="I28" s="351">
        <v>3</v>
      </c>
      <c r="J28" s="351"/>
      <c r="K28" s="318" t="s">
        <v>51</v>
      </c>
      <c r="L28" s="351">
        <v>3</v>
      </c>
      <c r="M28" s="351">
        <f>15</f>
        <v>15</v>
      </c>
    </row>
    <row r="29" spans="2:14" s="53" customFormat="1" ht="20.100000000000001" customHeight="1" x14ac:dyDescent="0.2">
      <c r="B29" s="82"/>
      <c r="C29" s="82"/>
      <c r="D29" s="148">
        <v>2019</v>
      </c>
      <c r="E29" s="146">
        <f t="shared" si="2"/>
        <v>43</v>
      </c>
      <c r="F29" s="317">
        <v>3</v>
      </c>
      <c r="G29" s="317">
        <v>15</v>
      </c>
      <c r="H29" s="318" t="s">
        <v>51</v>
      </c>
      <c r="I29" s="317">
        <v>3</v>
      </c>
      <c r="J29" s="317"/>
      <c r="K29" s="318" t="s">
        <v>51</v>
      </c>
      <c r="L29" s="317">
        <v>4</v>
      </c>
      <c r="M29" s="317">
        <v>18</v>
      </c>
    </row>
    <row r="30" spans="2:14" s="53" customFormat="1" ht="20.100000000000001" customHeight="1" x14ac:dyDescent="0.2">
      <c r="B30" s="82"/>
      <c r="C30" s="82"/>
      <c r="D30" s="148"/>
      <c r="E30" s="146"/>
      <c r="F30" s="318"/>
      <c r="G30" s="317"/>
      <c r="H30" s="318"/>
      <c r="I30" s="317"/>
      <c r="J30" s="317"/>
      <c r="K30" s="318"/>
      <c r="L30" s="317"/>
      <c r="M30" s="317"/>
    </row>
    <row r="31" spans="2:14" s="53" customFormat="1" ht="20.100000000000001" customHeight="1" x14ac:dyDescent="0.2">
      <c r="B31" s="82" t="s">
        <v>157</v>
      </c>
      <c r="C31" s="82"/>
      <c r="D31" s="148">
        <v>2017</v>
      </c>
      <c r="E31" s="146">
        <f>SUM(F31:M31)</f>
        <v>33</v>
      </c>
      <c r="F31" s="317">
        <v>2</v>
      </c>
      <c r="G31" s="317">
        <v>11</v>
      </c>
      <c r="H31" s="318" t="s">
        <v>51</v>
      </c>
      <c r="I31" s="317">
        <v>6</v>
      </c>
      <c r="J31" s="317"/>
      <c r="K31" s="318" t="s">
        <v>51</v>
      </c>
      <c r="L31" s="318" t="s">
        <v>51</v>
      </c>
      <c r="M31" s="317">
        <v>14</v>
      </c>
    </row>
    <row r="32" spans="2:14" s="53" customFormat="1" ht="20.100000000000001" customHeight="1" x14ac:dyDescent="0.2">
      <c r="B32" s="82"/>
      <c r="C32" s="82"/>
      <c r="D32" s="148">
        <v>2018</v>
      </c>
      <c r="E32" s="146">
        <f t="shared" ref="E32:E33" si="3">SUM(F32:M32)</f>
        <v>20</v>
      </c>
      <c r="F32" s="351">
        <f>1</f>
        <v>1</v>
      </c>
      <c r="G32" s="351">
        <f>5</f>
        <v>5</v>
      </c>
      <c r="H32" s="318" t="s">
        <v>51</v>
      </c>
      <c r="I32" s="351">
        <v>1</v>
      </c>
      <c r="J32" s="351"/>
      <c r="K32" s="318" t="s">
        <v>51</v>
      </c>
      <c r="L32" s="318" t="s">
        <v>51</v>
      </c>
      <c r="M32" s="351">
        <f>13</f>
        <v>13</v>
      </c>
    </row>
    <row r="33" spans="2:13" s="53" customFormat="1" ht="20.100000000000001" customHeight="1" x14ac:dyDescent="0.2">
      <c r="B33" s="82"/>
      <c r="C33" s="82"/>
      <c r="D33" s="148">
        <v>2019</v>
      </c>
      <c r="E33" s="146">
        <f t="shared" si="3"/>
        <v>22</v>
      </c>
      <c r="F33" s="318" t="s">
        <v>51</v>
      </c>
      <c r="G33" s="317">
        <v>11</v>
      </c>
      <c r="H33" s="318" t="s">
        <v>51</v>
      </c>
      <c r="I33" s="317">
        <v>2</v>
      </c>
      <c r="J33" s="317"/>
      <c r="K33" s="318" t="s">
        <v>51</v>
      </c>
      <c r="L33" s="318" t="s">
        <v>51</v>
      </c>
      <c r="M33" s="317">
        <v>9</v>
      </c>
    </row>
    <row r="34" spans="2:13" s="53" customFormat="1" ht="20.100000000000001" customHeight="1" x14ac:dyDescent="0.2">
      <c r="B34" s="82"/>
      <c r="C34" s="82"/>
      <c r="D34" s="148"/>
      <c r="E34" s="146"/>
      <c r="F34" s="317"/>
      <c r="G34" s="317"/>
      <c r="H34" s="318"/>
      <c r="I34" s="317"/>
      <c r="J34" s="317"/>
      <c r="K34" s="318"/>
      <c r="L34" s="317"/>
      <c r="M34" s="317"/>
    </row>
    <row r="35" spans="2:13" s="53" customFormat="1" ht="20.100000000000001" customHeight="1" x14ac:dyDescent="0.2">
      <c r="B35" s="82" t="s">
        <v>158</v>
      </c>
      <c r="C35" s="82"/>
      <c r="D35" s="148">
        <v>2017</v>
      </c>
      <c r="E35" s="146">
        <f>SUM(F35:M35)</f>
        <v>151</v>
      </c>
      <c r="F35" s="317">
        <v>3</v>
      </c>
      <c r="G35" s="317">
        <v>32</v>
      </c>
      <c r="H35" s="318" t="s">
        <v>51</v>
      </c>
      <c r="I35" s="317">
        <v>45</v>
      </c>
      <c r="J35" s="317"/>
      <c r="K35" s="318" t="s">
        <v>51</v>
      </c>
      <c r="L35" s="317">
        <v>37</v>
      </c>
      <c r="M35" s="317">
        <v>34</v>
      </c>
    </row>
    <row r="36" spans="2:13" s="53" customFormat="1" ht="20.100000000000001" customHeight="1" x14ac:dyDescent="0.2">
      <c r="B36" s="82"/>
      <c r="C36" s="82"/>
      <c r="D36" s="148">
        <v>2018</v>
      </c>
      <c r="E36" s="146">
        <f t="shared" ref="E36:E37" si="4">SUM(F36:M36)</f>
        <v>98</v>
      </c>
      <c r="F36" s="351">
        <f>6</f>
        <v>6</v>
      </c>
      <c r="G36" s="351">
        <f>20</f>
        <v>20</v>
      </c>
      <c r="H36" s="318" t="s">
        <v>51</v>
      </c>
      <c r="I36" s="351">
        <v>18</v>
      </c>
      <c r="J36" s="351"/>
      <c r="K36" s="318" t="s">
        <v>51</v>
      </c>
      <c r="L36" s="351">
        <v>23</v>
      </c>
      <c r="M36" s="351">
        <f>31</f>
        <v>31</v>
      </c>
    </row>
    <row r="37" spans="2:13" s="53" customFormat="1" ht="20.100000000000001" customHeight="1" x14ac:dyDescent="0.2">
      <c r="B37" s="82"/>
      <c r="C37" s="82"/>
      <c r="D37" s="148">
        <v>2019</v>
      </c>
      <c r="E37" s="146">
        <f t="shared" si="4"/>
        <v>112</v>
      </c>
      <c r="F37" s="317">
        <v>5</v>
      </c>
      <c r="G37" s="317">
        <v>33</v>
      </c>
      <c r="H37" s="318" t="s">
        <v>51</v>
      </c>
      <c r="I37" s="317">
        <v>24</v>
      </c>
      <c r="J37" s="317"/>
      <c r="K37" s="318" t="s">
        <v>51</v>
      </c>
      <c r="L37" s="317">
        <v>15</v>
      </c>
      <c r="M37" s="317">
        <v>35</v>
      </c>
    </row>
    <row r="38" spans="2:13" s="53" customFormat="1" ht="20.100000000000001" customHeight="1" x14ac:dyDescent="0.2">
      <c r="B38" s="82"/>
      <c r="C38" s="82"/>
      <c r="D38" s="148"/>
      <c r="E38" s="146"/>
      <c r="F38" s="317"/>
      <c r="G38" s="317"/>
      <c r="H38" s="318"/>
      <c r="I38" s="317"/>
      <c r="J38" s="317"/>
      <c r="K38" s="318"/>
      <c r="L38" s="318"/>
      <c r="M38" s="317"/>
    </row>
    <row r="39" spans="2:13" s="53" customFormat="1" ht="20.100000000000001" customHeight="1" x14ac:dyDescent="0.2">
      <c r="B39" s="82" t="s">
        <v>159</v>
      </c>
      <c r="C39" s="82"/>
      <c r="D39" s="148">
        <v>2017</v>
      </c>
      <c r="E39" s="146">
        <f>SUM(F39:M39)</f>
        <v>14</v>
      </c>
      <c r="F39" s="317">
        <v>2</v>
      </c>
      <c r="G39" s="317">
        <v>9</v>
      </c>
      <c r="H39" s="318" t="s">
        <v>51</v>
      </c>
      <c r="I39" s="318" t="s">
        <v>51</v>
      </c>
      <c r="J39" s="317"/>
      <c r="K39" s="318" t="s">
        <v>51</v>
      </c>
      <c r="L39" s="317">
        <v>1</v>
      </c>
      <c r="M39" s="317">
        <v>2</v>
      </c>
    </row>
    <row r="40" spans="2:13" s="53" customFormat="1" ht="20.100000000000001" customHeight="1" x14ac:dyDescent="0.2">
      <c r="B40" s="82"/>
      <c r="C40" s="82"/>
      <c r="D40" s="148">
        <v>2018</v>
      </c>
      <c r="E40" s="146">
        <f t="shared" ref="E40:E41" si="5">SUM(F40:M40)</f>
        <v>16</v>
      </c>
      <c r="F40" s="351">
        <f>5</f>
        <v>5</v>
      </c>
      <c r="G40" s="351">
        <f>4</f>
        <v>4</v>
      </c>
      <c r="H40" s="318" t="s">
        <v>51</v>
      </c>
      <c r="I40" s="351">
        <v>2</v>
      </c>
      <c r="J40" s="351"/>
      <c r="K40" s="319" t="s">
        <v>51</v>
      </c>
      <c r="L40" s="318" t="s">
        <v>51</v>
      </c>
      <c r="M40" s="351">
        <f>5</f>
        <v>5</v>
      </c>
    </row>
    <row r="41" spans="2:13" s="53" customFormat="1" ht="20.100000000000001" customHeight="1" x14ac:dyDescent="0.2">
      <c r="B41" s="82"/>
      <c r="C41" s="82"/>
      <c r="D41" s="148">
        <v>2019</v>
      </c>
      <c r="E41" s="146">
        <f t="shared" si="5"/>
        <v>12</v>
      </c>
      <c r="F41" s="317">
        <v>2</v>
      </c>
      <c r="G41" s="317">
        <v>1</v>
      </c>
      <c r="H41" s="318" t="s">
        <v>51</v>
      </c>
      <c r="I41" s="317">
        <v>3</v>
      </c>
      <c r="J41" s="317"/>
      <c r="K41" s="318" t="s">
        <v>51</v>
      </c>
      <c r="L41" s="318" t="s">
        <v>51</v>
      </c>
      <c r="M41" s="317">
        <v>6</v>
      </c>
    </row>
    <row r="42" spans="2:13" s="53" customFormat="1" ht="20.100000000000001" customHeight="1" x14ac:dyDescent="0.2">
      <c r="B42" s="82"/>
      <c r="C42" s="82"/>
      <c r="D42" s="148"/>
      <c r="E42" s="146"/>
      <c r="F42" s="317"/>
      <c r="G42" s="317"/>
      <c r="H42" s="318"/>
      <c r="I42" s="317"/>
      <c r="J42" s="317"/>
      <c r="K42" s="318"/>
      <c r="L42" s="318"/>
      <c r="M42" s="317"/>
    </row>
    <row r="43" spans="2:13" s="53" customFormat="1" ht="20.100000000000001" customHeight="1" x14ac:dyDescent="0.2">
      <c r="B43" s="82" t="s">
        <v>160</v>
      </c>
      <c r="C43" s="82"/>
      <c r="D43" s="148">
        <v>2017</v>
      </c>
      <c r="E43" s="146">
        <f>SUM(F43:M43)</f>
        <v>16</v>
      </c>
      <c r="F43" s="318" t="s">
        <v>51</v>
      </c>
      <c r="G43" s="317">
        <v>6</v>
      </c>
      <c r="H43" s="318" t="s">
        <v>51</v>
      </c>
      <c r="I43" s="318" t="s">
        <v>51</v>
      </c>
      <c r="J43" s="317"/>
      <c r="K43" s="318" t="s">
        <v>51</v>
      </c>
      <c r="L43" s="317">
        <v>2</v>
      </c>
      <c r="M43" s="317">
        <v>8</v>
      </c>
    </row>
    <row r="44" spans="2:13" s="53" customFormat="1" ht="20.100000000000001" customHeight="1" x14ac:dyDescent="0.2">
      <c r="B44" s="82"/>
      <c r="C44" s="82"/>
      <c r="D44" s="148">
        <v>2018</v>
      </c>
      <c r="E44" s="146">
        <f t="shared" ref="E44:E45" si="6">SUM(F44:M44)</f>
        <v>11</v>
      </c>
      <c r="F44" s="351">
        <f>1</f>
        <v>1</v>
      </c>
      <c r="G44" s="351">
        <f>5</f>
        <v>5</v>
      </c>
      <c r="H44" s="318" t="s">
        <v>51</v>
      </c>
      <c r="I44" s="351">
        <v>1</v>
      </c>
      <c r="J44" s="351"/>
      <c r="K44" s="318" t="s">
        <v>51</v>
      </c>
      <c r="L44" s="318" t="s">
        <v>51</v>
      </c>
      <c r="M44" s="351">
        <f>4</f>
        <v>4</v>
      </c>
    </row>
    <row r="45" spans="2:13" s="53" customFormat="1" ht="20.100000000000001" customHeight="1" x14ac:dyDescent="0.2">
      <c r="B45" s="82"/>
      <c r="C45" s="82"/>
      <c r="D45" s="148">
        <v>2019</v>
      </c>
      <c r="E45" s="146">
        <f t="shared" si="6"/>
        <v>15</v>
      </c>
      <c r="F45" s="317">
        <v>1</v>
      </c>
      <c r="G45" s="317">
        <v>10</v>
      </c>
      <c r="H45" s="318" t="s">
        <v>51</v>
      </c>
      <c r="I45" s="318" t="s">
        <v>51</v>
      </c>
      <c r="J45" s="317"/>
      <c r="K45" s="318" t="s">
        <v>51</v>
      </c>
      <c r="L45" s="317">
        <v>1</v>
      </c>
      <c r="M45" s="317">
        <v>3</v>
      </c>
    </row>
    <row r="46" spans="2:13" s="53" customFormat="1" ht="20.100000000000001" customHeight="1" x14ac:dyDescent="0.2">
      <c r="B46" s="82"/>
      <c r="C46" s="82"/>
      <c r="D46" s="148"/>
      <c r="E46" s="146"/>
      <c r="F46" s="317"/>
      <c r="G46" s="317"/>
      <c r="H46" s="318"/>
      <c r="I46" s="317"/>
      <c r="J46" s="317"/>
      <c r="K46" s="318"/>
      <c r="L46" s="317"/>
      <c r="M46" s="317"/>
    </row>
    <row r="47" spans="2:13" s="53" customFormat="1" ht="20.100000000000001" customHeight="1" x14ac:dyDescent="0.2">
      <c r="B47" s="82" t="s">
        <v>161</v>
      </c>
      <c r="C47" s="82"/>
      <c r="D47" s="148">
        <v>2017</v>
      </c>
      <c r="E47" s="146">
        <f>SUM(F47:M47)</f>
        <v>14</v>
      </c>
      <c r="F47" s="317">
        <v>1</v>
      </c>
      <c r="G47" s="317">
        <v>6</v>
      </c>
      <c r="H47" s="318" t="s">
        <v>51</v>
      </c>
      <c r="I47" s="318" t="s">
        <v>51</v>
      </c>
      <c r="J47" s="317"/>
      <c r="K47" s="318" t="s">
        <v>51</v>
      </c>
      <c r="L47" s="317">
        <v>1</v>
      </c>
      <c r="M47" s="317">
        <v>6</v>
      </c>
    </row>
    <row r="48" spans="2:13" s="53" customFormat="1" ht="20.100000000000001" customHeight="1" x14ac:dyDescent="0.2">
      <c r="B48" s="82"/>
      <c r="C48" s="82"/>
      <c r="D48" s="148">
        <v>2018</v>
      </c>
      <c r="E48" s="146">
        <f>SUM(F48:M48)</f>
        <v>12</v>
      </c>
      <c r="F48" s="319" t="s">
        <v>51</v>
      </c>
      <c r="G48" s="351">
        <f>6</f>
        <v>6</v>
      </c>
      <c r="H48" s="318" t="s">
        <v>51</v>
      </c>
      <c r="I48" s="351">
        <v>1</v>
      </c>
      <c r="J48" s="351"/>
      <c r="K48" s="318" t="s">
        <v>51</v>
      </c>
      <c r="L48" s="318" t="s">
        <v>51</v>
      </c>
      <c r="M48" s="351">
        <f>5</f>
        <v>5</v>
      </c>
    </row>
    <row r="49" spans="1:14" s="53" customFormat="1" ht="20.100000000000001" customHeight="1" x14ac:dyDescent="0.2">
      <c r="B49" s="82"/>
      <c r="C49" s="82"/>
      <c r="D49" s="148">
        <v>2019</v>
      </c>
      <c r="E49" s="146">
        <f t="shared" ref="E49" si="7">SUM(F49:M49)</f>
        <v>6</v>
      </c>
      <c r="F49" s="317">
        <v>1</v>
      </c>
      <c r="G49" s="317">
        <v>3</v>
      </c>
      <c r="H49" s="318" t="s">
        <v>51</v>
      </c>
      <c r="I49" s="317">
        <v>1</v>
      </c>
      <c r="J49" s="317"/>
      <c r="K49" s="318" t="s">
        <v>51</v>
      </c>
      <c r="L49" s="317">
        <v>1</v>
      </c>
      <c r="M49" s="318" t="s">
        <v>51</v>
      </c>
    </row>
    <row r="50" spans="1:14" s="53" customFormat="1" ht="20.100000000000001" customHeight="1" x14ac:dyDescent="0.2">
      <c r="B50" s="82"/>
      <c r="C50" s="82"/>
      <c r="D50" s="141"/>
      <c r="E50" s="146"/>
      <c r="F50" s="318"/>
      <c r="G50" s="317"/>
      <c r="H50" s="317"/>
      <c r="I50" s="317"/>
      <c r="J50" s="317"/>
      <c r="K50" s="318"/>
      <c r="L50" s="318"/>
      <c r="M50" s="317"/>
    </row>
    <row r="51" spans="1:14" s="53" customFormat="1" ht="20.100000000000001" customHeight="1" x14ac:dyDescent="0.2">
      <c r="B51" s="82" t="s">
        <v>162</v>
      </c>
      <c r="C51" s="82"/>
      <c r="D51" s="148">
        <v>2017</v>
      </c>
      <c r="E51" s="146">
        <f>SUM(F51:M51)</f>
        <v>8</v>
      </c>
      <c r="F51" s="318" t="s">
        <v>51</v>
      </c>
      <c r="G51" s="317">
        <v>2</v>
      </c>
      <c r="H51" s="318" t="s">
        <v>51</v>
      </c>
      <c r="I51" s="317">
        <v>2</v>
      </c>
      <c r="J51" s="317"/>
      <c r="K51" s="318" t="s">
        <v>51</v>
      </c>
      <c r="L51" s="317">
        <v>1</v>
      </c>
      <c r="M51" s="317">
        <v>3</v>
      </c>
    </row>
    <row r="52" spans="1:14" s="53" customFormat="1" ht="20.100000000000001" customHeight="1" x14ac:dyDescent="0.2">
      <c r="B52" s="82"/>
      <c r="C52" s="82"/>
      <c r="D52" s="148">
        <v>2018</v>
      </c>
      <c r="E52" s="146">
        <f t="shared" ref="E52:E53" si="8">SUM(F52:M52)</f>
        <v>7</v>
      </c>
      <c r="F52" s="314">
        <f>0</f>
        <v>0</v>
      </c>
      <c r="G52" s="351">
        <f>4</f>
        <v>4</v>
      </c>
      <c r="H52" s="318" t="s">
        <v>51</v>
      </c>
      <c r="I52" s="351">
        <v>1</v>
      </c>
      <c r="J52" s="351"/>
      <c r="K52" s="318" t="s">
        <v>51</v>
      </c>
      <c r="L52" s="351">
        <v>1</v>
      </c>
      <c r="M52" s="351">
        <f>1</f>
        <v>1</v>
      </c>
    </row>
    <row r="53" spans="1:14" s="53" customFormat="1" ht="20.100000000000001" customHeight="1" x14ac:dyDescent="0.2">
      <c r="B53" s="82"/>
      <c r="C53" s="82"/>
      <c r="D53" s="148">
        <v>2019</v>
      </c>
      <c r="E53" s="146">
        <f t="shared" si="8"/>
        <v>4</v>
      </c>
      <c r="F53" s="301" t="s">
        <v>51</v>
      </c>
      <c r="G53" s="301" t="s">
        <v>51</v>
      </c>
      <c r="H53" s="301" t="s">
        <v>51</v>
      </c>
      <c r="I53" s="114">
        <v>3</v>
      </c>
      <c r="J53" s="114"/>
      <c r="K53" s="301" t="s">
        <v>51</v>
      </c>
      <c r="L53" s="114">
        <v>1</v>
      </c>
      <c r="M53" s="301" t="s">
        <v>51</v>
      </c>
    </row>
    <row r="54" spans="1:14" s="53" customFormat="1" ht="8.1" customHeight="1" thickBot="1" x14ac:dyDescent="0.25">
      <c r="A54" s="195"/>
      <c r="B54" s="196"/>
      <c r="C54" s="196"/>
      <c r="D54" s="196"/>
      <c r="E54" s="197"/>
      <c r="F54" s="198"/>
      <c r="G54" s="198"/>
      <c r="H54" s="198"/>
      <c r="I54" s="198"/>
      <c r="J54" s="198"/>
      <c r="K54" s="198"/>
      <c r="L54" s="198"/>
      <c r="M54" s="199"/>
      <c r="N54" s="195"/>
    </row>
    <row r="55" spans="1:14" s="53" customFormat="1" ht="12.75" x14ac:dyDescent="0.2">
      <c r="B55" s="115"/>
      <c r="C55" s="115"/>
      <c r="D55" s="115"/>
      <c r="E55" s="63"/>
      <c r="F55" s="114"/>
      <c r="G55" s="114"/>
      <c r="H55" s="114"/>
      <c r="I55" s="114"/>
      <c r="J55" s="114"/>
      <c r="K55" s="114"/>
      <c r="L55" s="114"/>
      <c r="M55" s="189"/>
      <c r="N55" s="8" t="s">
        <v>99</v>
      </c>
    </row>
    <row r="56" spans="1:14" s="53" customFormat="1" ht="12.75" x14ac:dyDescent="0.2">
      <c r="B56" s="115"/>
      <c r="C56" s="115"/>
      <c r="D56" s="115"/>
      <c r="E56" s="63"/>
      <c r="F56" s="114"/>
      <c r="G56" s="114"/>
      <c r="H56" s="114"/>
      <c r="I56" s="114"/>
      <c r="J56" s="114"/>
      <c r="K56" s="114"/>
      <c r="L56" s="114"/>
      <c r="M56" s="189"/>
      <c r="N56" s="41" t="s">
        <v>1</v>
      </c>
    </row>
    <row r="57" spans="1:14" ht="14.25" x14ac:dyDescent="0.2">
      <c r="B57" s="40"/>
      <c r="C57" s="40"/>
      <c r="D57" s="94"/>
      <c r="E57" s="10"/>
      <c r="F57" s="10"/>
      <c r="G57" s="10"/>
      <c r="H57" s="10"/>
      <c r="I57" s="10"/>
      <c r="J57" s="10"/>
      <c r="K57" s="10"/>
      <c r="L57" s="10"/>
      <c r="M57" s="211"/>
    </row>
  </sheetData>
  <mergeCells count="4">
    <mergeCell ref="B11:C11"/>
    <mergeCell ref="H11:I11"/>
    <mergeCell ref="K11:L11"/>
    <mergeCell ref="B12:C12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70" fitToWidth="0" orientation="portrait" r:id="rId1"/>
  <headerFooter>
    <oddHeader xml:space="preserve">&amp;R&amp;"-,Bold"
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62"/>
  <sheetViews>
    <sheetView showGridLines="0" topLeftCell="A4" zoomScale="85" zoomScaleNormal="85" zoomScaleSheetLayoutView="100" workbookViewId="0">
      <selection activeCell="E59" sqref="E59"/>
    </sheetView>
  </sheetViews>
  <sheetFormatPr defaultRowHeight="15" x14ac:dyDescent="0.25"/>
  <cols>
    <col min="1" max="1" width="1.5703125" style="2" customWidth="1"/>
    <col min="2" max="2" width="10.140625" style="3" customWidth="1"/>
    <col min="3" max="3" width="14.42578125" style="3" customWidth="1"/>
    <col min="4" max="4" width="7.42578125" style="3" customWidth="1"/>
    <col min="5" max="5" width="10.7109375" style="21" customWidth="1"/>
    <col min="6" max="6" width="10.7109375" style="22" customWidth="1"/>
    <col min="7" max="7" width="9.140625" style="22" customWidth="1"/>
    <col min="8" max="8" width="11.42578125" style="22" customWidth="1"/>
    <col min="9" max="9" width="14.85546875" style="22" customWidth="1"/>
    <col min="10" max="10" width="1.7109375" style="22" customWidth="1"/>
    <col min="11" max="11" width="11.42578125" style="22" customWidth="1"/>
    <col min="12" max="12" width="14.85546875" style="22" customWidth="1"/>
    <col min="13" max="13" width="15.5703125" style="209" customWidth="1"/>
    <col min="14" max="14" width="1.42578125" style="2" customWidth="1"/>
    <col min="15" max="16384" width="9.140625" style="2"/>
  </cols>
  <sheetData>
    <row r="1" spans="1:14" ht="9.9499999999999993" customHeight="1" x14ac:dyDescent="0.25">
      <c r="B1" s="3" t="s">
        <v>196</v>
      </c>
      <c r="M1" s="5"/>
    </row>
    <row r="2" spans="1:14" s="30" customFormat="1" ht="12.95" customHeight="1" x14ac:dyDescent="0.25">
      <c r="B2" s="27"/>
      <c r="C2" s="27"/>
      <c r="D2" s="29"/>
      <c r="E2" s="28"/>
      <c r="F2" s="29"/>
      <c r="M2" s="160" t="s">
        <v>179</v>
      </c>
      <c r="N2" s="29"/>
    </row>
    <row r="3" spans="1:14" s="30" customFormat="1" ht="12.95" customHeight="1" x14ac:dyDescent="0.25">
      <c r="B3" s="27"/>
      <c r="C3" s="27"/>
      <c r="D3" s="29"/>
      <c r="E3" s="28"/>
      <c r="F3" s="29"/>
      <c r="M3" s="68" t="s">
        <v>180</v>
      </c>
      <c r="N3" s="29"/>
    </row>
    <row r="4" spans="1:14" s="30" customFormat="1" ht="12" customHeight="1" x14ac:dyDescent="0.25">
      <c r="B4" s="27"/>
      <c r="C4" s="27"/>
      <c r="D4" s="29"/>
      <c r="E4" s="28"/>
      <c r="F4" s="29"/>
      <c r="G4" s="68"/>
      <c r="N4" s="29"/>
    </row>
    <row r="5" spans="1:14" s="30" customFormat="1" ht="12" customHeight="1" x14ac:dyDescent="0.25">
      <c r="B5" s="27"/>
      <c r="C5" s="27"/>
      <c r="D5" s="29"/>
      <c r="E5" s="28"/>
      <c r="F5" s="29"/>
      <c r="G5" s="68"/>
      <c r="N5" s="29"/>
    </row>
    <row r="6" spans="1:14" s="53" customFormat="1" ht="9.75" customHeight="1" x14ac:dyDescent="0.2">
      <c r="B6" s="115"/>
      <c r="C6" s="115"/>
      <c r="D6" s="189"/>
      <c r="E6" s="190"/>
      <c r="F6" s="189"/>
      <c r="G6" s="189"/>
      <c r="H6" s="191"/>
      <c r="I6" s="191"/>
      <c r="J6" s="191"/>
      <c r="K6" s="191"/>
      <c r="L6" s="191"/>
      <c r="M6" s="189"/>
      <c r="N6" s="114"/>
    </row>
    <row r="7" spans="1:14" s="53" customFormat="1" ht="15" customHeight="1" x14ac:dyDescent="0.2">
      <c r="B7" s="63" t="s">
        <v>186</v>
      </c>
      <c r="C7" s="64" t="s">
        <v>239</v>
      </c>
      <c r="D7" s="115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4" s="65" customFormat="1" ht="15" customHeight="1" x14ac:dyDescent="0.2">
      <c r="B8" s="66" t="s">
        <v>187</v>
      </c>
      <c r="C8" s="67" t="s">
        <v>240</v>
      </c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4" s="53" customFormat="1" ht="6.75" customHeight="1" thickBot="1" x14ac:dyDescent="0.25">
      <c r="B9" s="115"/>
      <c r="C9" s="115"/>
      <c r="D9" s="115"/>
      <c r="E9" s="63"/>
      <c r="F9" s="114"/>
      <c r="G9" s="114"/>
      <c r="H9" s="114"/>
      <c r="I9" s="114"/>
      <c r="J9" s="114"/>
      <c r="K9" s="114"/>
      <c r="L9" s="114"/>
      <c r="M9" s="189"/>
    </row>
    <row r="10" spans="1:14" s="53" customFormat="1" ht="9.9499999999999993" customHeight="1" thickTop="1" x14ac:dyDescent="0.2">
      <c r="A10" s="378"/>
      <c r="B10" s="388"/>
      <c r="C10" s="388"/>
      <c r="D10" s="389"/>
      <c r="E10" s="374"/>
      <c r="F10" s="375"/>
      <c r="G10" s="375"/>
      <c r="H10" s="376"/>
      <c r="I10" s="375"/>
      <c r="J10" s="375"/>
      <c r="K10" s="375"/>
      <c r="L10" s="375"/>
      <c r="M10" s="377"/>
      <c r="N10" s="378"/>
    </row>
    <row r="11" spans="1:14" s="53" customFormat="1" ht="27.75" customHeight="1" x14ac:dyDescent="0.2">
      <c r="A11" s="390"/>
      <c r="B11" s="432" t="s">
        <v>210</v>
      </c>
      <c r="C11" s="432"/>
      <c r="D11" s="379" t="s">
        <v>222</v>
      </c>
      <c r="E11" s="379" t="s">
        <v>220</v>
      </c>
      <c r="F11" s="379" t="s">
        <v>219</v>
      </c>
      <c r="G11" s="379" t="s">
        <v>218</v>
      </c>
      <c r="H11" s="433" t="s">
        <v>234</v>
      </c>
      <c r="I11" s="433"/>
      <c r="J11" s="380"/>
      <c r="K11" s="433" t="s">
        <v>221</v>
      </c>
      <c r="L11" s="433"/>
      <c r="M11" s="379" t="s">
        <v>217</v>
      </c>
      <c r="N11" s="381"/>
    </row>
    <row r="12" spans="1:14" s="53" customFormat="1" ht="30" customHeight="1" x14ac:dyDescent="0.2">
      <c r="A12" s="390"/>
      <c r="B12" s="434" t="s">
        <v>211</v>
      </c>
      <c r="C12" s="434"/>
      <c r="D12" s="382" t="s">
        <v>212</v>
      </c>
      <c r="E12" s="382" t="s">
        <v>213</v>
      </c>
      <c r="F12" s="382" t="s">
        <v>214</v>
      </c>
      <c r="G12" s="382" t="s">
        <v>215</v>
      </c>
      <c r="H12" s="383" t="s">
        <v>225</v>
      </c>
      <c r="I12" s="383" t="s">
        <v>226</v>
      </c>
      <c r="J12" s="383"/>
      <c r="K12" s="383" t="s">
        <v>225</v>
      </c>
      <c r="L12" s="383" t="s">
        <v>226</v>
      </c>
      <c r="M12" s="384" t="s">
        <v>216</v>
      </c>
      <c r="N12" s="385"/>
    </row>
    <row r="13" spans="1:14" s="53" customFormat="1" ht="30" customHeight="1" x14ac:dyDescent="0.2">
      <c r="A13" s="391"/>
      <c r="B13" s="392"/>
      <c r="C13" s="392"/>
      <c r="D13" s="386"/>
      <c r="E13" s="386"/>
      <c r="F13" s="386"/>
      <c r="G13" s="386"/>
      <c r="H13" s="387" t="s">
        <v>223</v>
      </c>
      <c r="I13" s="387" t="s">
        <v>224</v>
      </c>
      <c r="J13" s="387"/>
      <c r="K13" s="387" t="s">
        <v>223</v>
      </c>
      <c r="L13" s="387" t="s">
        <v>224</v>
      </c>
      <c r="M13" s="370"/>
      <c r="N13" s="373"/>
    </row>
    <row r="14" spans="1:14" s="53" customFormat="1" ht="6" customHeight="1" x14ac:dyDescent="0.2">
      <c r="A14" s="116"/>
      <c r="B14" s="180"/>
      <c r="C14" s="180"/>
      <c r="D14" s="90"/>
      <c r="E14" s="90"/>
      <c r="F14" s="192"/>
      <c r="G14" s="192"/>
      <c r="H14" s="192"/>
      <c r="I14" s="192"/>
      <c r="J14" s="192"/>
      <c r="K14" s="192"/>
      <c r="L14" s="192"/>
      <c r="M14" s="192"/>
      <c r="N14" s="86"/>
    </row>
    <row r="15" spans="1:14" s="102" customFormat="1" ht="18" customHeight="1" x14ac:dyDescent="0.2">
      <c r="B15" s="124" t="s">
        <v>199</v>
      </c>
      <c r="C15" s="124"/>
      <c r="D15" s="62"/>
      <c r="E15" s="145"/>
      <c r="F15" s="145"/>
      <c r="G15" s="145"/>
      <c r="H15" s="145"/>
      <c r="I15" s="145"/>
      <c r="J15" s="145"/>
      <c r="K15" s="145"/>
      <c r="L15" s="145"/>
      <c r="M15" s="118"/>
    </row>
    <row r="16" spans="1:14" s="102" customFormat="1" ht="18" customHeight="1" x14ac:dyDescent="0.2">
      <c r="B16" s="124"/>
      <c r="C16" s="124"/>
      <c r="D16" s="62"/>
      <c r="E16" s="145"/>
      <c r="F16" s="145"/>
      <c r="G16" s="145"/>
      <c r="H16" s="145"/>
      <c r="I16" s="145"/>
      <c r="J16" s="145"/>
      <c r="K16" s="145"/>
      <c r="L16" s="145"/>
      <c r="M16" s="118"/>
    </row>
    <row r="17" spans="2:13" s="53" customFormat="1" ht="18" customHeight="1" x14ac:dyDescent="0.2">
      <c r="B17" s="82" t="s">
        <v>163</v>
      </c>
      <c r="C17" s="82"/>
      <c r="D17" s="148">
        <v>2017</v>
      </c>
      <c r="E17" s="146">
        <f>SUM(F17:M17)</f>
        <v>48</v>
      </c>
      <c r="F17" s="408">
        <v>2</v>
      </c>
      <c r="G17" s="410">
        <v>9</v>
      </c>
      <c r="H17" s="353" t="s">
        <v>51</v>
      </c>
      <c r="I17" s="410">
        <v>8</v>
      </c>
      <c r="J17" s="410"/>
      <c r="K17" s="353" t="s">
        <v>51</v>
      </c>
      <c r="L17" s="410">
        <v>8</v>
      </c>
      <c r="M17" s="410">
        <v>21</v>
      </c>
    </row>
    <row r="18" spans="2:13" s="53" customFormat="1" ht="18" customHeight="1" x14ac:dyDescent="0.2">
      <c r="B18" s="82"/>
      <c r="C18" s="82"/>
      <c r="D18" s="148">
        <v>2018</v>
      </c>
      <c r="E18" s="146">
        <f t="shared" ref="E18:E19" si="0">SUM(F18:M18)</f>
        <v>49</v>
      </c>
      <c r="F18" s="408">
        <v>2</v>
      </c>
      <c r="G18" s="410">
        <v>11</v>
      </c>
      <c r="H18" s="353" t="s">
        <v>51</v>
      </c>
      <c r="I18" s="410">
        <v>7</v>
      </c>
      <c r="J18" s="410"/>
      <c r="K18" s="353" t="s">
        <v>51</v>
      </c>
      <c r="L18" s="410">
        <v>9</v>
      </c>
      <c r="M18" s="410">
        <v>20</v>
      </c>
    </row>
    <row r="19" spans="2:13" s="53" customFormat="1" ht="18" customHeight="1" x14ac:dyDescent="0.2">
      <c r="B19" s="82"/>
      <c r="C19" s="82"/>
      <c r="D19" s="148">
        <v>2019</v>
      </c>
      <c r="E19" s="146">
        <f t="shared" si="0"/>
        <v>44</v>
      </c>
      <c r="F19" s="146">
        <v>1</v>
      </c>
      <c r="G19" s="146">
        <v>16</v>
      </c>
      <c r="H19" s="144" t="s">
        <v>51</v>
      </c>
      <c r="I19" s="146">
        <v>2</v>
      </c>
      <c r="J19" s="146"/>
      <c r="K19" s="144" t="s">
        <v>51</v>
      </c>
      <c r="L19" s="146">
        <v>5</v>
      </c>
      <c r="M19" s="146">
        <v>20</v>
      </c>
    </row>
    <row r="20" spans="2:13" s="53" customFormat="1" ht="18" customHeight="1" x14ac:dyDescent="0.2">
      <c r="B20" s="82"/>
      <c r="C20" s="82"/>
      <c r="D20" s="148"/>
      <c r="E20" s="146"/>
      <c r="F20" s="146"/>
      <c r="G20" s="146"/>
      <c r="H20" s="353"/>
      <c r="I20" s="146"/>
      <c r="J20" s="146"/>
      <c r="K20" s="353"/>
      <c r="L20" s="353"/>
      <c r="M20" s="146"/>
    </row>
    <row r="21" spans="2:13" s="53" customFormat="1" ht="18" customHeight="1" x14ac:dyDescent="0.2">
      <c r="B21" s="212" t="s">
        <v>164</v>
      </c>
      <c r="C21" s="212"/>
      <c r="D21" s="148">
        <v>2017</v>
      </c>
      <c r="E21" s="146">
        <f>SUM(F21:M21)</f>
        <v>25</v>
      </c>
      <c r="F21" s="146">
        <v>1</v>
      </c>
      <c r="G21" s="146">
        <v>2</v>
      </c>
      <c r="H21" s="353" t="s">
        <v>51</v>
      </c>
      <c r="I21" s="146">
        <v>6</v>
      </c>
      <c r="J21" s="146"/>
      <c r="K21" s="353" t="s">
        <v>51</v>
      </c>
      <c r="L21" s="146">
        <v>6</v>
      </c>
      <c r="M21" s="146">
        <v>10</v>
      </c>
    </row>
    <row r="22" spans="2:13" s="53" customFormat="1" ht="18" customHeight="1" x14ac:dyDescent="0.2">
      <c r="B22" s="212"/>
      <c r="C22" s="212"/>
      <c r="D22" s="148">
        <v>2018</v>
      </c>
      <c r="E22" s="146">
        <f t="shared" ref="E22:E23" si="1">SUM(F22:M22)</f>
        <v>42</v>
      </c>
      <c r="F22" s="409">
        <f>0</f>
        <v>0</v>
      </c>
      <c r="G22" s="147">
        <f>17</f>
        <v>17</v>
      </c>
      <c r="H22" s="353" t="s">
        <v>51</v>
      </c>
      <c r="I22" s="147">
        <v>7</v>
      </c>
      <c r="J22" s="147"/>
      <c r="K22" s="353" t="s">
        <v>51</v>
      </c>
      <c r="L22" s="147">
        <v>2</v>
      </c>
      <c r="M22" s="147">
        <f>16</f>
        <v>16</v>
      </c>
    </row>
    <row r="23" spans="2:13" s="53" customFormat="1" ht="18" customHeight="1" x14ac:dyDescent="0.2">
      <c r="B23" s="212"/>
      <c r="C23" s="212"/>
      <c r="D23" s="148">
        <v>2019</v>
      </c>
      <c r="E23" s="146">
        <f t="shared" si="1"/>
        <v>41</v>
      </c>
      <c r="F23" s="144" t="s">
        <v>51</v>
      </c>
      <c r="G23" s="146">
        <v>15</v>
      </c>
      <c r="H23" s="144" t="s">
        <v>51</v>
      </c>
      <c r="I23" s="146">
        <v>5</v>
      </c>
      <c r="J23" s="146"/>
      <c r="K23" s="144" t="s">
        <v>51</v>
      </c>
      <c r="L23" s="146">
        <v>9</v>
      </c>
      <c r="M23" s="146">
        <v>12</v>
      </c>
    </row>
    <row r="24" spans="2:13" s="53" customFormat="1" ht="18" customHeight="1" x14ac:dyDescent="0.2">
      <c r="B24" s="212"/>
      <c r="C24" s="212"/>
      <c r="D24" s="148"/>
      <c r="E24" s="146"/>
      <c r="F24" s="146"/>
      <c r="G24" s="146"/>
      <c r="H24" s="146"/>
      <c r="I24" s="146"/>
      <c r="J24" s="146"/>
      <c r="K24" s="353"/>
      <c r="L24" s="146"/>
      <c r="M24" s="146"/>
    </row>
    <row r="25" spans="2:13" s="53" customFormat="1" ht="18" customHeight="1" x14ac:dyDescent="0.2">
      <c r="B25" s="82" t="s">
        <v>165</v>
      </c>
      <c r="C25" s="82"/>
      <c r="D25" s="148">
        <v>2017</v>
      </c>
      <c r="E25" s="146">
        <f>SUM(F25:M25)</f>
        <v>75</v>
      </c>
      <c r="F25" s="146">
        <v>1</v>
      </c>
      <c r="G25" s="146">
        <v>21</v>
      </c>
      <c r="H25" s="353" t="s">
        <v>51</v>
      </c>
      <c r="I25" s="146">
        <v>16</v>
      </c>
      <c r="J25" s="146"/>
      <c r="K25" s="353" t="s">
        <v>51</v>
      </c>
      <c r="L25" s="146">
        <v>10</v>
      </c>
      <c r="M25" s="146">
        <v>27</v>
      </c>
    </row>
    <row r="26" spans="2:13" s="53" customFormat="1" ht="18" customHeight="1" x14ac:dyDescent="0.2">
      <c r="B26" s="82"/>
      <c r="C26" s="82"/>
      <c r="D26" s="148">
        <v>2018</v>
      </c>
      <c r="E26" s="146">
        <f t="shared" ref="E26:E27" si="2">SUM(F26:M26)</f>
        <v>78</v>
      </c>
      <c r="F26" s="147">
        <f>1</f>
        <v>1</v>
      </c>
      <c r="G26" s="147">
        <f>26</f>
        <v>26</v>
      </c>
      <c r="H26" s="353" t="s">
        <v>51</v>
      </c>
      <c r="I26" s="147">
        <v>10</v>
      </c>
      <c r="J26" s="147"/>
      <c r="K26" s="353" t="s">
        <v>51</v>
      </c>
      <c r="L26" s="147">
        <v>10</v>
      </c>
      <c r="M26" s="147">
        <f>31</f>
        <v>31</v>
      </c>
    </row>
    <row r="27" spans="2:13" s="53" customFormat="1" ht="18" customHeight="1" x14ac:dyDescent="0.2">
      <c r="B27" s="82"/>
      <c r="C27" s="82"/>
      <c r="D27" s="148">
        <v>2019</v>
      </c>
      <c r="E27" s="146">
        <f t="shared" si="2"/>
        <v>67</v>
      </c>
      <c r="F27" s="146">
        <v>1</v>
      </c>
      <c r="G27" s="146">
        <v>24</v>
      </c>
      <c r="H27" s="144" t="s">
        <v>51</v>
      </c>
      <c r="I27" s="146">
        <v>11</v>
      </c>
      <c r="J27" s="146"/>
      <c r="K27" s="144" t="s">
        <v>51</v>
      </c>
      <c r="L27" s="146">
        <v>14</v>
      </c>
      <c r="M27" s="146">
        <v>17</v>
      </c>
    </row>
    <row r="28" spans="2:13" s="53" customFormat="1" ht="18" customHeight="1" x14ac:dyDescent="0.2">
      <c r="B28" s="82"/>
      <c r="C28" s="82"/>
      <c r="D28" s="148"/>
      <c r="E28" s="146"/>
      <c r="F28" s="146"/>
      <c r="G28" s="146"/>
      <c r="H28" s="353"/>
      <c r="I28" s="353"/>
      <c r="J28" s="146"/>
      <c r="K28" s="353"/>
      <c r="L28" s="353"/>
      <c r="M28" s="146"/>
    </row>
    <row r="29" spans="2:13" s="53" customFormat="1" ht="18" customHeight="1" x14ac:dyDescent="0.2">
      <c r="B29" s="82" t="s">
        <v>166</v>
      </c>
      <c r="C29" s="82"/>
      <c r="D29" s="148">
        <v>2017</v>
      </c>
      <c r="E29" s="146">
        <f>SUM(F29:M29)</f>
        <v>16</v>
      </c>
      <c r="F29" s="146">
        <v>3</v>
      </c>
      <c r="G29" s="146">
        <v>7</v>
      </c>
      <c r="H29" s="353" t="s">
        <v>51</v>
      </c>
      <c r="I29" s="146">
        <v>1</v>
      </c>
      <c r="J29" s="146"/>
      <c r="K29" s="353" t="s">
        <v>51</v>
      </c>
      <c r="L29" s="353" t="s">
        <v>51</v>
      </c>
      <c r="M29" s="146">
        <v>5</v>
      </c>
    </row>
    <row r="30" spans="2:13" s="53" customFormat="1" ht="18" customHeight="1" x14ac:dyDescent="0.2">
      <c r="B30" s="82"/>
      <c r="C30" s="82"/>
      <c r="D30" s="148">
        <v>2018</v>
      </c>
      <c r="E30" s="146">
        <f t="shared" ref="E30:E31" si="3">SUM(F30:M30)</f>
        <v>10</v>
      </c>
      <c r="F30" s="147">
        <f>2</f>
        <v>2</v>
      </c>
      <c r="G30" s="147">
        <f>4</f>
        <v>4</v>
      </c>
      <c r="H30" s="353" t="s">
        <v>51</v>
      </c>
      <c r="I30" s="353" t="s">
        <v>51</v>
      </c>
      <c r="J30" s="409"/>
      <c r="K30" s="353" t="s">
        <v>51</v>
      </c>
      <c r="L30" s="353" t="s">
        <v>51</v>
      </c>
      <c r="M30" s="147">
        <v>4</v>
      </c>
    </row>
    <row r="31" spans="2:13" s="53" customFormat="1" ht="18" customHeight="1" x14ac:dyDescent="0.2">
      <c r="B31" s="82"/>
      <c r="C31" s="82"/>
      <c r="D31" s="148">
        <v>2019</v>
      </c>
      <c r="E31" s="146">
        <f t="shared" si="3"/>
        <v>18</v>
      </c>
      <c r="F31" s="146">
        <v>3</v>
      </c>
      <c r="G31" s="146">
        <v>7</v>
      </c>
      <c r="H31" s="144" t="s">
        <v>51</v>
      </c>
      <c r="I31" s="144" t="s">
        <v>51</v>
      </c>
      <c r="J31" s="146"/>
      <c r="K31" s="144" t="s">
        <v>51</v>
      </c>
      <c r="L31" s="146">
        <v>2</v>
      </c>
      <c r="M31" s="146">
        <v>6</v>
      </c>
    </row>
    <row r="32" spans="2:13" s="53" customFormat="1" ht="18" customHeight="1" x14ac:dyDescent="0.2">
      <c r="B32" s="82"/>
      <c r="C32" s="82"/>
      <c r="D32" s="148"/>
      <c r="E32" s="146"/>
      <c r="F32" s="146"/>
      <c r="G32" s="146"/>
      <c r="H32" s="353"/>
      <c r="I32" s="146"/>
      <c r="J32" s="146"/>
      <c r="K32" s="353"/>
      <c r="L32" s="146"/>
      <c r="M32" s="146"/>
    </row>
    <row r="33" spans="2:13" s="53" customFormat="1" ht="18" customHeight="1" x14ac:dyDescent="0.2">
      <c r="B33" s="82" t="s">
        <v>167</v>
      </c>
      <c r="C33" s="82"/>
      <c r="D33" s="148">
        <v>2017</v>
      </c>
      <c r="E33" s="146">
        <f>SUM(F33:M33)</f>
        <v>86</v>
      </c>
      <c r="F33" s="146">
        <v>3</v>
      </c>
      <c r="G33" s="146">
        <v>11</v>
      </c>
      <c r="H33" s="353" t="s">
        <v>51</v>
      </c>
      <c r="I33" s="146">
        <v>29</v>
      </c>
      <c r="J33" s="146"/>
      <c r="K33" s="353" t="s">
        <v>51</v>
      </c>
      <c r="L33" s="146">
        <v>26</v>
      </c>
      <c r="M33" s="146">
        <v>17</v>
      </c>
    </row>
    <row r="34" spans="2:13" s="53" customFormat="1" ht="18" customHeight="1" x14ac:dyDescent="0.2">
      <c r="B34" s="82"/>
      <c r="C34" s="82"/>
      <c r="D34" s="148">
        <v>2018</v>
      </c>
      <c r="E34" s="146">
        <f t="shared" ref="E34:E35" si="4">SUM(F34:M34)</f>
        <v>49</v>
      </c>
      <c r="F34" s="147">
        <f>1</f>
        <v>1</v>
      </c>
      <c r="G34" s="147">
        <f>12</f>
        <v>12</v>
      </c>
      <c r="H34" s="353" t="s">
        <v>51</v>
      </c>
      <c r="I34" s="147">
        <v>10</v>
      </c>
      <c r="J34" s="147"/>
      <c r="K34" s="353" t="s">
        <v>51</v>
      </c>
      <c r="L34" s="147">
        <v>14</v>
      </c>
      <c r="M34" s="147">
        <f>12</f>
        <v>12</v>
      </c>
    </row>
    <row r="35" spans="2:13" s="53" customFormat="1" ht="18" customHeight="1" x14ac:dyDescent="0.2">
      <c r="B35" s="82"/>
      <c r="C35" s="82"/>
      <c r="D35" s="148">
        <v>2019</v>
      </c>
      <c r="E35" s="146">
        <f t="shared" si="4"/>
        <v>74</v>
      </c>
      <c r="F35" s="146">
        <v>1</v>
      </c>
      <c r="G35" s="146">
        <v>19</v>
      </c>
      <c r="H35" s="146">
        <v>1</v>
      </c>
      <c r="I35" s="146">
        <v>7</v>
      </c>
      <c r="J35" s="146"/>
      <c r="K35" s="144" t="s">
        <v>51</v>
      </c>
      <c r="L35" s="146">
        <v>16</v>
      </c>
      <c r="M35" s="146">
        <v>30</v>
      </c>
    </row>
    <row r="36" spans="2:13" s="53" customFormat="1" ht="18" customHeight="1" x14ac:dyDescent="0.2">
      <c r="B36" s="82"/>
      <c r="C36" s="82"/>
      <c r="D36" s="148"/>
      <c r="E36" s="146"/>
      <c r="F36" s="146"/>
      <c r="G36" s="146"/>
      <c r="H36" s="353"/>
      <c r="I36" s="146"/>
      <c r="J36" s="146"/>
      <c r="K36" s="353"/>
      <c r="L36" s="146"/>
      <c r="M36" s="146"/>
    </row>
    <row r="37" spans="2:13" s="53" customFormat="1" ht="18" customHeight="1" x14ac:dyDescent="0.2">
      <c r="B37" s="82" t="s">
        <v>168</v>
      </c>
      <c r="C37" s="82"/>
      <c r="D37" s="148">
        <v>2017</v>
      </c>
      <c r="E37" s="146">
        <f>SUM(F37:M37)</f>
        <v>38</v>
      </c>
      <c r="F37" s="146">
        <v>1</v>
      </c>
      <c r="G37" s="146">
        <v>10</v>
      </c>
      <c r="H37" s="353" t="s">
        <v>51</v>
      </c>
      <c r="I37" s="146">
        <v>1</v>
      </c>
      <c r="J37" s="146"/>
      <c r="K37" s="353" t="s">
        <v>51</v>
      </c>
      <c r="L37" s="146">
        <v>5</v>
      </c>
      <c r="M37" s="146">
        <v>21</v>
      </c>
    </row>
    <row r="38" spans="2:13" s="53" customFormat="1" ht="18" customHeight="1" x14ac:dyDescent="0.2">
      <c r="B38" s="82"/>
      <c r="C38" s="82"/>
      <c r="D38" s="148">
        <v>2018</v>
      </c>
      <c r="E38" s="146">
        <f t="shared" ref="E38:E39" si="5">SUM(F38:M38)</f>
        <v>31</v>
      </c>
      <c r="F38" s="147">
        <f>6</f>
        <v>6</v>
      </c>
      <c r="G38" s="147">
        <f>8</f>
        <v>8</v>
      </c>
      <c r="H38" s="353" t="s">
        <v>51</v>
      </c>
      <c r="I38" s="147">
        <v>2</v>
      </c>
      <c r="J38" s="147"/>
      <c r="K38" s="353" t="s">
        <v>51</v>
      </c>
      <c r="L38" s="353" t="s">
        <v>51</v>
      </c>
      <c r="M38" s="147">
        <f>15</f>
        <v>15</v>
      </c>
    </row>
    <row r="39" spans="2:13" s="53" customFormat="1" ht="18" customHeight="1" x14ac:dyDescent="0.2">
      <c r="B39" s="82"/>
      <c r="C39" s="82"/>
      <c r="D39" s="148">
        <v>2019</v>
      </c>
      <c r="E39" s="146">
        <f t="shared" si="5"/>
        <v>39</v>
      </c>
      <c r="F39" s="146">
        <v>4</v>
      </c>
      <c r="G39" s="146">
        <v>7</v>
      </c>
      <c r="H39" s="146">
        <v>1</v>
      </c>
      <c r="I39" s="146">
        <v>5</v>
      </c>
      <c r="J39" s="146"/>
      <c r="K39" s="144" t="s">
        <v>51</v>
      </c>
      <c r="L39" s="146">
        <v>1</v>
      </c>
      <c r="M39" s="146">
        <v>21</v>
      </c>
    </row>
    <row r="40" spans="2:13" s="53" customFormat="1" ht="18" customHeight="1" x14ac:dyDescent="0.2">
      <c r="B40" s="82"/>
      <c r="C40" s="82"/>
      <c r="D40" s="148"/>
      <c r="E40" s="146"/>
      <c r="F40" s="146"/>
      <c r="G40" s="146"/>
      <c r="H40" s="353"/>
      <c r="I40" s="353"/>
      <c r="J40" s="146"/>
      <c r="K40" s="353"/>
      <c r="L40" s="146"/>
      <c r="M40" s="146"/>
    </row>
    <row r="41" spans="2:13" s="53" customFormat="1" ht="18" customHeight="1" x14ac:dyDescent="0.2">
      <c r="B41" s="82" t="s">
        <v>169</v>
      </c>
      <c r="C41" s="82"/>
      <c r="D41" s="148">
        <v>2017</v>
      </c>
      <c r="E41" s="146">
        <f>SUM(F41:M41)</f>
        <v>6</v>
      </c>
      <c r="F41" s="146">
        <v>1</v>
      </c>
      <c r="G41" s="146">
        <v>4</v>
      </c>
      <c r="H41" s="353" t="s">
        <v>51</v>
      </c>
      <c r="I41" s="353" t="s">
        <v>51</v>
      </c>
      <c r="J41" s="144"/>
      <c r="K41" s="353" t="s">
        <v>51</v>
      </c>
      <c r="L41" s="353" t="s">
        <v>51</v>
      </c>
      <c r="M41" s="146">
        <v>1</v>
      </c>
    </row>
    <row r="42" spans="2:13" s="53" customFormat="1" ht="18" customHeight="1" x14ac:dyDescent="0.2">
      <c r="B42" s="82"/>
      <c r="C42" s="82"/>
      <c r="D42" s="148">
        <v>2018</v>
      </c>
      <c r="E42" s="146">
        <f t="shared" ref="E42:E43" si="6">SUM(F42:M42)</f>
        <v>8</v>
      </c>
      <c r="F42" s="409">
        <f>0</f>
        <v>0</v>
      </c>
      <c r="G42" s="147">
        <f>3</f>
        <v>3</v>
      </c>
      <c r="H42" s="353" t="s">
        <v>51</v>
      </c>
      <c r="I42" s="353" t="s">
        <v>51</v>
      </c>
      <c r="J42" s="409"/>
      <c r="K42" s="353" t="s">
        <v>51</v>
      </c>
      <c r="L42" s="353" t="s">
        <v>51</v>
      </c>
      <c r="M42" s="147">
        <f>5</f>
        <v>5</v>
      </c>
    </row>
    <row r="43" spans="2:13" s="53" customFormat="1" ht="18" customHeight="1" x14ac:dyDescent="0.2">
      <c r="B43" s="82"/>
      <c r="C43" s="82"/>
      <c r="D43" s="148">
        <v>2019</v>
      </c>
      <c r="E43" s="146">
        <f t="shared" si="6"/>
        <v>7</v>
      </c>
      <c r="F43" s="144" t="s">
        <v>51</v>
      </c>
      <c r="G43" s="146">
        <v>5</v>
      </c>
      <c r="H43" s="144" t="s">
        <v>51</v>
      </c>
      <c r="I43" s="144" t="s">
        <v>51</v>
      </c>
      <c r="J43" s="146"/>
      <c r="K43" s="144" t="s">
        <v>51</v>
      </c>
      <c r="L43" s="144" t="s">
        <v>51</v>
      </c>
      <c r="M43" s="146">
        <v>2</v>
      </c>
    </row>
    <row r="44" spans="2:13" s="53" customFormat="1" ht="18" customHeight="1" x14ac:dyDescent="0.2">
      <c r="B44" s="82"/>
      <c r="C44" s="82"/>
      <c r="D44" s="148"/>
      <c r="E44" s="146"/>
      <c r="F44" s="146"/>
      <c r="G44" s="146"/>
      <c r="H44" s="353"/>
      <c r="I44" s="146"/>
      <c r="J44" s="146"/>
      <c r="K44" s="353"/>
      <c r="L44" s="146"/>
      <c r="M44" s="146"/>
    </row>
    <row r="45" spans="2:13" s="53" customFormat="1" ht="18" customHeight="1" x14ac:dyDescent="0.2">
      <c r="B45" s="82" t="s">
        <v>170</v>
      </c>
      <c r="C45" s="82"/>
      <c r="D45" s="148">
        <v>2017</v>
      </c>
      <c r="E45" s="146">
        <f>SUM(F45:M45)</f>
        <v>97</v>
      </c>
      <c r="F45" s="146">
        <v>9</v>
      </c>
      <c r="G45" s="146">
        <v>21</v>
      </c>
      <c r="H45" s="353" t="s">
        <v>51</v>
      </c>
      <c r="I45" s="146">
        <v>29</v>
      </c>
      <c r="J45" s="146"/>
      <c r="K45" s="353" t="s">
        <v>51</v>
      </c>
      <c r="L45" s="146">
        <v>15</v>
      </c>
      <c r="M45" s="146">
        <v>23</v>
      </c>
    </row>
    <row r="46" spans="2:13" s="53" customFormat="1" ht="18" customHeight="1" x14ac:dyDescent="0.2">
      <c r="B46" s="82"/>
      <c r="C46" s="82"/>
      <c r="D46" s="148">
        <v>2018</v>
      </c>
      <c r="E46" s="146">
        <f t="shared" ref="E46:E47" si="7">SUM(F46:M46)</f>
        <v>29</v>
      </c>
      <c r="F46" s="147">
        <f>2</f>
        <v>2</v>
      </c>
      <c r="G46" s="147">
        <f>6</f>
        <v>6</v>
      </c>
      <c r="H46" s="353" t="s">
        <v>51</v>
      </c>
      <c r="I46" s="147">
        <v>5</v>
      </c>
      <c r="J46" s="147"/>
      <c r="K46" s="353" t="s">
        <v>51</v>
      </c>
      <c r="L46" s="147">
        <v>8</v>
      </c>
      <c r="M46" s="147">
        <f>8</f>
        <v>8</v>
      </c>
    </row>
    <row r="47" spans="2:13" s="53" customFormat="1" ht="18" customHeight="1" x14ac:dyDescent="0.2">
      <c r="B47" s="82"/>
      <c r="C47" s="82"/>
      <c r="D47" s="148">
        <v>2019</v>
      </c>
      <c r="E47" s="146">
        <f t="shared" si="7"/>
        <v>50</v>
      </c>
      <c r="F47" s="146">
        <v>4</v>
      </c>
      <c r="G47" s="146">
        <v>14</v>
      </c>
      <c r="H47" s="144" t="s">
        <v>51</v>
      </c>
      <c r="I47" s="146">
        <v>6</v>
      </c>
      <c r="J47" s="146"/>
      <c r="K47" s="144" t="s">
        <v>51</v>
      </c>
      <c r="L47" s="146">
        <v>16</v>
      </c>
      <c r="M47" s="146">
        <v>10</v>
      </c>
    </row>
    <row r="48" spans="2:13" s="53" customFormat="1" ht="18" customHeight="1" x14ac:dyDescent="0.2">
      <c r="B48" s="82"/>
      <c r="C48" s="82"/>
      <c r="D48" s="141"/>
      <c r="E48" s="146"/>
      <c r="F48" s="144"/>
      <c r="G48" s="146"/>
      <c r="H48" s="353"/>
      <c r="I48" s="353"/>
      <c r="J48" s="144"/>
      <c r="K48" s="353"/>
      <c r="L48" s="353"/>
      <c r="M48" s="146"/>
    </row>
    <row r="49" spans="1:14" s="53" customFormat="1" ht="18" customHeight="1" x14ac:dyDescent="0.2">
      <c r="B49" s="82" t="s">
        <v>171</v>
      </c>
      <c r="C49" s="82"/>
      <c r="D49" s="148">
        <v>2017</v>
      </c>
      <c r="E49" s="146">
        <f>SUM(F49:M49)</f>
        <v>11</v>
      </c>
      <c r="F49" s="144" t="s">
        <v>51</v>
      </c>
      <c r="G49" s="146">
        <v>7</v>
      </c>
      <c r="H49" s="353" t="s">
        <v>51</v>
      </c>
      <c r="I49" s="353" t="s">
        <v>51</v>
      </c>
      <c r="J49" s="144"/>
      <c r="K49" s="353" t="s">
        <v>51</v>
      </c>
      <c r="L49" s="353" t="s">
        <v>51</v>
      </c>
      <c r="M49" s="146">
        <v>4</v>
      </c>
    </row>
    <row r="50" spans="1:14" s="53" customFormat="1" ht="18" customHeight="1" x14ac:dyDescent="0.2">
      <c r="B50" s="82"/>
      <c r="C50" s="82"/>
      <c r="D50" s="148">
        <v>2018</v>
      </c>
      <c r="E50" s="146">
        <f t="shared" ref="E50:E51" si="8">SUM(F50:M50)</f>
        <v>15</v>
      </c>
      <c r="F50" s="147">
        <f>2</f>
        <v>2</v>
      </c>
      <c r="G50" s="147">
        <f>8</f>
        <v>8</v>
      </c>
      <c r="H50" s="353" t="s">
        <v>51</v>
      </c>
      <c r="I50" s="353" t="s">
        <v>51</v>
      </c>
      <c r="J50" s="147"/>
      <c r="K50" s="353" t="s">
        <v>51</v>
      </c>
      <c r="L50" s="147">
        <v>1</v>
      </c>
      <c r="M50" s="147">
        <f>4</f>
        <v>4</v>
      </c>
    </row>
    <row r="51" spans="1:14" s="53" customFormat="1" ht="18" customHeight="1" x14ac:dyDescent="0.2">
      <c r="B51" s="82"/>
      <c r="C51" s="82"/>
      <c r="D51" s="148">
        <v>2019</v>
      </c>
      <c r="E51" s="146">
        <f t="shared" si="8"/>
        <v>8</v>
      </c>
      <c r="F51" s="144" t="s">
        <v>51</v>
      </c>
      <c r="G51" s="146">
        <v>5</v>
      </c>
      <c r="H51" s="144" t="s">
        <v>51</v>
      </c>
      <c r="I51" s="144" t="s">
        <v>51</v>
      </c>
      <c r="J51" s="146"/>
      <c r="K51" s="144" t="s">
        <v>51</v>
      </c>
      <c r="L51" s="144" t="s">
        <v>51</v>
      </c>
      <c r="M51" s="146">
        <v>3</v>
      </c>
    </row>
    <row r="52" spans="1:14" s="53" customFormat="1" ht="18" customHeight="1" x14ac:dyDescent="0.2">
      <c r="B52" s="82"/>
      <c r="C52" s="82"/>
      <c r="D52" s="141"/>
      <c r="E52" s="146"/>
      <c r="F52" s="146"/>
      <c r="G52" s="146"/>
      <c r="H52" s="353"/>
      <c r="I52" s="146"/>
      <c r="J52" s="146"/>
      <c r="K52" s="353"/>
      <c r="L52" s="353"/>
      <c r="M52" s="146"/>
    </row>
    <row r="53" spans="1:14" s="53" customFormat="1" ht="18" customHeight="1" x14ac:dyDescent="0.2">
      <c r="B53" s="82" t="s">
        <v>172</v>
      </c>
      <c r="C53" s="82"/>
      <c r="D53" s="148">
        <v>2017</v>
      </c>
      <c r="E53" s="146">
        <f>SUM(F53:M53)</f>
        <v>21</v>
      </c>
      <c r="F53" s="146">
        <v>2</v>
      </c>
      <c r="G53" s="146">
        <v>11</v>
      </c>
      <c r="H53" s="353" t="s">
        <v>51</v>
      </c>
      <c r="I53" s="146">
        <v>4</v>
      </c>
      <c r="J53" s="146"/>
      <c r="K53" s="353" t="s">
        <v>51</v>
      </c>
      <c r="L53" s="353" t="s">
        <v>51</v>
      </c>
      <c r="M53" s="146">
        <v>4</v>
      </c>
    </row>
    <row r="54" spans="1:14" s="53" customFormat="1" ht="18" customHeight="1" x14ac:dyDescent="0.2">
      <c r="B54" s="82"/>
      <c r="C54" s="82"/>
      <c r="D54" s="148">
        <v>2018</v>
      </c>
      <c r="E54" s="146">
        <f t="shared" ref="E54:E55" si="9">SUM(F54:M54)</f>
        <v>16</v>
      </c>
      <c r="F54" s="147">
        <f>1</f>
        <v>1</v>
      </c>
      <c r="G54" s="147">
        <f>7</f>
        <v>7</v>
      </c>
      <c r="H54" s="353" t="s">
        <v>51</v>
      </c>
      <c r="I54" s="353" t="s">
        <v>51</v>
      </c>
      <c r="J54" s="147"/>
      <c r="K54" s="353" t="s">
        <v>51</v>
      </c>
      <c r="L54" s="353" t="s">
        <v>51</v>
      </c>
      <c r="M54" s="147">
        <f>8</f>
        <v>8</v>
      </c>
    </row>
    <row r="55" spans="1:14" s="53" customFormat="1" ht="18" customHeight="1" x14ac:dyDescent="0.2">
      <c r="B55" s="82"/>
      <c r="C55" s="82"/>
      <c r="D55" s="148">
        <v>2019</v>
      </c>
      <c r="E55" s="146">
        <f t="shared" si="9"/>
        <v>18</v>
      </c>
      <c r="F55" s="146">
        <v>1</v>
      </c>
      <c r="G55" s="146">
        <v>11</v>
      </c>
      <c r="H55" s="144" t="s">
        <v>51</v>
      </c>
      <c r="I55" s="144" t="s">
        <v>51</v>
      </c>
      <c r="J55" s="146"/>
      <c r="K55" s="144" t="s">
        <v>51</v>
      </c>
      <c r="L55" s="146">
        <v>2</v>
      </c>
      <c r="M55" s="146">
        <v>4</v>
      </c>
    </row>
    <row r="56" spans="1:14" s="53" customFormat="1" ht="18" customHeight="1" x14ac:dyDescent="0.2">
      <c r="B56" s="82"/>
      <c r="C56" s="82"/>
      <c r="D56" s="141"/>
      <c r="E56" s="146"/>
      <c r="F56" s="146"/>
      <c r="G56" s="146"/>
      <c r="H56" s="353"/>
      <c r="I56" s="146"/>
      <c r="J56" s="146"/>
      <c r="K56" s="353"/>
      <c r="L56" s="146"/>
      <c r="M56" s="146"/>
    </row>
    <row r="57" spans="1:14" s="53" customFormat="1" ht="18" customHeight="1" x14ac:dyDescent="0.2">
      <c r="B57" s="82" t="s">
        <v>173</v>
      </c>
      <c r="C57" s="82"/>
      <c r="D57" s="148">
        <v>2017</v>
      </c>
      <c r="E57" s="146">
        <f>SUM(F57:M57)</f>
        <v>20</v>
      </c>
      <c r="F57" s="146">
        <v>1</v>
      </c>
      <c r="G57" s="146">
        <v>5</v>
      </c>
      <c r="H57" s="353" t="s">
        <v>51</v>
      </c>
      <c r="I57" s="146">
        <v>5</v>
      </c>
      <c r="J57" s="146"/>
      <c r="K57" s="353" t="s">
        <v>51</v>
      </c>
      <c r="L57" s="146">
        <v>3</v>
      </c>
      <c r="M57" s="146">
        <v>6</v>
      </c>
    </row>
    <row r="58" spans="1:14" s="53" customFormat="1" ht="18" customHeight="1" x14ac:dyDescent="0.2">
      <c r="B58" s="82"/>
      <c r="C58" s="82"/>
      <c r="D58" s="148">
        <v>2018</v>
      </c>
      <c r="E58" s="146">
        <f>SUM(F58:M58)</f>
        <v>25</v>
      </c>
      <c r="F58" s="147">
        <f>3</f>
        <v>3</v>
      </c>
      <c r="G58" s="147">
        <f>4</f>
        <v>4</v>
      </c>
      <c r="H58" s="147">
        <v>1</v>
      </c>
      <c r="I58" s="147">
        <v>2</v>
      </c>
      <c r="J58" s="147"/>
      <c r="K58" s="353" t="s">
        <v>51</v>
      </c>
      <c r="L58" s="147">
        <v>3</v>
      </c>
      <c r="M58" s="147">
        <f>12</f>
        <v>12</v>
      </c>
    </row>
    <row r="59" spans="1:14" s="53" customFormat="1" ht="18" customHeight="1" x14ac:dyDescent="0.2">
      <c r="B59" s="82"/>
      <c r="C59" s="82"/>
      <c r="D59" s="148">
        <v>2019</v>
      </c>
      <c r="E59" s="146">
        <f t="shared" ref="E59" si="10">SUM(F59:M59)</f>
        <v>20</v>
      </c>
      <c r="F59" s="356" t="s">
        <v>51</v>
      </c>
      <c r="G59" s="147">
        <v>6</v>
      </c>
      <c r="H59" s="356" t="s">
        <v>51</v>
      </c>
      <c r="I59" s="147">
        <v>3</v>
      </c>
      <c r="J59" s="147"/>
      <c r="K59" s="356" t="s">
        <v>51</v>
      </c>
      <c r="L59" s="147">
        <v>2</v>
      </c>
      <c r="M59" s="147">
        <v>9</v>
      </c>
    </row>
    <row r="60" spans="1:14" s="53" customFormat="1" ht="8.1" customHeight="1" thickBot="1" x14ac:dyDescent="0.25">
      <c r="A60" s="195"/>
      <c r="B60" s="196"/>
      <c r="C60" s="196"/>
      <c r="D60" s="196"/>
      <c r="E60" s="197"/>
      <c r="F60" s="198"/>
      <c r="G60" s="198"/>
      <c r="H60" s="198"/>
      <c r="I60" s="198"/>
      <c r="J60" s="198"/>
      <c r="K60" s="198"/>
      <c r="L60" s="198"/>
      <c r="M60" s="199"/>
      <c r="N60" s="195"/>
    </row>
    <row r="61" spans="1:14" s="53" customFormat="1" ht="12.75" x14ac:dyDescent="0.2">
      <c r="B61" s="115"/>
      <c r="C61" s="115"/>
      <c r="D61" s="115"/>
      <c r="E61" s="63"/>
      <c r="F61" s="114"/>
      <c r="G61" s="114"/>
      <c r="H61" s="114"/>
      <c r="I61" s="114"/>
      <c r="J61" s="114"/>
      <c r="K61" s="114"/>
      <c r="L61" s="114"/>
      <c r="M61" s="189"/>
      <c r="N61" s="8" t="s">
        <v>99</v>
      </c>
    </row>
    <row r="62" spans="1:14" s="53" customFormat="1" ht="12.75" x14ac:dyDescent="0.2">
      <c r="B62" s="115"/>
      <c r="C62" s="115"/>
      <c r="D62" s="115"/>
      <c r="E62" s="63"/>
      <c r="F62" s="114"/>
      <c r="G62" s="114"/>
      <c r="H62" s="114"/>
      <c r="I62" s="114"/>
      <c r="J62" s="114"/>
      <c r="K62" s="114"/>
      <c r="L62" s="114"/>
      <c r="M62" s="189"/>
      <c r="N62" s="41" t="s">
        <v>1</v>
      </c>
    </row>
  </sheetData>
  <mergeCells count="4">
    <mergeCell ref="B11:C11"/>
    <mergeCell ref="H11:I11"/>
    <mergeCell ref="K11:L11"/>
    <mergeCell ref="B12:C12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70" fitToWidth="0" orientation="portrait" r:id="rId1"/>
  <headerFooter>
    <oddHeader xml:space="preserve">&amp;R&amp;"-,Bold"
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3"/>
  <sheetViews>
    <sheetView showGridLines="0" zoomScale="80" zoomScaleNormal="80" zoomScaleSheetLayoutView="100" workbookViewId="0">
      <selection activeCell="P21" sqref="P21"/>
    </sheetView>
  </sheetViews>
  <sheetFormatPr defaultRowHeight="15" x14ac:dyDescent="0.25"/>
  <cols>
    <col min="1" max="1" width="1.42578125" style="2" customWidth="1"/>
    <col min="2" max="2" width="9.85546875" style="3" customWidth="1"/>
    <col min="3" max="3" width="14.42578125" style="3" customWidth="1"/>
    <col min="4" max="4" width="7.42578125" style="3" customWidth="1"/>
    <col min="5" max="5" width="10.7109375" style="21" customWidth="1"/>
    <col min="6" max="6" width="10.7109375" style="22" customWidth="1"/>
    <col min="7" max="7" width="10" style="22" customWidth="1"/>
    <col min="8" max="8" width="11.7109375" style="22" customWidth="1"/>
    <col min="9" max="9" width="14.85546875" style="22" customWidth="1"/>
    <col min="10" max="10" width="1.7109375" style="22" customWidth="1"/>
    <col min="11" max="11" width="11.7109375" style="22" customWidth="1"/>
    <col min="12" max="12" width="14.85546875" style="22" customWidth="1"/>
    <col min="13" max="13" width="15.7109375" style="5" customWidth="1"/>
    <col min="14" max="14" width="0.85546875" style="2" customWidth="1"/>
    <col min="15" max="16384" width="9.140625" style="2"/>
  </cols>
  <sheetData>
    <row r="1" spans="1:14" ht="9.9499999999999993" customHeight="1" x14ac:dyDescent="0.25">
      <c r="B1" s="3" t="s">
        <v>196</v>
      </c>
    </row>
    <row r="2" spans="1:14" s="30" customFormat="1" ht="12.95" customHeight="1" x14ac:dyDescent="0.25">
      <c r="B2" s="27"/>
      <c r="C2" s="27"/>
      <c r="D2" s="29"/>
      <c r="E2" s="28"/>
      <c r="F2" s="29"/>
      <c r="M2" s="160" t="s">
        <v>179</v>
      </c>
      <c r="N2" s="29"/>
    </row>
    <row r="3" spans="1:14" s="30" customFormat="1" ht="12.95" customHeight="1" x14ac:dyDescent="0.25">
      <c r="B3" s="27"/>
      <c r="C3" s="27"/>
      <c r="D3" s="29"/>
      <c r="E3" s="28"/>
      <c r="F3" s="29"/>
      <c r="M3" s="68" t="s">
        <v>180</v>
      </c>
      <c r="N3" s="29"/>
    </row>
    <row r="4" spans="1:14" s="30" customFormat="1" ht="12" customHeight="1" x14ac:dyDescent="0.25">
      <c r="B4" s="27"/>
      <c r="C4" s="27"/>
      <c r="D4" s="29"/>
      <c r="E4" s="28"/>
      <c r="F4" s="29"/>
      <c r="G4" s="68"/>
      <c r="N4" s="29"/>
    </row>
    <row r="5" spans="1:14" s="30" customFormat="1" ht="12" customHeight="1" x14ac:dyDescent="0.25">
      <c r="B5" s="27"/>
      <c r="C5" s="27"/>
      <c r="D5" s="29"/>
      <c r="E5" s="28"/>
      <c r="F5" s="29"/>
      <c r="G5" s="68"/>
      <c r="N5" s="29"/>
    </row>
    <row r="6" spans="1:14" s="53" customFormat="1" ht="9.75" customHeight="1" x14ac:dyDescent="0.2">
      <c r="B6" s="115"/>
      <c r="C6" s="115"/>
      <c r="D6" s="189"/>
      <c r="E6" s="190"/>
      <c r="F6" s="189"/>
      <c r="G6" s="189"/>
      <c r="H6" s="191"/>
      <c r="I6" s="191"/>
      <c r="J6" s="191"/>
      <c r="K6" s="191"/>
      <c r="L6" s="191"/>
      <c r="M6" s="189"/>
      <c r="N6" s="114"/>
    </row>
    <row r="7" spans="1:14" s="53" customFormat="1" ht="15" customHeight="1" x14ac:dyDescent="0.2">
      <c r="B7" s="63" t="s">
        <v>186</v>
      </c>
      <c r="C7" s="64" t="s">
        <v>239</v>
      </c>
      <c r="D7" s="115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4" s="65" customFormat="1" ht="15" customHeight="1" x14ac:dyDescent="0.2">
      <c r="B8" s="66" t="s">
        <v>187</v>
      </c>
      <c r="C8" s="67" t="s">
        <v>240</v>
      </c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4" s="53" customFormat="1" ht="6.75" customHeight="1" thickBot="1" x14ac:dyDescent="0.25">
      <c r="B9" s="115"/>
      <c r="C9" s="115"/>
      <c r="D9" s="115"/>
      <c r="E9" s="63"/>
      <c r="F9" s="114"/>
      <c r="G9" s="114"/>
      <c r="H9" s="114"/>
      <c r="I9" s="114"/>
      <c r="J9" s="114"/>
      <c r="K9" s="114"/>
      <c r="L9" s="114"/>
      <c r="M9" s="189"/>
    </row>
    <row r="10" spans="1:14" s="53" customFormat="1" ht="9.9499999999999993" customHeight="1" thickTop="1" x14ac:dyDescent="0.2">
      <c r="A10" s="378"/>
      <c r="B10" s="388"/>
      <c r="C10" s="388"/>
      <c r="D10" s="389"/>
      <c r="E10" s="374"/>
      <c r="F10" s="375"/>
      <c r="G10" s="375"/>
      <c r="H10" s="376"/>
      <c r="I10" s="375"/>
      <c r="J10" s="375"/>
      <c r="K10" s="375"/>
      <c r="L10" s="375"/>
      <c r="M10" s="377"/>
      <c r="N10" s="378"/>
    </row>
    <row r="11" spans="1:14" s="53" customFormat="1" ht="27.75" customHeight="1" x14ac:dyDescent="0.2">
      <c r="A11" s="390"/>
      <c r="B11" s="432" t="s">
        <v>210</v>
      </c>
      <c r="C11" s="432"/>
      <c r="D11" s="379" t="s">
        <v>222</v>
      </c>
      <c r="E11" s="379" t="s">
        <v>220</v>
      </c>
      <c r="F11" s="379" t="s">
        <v>219</v>
      </c>
      <c r="G11" s="379" t="s">
        <v>218</v>
      </c>
      <c r="H11" s="433" t="s">
        <v>234</v>
      </c>
      <c r="I11" s="433"/>
      <c r="J11" s="380"/>
      <c r="K11" s="433" t="s">
        <v>221</v>
      </c>
      <c r="L11" s="433"/>
      <c r="M11" s="379" t="s">
        <v>217</v>
      </c>
      <c r="N11" s="381"/>
    </row>
    <row r="12" spans="1:14" s="53" customFormat="1" ht="37.5" customHeight="1" x14ac:dyDescent="0.2">
      <c r="A12" s="390"/>
      <c r="B12" s="434" t="s">
        <v>211</v>
      </c>
      <c r="C12" s="434"/>
      <c r="D12" s="382" t="s">
        <v>212</v>
      </c>
      <c r="E12" s="382" t="s">
        <v>213</v>
      </c>
      <c r="F12" s="382" t="s">
        <v>214</v>
      </c>
      <c r="G12" s="382" t="s">
        <v>215</v>
      </c>
      <c r="H12" s="383" t="s">
        <v>225</v>
      </c>
      <c r="I12" s="383" t="s">
        <v>226</v>
      </c>
      <c r="J12" s="383"/>
      <c r="K12" s="383" t="s">
        <v>225</v>
      </c>
      <c r="L12" s="383" t="s">
        <v>226</v>
      </c>
      <c r="M12" s="384" t="s">
        <v>216</v>
      </c>
      <c r="N12" s="385"/>
    </row>
    <row r="13" spans="1:14" s="53" customFormat="1" ht="30" customHeight="1" x14ac:dyDescent="0.2">
      <c r="A13" s="391"/>
      <c r="B13" s="392"/>
      <c r="C13" s="392"/>
      <c r="D13" s="386"/>
      <c r="E13" s="386"/>
      <c r="F13" s="386"/>
      <c r="G13" s="386"/>
      <c r="H13" s="387" t="s">
        <v>223</v>
      </c>
      <c r="I13" s="387" t="s">
        <v>224</v>
      </c>
      <c r="J13" s="387"/>
      <c r="K13" s="387" t="s">
        <v>223</v>
      </c>
      <c r="L13" s="387" t="s">
        <v>224</v>
      </c>
      <c r="M13" s="370"/>
      <c r="N13" s="373"/>
    </row>
    <row r="14" spans="1:14" s="53" customFormat="1" ht="6" customHeight="1" x14ac:dyDescent="0.2">
      <c r="A14" s="116"/>
      <c r="B14" s="180"/>
      <c r="C14" s="180"/>
      <c r="D14" s="90"/>
      <c r="E14" s="90"/>
      <c r="F14" s="192"/>
      <c r="G14" s="192"/>
      <c r="H14" s="192"/>
      <c r="I14" s="192"/>
      <c r="J14" s="192"/>
      <c r="K14" s="192"/>
      <c r="L14" s="192"/>
      <c r="M14" s="192"/>
      <c r="N14" s="86"/>
    </row>
    <row r="15" spans="1:14" s="106" customFormat="1" ht="23.1" customHeight="1" x14ac:dyDescent="0.2">
      <c r="A15" s="208"/>
      <c r="B15" s="124" t="s">
        <v>124</v>
      </c>
      <c r="C15" s="124"/>
      <c r="D15" s="121">
        <v>2017</v>
      </c>
      <c r="E15" s="145">
        <f>SUM(E19,E23,E27,E31,E35,E39,E43,E47,'1.5Sarawak (2)'!E17,'1.5Sarawak (2)'!E21,'1.5Sarawak (2)'!E25,'1.5Sarawak (2)'!E29,'1.5Sarawak (2)'!E33,'1.5Sarawak (2)'!E37,'1.5Sarawak (2)'!E41,'1.5Sarawak (2)'!E45,'1.5Sarawak (2)'!E49,'1.5Sarawak (2)'!E53,'1.5Sarawak (3)'!E17,'1.5Sarawak (3)'!E21,'1.5Sarawak (3)'!E25,'1.5Sarawak (3)'!E29,'1.5Sarawak (3)'!E33,'1.5Sarawak (3)'!E37,'1.5Sarawak (3)'!E41,'1.5Sarawak (3)'!E45,'1.5Sarawak (3)'!E49,'1.5Sarawak (3)'!E53)</f>
        <v>876</v>
      </c>
      <c r="F15" s="145">
        <f>SUM(F19,F23,F27,F31,F35,F39,F43,F47,'1.5Sarawak (2)'!F17,'1.5Sarawak (2)'!F21,'1.5Sarawak (2)'!F25,'1.5Sarawak (2)'!F29,'1.5Sarawak (2)'!F33,'1.5Sarawak (2)'!F37,'1.5Sarawak (2)'!F41,'1.5Sarawak (2)'!F45,'1.5Sarawak (2)'!F49,'1.5Sarawak (2)'!F53,'1.5Sarawak (3)'!F17,'1.5Sarawak (3)'!F21,'1.5Sarawak (3)'!F25,'1.5Sarawak (3)'!F29,'1.5Sarawak (3)'!F33,'1.5Sarawak (3)'!F37,'1.5Sarawak (3)'!F41,'1.5Sarawak (3)'!F45,'1.5Sarawak (3)'!F49,'1.5Sarawak (3)'!F53)</f>
        <v>27</v>
      </c>
      <c r="G15" s="145">
        <f>SUM(G19,G23,G27,G31,G35,G39,G43,G47,'1.5Sarawak (2)'!G17,'1.5Sarawak (2)'!G21,'1.5Sarawak (2)'!G25,'1.5Sarawak (2)'!G29,'1.5Sarawak (2)'!G33,'1.5Sarawak (2)'!G37,'1.5Sarawak (2)'!G41,'1.5Sarawak (2)'!G45,'1.5Sarawak (2)'!G49,'1.5Sarawak (2)'!G53,'1.5Sarawak (3)'!G17,'1.5Sarawak (3)'!G21,'1.5Sarawak (3)'!G25,'1.5Sarawak (3)'!G29,'1.5Sarawak (3)'!G33,'1.5Sarawak (3)'!G37,'1.5Sarawak (3)'!G41,'1.5Sarawak (3)'!G45,'1.5Sarawak (3)'!G49,'1.5Sarawak (3)'!G53)</f>
        <v>150</v>
      </c>
      <c r="H15" s="145">
        <f>SUM(H19,H23,H27,H31,H35,H39,H43,H47,'1.5Sarawak (2)'!H17,'1.5Sarawak (2)'!H21,'1.5Sarawak (2)'!H25,'1.5Sarawak (2)'!H29,'1.5Sarawak (2)'!H33,'1.5Sarawak (2)'!H37,'1.5Sarawak (2)'!H41,'1.5Sarawak (2)'!H45,'1.5Sarawak (2)'!H49,'1.5Sarawak (2)'!H53,'1.5Sarawak (3)'!H17,'1.5Sarawak (3)'!H21,'1.5Sarawak (3)'!H25,'1.5Sarawak (3)'!H29,'1.5Sarawak (3)'!H33,'1.5Sarawak (3)'!H37,'1.5Sarawak (3)'!H41,'1.5Sarawak (3)'!H45,'1.5Sarawak (3)'!H49,'1.5Sarawak (3)'!H53)</f>
        <v>2</v>
      </c>
      <c r="I15" s="145">
        <f>SUM(I19,I23,I27,I31,I35,I39,I43,I47,'1.5Sarawak (2)'!I17,'1.5Sarawak (2)'!I21,'1.5Sarawak (2)'!I25,'1.5Sarawak (2)'!I29,'1.5Sarawak (2)'!I33,'1.5Sarawak (2)'!I37,'1.5Sarawak (2)'!I41,'1.5Sarawak (2)'!I45,'1.5Sarawak (2)'!I49,'1.5Sarawak (2)'!I53,'1.5Sarawak (3)'!I17,'1.5Sarawak (3)'!I21,'1.5Sarawak (3)'!I25,'1.5Sarawak (3)'!I29,'1.5Sarawak (3)'!I33,'1.5Sarawak (3)'!I37,'1.5Sarawak (3)'!I41,'1.5Sarawak (3)'!I45,'1.5Sarawak (3)'!I49,'1.5Sarawak (3)'!I53)</f>
        <v>238</v>
      </c>
      <c r="J15" s="145">
        <f>SUM(J19,J23,J27,J31,J35,J39,J43,J47,'1.5Sarawak (2)'!J17,'1.5Sarawak (2)'!J21,'1.5Sarawak (2)'!J25,'1.5Sarawak (2)'!J29,'1.5Sarawak (2)'!J33,'1.5Sarawak (2)'!J37,'1.5Sarawak (2)'!J41,'1.5Sarawak (2)'!J45,'1.5Sarawak (2)'!J49,'1.5Sarawak (2)'!J53,'1.5Sarawak (3)'!J17,'1.5Sarawak (3)'!J21,'1.5Sarawak (3)'!J25,'1.5Sarawak (3)'!J29,'1.5Sarawak (3)'!J33,'1.5Sarawak (3)'!J37,'1.5Sarawak (3)'!J41,'1.5Sarawak (3)'!J45,'1.5Sarawak (3)'!J49,'1.5Sarawak (3)'!J53)</f>
        <v>0</v>
      </c>
      <c r="K15" s="145">
        <f>SUM(K19,K23,K27,K31,K35,K39,K43,K47,'1.5Sarawak (2)'!K17,'1.5Sarawak (2)'!K21,'1.5Sarawak (2)'!K25,'1.5Sarawak (2)'!K29,'1.5Sarawak (2)'!K33,'1.5Sarawak (2)'!K37,'1.5Sarawak (2)'!K41,'1.5Sarawak (2)'!K45,'1.5Sarawak (2)'!K49,'1.5Sarawak (2)'!K53,'1.5Sarawak (3)'!K17,'1.5Sarawak (3)'!K21,'1.5Sarawak (3)'!K25,'1.5Sarawak (3)'!K29,'1.5Sarawak (3)'!K33,'1.5Sarawak (3)'!K37,'1.5Sarawak (3)'!K41,'1.5Sarawak (3)'!K45,'1.5Sarawak (3)'!K49,'1.5Sarawak (3)'!K53)</f>
        <v>1</v>
      </c>
      <c r="L15" s="145">
        <f>SUM(L19,L23,L27,L31,L35,L39,L43,L47,'1.5Sarawak (2)'!L17,'1.5Sarawak (2)'!L21,'1.5Sarawak (2)'!L25,'1.5Sarawak (2)'!L29,'1.5Sarawak (2)'!L33,'1.5Sarawak (2)'!L37,'1.5Sarawak (2)'!L41,'1.5Sarawak (2)'!L45,'1.5Sarawak (2)'!L49,'1.5Sarawak (2)'!L53,'1.5Sarawak (3)'!L17,'1.5Sarawak (3)'!L21,'1.5Sarawak (3)'!L25,'1.5Sarawak (3)'!L29,'1.5Sarawak (3)'!L33,'1.5Sarawak (3)'!L37,'1.5Sarawak (3)'!L41,'1.5Sarawak (3)'!L45,'1.5Sarawak (3)'!L49,'1.5Sarawak (3)'!L53)</f>
        <v>90</v>
      </c>
      <c r="M15" s="145">
        <f>SUM(M19,M23,M27,M31,M35,M39,M43,M47,'1.5Sarawak (2)'!M17,'1.5Sarawak (2)'!M21,'1.5Sarawak (2)'!M25,'1.5Sarawak (2)'!M29,'1.5Sarawak (2)'!M33,'1.5Sarawak (2)'!M37,'1.5Sarawak (2)'!M41,'1.5Sarawak (2)'!M45,'1.5Sarawak (2)'!M49,'1.5Sarawak (2)'!M53,'1.5Sarawak (3)'!M17,'1.5Sarawak (3)'!M21,'1.5Sarawak (3)'!M25,'1.5Sarawak (3)'!M29,'1.5Sarawak (3)'!M33,'1.5Sarawak (3)'!M37,'1.5Sarawak (3)'!M41,'1.5Sarawak (3)'!M45,'1.5Sarawak (3)'!M49,'1.5Sarawak (3)'!M53)</f>
        <v>368</v>
      </c>
    </row>
    <row r="16" spans="1:14" s="106" customFormat="1" ht="23.1" customHeight="1" x14ac:dyDescent="0.2">
      <c r="A16" s="208"/>
      <c r="B16" s="124"/>
      <c r="C16" s="124"/>
      <c r="D16" s="121">
        <v>2018</v>
      </c>
      <c r="E16" s="145">
        <f>SUM(E20,E24,E28,E32,E36,E40,E44,E48,'1.5Sarawak (2)'!E18,'1.5Sarawak (2)'!E22,'1.5Sarawak (2)'!E26,'1.5Sarawak (2)'!E30,'1.5Sarawak (2)'!E34,'1.5Sarawak (2)'!E38,'1.5Sarawak (2)'!E42,'1.5Sarawak (2)'!E46,'1.5Sarawak (2)'!E50,'1.5Sarawak (2)'!E54,'1.5Sarawak (3)'!E18,'1.5Sarawak (3)'!E22,'1.5Sarawak (3)'!E26,'1.5Sarawak (3)'!E30,'1.5Sarawak (3)'!E34,'1.5Sarawak (3)'!E38,'1.5Sarawak (3)'!E42,'1.5Sarawak (3)'!E46,'1.5Sarawak (3)'!E50,'1.5Sarawak (3)'!E54)</f>
        <v>811</v>
      </c>
      <c r="F16" s="145">
        <f>SUM(F20,F24,F28,F32,F36,F40,F44,F48,'1.5Sarawak (2)'!F18,'1.5Sarawak (2)'!F22,'1.5Sarawak (2)'!F26,'1.5Sarawak (2)'!F30,'1.5Sarawak (2)'!F34,'1.5Sarawak (2)'!F38,'1.5Sarawak (2)'!F42,'1.5Sarawak (2)'!F46,'1.5Sarawak (2)'!F50,'1.5Sarawak (2)'!F54,'1.5Sarawak (3)'!F18,'1.5Sarawak (3)'!F22,'1.5Sarawak (3)'!F26,'1.5Sarawak (3)'!F30,'1.5Sarawak (3)'!F34,'1.5Sarawak (3)'!F38,'1.5Sarawak (3)'!F42,'1.5Sarawak (3)'!F46,'1.5Sarawak (3)'!F50,'1.5Sarawak (3)'!F54)</f>
        <v>17</v>
      </c>
      <c r="G16" s="145">
        <f>SUM(G20,G24,G28,G32,G36,G40,G44,G48,'1.5Sarawak (2)'!G18,'1.5Sarawak (2)'!G22,'1.5Sarawak (2)'!G26,'1.5Sarawak (2)'!G30,'1.5Sarawak (2)'!G34,'1.5Sarawak (2)'!G38,'1.5Sarawak (2)'!G42,'1.5Sarawak (2)'!G46,'1.5Sarawak (2)'!G50,'1.5Sarawak (2)'!G54,'1.5Sarawak (3)'!G18,'1.5Sarawak (3)'!G22,'1.5Sarawak (3)'!G26,'1.5Sarawak (3)'!G30,'1.5Sarawak (3)'!G34,'1.5Sarawak (3)'!G38,'1.5Sarawak (3)'!G42,'1.5Sarawak (3)'!G46,'1.5Sarawak (3)'!G50,'1.5Sarawak (3)'!G54)</f>
        <v>131</v>
      </c>
      <c r="H16" s="145">
        <f>SUM(H20,H24,H28,H32,H36,H40,H44,H48,'1.5Sarawak (2)'!H18,'1.5Sarawak (2)'!H22,'1.5Sarawak (2)'!H26,'1.5Sarawak (2)'!H30,'1.5Sarawak (2)'!H34,'1.5Sarawak (2)'!H38,'1.5Sarawak (2)'!H42,'1.5Sarawak (2)'!H46,'1.5Sarawak (2)'!H50,'1.5Sarawak (2)'!H54,'1.5Sarawak (3)'!H18,'1.5Sarawak (3)'!H22,'1.5Sarawak (3)'!H26,'1.5Sarawak (3)'!H30,'1.5Sarawak (3)'!H34,'1.5Sarawak (3)'!H38,'1.5Sarawak (3)'!H42,'1.5Sarawak (3)'!H46,'1.5Sarawak (3)'!H50,'1.5Sarawak (3)'!H54)</f>
        <v>3</v>
      </c>
      <c r="I16" s="145">
        <f>SUM(I20,I24,I28,I32,I36,I40,I44,I48,'1.5Sarawak (2)'!I18,'1.5Sarawak (2)'!I22,'1.5Sarawak (2)'!I26,'1.5Sarawak (2)'!I30,'1.5Sarawak (2)'!I34,'1.5Sarawak (2)'!I38,'1.5Sarawak (2)'!I42,'1.5Sarawak (2)'!I46,'1.5Sarawak (2)'!I50,'1.5Sarawak (2)'!I54,'1.5Sarawak (3)'!I18,'1.5Sarawak (3)'!I22,'1.5Sarawak (3)'!I26,'1.5Sarawak (3)'!I30,'1.5Sarawak (3)'!I34,'1.5Sarawak (3)'!I38,'1.5Sarawak (3)'!I42,'1.5Sarawak (3)'!I46,'1.5Sarawak (3)'!I50,'1.5Sarawak (3)'!I54)</f>
        <v>214</v>
      </c>
      <c r="J16" s="145">
        <f>SUM(J20,J24,J28,J32,J36,J40,J44,J48,'1.5Sarawak (2)'!J18,'1.5Sarawak (2)'!J22,'1.5Sarawak (2)'!J26,'1.5Sarawak (2)'!J30,'1.5Sarawak (2)'!J34,'1.5Sarawak (2)'!J38,'1.5Sarawak (2)'!J42,'1.5Sarawak (2)'!J46,'1.5Sarawak (2)'!J50,'1.5Sarawak (2)'!J54,'1.5Sarawak (3)'!J18,'1.5Sarawak (3)'!J22,'1.5Sarawak (3)'!J26,'1.5Sarawak (3)'!J30,'1.5Sarawak (3)'!J34,'1.5Sarawak (3)'!J38,'1.5Sarawak (3)'!J42,'1.5Sarawak (3)'!J46,'1.5Sarawak (3)'!J50,'1.5Sarawak (3)'!J54)</f>
        <v>0</v>
      </c>
      <c r="K16" s="137" t="s">
        <v>51</v>
      </c>
      <c r="L16" s="145">
        <f>SUM(L20,L24,L28,L32,L36,L40,L44,L48,'1.5Sarawak (2)'!L18,'1.5Sarawak (2)'!L22,'1.5Sarawak (2)'!L26,'1.5Sarawak (2)'!L30,'1.5Sarawak (2)'!L34,'1.5Sarawak (2)'!L38,'1.5Sarawak (2)'!L42,'1.5Sarawak (2)'!L46,'1.5Sarawak (2)'!L50,'1.5Sarawak (2)'!L54,'1.5Sarawak (3)'!L18,'1.5Sarawak (3)'!L22,'1.5Sarawak (3)'!L26,'1.5Sarawak (3)'!L30,'1.5Sarawak (3)'!L34,'1.5Sarawak (3)'!L38,'1.5Sarawak (3)'!L42,'1.5Sarawak (3)'!L46,'1.5Sarawak (3)'!L50,'1.5Sarawak (3)'!L54)</f>
        <v>88</v>
      </c>
      <c r="M16" s="145">
        <f>SUM(M20,M24,M28,M32,M36,M40,M44,M48,'1.5Sarawak (2)'!M18,'1.5Sarawak (2)'!M22,'1.5Sarawak (2)'!M26,'1.5Sarawak (2)'!M30,'1.5Sarawak (2)'!M34,'1.5Sarawak (2)'!M38,'1.5Sarawak (2)'!M42,'1.5Sarawak (2)'!M46,'1.5Sarawak (2)'!M50,'1.5Sarawak (2)'!M54,'1.5Sarawak (3)'!M18,'1.5Sarawak (3)'!M22,'1.5Sarawak (3)'!M26,'1.5Sarawak (3)'!M30,'1.5Sarawak (3)'!M34,'1.5Sarawak (3)'!M38,'1.5Sarawak (3)'!M42,'1.5Sarawak (3)'!M46,'1.5Sarawak (3)'!M50,'1.5Sarawak (3)'!M54)</f>
        <v>358</v>
      </c>
    </row>
    <row r="17" spans="1:14" s="106" customFormat="1" ht="23.1" customHeight="1" x14ac:dyDescent="0.2">
      <c r="A17" s="208"/>
      <c r="B17" s="124"/>
      <c r="C17" s="124"/>
      <c r="D17" s="121">
        <v>2019</v>
      </c>
      <c r="E17" s="145">
        <f>SUM(E21,E25,E29,E33,E37,E41,E45,E49,'1.5Sarawak (2)'!E19,'1.5Sarawak (2)'!E23,'1.5Sarawak (2)'!E27,'1.5Sarawak (2)'!E31,'1.5Sarawak (2)'!E35,'1.5Sarawak (2)'!E39,'1.5Sarawak (2)'!E43,'1.5Sarawak (2)'!E47,'1.5Sarawak (2)'!E51,'1.5Sarawak (2)'!E56,'1.5Sarawak (3)'!E19,'1.5Sarawak (3)'!E23,'1.5Sarawak (3)'!E27,'1.5Sarawak (3)'!E31,'1.5Sarawak (3)'!E35,'1.5Sarawak (3)'!E39,'1.5Sarawak (3)'!E43,'1.5Sarawak (3)'!E47,'1.5Sarawak (3)'!E51,'1.5Sarawak (3)'!E56)</f>
        <v>725</v>
      </c>
      <c r="F17" s="145">
        <f>SUM(F21,F25,F29,F33,F37,F41,F45,F49,'1.5Sarawak (2)'!F19,'1.5Sarawak (2)'!F23,'1.5Sarawak (2)'!F27,'1.5Sarawak (2)'!F31,'1.5Sarawak (2)'!F35,'1.5Sarawak (2)'!F39,'1.5Sarawak (2)'!F43,'1.5Sarawak (2)'!F47,'1.5Sarawak (2)'!F51,'1.5Sarawak (2)'!F55,'1.5Sarawak (3)'!F19,'1.5Sarawak (3)'!F23,'1.5Sarawak (3)'!F27,'1.5Sarawak (3)'!F31,'1.5Sarawak (3)'!F35,'1.5Sarawak (3)'!F39,'1.5Sarawak (3)'!F43,'1.5Sarawak (3)'!F47,'1.5Sarawak (3)'!F51,'1.5Sarawak (3)'!F55)</f>
        <v>27</v>
      </c>
      <c r="G17" s="145">
        <f>SUM(G21,G25,G29,G33,G37,G41,G45,G49,'1.5Sarawak (2)'!G19,'1.5Sarawak (2)'!G23,'1.5Sarawak (2)'!G27,'1.5Sarawak (2)'!G31,'1.5Sarawak (2)'!G35,'1.5Sarawak (2)'!G39,'1.5Sarawak (2)'!G43,'1.5Sarawak (2)'!G47,'1.5Sarawak (2)'!G51,'1.5Sarawak (2)'!G55,'1.5Sarawak (3)'!G19,'1.5Sarawak (3)'!G23,'1.5Sarawak (3)'!G27,'1.5Sarawak (3)'!G31,'1.5Sarawak (3)'!G35,'1.5Sarawak (3)'!G39,'1.5Sarawak (3)'!G43,'1.5Sarawak (3)'!G47,'1.5Sarawak (3)'!G51,'1.5Sarawak (3)'!G55)</f>
        <v>149</v>
      </c>
      <c r="H17" s="145">
        <f>SUM(H21,H25,H29,H33,H37,H41,H45,H49,'1.5Sarawak (2)'!H19,'1.5Sarawak (2)'!H23,'1.5Sarawak (2)'!H27,'1.5Sarawak (2)'!H31,'1.5Sarawak (2)'!H35,'1.5Sarawak (2)'!H39,'1.5Sarawak (2)'!H43,'1.5Sarawak (2)'!H47,'1.5Sarawak (2)'!H51,'1.5Sarawak (2)'!H55,'1.5Sarawak (3)'!H19,'1.5Sarawak (3)'!H23,'1.5Sarawak (3)'!H27,'1.5Sarawak (3)'!H31,'1.5Sarawak (3)'!H35,'1.5Sarawak (3)'!H39,'1.5Sarawak (3)'!H43,'1.5Sarawak (3)'!H47,'1.5Sarawak (3)'!H51,'1.5Sarawak (3)'!H55)</f>
        <v>5</v>
      </c>
      <c r="I17" s="145">
        <f>SUM(I21,I25,I29,I33,I37,I41,I45,I49,'1.5Sarawak (2)'!I19,'1.5Sarawak (2)'!I23,'1.5Sarawak (2)'!I27,'1.5Sarawak (2)'!I31,'1.5Sarawak (2)'!I35,'1.5Sarawak (2)'!I39,'1.5Sarawak (2)'!I43,'1.5Sarawak (2)'!I47,'1.5Sarawak (2)'!I51,'1.5Sarawak (2)'!I55,'1.5Sarawak (3)'!I19,'1.5Sarawak (3)'!I23,'1.5Sarawak (3)'!I27,'1.5Sarawak (3)'!I31,'1.5Sarawak (3)'!I35,'1.5Sarawak (3)'!I39,'1.5Sarawak (3)'!I43,'1.5Sarawak (3)'!I47,'1.5Sarawak (3)'!I51,'1.5Sarawak (3)'!I55)</f>
        <v>243</v>
      </c>
      <c r="J17" s="145">
        <f>SUM(J21,J25,J29,J33,J37,J41,J45,J49,'1.5Sarawak (2)'!J19,'1.5Sarawak (2)'!J23,'1.5Sarawak (2)'!J27,'1.5Sarawak (2)'!J31,'1.5Sarawak (2)'!J35,'1.5Sarawak (2)'!J39,'1.5Sarawak (2)'!J43,'1.5Sarawak (2)'!J47,'1.5Sarawak (2)'!J51,'1.5Sarawak (2)'!J55,'1.5Sarawak (3)'!J19,'1.5Sarawak (3)'!J23,'1.5Sarawak (3)'!J27,'1.5Sarawak (3)'!J31,'1.5Sarawak (3)'!J35,'1.5Sarawak (3)'!J39,'1.5Sarawak (3)'!J43,'1.5Sarawak (3)'!J47,'1.5Sarawak (3)'!J51,'1.5Sarawak (3)'!J55)</f>
        <v>0</v>
      </c>
      <c r="K17" s="137" t="s">
        <v>51</v>
      </c>
      <c r="L17" s="145">
        <f>SUM(L21,L25,L29,L33,L37,L41,L45,L49,'1.5Sarawak (2)'!L19,'1.5Sarawak (2)'!L23,'1.5Sarawak (2)'!L27,'1.5Sarawak (2)'!L31,'1.5Sarawak (2)'!L35,'1.5Sarawak (2)'!L39,'1.5Sarawak (2)'!L43,'1.5Sarawak (2)'!L47,'1.5Sarawak (2)'!L51,'1.5Sarawak (2)'!L55,'1.5Sarawak (3)'!L19,'1.5Sarawak (3)'!L23,'1.5Sarawak (3)'!L27,'1.5Sarawak (3)'!L31,'1.5Sarawak (3)'!L35,'1.5Sarawak (3)'!L39,'1.5Sarawak (3)'!L43,'1.5Sarawak (3)'!L47,'1.5Sarawak (3)'!L51,'1.5Sarawak (3)'!L55)</f>
        <v>139</v>
      </c>
      <c r="M17" s="145">
        <f>SUM(M21,M25,M29,M33,M37,M41,M45,M49,'1.5Sarawak (2)'!M19,'1.5Sarawak (2)'!M23,'1.5Sarawak (2)'!M27,'1.5Sarawak (2)'!M31,'1.5Sarawak (2)'!M35,'1.5Sarawak (2)'!M39,'1.5Sarawak (2)'!M43,'1.5Sarawak (2)'!M47,'1.5Sarawak (2)'!M51,'1.5Sarawak (2)'!M55,'1.5Sarawak (3)'!M19,'1.5Sarawak (3)'!M23,'1.5Sarawak (3)'!M27,'1.5Sarawak (3)'!M31,'1.5Sarawak (3)'!M35,'1.5Sarawak (3)'!M39,'1.5Sarawak (3)'!M43,'1.5Sarawak (3)'!M47,'1.5Sarawak (3)'!M51,'1.5Sarawak (3)'!M55)</f>
        <v>335</v>
      </c>
      <c r="N17" s="145">
        <f>N21+N25+N29+N33+N37+N41+N45+N49+'1.5Sarawak (2)'!N19+'1.5Sarawak (2)'!N23+'1.5Sarawak (2)'!N27+'1.5Sarawak (2)'!N31+'1.5Sarawak (2)'!N35+'1.5Sarawak (2)'!N39+'1.5Sarawak (2)'!N43+'1.5Sarawak (2)'!N47+'1.5Sarawak (2)'!N51+'1.5Sarawak (2)'!N55+'1.5Sarawak (3)'!N19+'1.5Sarawak (3)'!N23+'1.5Sarawak (3)'!N27+'1.5Sarawak (3)'!N31+'1.5Sarawak (3)'!N35+'1.5Sarawak (3)'!N39+'1.5Sarawak (3)'!N43+'1.5Sarawak (3)'!N47+'1.5Sarawak (3)'!N51+'1.5Sarawak (3)'!N55</f>
        <v>0</v>
      </c>
    </row>
    <row r="18" spans="1:14" s="106" customFormat="1" ht="23.1" customHeight="1" x14ac:dyDescent="0.2">
      <c r="A18" s="208"/>
      <c r="B18" s="124"/>
      <c r="C18" s="124"/>
      <c r="D18" s="121"/>
      <c r="E18" s="145"/>
      <c r="F18" s="145"/>
      <c r="G18" s="145"/>
      <c r="H18" s="145"/>
      <c r="I18" s="145"/>
      <c r="J18" s="145"/>
      <c r="K18" s="145"/>
      <c r="L18" s="145"/>
      <c r="M18" s="145"/>
    </row>
    <row r="19" spans="1:14" s="106" customFormat="1" ht="23.1" customHeight="1" x14ac:dyDescent="0.2">
      <c r="A19" s="208"/>
      <c r="B19" s="82" t="s">
        <v>125</v>
      </c>
      <c r="C19" s="82"/>
      <c r="D19" s="148">
        <v>2017</v>
      </c>
      <c r="E19" s="146">
        <f>SUM(F19:M19)</f>
        <v>9</v>
      </c>
      <c r="F19" s="307" t="s">
        <v>51</v>
      </c>
      <c r="G19" s="306">
        <v>2</v>
      </c>
      <c r="H19" s="307" t="s">
        <v>51</v>
      </c>
      <c r="I19" s="306">
        <v>3</v>
      </c>
      <c r="J19" s="306"/>
      <c r="K19" s="307" t="s">
        <v>51</v>
      </c>
      <c r="L19" s="307" t="s">
        <v>51</v>
      </c>
      <c r="M19" s="306">
        <v>4</v>
      </c>
    </row>
    <row r="20" spans="1:14" s="106" customFormat="1" ht="23.1" customHeight="1" x14ac:dyDescent="0.2">
      <c r="A20" s="208"/>
      <c r="B20" s="82"/>
      <c r="C20" s="82"/>
      <c r="D20" s="148">
        <v>2018</v>
      </c>
      <c r="E20" s="146">
        <f>SUM(F20:M20)</f>
        <v>86</v>
      </c>
      <c r="F20" s="307" t="s">
        <v>51</v>
      </c>
      <c r="G20" s="306">
        <f>3</f>
        <v>3</v>
      </c>
      <c r="H20" s="307" t="s">
        <v>51</v>
      </c>
      <c r="I20" s="306">
        <v>2</v>
      </c>
      <c r="J20" s="306"/>
      <c r="K20" s="307" t="s">
        <v>51</v>
      </c>
      <c r="L20" s="307" t="s">
        <v>51</v>
      </c>
      <c r="M20" s="293">
        <v>81</v>
      </c>
    </row>
    <row r="21" spans="1:14" s="106" customFormat="1" ht="23.1" customHeight="1" x14ac:dyDescent="0.2">
      <c r="A21" s="208"/>
      <c r="B21" s="82"/>
      <c r="C21" s="82"/>
      <c r="D21" s="148">
        <v>2019</v>
      </c>
      <c r="E21" s="146">
        <f>SUM(F21:M21)</f>
        <v>9</v>
      </c>
      <c r="F21" s="306">
        <v>1</v>
      </c>
      <c r="G21" s="306">
        <v>3</v>
      </c>
      <c r="H21" s="307" t="s">
        <v>51</v>
      </c>
      <c r="I21" s="306">
        <v>4</v>
      </c>
      <c r="J21" s="306"/>
      <c r="K21" s="307" t="s">
        <v>51</v>
      </c>
      <c r="L21" s="307" t="s">
        <v>51</v>
      </c>
      <c r="M21" s="306">
        <v>1</v>
      </c>
    </row>
    <row r="22" spans="1:14" s="106" customFormat="1" ht="23.1" customHeight="1" x14ac:dyDescent="0.2">
      <c r="A22" s="208"/>
      <c r="B22" s="82"/>
      <c r="C22" s="82"/>
      <c r="D22" s="148"/>
      <c r="E22" s="146"/>
      <c r="F22" s="306"/>
      <c r="G22" s="306"/>
      <c r="H22" s="307"/>
      <c r="I22" s="307"/>
      <c r="J22" s="306"/>
      <c r="K22" s="307"/>
      <c r="L22" s="307"/>
      <c r="M22" s="306"/>
    </row>
    <row r="23" spans="1:14" s="116" customFormat="1" ht="23.1" customHeight="1" x14ac:dyDescent="0.2">
      <c r="A23" s="208"/>
      <c r="B23" s="82" t="s">
        <v>126</v>
      </c>
      <c r="C23" s="82"/>
      <c r="D23" s="148">
        <v>2017</v>
      </c>
      <c r="E23" s="146">
        <f>SUM(F23:M23)</f>
        <v>6</v>
      </c>
      <c r="F23" s="307" t="s">
        <v>51</v>
      </c>
      <c r="G23" s="306">
        <v>2</v>
      </c>
      <c r="H23" s="307" t="s">
        <v>51</v>
      </c>
      <c r="I23" s="307" t="s">
        <v>51</v>
      </c>
      <c r="J23" s="307"/>
      <c r="K23" s="307" t="s">
        <v>51</v>
      </c>
      <c r="L23" s="307" t="s">
        <v>51</v>
      </c>
      <c r="M23" s="306">
        <v>4</v>
      </c>
    </row>
    <row r="24" spans="1:14" s="116" customFormat="1" ht="23.1" customHeight="1" x14ac:dyDescent="0.2">
      <c r="A24" s="208"/>
      <c r="B24" s="82"/>
      <c r="C24" s="82"/>
      <c r="D24" s="148">
        <v>2018</v>
      </c>
      <c r="E24" s="146">
        <f>SUM(F24:M24)</f>
        <v>10</v>
      </c>
      <c r="F24" s="306">
        <f>3</f>
        <v>3</v>
      </c>
      <c r="G24" s="307" t="s">
        <v>51</v>
      </c>
      <c r="H24" s="307" t="s">
        <v>51</v>
      </c>
      <c r="I24" s="307" t="s">
        <v>51</v>
      </c>
      <c r="J24" s="307"/>
      <c r="K24" s="307" t="s">
        <v>51</v>
      </c>
      <c r="L24" s="307" t="s">
        <v>51</v>
      </c>
      <c r="M24" s="306">
        <f>7</f>
        <v>7</v>
      </c>
    </row>
    <row r="25" spans="1:14" s="116" customFormat="1" ht="23.1" customHeight="1" x14ac:dyDescent="0.2">
      <c r="A25" s="208"/>
      <c r="B25" s="82"/>
      <c r="C25" s="82"/>
      <c r="D25" s="148">
        <v>2019</v>
      </c>
      <c r="E25" s="146">
        <f>SUM(F25:M25)</f>
        <v>6</v>
      </c>
      <c r="F25" s="307" t="s">
        <v>51</v>
      </c>
      <c r="G25" s="306">
        <v>1</v>
      </c>
      <c r="H25" s="307" t="s">
        <v>51</v>
      </c>
      <c r="I25" s="306">
        <v>2</v>
      </c>
      <c r="J25" s="306"/>
      <c r="K25" s="307" t="s">
        <v>51</v>
      </c>
      <c r="L25" s="307" t="s">
        <v>51</v>
      </c>
      <c r="M25" s="306">
        <v>3</v>
      </c>
    </row>
    <row r="26" spans="1:14" s="116" customFormat="1" ht="23.1" customHeight="1" x14ac:dyDescent="0.2">
      <c r="A26" s="208"/>
      <c r="B26" s="82"/>
      <c r="C26" s="82"/>
      <c r="D26" s="148"/>
      <c r="E26" s="146"/>
      <c r="F26" s="306"/>
      <c r="G26" s="306"/>
      <c r="H26" s="306"/>
      <c r="I26" s="306"/>
      <c r="J26" s="306"/>
      <c r="K26" s="307"/>
      <c r="L26" s="307"/>
      <c r="M26" s="306"/>
    </row>
    <row r="27" spans="1:14" s="116" customFormat="1" ht="23.1" customHeight="1" x14ac:dyDescent="0.2">
      <c r="A27" s="208"/>
      <c r="B27" s="82" t="s">
        <v>127</v>
      </c>
      <c r="C27" s="82"/>
      <c r="D27" s="148">
        <v>2017</v>
      </c>
      <c r="E27" s="146">
        <f>SUM(F27:M27)</f>
        <v>18</v>
      </c>
      <c r="F27" s="307" t="s">
        <v>51</v>
      </c>
      <c r="G27" s="306">
        <v>7</v>
      </c>
      <c r="H27" s="307" t="s">
        <v>51</v>
      </c>
      <c r="I27" s="306">
        <v>4</v>
      </c>
      <c r="J27" s="306"/>
      <c r="K27" s="307" t="s">
        <v>51</v>
      </c>
      <c r="L27" s="307" t="s">
        <v>51</v>
      </c>
      <c r="M27" s="306">
        <v>7</v>
      </c>
    </row>
    <row r="28" spans="1:14" s="116" customFormat="1" ht="23.1" customHeight="1" x14ac:dyDescent="0.2">
      <c r="A28" s="208"/>
      <c r="B28" s="82"/>
      <c r="C28" s="82"/>
      <c r="D28" s="148">
        <v>2018</v>
      </c>
      <c r="E28" s="146">
        <f>SUM(F28:M28)</f>
        <v>6</v>
      </c>
      <c r="F28" s="307" t="s">
        <v>51</v>
      </c>
      <c r="G28" s="306">
        <f>3</f>
        <v>3</v>
      </c>
      <c r="H28" s="307" t="s">
        <v>51</v>
      </c>
      <c r="I28" s="306">
        <v>2</v>
      </c>
      <c r="J28" s="306"/>
      <c r="K28" s="307" t="s">
        <v>51</v>
      </c>
      <c r="L28" s="306">
        <v>1</v>
      </c>
      <c r="M28" s="307" t="s">
        <v>51</v>
      </c>
    </row>
    <row r="29" spans="1:14" s="116" customFormat="1" ht="23.1" customHeight="1" x14ac:dyDescent="0.2">
      <c r="A29" s="208"/>
      <c r="B29" s="82"/>
      <c r="C29" s="82"/>
      <c r="D29" s="148">
        <v>2019</v>
      </c>
      <c r="E29" s="146">
        <f>SUM(F29:M29)</f>
        <v>11</v>
      </c>
      <c r="F29" s="306">
        <v>1</v>
      </c>
      <c r="G29" s="306">
        <v>4</v>
      </c>
      <c r="H29" s="307" t="s">
        <v>51</v>
      </c>
      <c r="I29" s="306">
        <v>1</v>
      </c>
      <c r="J29" s="306"/>
      <c r="K29" s="307" t="s">
        <v>51</v>
      </c>
      <c r="L29" s="307" t="s">
        <v>51</v>
      </c>
      <c r="M29" s="306">
        <v>5</v>
      </c>
    </row>
    <row r="30" spans="1:14" s="116" customFormat="1" ht="23.1" customHeight="1" x14ac:dyDescent="0.2">
      <c r="A30" s="208"/>
      <c r="B30" s="82"/>
      <c r="C30" s="82"/>
      <c r="D30" s="148"/>
      <c r="E30" s="146"/>
      <c r="F30" s="306"/>
      <c r="G30" s="306"/>
      <c r="H30" s="307"/>
      <c r="I30" s="306"/>
      <c r="J30" s="306"/>
      <c r="K30" s="307"/>
      <c r="L30" s="306"/>
      <c r="M30" s="306"/>
    </row>
    <row r="31" spans="1:14" s="116" customFormat="1" ht="23.1" customHeight="1" x14ac:dyDescent="0.2">
      <c r="A31" s="208"/>
      <c r="B31" s="82" t="s">
        <v>128</v>
      </c>
      <c r="C31" s="82"/>
      <c r="D31" s="148">
        <v>2017</v>
      </c>
      <c r="E31" s="146">
        <f>SUM(F31:M31)</f>
        <v>63</v>
      </c>
      <c r="F31" s="306">
        <v>2</v>
      </c>
      <c r="G31" s="306">
        <v>12</v>
      </c>
      <c r="H31" s="307" t="s">
        <v>51</v>
      </c>
      <c r="I31" s="306">
        <v>20</v>
      </c>
      <c r="J31" s="306"/>
      <c r="K31" s="307" t="s">
        <v>51</v>
      </c>
      <c r="L31" s="306">
        <v>8</v>
      </c>
      <c r="M31" s="306">
        <v>21</v>
      </c>
    </row>
    <row r="32" spans="1:14" s="116" customFormat="1" ht="23.1" customHeight="1" x14ac:dyDescent="0.2">
      <c r="A32" s="208"/>
      <c r="B32" s="82"/>
      <c r="C32" s="82"/>
      <c r="D32" s="148">
        <v>2018</v>
      </c>
      <c r="E32" s="146">
        <f>SUM(F32:M32)</f>
        <v>34</v>
      </c>
      <c r="F32" s="307" t="s">
        <v>51</v>
      </c>
      <c r="G32" s="306">
        <f>5</f>
        <v>5</v>
      </c>
      <c r="H32" s="307" t="s">
        <v>51</v>
      </c>
      <c r="I32" s="306">
        <v>18</v>
      </c>
      <c r="J32" s="306"/>
      <c r="K32" s="307" t="s">
        <v>51</v>
      </c>
      <c r="L32" s="306">
        <v>8</v>
      </c>
      <c r="M32" s="306">
        <f>3</f>
        <v>3</v>
      </c>
    </row>
    <row r="33" spans="1:13" s="116" customFormat="1" ht="23.1" customHeight="1" x14ac:dyDescent="0.2">
      <c r="A33" s="208"/>
      <c r="B33" s="82"/>
      <c r="C33" s="82"/>
      <c r="D33" s="148">
        <v>2019</v>
      </c>
      <c r="E33" s="146">
        <f>SUM(F33:M33)</f>
        <v>53</v>
      </c>
      <c r="F33" s="306">
        <v>4</v>
      </c>
      <c r="G33" s="306">
        <v>7</v>
      </c>
      <c r="H33" s="307" t="s">
        <v>51</v>
      </c>
      <c r="I33" s="306">
        <v>22</v>
      </c>
      <c r="J33" s="306"/>
      <c r="K33" s="307" t="s">
        <v>51</v>
      </c>
      <c r="L33" s="306">
        <v>3</v>
      </c>
      <c r="M33" s="306">
        <v>17</v>
      </c>
    </row>
    <row r="34" spans="1:13" s="116" customFormat="1" ht="23.1" customHeight="1" x14ac:dyDescent="0.2">
      <c r="A34" s="208"/>
      <c r="B34" s="82"/>
      <c r="C34" s="82"/>
      <c r="D34" s="148"/>
      <c r="E34" s="146"/>
      <c r="F34" s="306"/>
      <c r="G34" s="306"/>
      <c r="H34" s="307"/>
      <c r="I34" s="307"/>
      <c r="J34" s="306"/>
      <c r="K34" s="307"/>
      <c r="L34" s="306"/>
      <c r="M34" s="306"/>
    </row>
    <row r="35" spans="1:13" s="116" customFormat="1" ht="23.1" customHeight="1" x14ac:dyDescent="0.2">
      <c r="A35" s="208"/>
      <c r="B35" s="82" t="s">
        <v>129</v>
      </c>
      <c r="C35" s="82"/>
      <c r="D35" s="148">
        <v>2017</v>
      </c>
      <c r="E35" s="146">
        <f>SUM(F35:M35)</f>
        <v>7</v>
      </c>
      <c r="F35" s="307" t="s">
        <v>51</v>
      </c>
      <c r="G35" s="306">
        <v>4</v>
      </c>
      <c r="H35" s="307" t="s">
        <v>51</v>
      </c>
      <c r="I35" s="306">
        <v>1</v>
      </c>
      <c r="J35" s="306"/>
      <c r="K35" s="307" t="s">
        <v>51</v>
      </c>
      <c r="L35" s="307" t="s">
        <v>51</v>
      </c>
      <c r="M35" s="306">
        <v>2</v>
      </c>
    </row>
    <row r="36" spans="1:13" s="116" customFormat="1" ht="23.1" customHeight="1" x14ac:dyDescent="0.2">
      <c r="A36" s="208"/>
      <c r="B36" s="82"/>
      <c r="C36" s="82"/>
      <c r="D36" s="148">
        <v>2018</v>
      </c>
      <c r="E36" s="146">
        <f>SUM(F36:M36)</f>
        <v>10</v>
      </c>
      <c r="F36" s="307" t="s">
        <v>51</v>
      </c>
      <c r="G36" s="306">
        <f>1</f>
        <v>1</v>
      </c>
      <c r="H36" s="306">
        <v>1</v>
      </c>
      <c r="I36" s="306">
        <v>2</v>
      </c>
      <c r="J36" s="306"/>
      <c r="K36" s="307" t="s">
        <v>51</v>
      </c>
      <c r="L36" s="307" t="s">
        <v>51</v>
      </c>
      <c r="M36" s="306">
        <f>6</f>
        <v>6</v>
      </c>
    </row>
    <row r="37" spans="1:13" s="116" customFormat="1" ht="23.1" customHeight="1" x14ac:dyDescent="0.2">
      <c r="A37" s="208"/>
      <c r="B37" s="82"/>
      <c r="C37" s="82"/>
      <c r="D37" s="148">
        <v>2019</v>
      </c>
      <c r="E37" s="146">
        <f>SUM(F37:M37)</f>
        <v>5</v>
      </c>
      <c r="F37" s="307" t="s">
        <v>51</v>
      </c>
      <c r="G37" s="306">
        <v>2</v>
      </c>
      <c r="H37" s="307" t="s">
        <v>51</v>
      </c>
      <c r="I37" s="307" t="s">
        <v>51</v>
      </c>
      <c r="J37" s="306"/>
      <c r="K37" s="307" t="s">
        <v>51</v>
      </c>
      <c r="L37" s="307" t="s">
        <v>51</v>
      </c>
      <c r="M37" s="306">
        <v>3</v>
      </c>
    </row>
    <row r="38" spans="1:13" s="116" customFormat="1" ht="23.1" customHeight="1" x14ac:dyDescent="0.2">
      <c r="A38" s="208"/>
      <c r="B38" s="82"/>
      <c r="C38" s="82"/>
      <c r="D38" s="148"/>
      <c r="E38" s="146"/>
      <c r="F38" s="306"/>
      <c r="G38" s="306"/>
      <c r="H38" s="307"/>
      <c r="I38" s="307"/>
      <c r="J38" s="306"/>
      <c r="K38" s="307"/>
      <c r="L38" s="307"/>
      <c r="M38" s="306"/>
    </row>
    <row r="39" spans="1:13" s="116" customFormat="1" ht="23.1" customHeight="1" x14ac:dyDescent="0.2">
      <c r="A39" s="208"/>
      <c r="B39" s="82" t="s">
        <v>130</v>
      </c>
      <c r="C39" s="82"/>
      <c r="D39" s="148">
        <v>2017</v>
      </c>
      <c r="E39" s="146">
        <f>SUM(F39:M39)</f>
        <v>5</v>
      </c>
      <c r="F39" s="307" t="s">
        <v>51</v>
      </c>
      <c r="G39" s="306">
        <v>1</v>
      </c>
      <c r="H39" s="307" t="s">
        <v>51</v>
      </c>
      <c r="I39" s="306">
        <v>1</v>
      </c>
      <c r="J39" s="306"/>
      <c r="K39" s="307" t="s">
        <v>51</v>
      </c>
      <c r="L39" s="307" t="s">
        <v>51</v>
      </c>
      <c r="M39" s="306">
        <v>3</v>
      </c>
    </row>
    <row r="40" spans="1:13" s="116" customFormat="1" ht="23.1" customHeight="1" x14ac:dyDescent="0.2">
      <c r="A40" s="208"/>
      <c r="B40" s="82"/>
      <c r="C40" s="82"/>
      <c r="D40" s="148">
        <v>2018</v>
      </c>
      <c r="E40" s="146">
        <f>SUM(F40:M40)</f>
        <v>3</v>
      </c>
      <c r="F40" s="307" t="s">
        <v>51</v>
      </c>
      <c r="G40" s="306">
        <f>2</f>
        <v>2</v>
      </c>
      <c r="H40" s="307" t="s">
        <v>51</v>
      </c>
      <c r="I40" s="307" t="s">
        <v>51</v>
      </c>
      <c r="J40" s="307"/>
      <c r="K40" s="307" t="s">
        <v>51</v>
      </c>
      <c r="L40" s="307" t="s">
        <v>51</v>
      </c>
      <c r="M40" s="306">
        <f>1</f>
        <v>1</v>
      </c>
    </row>
    <row r="41" spans="1:13" s="116" customFormat="1" ht="23.1" customHeight="1" x14ac:dyDescent="0.2">
      <c r="A41" s="208"/>
      <c r="B41" s="82"/>
      <c r="C41" s="82"/>
      <c r="D41" s="148">
        <v>2019</v>
      </c>
      <c r="E41" s="146">
        <f>SUM(F41:M41)</f>
        <v>2</v>
      </c>
      <c r="F41" s="307" t="s">
        <v>51</v>
      </c>
      <c r="G41" s="307" t="s">
        <v>51</v>
      </c>
      <c r="H41" s="307" t="s">
        <v>51</v>
      </c>
      <c r="I41" s="306">
        <v>1</v>
      </c>
      <c r="J41" s="306"/>
      <c r="K41" s="307" t="s">
        <v>51</v>
      </c>
      <c r="L41" s="307" t="s">
        <v>51</v>
      </c>
      <c r="M41" s="306">
        <v>1</v>
      </c>
    </row>
    <row r="42" spans="1:13" s="116" customFormat="1" ht="23.1" customHeight="1" x14ac:dyDescent="0.2">
      <c r="A42" s="208"/>
      <c r="B42" s="82"/>
      <c r="C42" s="82"/>
      <c r="D42" s="148"/>
      <c r="E42" s="146"/>
      <c r="F42" s="306"/>
      <c r="G42" s="306"/>
      <c r="H42" s="307"/>
      <c r="I42" s="307"/>
      <c r="J42" s="306"/>
      <c r="K42" s="307"/>
      <c r="L42" s="307"/>
      <c r="M42" s="306"/>
    </row>
    <row r="43" spans="1:13" s="116" customFormat="1" ht="23.1" customHeight="1" x14ac:dyDescent="0.2">
      <c r="A43" s="208"/>
      <c r="B43" s="82" t="s">
        <v>131</v>
      </c>
      <c r="C43" s="82"/>
      <c r="D43" s="148">
        <v>2017</v>
      </c>
      <c r="E43" s="146">
        <f>SUM(F43:M43)</f>
        <v>5</v>
      </c>
      <c r="F43" s="307" t="s">
        <v>51</v>
      </c>
      <c r="G43" s="306">
        <v>4</v>
      </c>
      <c r="H43" s="307" t="s">
        <v>51</v>
      </c>
      <c r="I43" s="307" t="s">
        <v>51</v>
      </c>
      <c r="J43" s="307"/>
      <c r="K43" s="307" t="s">
        <v>51</v>
      </c>
      <c r="L43" s="307" t="s">
        <v>51</v>
      </c>
      <c r="M43" s="306">
        <v>1</v>
      </c>
    </row>
    <row r="44" spans="1:13" s="116" customFormat="1" ht="23.1" customHeight="1" x14ac:dyDescent="0.2">
      <c r="A44" s="208"/>
      <c r="B44" s="82"/>
      <c r="C44" s="82"/>
      <c r="D44" s="148">
        <v>2018</v>
      </c>
      <c r="E44" s="146">
        <f>SUM(F44:M44)</f>
        <v>8</v>
      </c>
      <c r="F44" s="307" t="s">
        <v>51</v>
      </c>
      <c r="G44" s="306">
        <f>2</f>
        <v>2</v>
      </c>
      <c r="H44" s="307" t="s">
        <v>51</v>
      </c>
      <c r="I44" s="307" t="s">
        <v>51</v>
      </c>
      <c r="J44" s="307"/>
      <c r="K44" s="307" t="s">
        <v>51</v>
      </c>
      <c r="L44" s="307" t="s">
        <v>51</v>
      </c>
      <c r="M44" s="306">
        <f>6</f>
        <v>6</v>
      </c>
    </row>
    <row r="45" spans="1:13" s="116" customFormat="1" ht="23.1" customHeight="1" x14ac:dyDescent="0.2">
      <c r="A45" s="208"/>
      <c r="B45" s="82"/>
      <c r="C45" s="82"/>
      <c r="D45" s="148">
        <v>2019</v>
      </c>
      <c r="E45" s="146">
        <f>SUM(F45:M45)</f>
        <v>3</v>
      </c>
      <c r="F45" s="307" t="s">
        <v>51</v>
      </c>
      <c r="G45" s="306">
        <v>1</v>
      </c>
      <c r="H45" s="307" t="s">
        <v>51</v>
      </c>
      <c r="I45" s="307" t="s">
        <v>51</v>
      </c>
      <c r="J45" s="306"/>
      <c r="K45" s="307" t="s">
        <v>51</v>
      </c>
      <c r="L45" s="307" t="s">
        <v>51</v>
      </c>
      <c r="M45" s="306">
        <v>2</v>
      </c>
    </row>
    <row r="46" spans="1:13" s="116" customFormat="1" ht="23.1" customHeight="1" x14ac:dyDescent="0.2">
      <c r="A46" s="208"/>
      <c r="B46" s="82"/>
      <c r="C46" s="82"/>
      <c r="D46" s="141"/>
      <c r="E46" s="146"/>
      <c r="F46" s="306"/>
      <c r="G46" s="306"/>
      <c r="H46" s="307"/>
      <c r="I46" s="307"/>
      <c r="J46" s="306"/>
      <c r="K46" s="307"/>
      <c r="L46" s="307"/>
      <c r="M46" s="306"/>
    </row>
    <row r="47" spans="1:13" s="116" customFormat="1" ht="23.1" customHeight="1" x14ac:dyDescent="0.2">
      <c r="A47" s="208"/>
      <c r="B47" s="82" t="s">
        <v>132</v>
      </c>
      <c r="C47" s="82"/>
      <c r="D47" s="148">
        <v>2017</v>
      </c>
      <c r="E47" s="146">
        <f>SUM(F47:M47)</f>
        <v>11</v>
      </c>
      <c r="F47" s="306">
        <v>2</v>
      </c>
      <c r="G47" s="306">
        <v>3</v>
      </c>
      <c r="H47" s="307" t="s">
        <v>51</v>
      </c>
      <c r="I47" s="307" t="s">
        <v>51</v>
      </c>
      <c r="J47" s="307"/>
      <c r="K47" s="307" t="s">
        <v>51</v>
      </c>
      <c r="L47" s="307" t="s">
        <v>51</v>
      </c>
      <c r="M47" s="306">
        <v>6</v>
      </c>
    </row>
    <row r="48" spans="1:13" s="116" customFormat="1" ht="23.1" customHeight="1" x14ac:dyDescent="0.2">
      <c r="A48" s="208"/>
      <c r="B48" s="82"/>
      <c r="C48" s="82"/>
      <c r="D48" s="148">
        <v>2018</v>
      </c>
      <c r="E48" s="146">
        <f>SUM(F48:M48)</f>
        <v>8</v>
      </c>
      <c r="F48" s="307" t="s">
        <v>51</v>
      </c>
      <c r="G48" s="306">
        <f>1</f>
        <v>1</v>
      </c>
      <c r="H48" s="307" t="s">
        <v>51</v>
      </c>
      <c r="I48" s="307" t="s">
        <v>51</v>
      </c>
      <c r="J48" s="306"/>
      <c r="K48" s="307" t="s">
        <v>51</v>
      </c>
      <c r="L48" s="306">
        <v>1</v>
      </c>
      <c r="M48" s="306">
        <f>6</f>
        <v>6</v>
      </c>
    </row>
    <row r="49" spans="1:14" s="116" customFormat="1" ht="23.1" customHeight="1" x14ac:dyDescent="0.2">
      <c r="A49" s="208"/>
      <c r="B49" s="82"/>
      <c r="C49" s="82"/>
      <c r="D49" s="148">
        <v>2019</v>
      </c>
      <c r="E49" s="146">
        <f>SUM(F49:M49)</f>
        <v>7</v>
      </c>
      <c r="F49" s="411" t="s">
        <v>51</v>
      </c>
      <c r="G49" s="143">
        <v>4</v>
      </c>
      <c r="H49" s="411" t="s">
        <v>51</v>
      </c>
      <c r="I49" s="411" t="s">
        <v>51</v>
      </c>
      <c r="J49" s="143"/>
      <c r="K49" s="411" t="s">
        <v>51</v>
      </c>
      <c r="L49" s="411" t="s">
        <v>51</v>
      </c>
      <c r="M49" s="143">
        <v>3</v>
      </c>
    </row>
    <row r="50" spans="1:14" s="53" customFormat="1" ht="8.1" customHeight="1" thickBot="1" x14ac:dyDescent="0.25">
      <c r="A50" s="195"/>
      <c r="B50" s="196"/>
      <c r="C50" s="196"/>
      <c r="D50" s="196"/>
      <c r="E50" s="197"/>
      <c r="F50" s="198"/>
      <c r="G50" s="198"/>
      <c r="H50" s="198"/>
      <c r="I50" s="198"/>
      <c r="J50" s="198"/>
      <c r="K50" s="198"/>
      <c r="L50" s="198"/>
      <c r="M50" s="199"/>
      <c r="N50" s="195"/>
    </row>
    <row r="51" spans="1:14" s="53" customFormat="1" ht="12.75" x14ac:dyDescent="0.2">
      <c r="B51" s="115"/>
      <c r="C51" s="115"/>
      <c r="D51" s="115"/>
      <c r="E51" s="63"/>
      <c r="F51" s="114"/>
      <c r="G51" s="114"/>
      <c r="H51" s="114"/>
      <c r="I51" s="114"/>
      <c r="J51" s="114"/>
      <c r="K51" s="114"/>
      <c r="L51" s="114"/>
      <c r="M51" s="189"/>
      <c r="N51" s="8" t="s">
        <v>99</v>
      </c>
    </row>
    <row r="52" spans="1:14" s="53" customFormat="1" ht="12.75" x14ac:dyDescent="0.2">
      <c r="B52" s="115"/>
      <c r="C52" s="115"/>
      <c r="D52" s="115"/>
      <c r="E52" s="63"/>
      <c r="F52" s="114"/>
      <c r="G52" s="114"/>
      <c r="H52" s="114"/>
      <c r="I52" s="114"/>
      <c r="J52" s="114"/>
      <c r="K52" s="114"/>
      <c r="L52" s="114"/>
      <c r="M52" s="189"/>
      <c r="N52" s="41" t="s">
        <v>1</v>
      </c>
    </row>
    <row r="53" spans="1:14" s="7" customFormat="1" ht="17.100000000000001" customHeight="1" x14ac:dyDescent="0.2">
      <c r="A53" s="213"/>
      <c r="B53" s="40"/>
      <c r="C53" s="40"/>
      <c r="D53" s="43"/>
      <c r="E53" s="10"/>
      <c r="F53" s="10"/>
      <c r="G53" s="10"/>
      <c r="H53" s="10"/>
      <c r="I53" s="10"/>
      <c r="J53" s="10"/>
      <c r="K53" s="10"/>
      <c r="L53" s="10"/>
      <c r="M53" s="10"/>
    </row>
  </sheetData>
  <mergeCells count="4">
    <mergeCell ref="B11:C11"/>
    <mergeCell ref="H11:I11"/>
    <mergeCell ref="K11:L11"/>
    <mergeCell ref="B12:C12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70" fitToWidth="0" orientation="portrait" r:id="rId1"/>
  <headerFooter>
    <oddHeader xml:space="preserve">&amp;R&amp;"-,Bold"
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81"/>
  <sheetViews>
    <sheetView showGridLines="0" topLeftCell="A28" zoomScaleNormal="100" zoomScaleSheetLayoutView="100" workbookViewId="0">
      <selection activeCell="AA22" sqref="AA22"/>
    </sheetView>
  </sheetViews>
  <sheetFormatPr defaultRowHeight="15" x14ac:dyDescent="0.25"/>
  <cols>
    <col min="1" max="1" width="1.5703125" style="2" customWidth="1"/>
    <col min="2" max="2" width="9.85546875" style="3" customWidth="1"/>
    <col min="3" max="3" width="14.42578125" style="3" customWidth="1"/>
    <col min="4" max="4" width="7.42578125" style="3" customWidth="1"/>
    <col min="5" max="5" width="10.7109375" style="21" customWidth="1"/>
    <col min="6" max="8" width="10.7109375" style="22" customWidth="1"/>
    <col min="9" max="9" width="14.85546875" style="22" customWidth="1"/>
    <col min="10" max="10" width="1.7109375" style="22" customWidth="1"/>
    <col min="11" max="11" width="10.7109375" style="22" customWidth="1"/>
    <col min="12" max="12" width="14.85546875" style="22" customWidth="1"/>
    <col min="13" max="13" width="14.42578125" style="5" customWidth="1"/>
    <col min="14" max="14" width="0.85546875" style="2" customWidth="1"/>
    <col min="15" max="16384" width="9.140625" style="2"/>
  </cols>
  <sheetData>
    <row r="1" spans="1:14" ht="9.9499999999999993" customHeight="1" x14ac:dyDescent="0.25">
      <c r="B1" s="3" t="s">
        <v>196</v>
      </c>
    </row>
    <row r="2" spans="1:14" s="30" customFormat="1" ht="12.95" customHeight="1" x14ac:dyDescent="0.25">
      <c r="B2" s="27"/>
      <c r="C2" s="27"/>
      <c r="D2" s="29"/>
      <c r="E2" s="28"/>
      <c r="F2" s="29"/>
      <c r="M2" s="160" t="s">
        <v>179</v>
      </c>
      <c r="N2" s="29"/>
    </row>
    <row r="3" spans="1:14" s="30" customFormat="1" ht="12.95" customHeight="1" x14ac:dyDescent="0.25">
      <c r="B3" s="27"/>
      <c r="C3" s="27"/>
      <c r="D3" s="29"/>
      <c r="E3" s="28"/>
      <c r="F3" s="29"/>
      <c r="M3" s="68" t="s">
        <v>180</v>
      </c>
      <c r="N3" s="29"/>
    </row>
    <row r="4" spans="1:14" s="30" customFormat="1" ht="12" customHeight="1" x14ac:dyDescent="0.25">
      <c r="B4" s="27"/>
      <c r="C4" s="27"/>
      <c r="D4" s="29"/>
      <c r="E4" s="28"/>
      <c r="F4" s="29"/>
      <c r="G4" s="68"/>
      <c r="N4" s="29"/>
    </row>
    <row r="5" spans="1:14" s="30" customFormat="1" ht="12" customHeight="1" x14ac:dyDescent="0.25">
      <c r="B5" s="27"/>
      <c r="C5" s="27"/>
      <c r="D5" s="29"/>
      <c r="E5" s="28"/>
      <c r="F5" s="29"/>
      <c r="G5" s="68"/>
      <c r="N5" s="29"/>
    </row>
    <row r="6" spans="1:14" s="53" customFormat="1" ht="9.75" customHeight="1" x14ac:dyDescent="0.2">
      <c r="B6" s="115"/>
      <c r="C6" s="115"/>
      <c r="D6" s="189"/>
      <c r="E6" s="190"/>
      <c r="F6" s="189"/>
      <c r="G6" s="189"/>
      <c r="H6" s="191"/>
      <c r="I6" s="191"/>
      <c r="J6" s="191"/>
      <c r="K6" s="191"/>
      <c r="L6" s="191"/>
      <c r="M6" s="189"/>
      <c r="N6" s="114"/>
    </row>
    <row r="7" spans="1:14" s="53" customFormat="1" ht="15" customHeight="1" x14ac:dyDescent="0.2">
      <c r="B7" s="63" t="s">
        <v>186</v>
      </c>
      <c r="C7" s="64" t="s">
        <v>239</v>
      </c>
      <c r="D7" s="115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4" s="65" customFormat="1" ht="15" customHeight="1" x14ac:dyDescent="0.2">
      <c r="B8" s="66" t="s">
        <v>187</v>
      </c>
      <c r="C8" s="67" t="s">
        <v>240</v>
      </c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4" s="53" customFormat="1" ht="6.75" customHeight="1" thickBot="1" x14ac:dyDescent="0.25">
      <c r="B9" s="115"/>
      <c r="C9" s="115"/>
      <c r="D9" s="115"/>
      <c r="E9" s="63"/>
      <c r="F9" s="114"/>
      <c r="G9" s="114"/>
      <c r="H9" s="114"/>
      <c r="I9" s="114"/>
      <c r="J9" s="114"/>
      <c r="K9" s="114"/>
      <c r="L9" s="114"/>
      <c r="M9" s="189"/>
    </row>
    <row r="10" spans="1:14" s="53" customFormat="1" ht="9.9499999999999993" customHeight="1" thickTop="1" x14ac:dyDescent="0.2">
      <c r="A10" s="378"/>
      <c r="B10" s="388"/>
      <c r="C10" s="388"/>
      <c r="D10" s="389"/>
      <c r="E10" s="374"/>
      <c r="F10" s="375"/>
      <c r="G10" s="375"/>
      <c r="H10" s="376"/>
      <c r="I10" s="375"/>
      <c r="J10" s="375"/>
      <c r="K10" s="375"/>
      <c r="L10" s="375"/>
      <c r="M10" s="377"/>
      <c r="N10" s="378"/>
    </row>
    <row r="11" spans="1:14" s="53" customFormat="1" ht="27.75" customHeight="1" x14ac:dyDescent="0.2">
      <c r="A11" s="390"/>
      <c r="B11" s="432" t="s">
        <v>210</v>
      </c>
      <c r="C11" s="432"/>
      <c r="D11" s="379" t="s">
        <v>222</v>
      </c>
      <c r="E11" s="379" t="s">
        <v>220</v>
      </c>
      <c r="F11" s="379" t="s">
        <v>219</v>
      </c>
      <c r="G11" s="379" t="s">
        <v>218</v>
      </c>
      <c r="H11" s="433" t="s">
        <v>234</v>
      </c>
      <c r="I11" s="433"/>
      <c r="J11" s="380"/>
      <c r="K11" s="433" t="s">
        <v>221</v>
      </c>
      <c r="L11" s="433"/>
      <c r="M11" s="379" t="s">
        <v>217</v>
      </c>
      <c r="N11" s="381"/>
    </row>
    <row r="12" spans="1:14" s="53" customFormat="1" ht="30" customHeight="1" x14ac:dyDescent="0.2">
      <c r="A12" s="390"/>
      <c r="B12" s="434" t="s">
        <v>211</v>
      </c>
      <c r="C12" s="434"/>
      <c r="D12" s="382" t="s">
        <v>212</v>
      </c>
      <c r="E12" s="382" t="s">
        <v>213</v>
      </c>
      <c r="F12" s="382" t="s">
        <v>214</v>
      </c>
      <c r="G12" s="382" t="s">
        <v>215</v>
      </c>
      <c r="H12" s="383" t="s">
        <v>225</v>
      </c>
      <c r="I12" s="383" t="s">
        <v>226</v>
      </c>
      <c r="J12" s="383"/>
      <c r="K12" s="383" t="s">
        <v>225</v>
      </c>
      <c r="L12" s="383" t="s">
        <v>226</v>
      </c>
      <c r="M12" s="384" t="s">
        <v>216</v>
      </c>
      <c r="N12" s="385"/>
    </row>
    <row r="13" spans="1:14" s="53" customFormat="1" ht="30" customHeight="1" x14ac:dyDescent="0.2">
      <c r="A13" s="391"/>
      <c r="B13" s="392"/>
      <c r="C13" s="392"/>
      <c r="D13" s="386"/>
      <c r="E13" s="386"/>
      <c r="F13" s="386"/>
      <c r="G13" s="386"/>
      <c r="H13" s="387" t="s">
        <v>223</v>
      </c>
      <c r="I13" s="387" t="s">
        <v>224</v>
      </c>
      <c r="J13" s="387"/>
      <c r="K13" s="387" t="s">
        <v>223</v>
      </c>
      <c r="L13" s="387" t="s">
        <v>224</v>
      </c>
      <c r="M13" s="370"/>
      <c r="N13" s="373"/>
    </row>
    <row r="14" spans="1:14" s="53" customFormat="1" ht="6" customHeight="1" x14ac:dyDescent="0.2">
      <c r="A14" s="116"/>
      <c r="B14" s="180"/>
      <c r="C14" s="180"/>
      <c r="D14" s="90"/>
      <c r="E14" s="90"/>
      <c r="F14" s="192"/>
      <c r="G14" s="192"/>
      <c r="H14" s="192"/>
      <c r="I14" s="192"/>
      <c r="J14" s="192"/>
      <c r="K14" s="192"/>
      <c r="L14" s="192"/>
      <c r="M14" s="192"/>
      <c r="N14" s="86"/>
    </row>
    <row r="15" spans="1:14" s="106" customFormat="1" ht="20.100000000000001" customHeight="1" x14ac:dyDescent="0.2">
      <c r="A15" s="208"/>
      <c r="B15" s="124" t="s">
        <v>200</v>
      </c>
      <c r="C15" s="124"/>
      <c r="D15" s="62"/>
      <c r="E15" s="145"/>
      <c r="F15" s="145"/>
      <c r="G15" s="145"/>
      <c r="H15" s="145"/>
      <c r="I15" s="145"/>
      <c r="J15" s="145"/>
      <c r="K15" s="145"/>
      <c r="L15" s="145"/>
      <c r="M15" s="145"/>
    </row>
    <row r="16" spans="1:14" s="116" customFormat="1" ht="20.100000000000001" customHeight="1" x14ac:dyDescent="0.2">
      <c r="A16" s="208"/>
      <c r="B16" s="82"/>
      <c r="C16" s="82"/>
      <c r="D16" s="62"/>
      <c r="E16" s="146"/>
      <c r="F16" s="146"/>
      <c r="G16" s="146"/>
      <c r="H16" s="146"/>
      <c r="I16" s="146"/>
      <c r="J16" s="146"/>
      <c r="K16" s="146"/>
      <c r="L16" s="146"/>
      <c r="M16" s="146"/>
    </row>
    <row r="17" spans="1:13" s="116" customFormat="1" ht="20.100000000000001" customHeight="1" x14ac:dyDescent="0.2">
      <c r="A17" s="208"/>
      <c r="B17" s="82" t="s">
        <v>133</v>
      </c>
      <c r="C17" s="82"/>
      <c r="D17" s="148">
        <v>2017</v>
      </c>
      <c r="E17" s="146">
        <f>SUM(F17:M17)</f>
        <v>45</v>
      </c>
      <c r="F17" s="320">
        <v>1</v>
      </c>
      <c r="G17" s="146">
        <v>4</v>
      </c>
      <c r="H17" s="144" t="s">
        <v>51</v>
      </c>
      <c r="I17" s="146">
        <v>13</v>
      </c>
      <c r="J17" s="146"/>
      <c r="K17" s="146">
        <v>1</v>
      </c>
      <c r="L17" s="146">
        <v>7</v>
      </c>
      <c r="M17" s="146">
        <v>19</v>
      </c>
    </row>
    <row r="18" spans="1:13" s="116" customFormat="1" ht="20.100000000000001" customHeight="1" x14ac:dyDescent="0.2">
      <c r="A18" s="208"/>
      <c r="B18" s="82"/>
      <c r="C18" s="82"/>
      <c r="D18" s="148">
        <v>2018</v>
      </c>
      <c r="E18" s="146">
        <f>SUM(F18:M18)</f>
        <v>31</v>
      </c>
      <c r="F18" s="321" t="s">
        <v>51</v>
      </c>
      <c r="G18" s="146">
        <v>6</v>
      </c>
      <c r="H18" s="146">
        <v>1</v>
      </c>
      <c r="I18" s="146">
        <v>15</v>
      </c>
      <c r="J18" s="146"/>
      <c r="K18" s="144" t="s">
        <v>51</v>
      </c>
      <c r="L18" s="146">
        <v>3</v>
      </c>
      <c r="M18" s="146">
        <v>6</v>
      </c>
    </row>
    <row r="19" spans="1:13" s="116" customFormat="1" ht="20.100000000000001" customHeight="1" x14ac:dyDescent="0.2">
      <c r="A19" s="208"/>
      <c r="B19" s="82"/>
      <c r="C19" s="82"/>
      <c r="D19" s="148">
        <v>2019</v>
      </c>
      <c r="E19" s="146">
        <f>SUM(F19:M19)</f>
        <v>61</v>
      </c>
      <c r="F19" s="320">
        <v>3</v>
      </c>
      <c r="G19" s="146">
        <v>16</v>
      </c>
      <c r="H19" s="146">
        <v>1</v>
      </c>
      <c r="I19" s="146">
        <v>19</v>
      </c>
      <c r="J19" s="146"/>
      <c r="K19" s="144" t="s">
        <v>51</v>
      </c>
      <c r="L19" s="146">
        <v>3</v>
      </c>
      <c r="M19" s="146">
        <v>19</v>
      </c>
    </row>
    <row r="20" spans="1:13" s="116" customFormat="1" ht="20.100000000000001" customHeight="1" x14ac:dyDescent="0.2">
      <c r="A20" s="208"/>
      <c r="B20" s="82"/>
      <c r="C20" s="82"/>
      <c r="D20" s="148"/>
      <c r="E20" s="146"/>
      <c r="F20" s="320"/>
      <c r="G20" s="146"/>
      <c r="H20" s="146"/>
      <c r="I20" s="146"/>
      <c r="J20" s="146"/>
      <c r="K20" s="144"/>
      <c r="L20" s="146"/>
      <c r="M20" s="146"/>
    </row>
    <row r="21" spans="1:13" s="53" customFormat="1" ht="20.100000000000001" customHeight="1" x14ac:dyDescent="0.2">
      <c r="A21" s="208"/>
      <c r="B21" s="82" t="s">
        <v>134</v>
      </c>
      <c r="C21" s="82"/>
      <c r="D21" s="148">
        <v>2017</v>
      </c>
      <c r="E21" s="146">
        <f>SUM(F21:M21)</f>
        <v>180</v>
      </c>
      <c r="F21" s="320">
        <v>2</v>
      </c>
      <c r="G21" s="146">
        <v>15</v>
      </c>
      <c r="H21" s="144" t="s">
        <v>51</v>
      </c>
      <c r="I21" s="146">
        <v>59</v>
      </c>
      <c r="J21" s="146"/>
      <c r="K21" s="144" t="s">
        <v>51</v>
      </c>
      <c r="L21" s="146">
        <v>24</v>
      </c>
      <c r="M21" s="146">
        <v>80</v>
      </c>
    </row>
    <row r="22" spans="1:13" s="53" customFormat="1" ht="20.100000000000001" customHeight="1" x14ac:dyDescent="0.2">
      <c r="A22" s="208"/>
      <c r="B22" s="82"/>
      <c r="C22" s="82"/>
      <c r="D22" s="148">
        <v>2018</v>
      </c>
      <c r="E22" s="146">
        <f>SUM(F22:M22)</f>
        <v>101</v>
      </c>
      <c r="F22" s="320">
        <v>1</v>
      </c>
      <c r="G22" s="146">
        <v>10</v>
      </c>
      <c r="H22" s="144" t="s">
        <v>51</v>
      </c>
      <c r="I22" s="146">
        <v>54</v>
      </c>
      <c r="J22" s="146"/>
      <c r="K22" s="144" t="s">
        <v>51</v>
      </c>
      <c r="L22" s="146">
        <v>30</v>
      </c>
      <c r="M22" s="146">
        <v>6</v>
      </c>
    </row>
    <row r="23" spans="1:13" s="53" customFormat="1" ht="20.100000000000001" customHeight="1" x14ac:dyDescent="0.2">
      <c r="A23" s="208"/>
      <c r="B23" s="82"/>
      <c r="C23" s="82"/>
      <c r="D23" s="148">
        <v>2019</v>
      </c>
      <c r="E23" s="146">
        <f>SUM(F23:M23)</f>
        <v>215</v>
      </c>
      <c r="F23" s="320">
        <v>2</v>
      </c>
      <c r="G23" s="146">
        <v>18</v>
      </c>
      <c r="H23" s="144" t="s">
        <v>51</v>
      </c>
      <c r="I23" s="146">
        <v>77</v>
      </c>
      <c r="J23" s="146"/>
      <c r="K23" s="144" t="s">
        <v>51</v>
      </c>
      <c r="L23" s="146">
        <v>50</v>
      </c>
      <c r="M23" s="146">
        <v>68</v>
      </c>
    </row>
    <row r="24" spans="1:13" s="53" customFormat="1" ht="20.100000000000001" customHeight="1" x14ac:dyDescent="0.2">
      <c r="A24" s="208"/>
      <c r="B24" s="82"/>
      <c r="C24" s="82"/>
      <c r="D24" s="148"/>
      <c r="E24" s="146"/>
      <c r="F24" s="320"/>
      <c r="G24" s="146"/>
      <c r="H24" s="144"/>
      <c r="I24" s="146"/>
      <c r="J24" s="146"/>
      <c r="K24" s="144"/>
      <c r="L24" s="146"/>
      <c r="M24" s="146"/>
    </row>
    <row r="25" spans="1:13" s="53" customFormat="1" ht="20.100000000000001" customHeight="1" x14ac:dyDescent="0.2">
      <c r="A25" s="208"/>
      <c r="B25" s="82" t="s">
        <v>135</v>
      </c>
      <c r="C25" s="82"/>
      <c r="D25" s="148">
        <v>2017</v>
      </c>
      <c r="E25" s="146">
        <f>SUM(F25:M25)</f>
        <v>4</v>
      </c>
      <c r="F25" s="321" t="s">
        <v>51</v>
      </c>
      <c r="G25" s="146">
        <v>1</v>
      </c>
      <c r="H25" s="144" t="s">
        <v>51</v>
      </c>
      <c r="I25" s="144" t="s">
        <v>51</v>
      </c>
      <c r="J25" s="146"/>
      <c r="K25" s="144" t="s">
        <v>51</v>
      </c>
      <c r="L25" s="146">
        <v>1</v>
      </c>
      <c r="M25" s="146">
        <v>2</v>
      </c>
    </row>
    <row r="26" spans="1:13" s="53" customFormat="1" ht="20.100000000000001" customHeight="1" x14ac:dyDescent="0.2">
      <c r="A26" s="208"/>
      <c r="B26" s="82"/>
      <c r="C26" s="82"/>
      <c r="D26" s="148">
        <v>2018</v>
      </c>
      <c r="E26" s="146">
        <f>SUM(F26:M26)</f>
        <v>26</v>
      </c>
      <c r="F26" s="321" t="s">
        <v>51</v>
      </c>
      <c r="G26" s="146">
        <v>4</v>
      </c>
      <c r="H26" s="144" t="s">
        <v>51</v>
      </c>
      <c r="I26" s="146">
        <v>1</v>
      </c>
      <c r="J26" s="146"/>
      <c r="K26" s="144" t="s">
        <v>51</v>
      </c>
      <c r="L26" s="144" t="s">
        <v>51</v>
      </c>
      <c r="M26" s="146">
        <v>21</v>
      </c>
    </row>
    <row r="27" spans="1:13" s="53" customFormat="1" ht="20.100000000000001" customHeight="1" x14ac:dyDescent="0.2">
      <c r="A27" s="208"/>
      <c r="B27" s="82"/>
      <c r="C27" s="82"/>
      <c r="D27" s="148">
        <v>2019</v>
      </c>
      <c r="E27" s="146">
        <f>SUM(F27:M27)</f>
        <v>7</v>
      </c>
      <c r="F27" s="321" t="s">
        <v>51</v>
      </c>
      <c r="G27" s="146">
        <v>1</v>
      </c>
      <c r="H27" s="144" t="s">
        <v>51</v>
      </c>
      <c r="I27" s="144" t="s">
        <v>51</v>
      </c>
      <c r="J27" s="146"/>
      <c r="K27" s="144" t="s">
        <v>51</v>
      </c>
      <c r="L27" s="144" t="s">
        <v>51</v>
      </c>
      <c r="M27" s="146">
        <v>6</v>
      </c>
    </row>
    <row r="28" spans="1:13" s="53" customFormat="1" ht="20.100000000000001" customHeight="1" x14ac:dyDescent="0.2">
      <c r="A28" s="208"/>
      <c r="B28" s="82"/>
      <c r="C28" s="82"/>
      <c r="D28" s="148"/>
      <c r="E28" s="146"/>
      <c r="F28" s="320"/>
      <c r="G28" s="146"/>
      <c r="H28" s="146"/>
      <c r="I28" s="146"/>
      <c r="J28" s="146"/>
      <c r="K28" s="144"/>
      <c r="L28" s="144"/>
      <c r="M28" s="146"/>
    </row>
    <row r="29" spans="1:13" s="53" customFormat="1" ht="20.100000000000001" customHeight="1" x14ac:dyDescent="0.2">
      <c r="A29" s="208"/>
      <c r="B29" s="82" t="s">
        <v>136</v>
      </c>
      <c r="C29" s="82"/>
      <c r="D29" s="148">
        <v>2017</v>
      </c>
      <c r="E29" s="146">
        <f>SUM(F29:M29)</f>
        <v>15</v>
      </c>
      <c r="F29" s="320">
        <v>1</v>
      </c>
      <c r="G29" s="146">
        <v>5</v>
      </c>
      <c r="H29" s="146">
        <v>1</v>
      </c>
      <c r="I29" s="144" t="s">
        <v>51</v>
      </c>
      <c r="J29" s="146"/>
      <c r="K29" s="144" t="s">
        <v>51</v>
      </c>
      <c r="L29" s="144" t="s">
        <v>51</v>
      </c>
      <c r="M29" s="146">
        <v>8</v>
      </c>
    </row>
    <row r="30" spans="1:13" s="53" customFormat="1" ht="20.100000000000001" customHeight="1" x14ac:dyDescent="0.2">
      <c r="A30" s="208"/>
      <c r="B30" s="82"/>
      <c r="C30" s="82"/>
      <c r="D30" s="148">
        <v>2018</v>
      </c>
      <c r="E30" s="146">
        <f>SUM(F30:M30)</f>
        <v>48</v>
      </c>
      <c r="F30" s="320">
        <v>1</v>
      </c>
      <c r="G30" s="146">
        <v>3</v>
      </c>
      <c r="H30" s="144" t="s">
        <v>51</v>
      </c>
      <c r="I30" s="144" t="s">
        <v>51</v>
      </c>
      <c r="J30" s="146"/>
      <c r="K30" s="144" t="s">
        <v>51</v>
      </c>
      <c r="L30" s="146">
        <v>1</v>
      </c>
      <c r="M30" s="146">
        <v>43</v>
      </c>
    </row>
    <row r="31" spans="1:13" s="53" customFormat="1" ht="20.100000000000001" customHeight="1" x14ac:dyDescent="0.2">
      <c r="A31" s="208"/>
      <c r="B31" s="82"/>
      <c r="C31" s="82"/>
      <c r="D31" s="148">
        <v>2019</v>
      </c>
      <c r="E31" s="146">
        <f>SUM(F31:M31)</f>
        <v>9</v>
      </c>
      <c r="F31" s="320">
        <v>2</v>
      </c>
      <c r="G31" s="146">
        <v>2</v>
      </c>
      <c r="H31" s="144" t="s">
        <v>51</v>
      </c>
      <c r="I31" s="144" t="s">
        <v>51</v>
      </c>
      <c r="J31" s="146"/>
      <c r="K31" s="144" t="s">
        <v>51</v>
      </c>
      <c r="L31" s="146">
        <v>2</v>
      </c>
      <c r="M31" s="146">
        <v>3</v>
      </c>
    </row>
    <row r="32" spans="1:13" s="53" customFormat="1" ht="20.100000000000001" customHeight="1" x14ac:dyDescent="0.2">
      <c r="A32" s="208"/>
      <c r="B32" s="82"/>
      <c r="C32" s="82"/>
      <c r="D32" s="148"/>
      <c r="E32" s="146"/>
      <c r="F32" s="320"/>
      <c r="G32" s="146"/>
      <c r="H32" s="144"/>
      <c r="I32" s="146"/>
      <c r="J32" s="146"/>
      <c r="K32" s="144"/>
      <c r="L32" s="144"/>
      <c r="M32" s="146"/>
    </row>
    <row r="33" spans="1:13" s="53" customFormat="1" ht="20.100000000000001" customHeight="1" x14ac:dyDescent="0.2">
      <c r="A33" s="208"/>
      <c r="B33" s="82" t="s">
        <v>137</v>
      </c>
      <c r="C33" s="82"/>
      <c r="D33" s="148">
        <v>2017</v>
      </c>
      <c r="E33" s="146">
        <f>SUM(F33:M33)</f>
        <v>2</v>
      </c>
      <c r="F33" s="321" t="s">
        <v>51</v>
      </c>
      <c r="G33" s="146">
        <v>1</v>
      </c>
      <c r="H33" s="144" t="s">
        <v>51</v>
      </c>
      <c r="I33" s="144" t="s">
        <v>51</v>
      </c>
      <c r="J33" s="144"/>
      <c r="K33" s="144" t="s">
        <v>51</v>
      </c>
      <c r="L33" s="144" t="s">
        <v>51</v>
      </c>
      <c r="M33" s="146">
        <v>1</v>
      </c>
    </row>
    <row r="34" spans="1:13" s="53" customFormat="1" ht="20.100000000000001" customHeight="1" x14ac:dyDescent="0.2">
      <c r="A34" s="208"/>
      <c r="B34" s="82"/>
      <c r="C34" s="82"/>
      <c r="D34" s="148">
        <v>2018</v>
      </c>
      <c r="E34" s="146">
        <f>SUM(F34:M34)</f>
        <v>5</v>
      </c>
      <c r="F34" s="321" t="s">
        <v>51</v>
      </c>
      <c r="G34" s="146">
        <v>3</v>
      </c>
      <c r="H34" s="144" t="s">
        <v>51</v>
      </c>
      <c r="I34" s="144" t="s">
        <v>51</v>
      </c>
      <c r="J34" s="144"/>
      <c r="K34" s="144" t="s">
        <v>51</v>
      </c>
      <c r="L34" s="144" t="s">
        <v>51</v>
      </c>
      <c r="M34" s="146">
        <v>2</v>
      </c>
    </row>
    <row r="35" spans="1:13" s="53" customFormat="1" ht="20.100000000000001" customHeight="1" x14ac:dyDescent="0.2">
      <c r="A35" s="208"/>
      <c r="B35" s="82"/>
      <c r="C35" s="82"/>
      <c r="D35" s="148">
        <v>2019</v>
      </c>
      <c r="E35" s="146">
        <f>SUM(F35:M35)</f>
        <v>5</v>
      </c>
      <c r="F35" s="321" t="s">
        <v>51</v>
      </c>
      <c r="G35" s="146">
        <v>2</v>
      </c>
      <c r="H35" s="144" t="s">
        <v>51</v>
      </c>
      <c r="I35" s="144" t="s">
        <v>51</v>
      </c>
      <c r="J35" s="146"/>
      <c r="K35" s="144" t="s">
        <v>51</v>
      </c>
      <c r="L35" s="144" t="s">
        <v>51</v>
      </c>
      <c r="M35" s="146">
        <v>3</v>
      </c>
    </row>
    <row r="36" spans="1:13" s="53" customFormat="1" ht="20.100000000000001" customHeight="1" x14ac:dyDescent="0.2">
      <c r="A36" s="208"/>
      <c r="B36" s="82"/>
      <c r="C36" s="82"/>
      <c r="D36" s="148"/>
      <c r="E36" s="146"/>
      <c r="F36" s="320"/>
      <c r="G36" s="146"/>
      <c r="H36" s="144"/>
      <c r="I36" s="146"/>
      <c r="J36" s="146"/>
      <c r="K36" s="144"/>
      <c r="L36" s="146"/>
      <c r="M36" s="146"/>
    </row>
    <row r="37" spans="1:13" s="53" customFormat="1" ht="20.100000000000001" customHeight="1" x14ac:dyDescent="0.2">
      <c r="A37" s="208"/>
      <c r="B37" s="82" t="s">
        <v>138</v>
      </c>
      <c r="C37" s="82"/>
      <c r="D37" s="148">
        <v>2017</v>
      </c>
      <c r="E37" s="146">
        <f>SUM(F37:M37)</f>
        <v>7</v>
      </c>
      <c r="F37" s="321" t="s">
        <v>51</v>
      </c>
      <c r="G37" s="144" t="s">
        <v>51</v>
      </c>
      <c r="H37" s="144" t="s">
        <v>51</v>
      </c>
      <c r="I37" s="146">
        <v>2</v>
      </c>
      <c r="J37" s="146"/>
      <c r="K37" s="144" t="s">
        <v>51</v>
      </c>
      <c r="L37" s="144" t="s">
        <v>51</v>
      </c>
      <c r="M37" s="146">
        <v>5</v>
      </c>
    </row>
    <row r="38" spans="1:13" s="53" customFormat="1" ht="20.100000000000001" customHeight="1" x14ac:dyDescent="0.2">
      <c r="A38" s="208"/>
      <c r="B38" s="82"/>
      <c r="C38" s="82"/>
      <c r="D38" s="148">
        <v>2018</v>
      </c>
      <c r="E38" s="146">
        <f>SUM(F38:M38)</f>
        <v>9</v>
      </c>
      <c r="F38" s="321" t="s">
        <v>51</v>
      </c>
      <c r="G38" s="146">
        <v>2</v>
      </c>
      <c r="H38" s="144" t="s">
        <v>51</v>
      </c>
      <c r="I38" s="144" t="s">
        <v>51</v>
      </c>
      <c r="J38" s="144"/>
      <c r="K38" s="144" t="s">
        <v>51</v>
      </c>
      <c r="L38" s="144" t="s">
        <v>51</v>
      </c>
      <c r="M38" s="146">
        <v>7</v>
      </c>
    </row>
    <row r="39" spans="1:13" s="53" customFormat="1" ht="20.100000000000001" customHeight="1" x14ac:dyDescent="0.2">
      <c r="A39" s="208"/>
      <c r="B39" s="82"/>
      <c r="C39" s="82"/>
      <c r="D39" s="148">
        <v>2019</v>
      </c>
      <c r="E39" s="146">
        <f>SUM(F39:M39)</f>
        <v>9</v>
      </c>
      <c r="F39" s="146">
        <v>1</v>
      </c>
      <c r="G39" s="146">
        <v>6</v>
      </c>
      <c r="H39" s="144" t="s">
        <v>51</v>
      </c>
      <c r="I39" s="146">
        <v>1</v>
      </c>
      <c r="J39" s="146"/>
      <c r="K39" s="144" t="s">
        <v>51</v>
      </c>
      <c r="L39" s="144" t="s">
        <v>51</v>
      </c>
      <c r="M39" s="146">
        <v>1</v>
      </c>
    </row>
    <row r="40" spans="1:13" s="53" customFormat="1" ht="20.100000000000001" customHeight="1" x14ac:dyDescent="0.2">
      <c r="A40" s="208"/>
      <c r="B40" s="82"/>
      <c r="C40" s="82"/>
      <c r="D40" s="148"/>
      <c r="E40" s="146"/>
      <c r="F40" s="146"/>
      <c r="G40" s="146"/>
      <c r="H40" s="144"/>
      <c r="I40" s="146"/>
      <c r="J40" s="146"/>
      <c r="K40" s="144"/>
      <c r="L40" s="144"/>
      <c r="M40" s="146"/>
    </row>
    <row r="41" spans="1:13" s="53" customFormat="1" ht="20.100000000000001" customHeight="1" x14ac:dyDescent="0.2">
      <c r="A41" s="208"/>
      <c r="B41" s="82" t="s">
        <v>139</v>
      </c>
      <c r="C41" s="82"/>
      <c r="D41" s="148">
        <v>2017</v>
      </c>
      <c r="E41" s="146">
        <f>SUM(F41:M41)</f>
        <v>21</v>
      </c>
      <c r="F41" s="144" t="s">
        <v>51</v>
      </c>
      <c r="G41" s="146">
        <v>4</v>
      </c>
      <c r="H41" s="144" t="s">
        <v>51</v>
      </c>
      <c r="I41" s="146">
        <v>1</v>
      </c>
      <c r="J41" s="146"/>
      <c r="K41" s="144" t="s">
        <v>51</v>
      </c>
      <c r="L41" s="144" t="s">
        <v>51</v>
      </c>
      <c r="M41" s="146">
        <v>16</v>
      </c>
    </row>
    <row r="42" spans="1:13" s="53" customFormat="1" ht="20.100000000000001" customHeight="1" x14ac:dyDescent="0.2">
      <c r="A42" s="208"/>
      <c r="B42" s="82"/>
      <c r="C42" s="82"/>
      <c r="D42" s="148">
        <v>2018</v>
      </c>
      <c r="E42" s="146">
        <f>SUM(F42:M42)</f>
        <v>89</v>
      </c>
      <c r="F42" s="114">
        <f>1</f>
        <v>1</v>
      </c>
      <c r="G42" s="114">
        <f>2</f>
        <v>2</v>
      </c>
      <c r="H42" s="301" t="s">
        <v>51</v>
      </c>
      <c r="I42" s="114">
        <v>1</v>
      </c>
      <c r="J42" s="114"/>
      <c r="K42" s="301" t="s">
        <v>51</v>
      </c>
      <c r="L42" s="301" t="s">
        <v>51</v>
      </c>
      <c r="M42" s="114">
        <f>85</f>
        <v>85</v>
      </c>
    </row>
    <row r="43" spans="1:13" s="53" customFormat="1" ht="20.100000000000001" customHeight="1" x14ac:dyDescent="0.2">
      <c r="A43" s="208"/>
      <c r="B43" s="82"/>
      <c r="C43" s="82"/>
      <c r="D43" s="148">
        <v>2019</v>
      </c>
      <c r="E43" s="146">
        <f>SUM(F43:M43)</f>
        <v>19</v>
      </c>
      <c r="F43" s="146">
        <v>2</v>
      </c>
      <c r="G43" s="146">
        <v>6</v>
      </c>
      <c r="H43" s="144" t="s">
        <v>51</v>
      </c>
      <c r="I43" s="144" t="s">
        <v>51</v>
      </c>
      <c r="J43" s="146"/>
      <c r="K43" s="144" t="s">
        <v>51</v>
      </c>
      <c r="L43" s="146">
        <v>1</v>
      </c>
      <c r="M43" s="146">
        <v>10</v>
      </c>
    </row>
    <row r="44" spans="1:13" s="53" customFormat="1" ht="20.100000000000001" customHeight="1" x14ac:dyDescent="0.2">
      <c r="A44" s="208"/>
      <c r="B44" s="82"/>
      <c r="C44" s="82"/>
      <c r="D44" s="141"/>
      <c r="E44" s="146"/>
      <c r="F44" s="146"/>
      <c r="G44" s="146"/>
      <c r="H44" s="144"/>
      <c r="I44" s="144"/>
      <c r="J44" s="146"/>
      <c r="K44" s="144"/>
      <c r="L44" s="146"/>
      <c r="M44" s="146"/>
    </row>
    <row r="45" spans="1:13" s="53" customFormat="1" ht="20.100000000000001" customHeight="1" x14ac:dyDescent="0.2">
      <c r="A45" s="208"/>
      <c r="B45" s="82" t="s">
        <v>140</v>
      </c>
      <c r="C45" s="82"/>
      <c r="D45" s="148">
        <v>2017</v>
      </c>
      <c r="E45" s="146">
        <f>SUM(F45:M45)</f>
        <v>3</v>
      </c>
      <c r="F45" s="144" t="s">
        <v>51</v>
      </c>
      <c r="G45" s="146">
        <v>1</v>
      </c>
      <c r="H45" s="146">
        <v>1</v>
      </c>
      <c r="I45" s="144" t="s">
        <v>51</v>
      </c>
      <c r="J45" s="146"/>
      <c r="K45" s="144" t="s">
        <v>51</v>
      </c>
      <c r="L45" s="144" t="s">
        <v>51</v>
      </c>
      <c r="M45" s="146">
        <v>1</v>
      </c>
    </row>
    <row r="46" spans="1:13" s="53" customFormat="1" ht="20.100000000000001" customHeight="1" x14ac:dyDescent="0.2">
      <c r="A46" s="208"/>
      <c r="B46" s="82"/>
      <c r="C46" s="82"/>
      <c r="D46" s="148">
        <v>2018</v>
      </c>
      <c r="E46" s="146">
        <f>SUM(F46:M46)</f>
        <v>10</v>
      </c>
      <c r="F46" s="301" t="s">
        <v>51</v>
      </c>
      <c r="G46" s="301" t="s">
        <v>51</v>
      </c>
      <c r="H46" s="301" t="s">
        <v>51</v>
      </c>
      <c r="I46" s="114">
        <v>1</v>
      </c>
      <c r="J46" s="114"/>
      <c r="K46" s="301" t="s">
        <v>51</v>
      </c>
      <c r="L46" s="301" t="s">
        <v>51</v>
      </c>
      <c r="M46" s="114">
        <f>9</f>
        <v>9</v>
      </c>
    </row>
    <row r="47" spans="1:13" s="53" customFormat="1" ht="20.100000000000001" customHeight="1" x14ac:dyDescent="0.2">
      <c r="A47" s="208"/>
      <c r="B47" s="82"/>
      <c r="C47" s="82"/>
      <c r="D47" s="148">
        <v>2019</v>
      </c>
      <c r="E47" s="146">
        <f>SUM(F47:M47)</f>
        <v>6</v>
      </c>
      <c r="F47" s="144" t="s">
        <v>51</v>
      </c>
      <c r="G47" s="146">
        <v>1</v>
      </c>
      <c r="H47" s="144" t="s">
        <v>51</v>
      </c>
      <c r="I47" s="144" t="s">
        <v>51</v>
      </c>
      <c r="J47" s="146"/>
      <c r="K47" s="144" t="s">
        <v>51</v>
      </c>
      <c r="L47" s="144" t="s">
        <v>51</v>
      </c>
      <c r="M47" s="146">
        <v>5</v>
      </c>
    </row>
    <row r="48" spans="1:13" s="53" customFormat="1" ht="20.100000000000001" customHeight="1" x14ac:dyDescent="0.2">
      <c r="A48" s="208"/>
      <c r="B48" s="82"/>
      <c r="C48" s="82"/>
      <c r="D48" s="148"/>
      <c r="E48" s="146"/>
      <c r="F48" s="146"/>
      <c r="G48" s="146"/>
      <c r="H48" s="144"/>
      <c r="I48" s="146"/>
      <c r="J48" s="146"/>
      <c r="K48" s="144"/>
      <c r="L48" s="144"/>
      <c r="M48" s="146"/>
    </row>
    <row r="49" spans="1:14" s="53" customFormat="1" ht="20.100000000000001" customHeight="1" x14ac:dyDescent="0.2">
      <c r="A49" s="208"/>
      <c r="B49" s="82" t="s">
        <v>141</v>
      </c>
      <c r="C49" s="82"/>
      <c r="D49" s="148">
        <v>2017</v>
      </c>
      <c r="E49" s="146">
        <f>SUM(F49:M49)</f>
        <v>7</v>
      </c>
      <c r="F49" s="146">
        <v>1</v>
      </c>
      <c r="G49" s="146">
        <v>1</v>
      </c>
      <c r="H49" s="144" t="s">
        <v>51</v>
      </c>
      <c r="I49" s="144" t="s">
        <v>51</v>
      </c>
      <c r="J49" s="144"/>
      <c r="K49" s="144" t="s">
        <v>51</v>
      </c>
      <c r="L49" s="144" t="s">
        <v>51</v>
      </c>
      <c r="M49" s="146">
        <v>5</v>
      </c>
    </row>
    <row r="50" spans="1:14" s="53" customFormat="1" ht="20.100000000000001" customHeight="1" x14ac:dyDescent="0.2">
      <c r="A50" s="208"/>
      <c r="B50" s="82"/>
      <c r="C50" s="82"/>
      <c r="D50" s="148">
        <v>2018</v>
      </c>
      <c r="E50" s="146">
        <f>SUM(F50:M50)</f>
        <v>30</v>
      </c>
      <c r="F50" s="301" t="s">
        <v>51</v>
      </c>
      <c r="G50" s="114">
        <f>1</f>
        <v>1</v>
      </c>
      <c r="H50" s="301" t="s">
        <v>51</v>
      </c>
      <c r="I50" s="114">
        <v>1</v>
      </c>
      <c r="J50" s="114"/>
      <c r="K50" s="301" t="s">
        <v>51</v>
      </c>
      <c r="L50" s="114">
        <v>1</v>
      </c>
      <c r="M50" s="114">
        <f>27</f>
        <v>27</v>
      </c>
    </row>
    <row r="51" spans="1:14" s="53" customFormat="1" ht="20.100000000000001" customHeight="1" x14ac:dyDescent="0.2">
      <c r="A51" s="208"/>
      <c r="B51" s="82"/>
      <c r="C51" s="82"/>
      <c r="D51" s="148">
        <v>2019</v>
      </c>
      <c r="E51" s="146">
        <f>SUM(F51:M51)</f>
        <v>13</v>
      </c>
      <c r="F51" s="144" t="s">
        <v>51</v>
      </c>
      <c r="G51" s="146">
        <v>2</v>
      </c>
      <c r="H51" s="146">
        <v>1</v>
      </c>
      <c r="I51" s="146">
        <v>5</v>
      </c>
      <c r="J51" s="146"/>
      <c r="K51" s="144" t="s">
        <v>51</v>
      </c>
      <c r="L51" s="146">
        <v>1</v>
      </c>
      <c r="M51" s="146">
        <v>4</v>
      </c>
    </row>
    <row r="52" spans="1:14" s="53" customFormat="1" ht="20.100000000000001" customHeight="1" x14ac:dyDescent="0.2">
      <c r="A52" s="208"/>
      <c r="B52" s="82"/>
      <c r="C52" s="82"/>
      <c r="D52" s="148"/>
      <c r="E52" s="146"/>
      <c r="F52" s="146"/>
      <c r="G52" s="146"/>
      <c r="H52" s="146"/>
      <c r="I52" s="146"/>
      <c r="J52" s="146"/>
      <c r="K52" s="146"/>
      <c r="L52" s="146"/>
      <c r="M52" s="146"/>
    </row>
    <row r="53" spans="1:14" s="53" customFormat="1" ht="20.100000000000001" customHeight="1" x14ac:dyDescent="0.2">
      <c r="A53" s="208"/>
      <c r="B53" s="82" t="s">
        <v>142</v>
      </c>
      <c r="C53" s="82"/>
      <c r="D53" s="148">
        <v>2017</v>
      </c>
      <c r="E53" s="146">
        <f>SUM(F53:M53)</f>
        <v>163</v>
      </c>
      <c r="F53" s="146">
        <v>7</v>
      </c>
      <c r="G53" s="146">
        <v>27</v>
      </c>
      <c r="H53" s="144" t="s">
        <v>51</v>
      </c>
      <c r="I53" s="146">
        <v>49</v>
      </c>
      <c r="J53" s="146"/>
      <c r="K53" s="144" t="s">
        <v>51</v>
      </c>
      <c r="L53" s="146">
        <v>19</v>
      </c>
      <c r="M53" s="146">
        <v>61</v>
      </c>
    </row>
    <row r="54" spans="1:14" s="53" customFormat="1" ht="20.100000000000001" customHeight="1" x14ac:dyDescent="0.2">
      <c r="A54" s="208"/>
      <c r="B54" s="82"/>
      <c r="C54" s="82"/>
      <c r="D54" s="148">
        <v>2018</v>
      </c>
      <c r="E54" s="146">
        <f>SUM(F54:M54)</f>
        <v>74</v>
      </c>
      <c r="F54" s="114">
        <f>3</f>
        <v>3</v>
      </c>
      <c r="G54" s="114">
        <f>20</f>
        <v>20</v>
      </c>
      <c r="H54" s="301" t="s">
        <v>51</v>
      </c>
      <c r="I54" s="114">
        <v>33</v>
      </c>
      <c r="J54" s="114"/>
      <c r="K54" s="301" t="s">
        <v>51</v>
      </c>
      <c r="L54" s="114">
        <v>17</v>
      </c>
      <c r="M54" s="114">
        <f>1</f>
        <v>1</v>
      </c>
    </row>
    <row r="55" spans="1:14" s="53" customFormat="1" ht="20.100000000000001" customHeight="1" x14ac:dyDescent="0.2">
      <c r="A55" s="208"/>
      <c r="B55" s="82"/>
      <c r="C55" s="82"/>
      <c r="D55" s="148">
        <v>2019</v>
      </c>
      <c r="E55" s="146">
        <f>SUM(F55:M55)</f>
        <v>168</v>
      </c>
      <c r="F55" s="114">
        <v>2</v>
      </c>
      <c r="G55" s="114">
        <v>17</v>
      </c>
      <c r="H55" s="114">
        <v>1</v>
      </c>
      <c r="I55" s="114">
        <v>38</v>
      </c>
      <c r="J55" s="114"/>
      <c r="K55" s="301" t="s">
        <v>51</v>
      </c>
      <c r="L55" s="114">
        <v>37</v>
      </c>
      <c r="M55" s="114">
        <v>73</v>
      </c>
    </row>
    <row r="56" spans="1:14" s="53" customFormat="1" ht="8.1" customHeight="1" thickBot="1" x14ac:dyDescent="0.25">
      <c r="A56" s="195"/>
      <c r="B56" s="196"/>
      <c r="C56" s="196"/>
      <c r="D56" s="196"/>
      <c r="E56" s="197"/>
      <c r="F56" s="198"/>
      <c r="G56" s="198"/>
      <c r="H56" s="198"/>
      <c r="I56" s="198"/>
      <c r="J56" s="198"/>
      <c r="K56" s="198"/>
      <c r="L56" s="198"/>
      <c r="M56" s="199"/>
      <c r="N56" s="195"/>
    </row>
    <row r="57" spans="1:14" s="53" customFormat="1" ht="12.75" x14ac:dyDescent="0.2">
      <c r="B57" s="115"/>
      <c r="C57" s="115"/>
      <c r="D57" s="115"/>
      <c r="E57" s="63"/>
      <c r="F57" s="114"/>
      <c r="G57" s="114"/>
      <c r="H57" s="114"/>
      <c r="I57" s="114"/>
      <c r="J57" s="114"/>
      <c r="K57" s="114"/>
      <c r="L57" s="114"/>
      <c r="M57" s="189"/>
      <c r="N57" s="8" t="s">
        <v>99</v>
      </c>
    </row>
    <row r="58" spans="1:14" s="53" customFormat="1" ht="12.75" x14ac:dyDescent="0.2">
      <c r="B58" s="115"/>
      <c r="C58" s="115"/>
      <c r="D58" s="115"/>
      <c r="E58" s="63"/>
      <c r="F58" s="114"/>
      <c r="G58" s="114"/>
      <c r="H58" s="114"/>
      <c r="I58" s="114"/>
      <c r="J58" s="114"/>
      <c r="K58" s="114"/>
      <c r="L58" s="114"/>
      <c r="M58" s="189"/>
      <c r="N58" s="41" t="s">
        <v>1</v>
      </c>
    </row>
    <row r="59" spans="1:14" s="53" customFormat="1" ht="12.75" x14ac:dyDescent="0.2">
      <c r="B59" s="115"/>
      <c r="C59" s="115"/>
      <c r="D59" s="115"/>
      <c r="E59" s="63"/>
      <c r="F59" s="114"/>
      <c r="G59" s="114"/>
      <c r="H59" s="114"/>
      <c r="I59" s="114"/>
      <c r="J59" s="114"/>
      <c r="K59" s="114"/>
      <c r="L59" s="114"/>
      <c r="M59" s="189"/>
    </row>
    <row r="60" spans="1:14" s="53" customFormat="1" ht="12.75" x14ac:dyDescent="0.2">
      <c r="B60" s="115"/>
      <c r="C60" s="115"/>
      <c r="D60" s="115"/>
      <c r="E60" s="63"/>
      <c r="F60" s="114"/>
      <c r="G60" s="114"/>
      <c r="H60" s="114"/>
      <c r="I60" s="114"/>
      <c r="J60" s="114"/>
      <c r="K60" s="114"/>
      <c r="L60" s="114"/>
      <c r="M60" s="189"/>
    </row>
    <row r="61" spans="1:14" s="53" customFormat="1" ht="12.75" x14ac:dyDescent="0.2">
      <c r="B61" s="115"/>
      <c r="C61" s="115"/>
      <c r="D61" s="115"/>
      <c r="E61" s="63"/>
      <c r="F61" s="114"/>
      <c r="G61" s="114"/>
      <c r="H61" s="114"/>
      <c r="I61" s="114"/>
      <c r="J61" s="114"/>
      <c r="K61" s="114"/>
      <c r="L61" s="114"/>
      <c r="M61" s="189"/>
    </row>
    <row r="62" spans="1:14" s="53" customFormat="1" ht="12.75" x14ac:dyDescent="0.2">
      <c r="B62" s="115"/>
      <c r="C62" s="115"/>
      <c r="D62" s="115"/>
      <c r="E62" s="63"/>
      <c r="F62" s="114"/>
      <c r="G62" s="114"/>
      <c r="H62" s="114"/>
      <c r="I62" s="114"/>
      <c r="J62" s="114"/>
      <c r="K62" s="114"/>
      <c r="L62" s="114"/>
      <c r="M62" s="189"/>
    </row>
    <row r="63" spans="1:14" s="53" customFormat="1" ht="12.75" x14ac:dyDescent="0.2">
      <c r="B63" s="115"/>
      <c r="C63" s="115"/>
      <c r="D63" s="115"/>
      <c r="E63" s="63"/>
      <c r="F63" s="114"/>
      <c r="G63" s="114"/>
      <c r="H63" s="114"/>
      <c r="I63" s="114"/>
      <c r="J63" s="114"/>
      <c r="K63" s="114"/>
      <c r="L63" s="114"/>
      <c r="M63" s="189"/>
    </row>
    <row r="64" spans="1:14" s="53" customFormat="1" ht="12.75" x14ac:dyDescent="0.2">
      <c r="B64" s="115"/>
      <c r="C64" s="115"/>
      <c r="D64" s="115"/>
      <c r="E64" s="63"/>
      <c r="F64" s="114"/>
      <c r="G64" s="114"/>
      <c r="H64" s="114"/>
      <c r="I64" s="114"/>
      <c r="J64" s="114"/>
      <c r="K64" s="114"/>
      <c r="L64" s="114"/>
      <c r="M64" s="189"/>
    </row>
    <row r="65" spans="2:13" s="53" customFormat="1" ht="12.75" x14ac:dyDescent="0.2">
      <c r="B65" s="115"/>
      <c r="C65" s="115"/>
      <c r="D65" s="115"/>
      <c r="E65" s="63"/>
      <c r="F65" s="114"/>
      <c r="G65" s="114"/>
      <c r="H65" s="114"/>
      <c r="I65" s="114"/>
      <c r="J65" s="114"/>
      <c r="K65" s="114"/>
      <c r="L65" s="114"/>
      <c r="M65" s="189"/>
    </row>
    <row r="66" spans="2:13" s="53" customFormat="1" ht="12.75" x14ac:dyDescent="0.2">
      <c r="B66" s="115"/>
      <c r="C66" s="115"/>
      <c r="D66" s="115"/>
      <c r="E66" s="63"/>
      <c r="F66" s="114"/>
      <c r="G66" s="114"/>
      <c r="H66" s="114"/>
      <c r="I66" s="114"/>
      <c r="J66" s="114"/>
      <c r="K66" s="114"/>
      <c r="L66" s="114"/>
      <c r="M66" s="189"/>
    </row>
    <row r="67" spans="2:13" s="53" customFormat="1" ht="12.75" x14ac:dyDescent="0.2">
      <c r="B67" s="115"/>
      <c r="C67" s="115"/>
      <c r="D67" s="115"/>
      <c r="E67" s="63"/>
      <c r="F67" s="114"/>
      <c r="G67" s="114"/>
      <c r="H67" s="114"/>
      <c r="I67" s="114"/>
      <c r="J67" s="114"/>
      <c r="K67" s="114"/>
      <c r="L67" s="114"/>
      <c r="M67" s="189"/>
    </row>
    <row r="68" spans="2:13" s="53" customFormat="1" ht="12.75" x14ac:dyDescent="0.2">
      <c r="B68" s="115"/>
      <c r="C68" s="115"/>
      <c r="D68" s="115"/>
      <c r="E68" s="63"/>
      <c r="F68" s="114"/>
      <c r="G68" s="114"/>
      <c r="H68" s="114"/>
      <c r="I68" s="114"/>
      <c r="J68" s="114"/>
      <c r="K68" s="114"/>
      <c r="L68" s="114"/>
      <c r="M68" s="189"/>
    </row>
    <row r="69" spans="2:13" s="53" customFormat="1" ht="12.75" x14ac:dyDescent="0.2">
      <c r="B69" s="115"/>
      <c r="C69" s="115"/>
      <c r="D69" s="115"/>
      <c r="E69" s="63"/>
      <c r="F69" s="114"/>
      <c r="G69" s="114"/>
      <c r="H69" s="114"/>
      <c r="I69" s="114"/>
      <c r="J69" s="114"/>
      <c r="K69" s="114"/>
      <c r="L69" s="114"/>
      <c r="M69" s="189"/>
    </row>
    <row r="70" spans="2:13" s="53" customFormat="1" ht="12.75" x14ac:dyDescent="0.2">
      <c r="B70" s="115"/>
      <c r="C70" s="115"/>
      <c r="D70" s="115"/>
      <c r="E70" s="63"/>
      <c r="F70" s="114"/>
      <c r="G70" s="114"/>
      <c r="H70" s="114"/>
      <c r="I70" s="114"/>
      <c r="J70" s="114"/>
      <c r="K70" s="114"/>
      <c r="L70" s="114"/>
      <c r="M70" s="189"/>
    </row>
    <row r="71" spans="2:13" s="53" customFormat="1" ht="12.75" x14ac:dyDescent="0.2">
      <c r="B71" s="115"/>
      <c r="C71" s="115"/>
      <c r="D71" s="115"/>
      <c r="E71" s="63"/>
      <c r="F71" s="114"/>
      <c r="G71" s="114"/>
      <c r="H71" s="114"/>
      <c r="I71" s="114"/>
      <c r="J71" s="114"/>
      <c r="K71" s="114"/>
      <c r="L71" s="114"/>
      <c r="M71" s="189"/>
    </row>
    <row r="72" spans="2:13" s="53" customFormat="1" ht="12.75" x14ac:dyDescent="0.2">
      <c r="B72" s="115"/>
      <c r="C72" s="115"/>
      <c r="D72" s="115"/>
      <c r="E72" s="63"/>
      <c r="F72" s="114"/>
      <c r="G72" s="114"/>
      <c r="H72" s="114"/>
      <c r="I72" s="114"/>
      <c r="J72" s="114"/>
      <c r="K72" s="114"/>
      <c r="L72" s="114"/>
      <c r="M72" s="189"/>
    </row>
    <row r="73" spans="2:13" s="53" customFormat="1" ht="12.75" x14ac:dyDescent="0.2">
      <c r="B73" s="115"/>
      <c r="C73" s="115"/>
      <c r="D73" s="115"/>
      <c r="E73" s="63"/>
      <c r="F73" s="114"/>
      <c r="G73" s="114"/>
      <c r="H73" s="114"/>
      <c r="I73" s="114"/>
      <c r="J73" s="114"/>
      <c r="K73" s="114"/>
      <c r="L73" s="114"/>
      <c r="M73" s="189"/>
    </row>
    <row r="74" spans="2:13" s="53" customFormat="1" ht="12.75" x14ac:dyDescent="0.2">
      <c r="B74" s="115"/>
      <c r="C74" s="115"/>
      <c r="D74" s="115"/>
      <c r="E74" s="63"/>
      <c r="F74" s="114"/>
      <c r="G74" s="114"/>
      <c r="H74" s="114"/>
      <c r="I74" s="114"/>
      <c r="J74" s="114"/>
      <c r="K74" s="114"/>
      <c r="L74" s="114"/>
      <c r="M74" s="189"/>
    </row>
    <row r="75" spans="2:13" s="53" customFormat="1" ht="12.75" x14ac:dyDescent="0.2">
      <c r="B75" s="115"/>
      <c r="C75" s="115"/>
      <c r="D75" s="115"/>
      <c r="E75" s="63"/>
      <c r="F75" s="114"/>
      <c r="G75" s="114"/>
      <c r="H75" s="114"/>
      <c r="I75" s="114"/>
      <c r="J75" s="114"/>
      <c r="K75" s="114"/>
      <c r="L75" s="114"/>
      <c r="M75" s="189"/>
    </row>
    <row r="76" spans="2:13" s="53" customFormat="1" ht="12.75" x14ac:dyDescent="0.2">
      <c r="B76" s="115"/>
      <c r="C76" s="115"/>
      <c r="D76" s="115"/>
      <c r="E76" s="63"/>
      <c r="F76" s="114"/>
      <c r="G76" s="114"/>
      <c r="H76" s="114"/>
      <c r="I76" s="114"/>
      <c r="J76" s="114"/>
      <c r="K76" s="114"/>
      <c r="L76" s="114"/>
      <c r="M76" s="189"/>
    </row>
    <row r="77" spans="2:13" s="53" customFormat="1" ht="12.75" x14ac:dyDescent="0.2">
      <c r="B77" s="115"/>
      <c r="C77" s="115"/>
      <c r="D77" s="115"/>
      <c r="E77" s="63"/>
      <c r="F77" s="114"/>
      <c r="G77" s="114"/>
      <c r="H77" s="114"/>
      <c r="I77" s="114"/>
      <c r="J77" s="114"/>
      <c r="K77" s="114"/>
      <c r="L77" s="114"/>
      <c r="M77" s="189"/>
    </row>
    <row r="78" spans="2:13" s="53" customFormat="1" ht="12.75" x14ac:dyDescent="0.2">
      <c r="B78" s="115"/>
      <c r="C78" s="115"/>
      <c r="D78" s="115"/>
      <c r="E78" s="63"/>
      <c r="F78" s="114"/>
      <c r="G78" s="114"/>
      <c r="H78" s="114"/>
      <c r="I78" s="114"/>
      <c r="J78" s="114"/>
      <c r="K78" s="114"/>
      <c r="L78" s="114"/>
      <c r="M78" s="189"/>
    </row>
    <row r="79" spans="2:13" s="53" customFormat="1" ht="12.75" x14ac:dyDescent="0.2">
      <c r="B79" s="115"/>
      <c r="C79" s="115"/>
      <c r="D79" s="115"/>
      <c r="E79" s="63"/>
      <c r="F79" s="114"/>
      <c r="G79" s="114"/>
      <c r="H79" s="114"/>
      <c r="I79" s="114"/>
      <c r="J79" s="114"/>
      <c r="K79" s="114"/>
      <c r="L79" s="114"/>
      <c r="M79" s="189"/>
    </row>
    <row r="80" spans="2:13" s="53" customFormat="1" ht="12.75" x14ac:dyDescent="0.2">
      <c r="B80" s="115"/>
      <c r="C80" s="115"/>
      <c r="D80" s="115"/>
      <c r="E80" s="63"/>
      <c r="F80" s="114"/>
      <c r="G80" s="114"/>
      <c r="H80" s="114"/>
      <c r="I80" s="114"/>
      <c r="J80" s="114"/>
      <c r="K80" s="114"/>
      <c r="L80" s="114"/>
      <c r="M80" s="189"/>
    </row>
    <row r="81" spans="2:13" s="53" customFormat="1" ht="12.75" x14ac:dyDescent="0.2">
      <c r="B81" s="115"/>
      <c r="C81" s="115"/>
      <c r="D81" s="115"/>
      <c r="E81" s="63"/>
      <c r="F81" s="114"/>
      <c r="G81" s="114"/>
      <c r="H81" s="114"/>
      <c r="I81" s="114"/>
      <c r="J81" s="114"/>
      <c r="K81" s="114"/>
      <c r="L81" s="114"/>
      <c r="M81" s="189"/>
    </row>
  </sheetData>
  <mergeCells count="4">
    <mergeCell ref="B11:C11"/>
    <mergeCell ref="H11:I11"/>
    <mergeCell ref="K11:L11"/>
    <mergeCell ref="B12:C12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70" fitToWidth="0" orientation="portrait" r:id="rId1"/>
  <headerFooter>
    <oddHeader xml:space="preserve">&amp;R&amp;"-,Bold"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showGridLines="0" zoomScaleNormal="100" zoomScaleSheetLayoutView="100" workbookViewId="0">
      <selection activeCell="AA22" sqref="AA22"/>
    </sheetView>
  </sheetViews>
  <sheetFormatPr defaultColWidth="9.140625" defaultRowHeight="15" x14ac:dyDescent="0.25"/>
  <cols>
    <col min="1" max="1" width="1.7109375" style="2" customWidth="1"/>
    <col min="2" max="2" width="10.85546875" style="3" customWidth="1"/>
    <col min="3" max="3" width="12.28515625" style="3" customWidth="1"/>
    <col min="4" max="4" width="10.85546875" style="3" customWidth="1"/>
    <col min="5" max="5" width="15.7109375" style="21" customWidth="1"/>
    <col min="6" max="6" width="23.7109375" style="22" customWidth="1"/>
    <col min="7" max="7" width="23.7109375" style="153" customWidth="1"/>
    <col min="8" max="8" width="0.85546875" style="2" customWidth="1"/>
    <col min="9" max="16384" width="9.140625" style="2"/>
  </cols>
  <sheetData>
    <row r="1" spans="1:8" s="30" customFormat="1" ht="12" customHeight="1" x14ac:dyDescent="0.25">
      <c r="B1" s="27"/>
      <c r="C1" s="27"/>
      <c r="D1" s="27"/>
      <c r="E1" s="28"/>
      <c r="F1" s="29"/>
      <c r="G1" s="150" t="s">
        <v>179</v>
      </c>
    </row>
    <row r="2" spans="1:8" s="30" customFormat="1" ht="12" customHeight="1" x14ac:dyDescent="0.25">
      <c r="B2" s="27"/>
      <c r="C2" s="27"/>
      <c r="D2" s="27"/>
      <c r="E2" s="28"/>
      <c r="F2" s="29"/>
      <c r="G2" s="151" t="s">
        <v>180</v>
      </c>
    </row>
    <row r="3" spans="1:8" s="30" customFormat="1" ht="12" customHeight="1" x14ac:dyDescent="0.25">
      <c r="B3" s="27"/>
      <c r="C3" s="27"/>
      <c r="D3" s="27"/>
      <c r="E3" s="28"/>
      <c r="F3" s="29"/>
      <c r="G3" s="151"/>
    </row>
    <row r="4" spans="1:8" s="30" customFormat="1" ht="12" customHeight="1" x14ac:dyDescent="0.25">
      <c r="B4" s="27"/>
      <c r="C4" s="27"/>
      <c r="D4" s="27"/>
      <c r="E4" s="28"/>
      <c r="F4" s="29"/>
      <c r="G4" s="151"/>
    </row>
    <row r="5" spans="1:8" s="53" customFormat="1" ht="15" customHeight="1" x14ac:dyDescent="0.2">
      <c r="B5" s="63" t="s">
        <v>184</v>
      </c>
      <c r="C5" s="64" t="s">
        <v>241</v>
      </c>
      <c r="D5" s="64"/>
      <c r="E5" s="63"/>
      <c r="F5" s="64"/>
      <c r="G5" s="152"/>
      <c r="H5" s="64"/>
    </row>
    <row r="6" spans="1:8" s="65" customFormat="1" ht="15" customHeight="1" x14ac:dyDescent="0.2">
      <c r="B6" s="66" t="s">
        <v>185</v>
      </c>
      <c r="C6" s="422" t="s">
        <v>242</v>
      </c>
      <c r="D6" s="422"/>
      <c r="E6" s="422"/>
      <c r="F6" s="422"/>
      <c r="G6" s="422"/>
      <c r="H6" s="67"/>
    </row>
    <row r="7" spans="1:8" ht="9.9499999999999993" customHeight="1" thickBot="1" x14ac:dyDescent="0.3"/>
    <row r="8" spans="1:8" s="53" customFormat="1" ht="20.100000000000001" customHeight="1" thickTop="1" x14ac:dyDescent="0.2">
      <c r="A8" s="371"/>
      <c r="B8" s="429" t="s">
        <v>207</v>
      </c>
      <c r="C8" s="429"/>
      <c r="D8" s="423" t="s">
        <v>96</v>
      </c>
      <c r="E8" s="423" t="s">
        <v>92</v>
      </c>
      <c r="F8" s="425" t="s">
        <v>93</v>
      </c>
      <c r="G8" s="427" t="s">
        <v>94</v>
      </c>
      <c r="H8" s="372"/>
    </row>
    <row r="9" spans="1:8" s="53" customFormat="1" ht="33" customHeight="1" x14ac:dyDescent="0.2">
      <c r="A9" s="373"/>
      <c r="B9" s="430"/>
      <c r="C9" s="430"/>
      <c r="D9" s="424"/>
      <c r="E9" s="424"/>
      <c r="F9" s="426"/>
      <c r="G9" s="428"/>
      <c r="H9" s="369"/>
    </row>
    <row r="10" spans="1:8" s="6" customFormat="1" ht="6" customHeight="1" x14ac:dyDescent="0.25">
      <c r="B10" s="13"/>
      <c r="C10" s="13"/>
      <c r="D10" s="13"/>
      <c r="E10" s="9"/>
      <c r="F10" s="9"/>
      <c r="G10" s="9"/>
    </row>
    <row r="11" spans="1:8" s="24" customFormat="1" ht="12.95" customHeight="1" x14ac:dyDescent="0.25">
      <c r="B11" s="59" t="s">
        <v>95</v>
      </c>
      <c r="C11" s="59"/>
      <c r="D11" s="279">
        <v>2017</v>
      </c>
      <c r="E11" s="137">
        <f>SUM(E15,E19,E23,E27,E31,E35,E39,E43,E47,E51,E55,E59,E63,E67)</f>
        <v>10385</v>
      </c>
      <c r="F11" s="137">
        <f>SUM(F15,F19,F23,F27,F31,F35,F39,F43,F47,F51,F55,F59,F63,F67)</f>
        <v>2578</v>
      </c>
      <c r="G11" s="137">
        <f>SUM(G15,G19,G23,G27,G31,G35,G39,G43,G47,G51,G55,G59,G63,G67)</f>
        <v>8729</v>
      </c>
    </row>
    <row r="12" spans="1:8" s="24" customFormat="1" ht="12.95" customHeight="1" x14ac:dyDescent="0.25">
      <c r="B12" s="61"/>
      <c r="C12" s="59"/>
      <c r="D12" s="279">
        <v>2018</v>
      </c>
      <c r="E12" s="137">
        <f t="shared" ref="E12:F12" si="0">SUM(E16,E20,E24,E28,E32,E36,E40,E44,E48,E52,E56,E60,E64,E68)</f>
        <v>10338</v>
      </c>
      <c r="F12" s="137">
        <f t="shared" si="0"/>
        <v>1880</v>
      </c>
      <c r="G12" s="137">
        <f t="shared" ref="G12:G13" si="1">SUM(G16,G20,G24,G28,G32,G36,G40,G44,G48,G52,G56,G60,G64,G68)</f>
        <v>8458</v>
      </c>
    </row>
    <row r="13" spans="1:8" s="24" customFormat="1" ht="12.95" customHeight="1" x14ac:dyDescent="0.25">
      <c r="B13" s="59"/>
      <c r="C13" s="61"/>
      <c r="D13" s="279">
        <v>2019</v>
      </c>
      <c r="E13" s="137">
        <f t="shared" ref="E13:F13" si="2">SUM(E17,E21,E25,E29,E33,E37,E41,E45,E49,E53,E57,E61,E65,E69)</f>
        <v>9870</v>
      </c>
      <c r="F13" s="137">
        <f t="shared" si="2"/>
        <v>1923</v>
      </c>
      <c r="G13" s="137">
        <f t="shared" si="1"/>
        <v>7947</v>
      </c>
    </row>
    <row r="14" spans="1:8" s="24" customFormat="1" ht="6" customHeight="1" x14ac:dyDescent="0.25">
      <c r="B14" s="59"/>
      <c r="C14" s="61"/>
      <c r="D14" s="279"/>
      <c r="E14" s="54"/>
      <c r="F14" s="54"/>
      <c r="G14" s="54"/>
    </row>
    <row r="15" spans="1:8" s="7" customFormat="1" ht="12.95" customHeight="1" x14ac:dyDescent="0.2">
      <c r="B15" s="55" t="s">
        <v>2</v>
      </c>
      <c r="C15" s="55"/>
      <c r="D15" s="280">
        <v>2017</v>
      </c>
      <c r="E15" s="144">
        <f>SUM(F15:G15)</f>
        <v>681</v>
      </c>
      <c r="F15" s="146">
        <f>'1.5Johor'!E19</f>
        <v>123</v>
      </c>
      <c r="G15" s="144">
        <f>'1.7Johor'!E17</f>
        <v>558</v>
      </c>
    </row>
    <row r="16" spans="1:8" s="7" customFormat="1" ht="12.95" customHeight="1" x14ac:dyDescent="0.2">
      <c r="B16" s="56"/>
      <c r="C16" s="55"/>
      <c r="D16" s="280">
        <v>2018</v>
      </c>
      <c r="E16" s="144">
        <f t="shared" ref="E16:E17" si="3">SUM(F16:G16)</f>
        <v>688</v>
      </c>
      <c r="F16" s="146">
        <f>'1.5Johor'!E20</f>
        <v>104</v>
      </c>
      <c r="G16" s="144">
        <f>'1.7Johor'!E18</f>
        <v>584</v>
      </c>
    </row>
    <row r="17" spans="2:11" s="7" customFormat="1" ht="12.95" customHeight="1" x14ac:dyDescent="0.2">
      <c r="B17" s="55"/>
      <c r="C17" s="56"/>
      <c r="D17" s="280">
        <v>2019</v>
      </c>
      <c r="E17" s="144">
        <f t="shared" si="3"/>
        <v>663</v>
      </c>
      <c r="F17" s="146">
        <f>'1.5Johor'!E21</f>
        <v>139</v>
      </c>
      <c r="G17" s="144">
        <f>'1.7Johor'!E19</f>
        <v>524</v>
      </c>
    </row>
    <row r="18" spans="2:11" s="7" customFormat="1" ht="6" customHeight="1" x14ac:dyDescent="0.2">
      <c r="B18" s="55"/>
      <c r="C18" s="56"/>
      <c r="D18" s="280"/>
      <c r="E18" s="146"/>
      <c r="F18" s="146"/>
      <c r="G18" s="144"/>
    </row>
    <row r="19" spans="2:11" ht="12.95" customHeight="1" x14ac:dyDescent="0.2">
      <c r="B19" s="55" t="s">
        <v>52</v>
      </c>
      <c r="C19" s="56"/>
      <c r="D19" s="280">
        <v>2017</v>
      </c>
      <c r="E19" s="144" t="s">
        <v>51</v>
      </c>
      <c r="F19" s="146">
        <f>'1.5Johor'!E23</f>
        <v>195</v>
      </c>
      <c r="G19" s="144">
        <f>'1.7Johor'!E21</f>
        <v>727</v>
      </c>
    </row>
    <row r="20" spans="2:11" ht="12.95" customHeight="1" x14ac:dyDescent="0.2">
      <c r="B20" s="55"/>
      <c r="C20" s="56"/>
      <c r="D20" s="280">
        <v>2018</v>
      </c>
      <c r="E20" s="144">
        <f>SUM(F20:G20)</f>
        <v>933</v>
      </c>
      <c r="F20" s="146">
        <f>'1.5Johor'!E24</f>
        <v>149</v>
      </c>
      <c r="G20" s="144">
        <f>'1.7Johor'!E22</f>
        <v>784</v>
      </c>
    </row>
    <row r="21" spans="2:11" ht="12.95" customHeight="1" x14ac:dyDescent="0.2">
      <c r="B21" s="55"/>
      <c r="C21" s="56"/>
      <c r="D21" s="280">
        <v>2019</v>
      </c>
      <c r="E21" s="144">
        <f>SUM(F21:G21)</f>
        <v>954</v>
      </c>
      <c r="F21" s="146">
        <f>'1.5Johor'!E25</f>
        <v>170</v>
      </c>
      <c r="G21" s="144">
        <f>'1.7Johor'!E23</f>
        <v>784</v>
      </c>
    </row>
    <row r="22" spans="2:11" ht="6" customHeight="1" x14ac:dyDescent="0.2">
      <c r="B22" s="55"/>
      <c r="C22" s="56"/>
      <c r="D22" s="280"/>
      <c r="E22" s="146"/>
      <c r="F22" s="146"/>
      <c r="G22" s="144"/>
    </row>
    <row r="23" spans="2:11" ht="12.95" customHeight="1" x14ac:dyDescent="0.2">
      <c r="B23" s="56" t="s">
        <v>53</v>
      </c>
      <c r="C23" s="56"/>
      <c r="D23" s="280">
        <v>2017</v>
      </c>
      <c r="E23" s="146">
        <f>SUM(F23:G23)</f>
        <v>3231</v>
      </c>
      <c r="F23" s="146">
        <f>'1.5Johor'!E27</f>
        <v>956</v>
      </c>
      <c r="G23" s="144">
        <f>'1.7Johor'!E25</f>
        <v>2275</v>
      </c>
    </row>
    <row r="24" spans="2:11" ht="12.95" customHeight="1" x14ac:dyDescent="0.2">
      <c r="B24" s="56"/>
      <c r="C24" s="56"/>
      <c r="D24" s="280">
        <v>2018</v>
      </c>
      <c r="E24" s="146">
        <f>SUM(F24:G24)</f>
        <v>2516</v>
      </c>
      <c r="F24" s="146">
        <f>'1.5Johor'!E28</f>
        <v>474</v>
      </c>
      <c r="G24" s="144">
        <f>'1.7Johor'!E26</f>
        <v>2042</v>
      </c>
    </row>
    <row r="25" spans="2:11" ht="12.95" customHeight="1" x14ac:dyDescent="0.2">
      <c r="B25" s="56"/>
      <c r="C25" s="56"/>
      <c r="D25" s="280">
        <v>2019</v>
      </c>
      <c r="E25" s="146">
        <f>SUM(F25:G25)</f>
        <v>2195</v>
      </c>
      <c r="F25" s="146">
        <f>'1.5Johor'!E29</f>
        <v>429</v>
      </c>
      <c r="G25" s="144">
        <f>'1.7Johor'!E27</f>
        <v>1766</v>
      </c>
    </row>
    <row r="26" spans="2:11" ht="6" customHeight="1" x14ac:dyDescent="0.2">
      <c r="B26" s="56"/>
      <c r="C26" s="56"/>
      <c r="D26" s="280"/>
      <c r="E26" s="146"/>
      <c r="F26" s="146"/>
      <c r="G26" s="144"/>
    </row>
    <row r="27" spans="2:11" ht="12.95" customHeight="1" x14ac:dyDescent="0.2">
      <c r="B27" s="56" t="s">
        <v>54</v>
      </c>
      <c r="C27" s="56"/>
      <c r="D27" s="280">
        <v>2017</v>
      </c>
      <c r="E27" s="146">
        <f>SUM(F27:G27)</f>
        <v>1649</v>
      </c>
      <c r="F27" s="146">
        <f>'1.5Johor'!E31</f>
        <v>412</v>
      </c>
      <c r="G27" s="144">
        <f>'1.7Johor'!E29</f>
        <v>1237</v>
      </c>
    </row>
    <row r="28" spans="2:11" ht="12.95" customHeight="1" x14ac:dyDescent="0.2">
      <c r="B28" s="56"/>
      <c r="C28" s="56"/>
      <c r="D28" s="280">
        <v>2018</v>
      </c>
      <c r="E28" s="146">
        <f>SUM(F28:G28)</f>
        <v>1649</v>
      </c>
      <c r="F28" s="146">
        <f>'1.5Johor'!E32</f>
        <v>343</v>
      </c>
      <c r="G28" s="144">
        <f>'1.7Johor'!E30</f>
        <v>1306</v>
      </c>
    </row>
    <row r="29" spans="2:11" s="3" customFormat="1" ht="12.95" customHeight="1" x14ac:dyDescent="0.2">
      <c r="B29" s="56"/>
      <c r="C29" s="56"/>
      <c r="D29" s="280">
        <v>2019</v>
      </c>
      <c r="E29" s="146">
        <f>SUM(F29:G29)</f>
        <v>1541</v>
      </c>
      <c r="F29" s="146">
        <f>'1.5Johor'!E33</f>
        <v>397</v>
      </c>
      <c r="G29" s="144">
        <f>'1.7Johor'!E31</f>
        <v>1144</v>
      </c>
      <c r="H29" s="2"/>
      <c r="I29" s="2"/>
      <c r="J29" s="2"/>
      <c r="K29" s="2"/>
    </row>
    <row r="30" spans="2:11" s="3" customFormat="1" ht="6" customHeight="1" x14ac:dyDescent="0.2">
      <c r="B30" s="56"/>
      <c r="C30" s="56"/>
      <c r="D30" s="280"/>
      <c r="E30" s="146"/>
      <c r="F30" s="146"/>
      <c r="G30" s="144"/>
      <c r="H30" s="2"/>
      <c r="I30" s="2"/>
      <c r="J30" s="2"/>
      <c r="K30" s="2"/>
    </row>
    <row r="31" spans="2:11" ht="12.95" customHeight="1" x14ac:dyDescent="0.2">
      <c r="B31" s="56" t="s">
        <v>3</v>
      </c>
      <c r="C31" s="56"/>
      <c r="D31" s="280">
        <v>2017</v>
      </c>
      <c r="E31" s="146">
        <f>SUM(F31:G31)</f>
        <v>652</v>
      </c>
      <c r="F31" s="146">
        <f>'1.5Johor'!E35</f>
        <v>117</v>
      </c>
      <c r="G31" s="144">
        <f>'1.7Johor'!E33</f>
        <v>535</v>
      </c>
    </row>
    <row r="32" spans="2:11" ht="12.95" customHeight="1" x14ac:dyDescent="0.2">
      <c r="B32" s="56"/>
      <c r="C32" s="55"/>
      <c r="D32" s="280">
        <v>2018</v>
      </c>
      <c r="E32" s="146">
        <f>SUM(F32:G32)</f>
        <v>602</v>
      </c>
      <c r="F32" s="146">
        <f>'1.5Johor'!E36</f>
        <v>125</v>
      </c>
      <c r="G32" s="144">
        <f>'1.7Johor'!E34</f>
        <v>477</v>
      </c>
    </row>
    <row r="33" spans="2:7" ht="12.95" customHeight="1" x14ac:dyDescent="0.2">
      <c r="B33" s="56"/>
      <c r="C33" s="55"/>
      <c r="D33" s="280">
        <v>2019</v>
      </c>
      <c r="E33" s="146">
        <f>SUM(F33:G33)</f>
        <v>585</v>
      </c>
      <c r="F33" s="146">
        <f>'1.5Johor'!E37</f>
        <v>127</v>
      </c>
      <c r="G33" s="144">
        <f>'1.7Johor'!E35</f>
        <v>458</v>
      </c>
    </row>
    <row r="34" spans="2:7" ht="6" customHeight="1" x14ac:dyDescent="0.2">
      <c r="B34" s="56"/>
      <c r="C34" s="55"/>
      <c r="D34" s="280"/>
      <c r="E34" s="144"/>
      <c r="F34" s="146"/>
      <c r="G34" s="144"/>
    </row>
    <row r="35" spans="2:7" ht="12.95" customHeight="1" x14ac:dyDescent="0.2">
      <c r="B35" s="56" t="s">
        <v>4</v>
      </c>
      <c r="C35" s="56"/>
      <c r="D35" s="280">
        <v>2017</v>
      </c>
      <c r="E35" s="146">
        <f>SUM(F35:G35)</f>
        <v>583</v>
      </c>
      <c r="F35" s="146">
        <f>'1.5Johor'!E39</f>
        <v>89</v>
      </c>
      <c r="G35" s="144">
        <f>'1.7Johor'!E37</f>
        <v>494</v>
      </c>
    </row>
    <row r="36" spans="2:7" ht="12.95" customHeight="1" x14ac:dyDescent="0.2">
      <c r="B36" s="56"/>
      <c r="C36" s="56"/>
      <c r="D36" s="280">
        <v>2018</v>
      </c>
      <c r="E36" s="146">
        <f>SUM(F36:G36)</f>
        <v>542</v>
      </c>
      <c r="F36" s="146">
        <f>'1.5Johor'!E40</f>
        <v>67</v>
      </c>
      <c r="G36" s="144">
        <f>'1.7Johor'!E38</f>
        <v>475</v>
      </c>
    </row>
    <row r="37" spans="2:7" ht="12.95" customHeight="1" x14ac:dyDescent="0.2">
      <c r="B37" s="56"/>
      <c r="C37" s="56"/>
      <c r="D37" s="280">
        <v>2019</v>
      </c>
      <c r="E37" s="146">
        <f>SUM(F37:G37)</f>
        <v>471</v>
      </c>
      <c r="F37" s="146">
        <f>'1.5Johor'!E41</f>
        <v>70</v>
      </c>
      <c r="G37" s="144">
        <f>'1.7Johor'!E39</f>
        <v>401</v>
      </c>
    </row>
    <row r="38" spans="2:7" ht="6" customHeight="1" x14ac:dyDescent="0.2">
      <c r="B38" s="56"/>
      <c r="C38" s="56"/>
      <c r="D38" s="280"/>
      <c r="E38" s="146"/>
      <c r="F38" s="146"/>
      <c r="G38" s="144"/>
    </row>
    <row r="39" spans="2:7" ht="12.95" customHeight="1" x14ac:dyDescent="0.2">
      <c r="B39" s="56" t="s">
        <v>9</v>
      </c>
      <c r="C39" s="56"/>
      <c r="D39" s="280">
        <v>2017</v>
      </c>
      <c r="E39" s="146">
        <f>SUM(F39:G39)</f>
        <v>772</v>
      </c>
      <c r="F39" s="146">
        <f>'1.5Johor'!E43</f>
        <v>209</v>
      </c>
      <c r="G39" s="144">
        <f>'1.7Johor'!E41</f>
        <v>563</v>
      </c>
    </row>
    <row r="40" spans="2:7" ht="12.95" customHeight="1" x14ac:dyDescent="0.2">
      <c r="B40" s="56"/>
      <c r="C40" s="56"/>
      <c r="D40" s="280">
        <v>2018</v>
      </c>
      <c r="E40" s="146">
        <f>SUM(F40:G40)</f>
        <v>749</v>
      </c>
      <c r="F40" s="146">
        <f>'1.5Johor'!E44</f>
        <v>202</v>
      </c>
      <c r="G40" s="144">
        <f>'1.7Johor'!E42</f>
        <v>547</v>
      </c>
    </row>
    <row r="41" spans="2:7" ht="12.95" customHeight="1" x14ac:dyDescent="0.2">
      <c r="B41" s="56"/>
      <c r="C41" s="56"/>
      <c r="D41" s="280">
        <v>2019</v>
      </c>
      <c r="E41" s="146">
        <f>SUM(F41:G41)</f>
        <v>686</v>
      </c>
      <c r="F41" s="146">
        <f>'1.5Johor'!E45</f>
        <v>143</v>
      </c>
      <c r="G41" s="144">
        <f>'1.7Johor'!E43</f>
        <v>543</v>
      </c>
    </row>
    <row r="42" spans="2:7" ht="6" customHeight="1" x14ac:dyDescent="0.2">
      <c r="B42" s="56"/>
      <c r="C42" s="56"/>
      <c r="D42" s="280"/>
      <c r="E42" s="146"/>
      <c r="F42" s="146"/>
      <c r="G42" s="144"/>
    </row>
    <row r="43" spans="2:7" ht="12.95" customHeight="1" x14ac:dyDescent="0.2">
      <c r="B43" s="56" t="s">
        <v>10</v>
      </c>
      <c r="C43" s="56"/>
      <c r="D43" s="280">
        <v>2017</v>
      </c>
      <c r="E43" s="146">
        <f>SUM(F43:G43)</f>
        <v>234</v>
      </c>
      <c r="F43" s="146">
        <f>'1.5Johor'!E47</f>
        <v>44</v>
      </c>
      <c r="G43" s="144">
        <f>'1.7Johor'!E45</f>
        <v>190</v>
      </c>
    </row>
    <row r="44" spans="2:7" ht="12.95" customHeight="1" x14ac:dyDescent="0.2">
      <c r="B44" s="56"/>
      <c r="C44" s="56"/>
      <c r="D44" s="280">
        <v>2018</v>
      </c>
      <c r="E44" s="146">
        <f>SUM(F44:G44)</f>
        <v>207</v>
      </c>
      <c r="F44" s="146">
        <f>'1.5Johor'!E48</f>
        <v>33</v>
      </c>
      <c r="G44" s="144">
        <f>'1.7Johor'!E46</f>
        <v>174</v>
      </c>
    </row>
    <row r="45" spans="2:7" ht="12.95" customHeight="1" x14ac:dyDescent="0.2">
      <c r="B45" s="56"/>
      <c r="C45" s="56"/>
      <c r="D45" s="280">
        <v>2019</v>
      </c>
      <c r="E45" s="146">
        <f>SUM(F45:G45)</f>
        <v>216</v>
      </c>
      <c r="F45" s="146">
        <f>'1.5Johor'!E49</f>
        <v>21</v>
      </c>
      <c r="G45" s="144">
        <f>'1.7Johor'!E47</f>
        <v>195</v>
      </c>
    </row>
    <row r="46" spans="2:7" ht="6" customHeight="1" x14ac:dyDescent="0.2">
      <c r="B46" s="56"/>
      <c r="C46" s="56"/>
      <c r="D46" s="280"/>
      <c r="E46" s="146"/>
      <c r="F46" s="146"/>
      <c r="G46" s="144"/>
    </row>
    <row r="47" spans="2:7" ht="12.95" customHeight="1" x14ac:dyDescent="0.2">
      <c r="B47" s="56" t="s">
        <v>5</v>
      </c>
      <c r="C47" s="56"/>
      <c r="D47" s="280">
        <v>2017</v>
      </c>
      <c r="E47" s="146">
        <f>SUM(F47:G47)</f>
        <v>151</v>
      </c>
      <c r="F47" s="146">
        <f>'1.5Johor'!E51</f>
        <v>31</v>
      </c>
      <c r="G47" s="144">
        <f>'1.7Johor'!E49</f>
        <v>120</v>
      </c>
    </row>
    <row r="48" spans="2:7" ht="12.95" customHeight="1" x14ac:dyDescent="0.2">
      <c r="B48" s="56"/>
      <c r="C48" s="56"/>
      <c r="D48" s="280">
        <v>2018</v>
      </c>
      <c r="E48" s="146">
        <f>SUM(F48:G48)</f>
        <v>129</v>
      </c>
      <c r="F48" s="146">
        <f>'1.5Johor'!E52</f>
        <v>29</v>
      </c>
      <c r="G48" s="144">
        <f>'1.7Johor'!E50</f>
        <v>100</v>
      </c>
    </row>
    <row r="49" spans="1:7" ht="12.95" customHeight="1" x14ac:dyDescent="0.2">
      <c r="B49" s="56"/>
      <c r="C49" s="56"/>
      <c r="D49" s="280">
        <v>2019</v>
      </c>
      <c r="E49" s="146">
        <f>SUM(F49:G49)</f>
        <v>142</v>
      </c>
      <c r="F49" s="146">
        <f>'1.5Johor'!E53</f>
        <v>33</v>
      </c>
      <c r="G49" s="144">
        <f>'1.7Johor'!E51</f>
        <v>109</v>
      </c>
    </row>
    <row r="50" spans="1:7" ht="6" customHeight="1" x14ac:dyDescent="0.2">
      <c r="B50" s="56"/>
      <c r="C50" s="56"/>
      <c r="D50" s="280"/>
      <c r="E50" s="146"/>
      <c r="F50" s="146"/>
      <c r="G50" s="144"/>
    </row>
    <row r="51" spans="1:7" s="7" customFormat="1" ht="12.95" customHeight="1" x14ac:dyDescent="0.2">
      <c r="B51" s="56" t="s">
        <v>6</v>
      </c>
      <c r="C51" s="56"/>
      <c r="D51" s="280">
        <v>2017</v>
      </c>
      <c r="E51" s="146">
        <f>SUM(F51:G51)</f>
        <v>298</v>
      </c>
      <c r="F51" s="146">
        <f>'1.5Johor'!E55</f>
        <v>64</v>
      </c>
      <c r="G51" s="144">
        <f>'1.7Johor'!E53</f>
        <v>234</v>
      </c>
    </row>
    <row r="52" spans="1:7" s="7" customFormat="1" ht="12.95" customHeight="1" x14ac:dyDescent="0.2">
      <c r="B52" s="56"/>
      <c r="C52" s="56"/>
      <c r="D52" s="280">
        <v>2018</v>
      </c>
      <c r="E52" s="146">
        <f>SUM(F52:G52)</f>
        <v>296</v>
      </c>
      <c r="F52" s="146">
        <f>'1.5Johor'!E56</f>
        <v>49</v>
      </c>
      <c r="G52" s="144">
        <f>'1.7Johor'!E54</f>
        <v>247</v>
      </c>
    </row>
    <row r="53" spans="1:7" s="7" customFormat="1" ht="12.95" customHeight="1" x14ac:dyDescent="0.2">
      <c r="B53" s="56"/>
      <c r="C53" s="56"/>
      <c r="D53" s="280">
        <v>2019</v>
      </c>
      <c r="E53" s="146">
        <f>SUM(F53:G53)</f>
        <v>306</v>
      </c>
      <c r="F53" s="146">
        <f>'1.5Johor'!E57</f>
        <v>71</v>
      </c>
      <c r="G53" s="144">
        <f>'1.7Johor'!E55</f>
        <v>235</v>
      </c>
    </row>
    <row r="54" spans="1:7" s="7" customFormat="1" ht="6" customHeight="1" x14ac:dyDescent="0.2">
      <c r="B54" s="56"/>
      <c r="C54" s="56"/>
      <c r="D54" s="280"/>
      <c r="E54" s="146"/>
      <c r="F54" s="146"/>
      <c r="G54" s="144"/>
    </row>
    <row r="55" spans="1:7" s="7" customFormat="1" ht="12.95" customHeight="1" x14ac:dyDescent="0.2">
      <c r="B55" s="56" t="s">
        <v>55</v>
      </c>
      <c r="C55" s="56"/>
      <c r="D55" s="280">
        <v>2017</v>
      </c>
      <c r="E55" s="146">
        <f>SUM(F55:G55)</f>
        <v>4</v>
      </c>
      <c r="F55" s="146">
        <f>'1.5Johor'!E59</f>
        <v>1</v>
      </c>
      <c r="G55" s="144">
        <f>'1.7Johor'!E57</f>
        <v>3</v>
      </c>
    </row>
    <row r="56" spans="1:7" s="7" customFormat="1" ht="12.95" customHeight="1" x14ac:dyDescent="0.2">
      <c r="B56" s="56"/>
      <c r="C56" s="56"/>
      <c r="D56" s="280">
        <v>2018</v>
      </c>
      <c r="E56" s="144" t="s">
        <v>51</v>
      </c>
      <c r="F56" s="146" t="str">
        <f>'1.5Johor'!E60</f>
        <v>-</v>
      </c>
      <c r="G56" s="144" t="str">
        <f>'1.7Johor'!E58</f>
        <v>-</v>
      </c>
    </row>
    <row r="57" spans="1:7" s="7" customFormat="1" ht="12.95" customHeight="1" x14ac:dyDescent="0.25">
      <c r="B57" s="56"/>
      <c r="C57" s="56"/>
      <c r="D57" s="281">
        <v>2019</v>
      </c>
      <c r="E57" s="144" t="s">
        <v>51</v>
      </c>
      <c r="F57" s="146" t="str">
        <f>'1.5Johor'!E61</f>
        <v>-</v>
      </c>
      <c r="G57" s="144" t="str">
        <f>'1.7Johor'!E59</f>
        <v>-</v>
      </c>
    </row>
    <row r="58" spans="1:7" s="7" customFormat="1" ht="6" customHeight="1" x14ac:dyDescent="0.25">
      <c r="B58" s="56"/>
      <c r="C58" s="56"/>
      <c r="D58" s="281"/>
      <c r="E58" s="146"/>
      <c r="F58" s="146"/>
      <c r="G58" s="144"/>
    </row>
    <row r="59" spans="1:7" s="7" customFormat="1" ht="12.95" customHeight="1" x14ac:dyDescent="0.2">
      <c r="B59" s="56" t="s">
        <v>7</v>
      </c>
      <c r="C59" s="56"/>
      <c r="D59" s="280">
        <v>2017</v>
      </c>
      <c r="E59" s="146">
        <f>SUM(F59:G59)</f>
        <v>286</v>
      </c>
      <c r="F59" s="146">
        <f>'1.5Johor'!E63</f>
        <v>39</v>
      </c>
      <c r="G59" s="144">
        <f>'1.7Johor'!E61</f>
        <v>247</v>
      </c>
    </row>
    <row r="60" spans="1:7" s="7" customFormat="1" ht="12.95" customHeight="1" x14ac:dyDescent="0.2">
      <c r="B60" s="56"/>
      <c r="C60" s="56"/>
      <c r="D60" s="280">
        <v>2018</v>
      </c>
      <c r="E60" s="146">
        <f>SUM(F60:G60)</f>
        <v>283</v>
      </c>
      <c r="F60" s="146">
        <f>'1.5Johor'!E64</f>
        <v>55</v>
      </c>
      <c r="G60" s="144">
        <f>'1.7Johor'!E62</f>
        <v>228</v>
      </c>
    </row>
    <row r="61" spans="1:7" s="7" customFormat="1" ht="12.95" customHeight="1" x14ac:dyDescent="0.25">
      <c r="B61" s="56"/>
      <c r="C61" s="56"/>
      <c r="D61" s="281">
        <v>2019</v>
      </c>
      <c r="E61" s="146">
        <f>SUM(F61:G61)</f>
        <v>276</v>
      </c>
      <c r="F61" s="146">
        <f>'1.5Johor'!E65</f>
        <v>41</v>
      </c>
      <c r="G61" s="144">
        <f>'1.7Johor'!E63</f>
        <v>235</v>
      </c>
    </row>
    <row r="62" spans="1:7" s="7" customFormat="1" ht="6" customHeight="1" x14ac:dyDescent="0.3">
      <c r="B62" s="56"/>
      <c r="C62" s="56"/>
      <c r="D62" s="282"/>
      <c r="E62" s="146"/>
      <c r="F62" s="146"/>
      <c r="G62" s="144"/>
    </row>
    <row r="63" spans="1:7" s="7" customFormat="1" ht="12.95" customHeight="1" x14ac:dyDescent="0.2">
      <c r="B63" s="56" t="s">
        <v>8</v>
      </c>
      <c r="C63" s="56"/>
      <c r="D63" s="280">
        <v>2017</v>
      </c>
      <c r="E63" s="146">
        <f>SUM(F63:G63)</f>
        <v>370</v>
      </c>
      <c r="F63" s="146">
        <f>'1.5Johor'!E67</f>
        <v>45</v>
      </c>
      <c r="G63" s="144">
        <f>'1.7Johor'!E65</f>
        <v>325</v>
      </c>
    </row>
    <row r="64" spans="1:7" s="7" customFormat="1" ht="12.95" customHeight="1" x14ac:dyDescent="0.2">
      <c r="A64" s="14"/>
      <c r="B64" s="56"/>
      <c r="C64" s="56"/>
      <c r="D64" s="280">
        <v>2018</v>
      </c>
      <c r="E64" s="146">
        <f>SUM(F64:G64)</f>
        <v>360</v>
      </c>
      <c r="F64" s="146">
        <f>'1.5Johor'!E68</f>
        <v>61</v>
      </c>
      <c r="G64" s="144">
        <f>'1.7Johor'!E66</f>
        <v>299</v>
      </c>
    </row>
    <row r="65" spans="1:8" ht="12.95" customHeight="1" x14ac:dyDescent="0.25">
      <c r="B65" s="56"/>
      <c r="C65" s="56"/>
      <c r="D65" s="281">
        <v>2019</v>
      </c>
      <c r="E65" s="146">
        <f>SUM(F65:G65)</f>
        <v>345</v>
      </c>
      <c r="F65" s="146">
        <f>'1.5Johor'!E69</f>
        <v>70</v>
      </c>
      <c r="G65" s="144">
        <f>'1.7Johor'!E67</f>
        <v>275</v>
      </c>
    </row>
    <row r="66" spans="1:8" ht="6" customHeight="1" x14ac:dyDescent="0.3">
      <c r="B66" s="56"/>
      <c r="C66" s="56"/>
      <c r="D66" s="282"/>
      <c r="E66" s="146"/>
      <c r="F66" s="146"/>
      <c r="G66" s="144"/>
    </row>
    <row r="67" spans="1:8" ht="12.95" customHeight="1" x14ac:dyDescent="0.2">
      <c r="B67" s="56" t="s">
        <v>56</v>
      </c>
      <c r="C67" s="55"/>
      <c r="D67" s="280">
        <v>2017</v>
      </c>
      <c r="E67" s="146">
        <f>SUM(F67:G67)</f>
        <v>1474</v>
      </c>
      <c r="F67" s="146">
        <f>'1.5Johor'!E71</f>
        <v>253</v>
      </c>
      <c r="G67" s="144">
        <f>'1.7Johor'!E69</f>
        <v>1221</v>
      </c>
    </row>
    <row r="68" spans="1:8" ht="12.95" customHeight="1" x14ac:dyDescent="0.2">
      <c r="B68" s="56"/>
      <c r="C68" s="56"/>
      <c r="D68" s="280">
        <v>2018</v>
      </c>
      <c r="E68" s="146">
        <f>SUM(F68:G68)</f>
        <v>1384</v>
      </c>
      <c r="F68" s="146">
        <f>'1.5Johor'!E72</f>
        <v>189</v>
      </c>
      <c r="G68" s="144">
        <f>'1.7Johor'!E70</f>
        <v>1195</v>
      </c>
    </row>
    <row r="69" spans="1:8" ht="12.95" customHeight="1" x14ac:dyDescent="0.25">
      <c r="A69" s="7"/>
      <c r="B69" s="56"/>
      <c r="C69" s="56"/>
      <c r="D69" s="281">
        <v>2019</v>
      </c>
      <c r="E69" s="146">
        <f>SUM(F69:G69)</f>
        <v>1490</v>
      </c>
      <c r="F69" s="146">
        <f>'1.5Johor'!E73</f>
        <v>212</v>
      </c>
      <c r="G69" s="144">
        <f>'1.7Johor'!E71</f>
        <v>1278</v>
      </c>
      <c r="H69" s="7"/>
    </row>
    <row r="70" spans="1:8" ht="6" customHeight="1" thickBot="1" x14ac:dyDescent="0.25">
      <c r="A70" s="34"/>
      <c r="B70" s="57"/>
      <c r="C70" s="57"/>
      <c r="D70" s="57"/>
      <c r="E70" s="58"/>
      <c r="F70" s="58"/>
      <c r="G70" s="58"/>
      <c r="H70" s="34"/>
    </row>
    <row r="71" spans="1:8" x14ac:dyDescent="0.25">
      <c r="G71" s="154" t="s">
        <v>99</v>
      </c>
    </row>
    <row r="72" spans="1:8" x14ac:dyDescent="0.25">
      <c r="G72" s="155" t="s">
        <v>1</v>
      </c>
    </row>
  </sheetData>
  <mergeCells count="6">
    <mergeCell ref="C6:G6"/>
    <mergeCell ref="E8:E9"/>
    <mergeCell ref="F8:F9"/>
    <mergeCell ref="G8:G9"/>
    <mergeCell ref="B8:C9"/>
    <mergeCell ref="D8:D9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90" fitToWidth="0" orientation="portrait" r:id="rId1"/>
  <headerFooter>
    <oddHeader xml:space="preserve">&amp;R&amp;"-,Bold"
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8"/>
  <sheetViews>
    <sheetView showGridLines="0" topLeftCell="A32" zoomScaleNormal="100" zoomScaleSheetLayoutView="100" workbookViewId="0">
      <selection activeCell="F42" sqref="F42"/>
    </sheetView>
  </sheetViews>
  <sheetFormatPr defaultRowHeight="15" x14ac:dyDescent="0.25"/>
  <cols>
    <col min="1" max="1" width="1.42578125" style="2" customWidth="1"/>
    <col min="2" max="2" width="9.85546875" style="3" customWidth="1"/>
    <col min="3" max="3" width="14.42578125" style="3" customWidth="1"/>
    <col min="4" max="4" width="7.42578125" style="3" customWidth="1"/>
    <col min="5" max="5" width="10.7109375" style="21" customWidth="1"/>
    <col min="6" max="8" width="10.7109375" style="22" customWidth="1"/>
    <col min="9" max="9" width="14.85546875" style="22" customWidth="1"/>
    <col min="10" max="10" width="1.7109375" style="22" customWidth="1"/>
    <col min="11" max="11" width="10.7109375" style="22" customWidth="1"/>
    <col min="12" max="12" width="14.85546875" style="22" customWidth="1"/>
    <col min="13" max="13" width="14.42578125" style="5" customWidth="1"/>
    <col min="14" max="14" width="0.85546875" style="2" customWidth="1"/>
    <col min="15" max="16384" width="9.140625" style="2"/>
  </cols>
  <sheetData>
    <row r="1" spans="1:14" ht="9.9499999999999993" customHeight="1" x14ac:dyDescent="0.25">
      <c r="B1" s="3" t="s">
        <v>196</v>
      </c>
    </row>
    <row r="2" spans="1:14" s="30" customFormat="1" ht="12.95" customHeight="1" x14ac:dyDescent="0.25">
      <c r="B2" s="27"/>
      <c r="C2" s="27"/>
      <c r="D2" s="29"/>
      <c r="E2" s="28"/>
      <c r="F2" s="29"/>
      <c r="M2" s="160" t="s">
        <v>179</v>
      </c>
      <c r="N2" s="29"/>
    </row>
    <row r="3" spans="1:14" s="30" customFormat="1" ht="12.95" customHeight="1" x14ac:dyDescent="0.25">
      <c r="B3" s="27"/>
      <c r="C3" s="27"/>
      <c r="D3" s="29"/>
      <c r="E3" s="28"/>
      <c r="F3" s="29"/>
      <c r="M3" s="68" t="s">
        <v>180</v>
      </c>
      <c r="N3" s="29"/>
    </row>
    <row r="4" spans="1:14" s="30" customFormat="1" ht="12" customHeight="1" x14ac:dyDescent="0.25">
      <c r="B4" s="27"/>
      <c r="C4" s="27"/>
      <c r="D4" s="29"/>
      <c r="E4" s="28"/>
      <c r="F4" s="29"/>
      <c r="G4" s="68"/>
      <c r="N4" s="29"/>
    </row>
    <row r="5" spans="1:14" s="30" customFormat="1" ht="12" customHeight="1" x14ac:dyDescent="0.25">
      <c r="B5" s="27"/>
      <c r="C5" s="27"/>
      <c r="D5" s="29"/>
      <c r="E5" s="28"/>
      <c r="F5" s="29"/>
      <c r="G5" s="68"/>
      <c r="N5" s="29"/>
    </row>
    <row r="6" spans="1:14" s="53" customFormat="1" ht="9.75" customHeight="1" x14ac:dyDescent="0.2">
      <c r="B6" s="115"/>
      <c r="C6" s="115"/>
      <c r="D6" s="189"/>
      <c r="E6" s="190"/>
      <c r="F6" s="189"/>
      <c r="G6" s="189"/>
      <c r="H6" s="191"/>
      <c r="I6" s="191"/>
      <c r="J6" s="191"/>
      <c r="K6" s="191"/>
      <c r="L6" s="191"/>
      <c r="M6" s="189"/>
      <c r="N6" s="114"/>
    </row>
    <row r="7" spans="1:14" s="53" customFormat="1" ht="15" customHeight="1" x14ac:dyDescent="0.2">
      <c r="B7" s="63" t="s">
        <v>186</v>
      </c>
      <c r="C7" s="64" t="s">
        <v>239</v>
      </c>
      <c r="D7" s="115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4" s="65" customFormat="1" ht="15" customHeight="1" x14ac:dyDescent="0.2">
      <c r="B8" s="66" t="s">
        <v>187</v>
      </c>
      <c r="C8" s="67" t="s">
        <v>240</v>
      </c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4" s="53" customFormat="1" ht="6.75" customHeight="1" thickBot="1" x14ac:dyDescent="0.25">
      <c r="B9" s="115"/>
      <c r="C9" s="115"/>
      <c r="D9" s="115"/>
      <c r="E9" s="63"/>
      <c r="F9" s="114"/>
      <c r="G9" s="114"/>
      <c r="H9" s="114"/>
      <c r="I9" s="114"/>
      <c r="J9" s="114"/>
      <c r="K9" s="114"/>
      <c r="L9" s="114"/>
      <c r="M9" s="189"/>
    </row>
    <row r="10" spans="1:14" s="53" customFormat="1" ht="9.9499999999999993" customHeight="1" thickTop="1" x14ac:dyDescent="0.2">
      <c r="A10" s="378"/>
      <c r="B10" s="388"/>
      <c r="C10" s="388"/>
      <c r="D10" s="389"/>
      <c r="E10" s="374"/>
      <c r="F10" s="375"/>
      <c r="G10" s="375"/>
      <c r="H10" s="376"/>
      <c r="I10" s="375"/>
      <c r="J10" s="375"/>
      <c r="K10" s="375"/>
      <c r="L10" s="375"/>
      <c r="M10" s="377"/>
      <c r="N10" s="378"/>
    </row>
    <row r="11" spans="1:14" s="53" customFormat="1" ht="27.75" customHeight="1" x14ac:dyDescent="0.2">
      <c r="A11" s="390"/>
      <c r="B11" s="432" t="s">
        <v>210</v>
      </c>
      <c r="C11" s="432"/>
      <c r="D11" s="379" t="s">
        <v>222</v>
      </c>
      <c r="E11" s="379" t="s">
        <v>220</v>
      </c>
      <c r="F11" s="379" t="s">
        <v>219</v>
      </c>
      <c r="G11" s="379" t="s">
        <v>218</v>
      </c>
      <c r="H11" s="433" t="s">
        <v>234</v>
      </c>
      <c r="I11" s="433"/>
      <c r="J11" s="380"/>
      <c r="K11" s="433" t="s">
        <v>221</v>
      </c>
      <c r="L11" s="433"/>
      <c r="M11" s="379" t="s">
        <v>217</v>
      </c>
      <c r="N11" s="381"/>
    </row>
    <row r="12" spans="1:14" s="53" customFormat="1" ht="30" customHeight="1" x14ac:dyDescent="0.2">
      <c r="A12" s="390"/>
      <c r="B12" s="434" t="s">
        <v>211</v>
      </c>
      <c r="C12" s="434"/>
      <c r="D12" s="382" t="s">
        <v>212</v>
      </c>
      <c r="E12" s="382" t="s">
        <v>213</v>
      </c>
      <c r="F12" s="382" t="s">
        <v>214</v>
      </c>
      <c r="G12" s="382" t="s">
        <v>215</v>
      </c>
      <c r="H12" s="383" t="s">
        <v>225</v>
      </c>
      <c r="I12" s="383" t="s">
        <v>226</v>
      </c>
      <c r="J12" s="383"/>
      <c r="K12" s="383" t="s">
        <v>225</v>
      </c>
      <c r="L12" s="383" t="s">
        <v>226</v>
      </c>
      <c r="M12" s="384" t="s">
        <v>216</v>
      </c>
      <c r="N12" s="385"/>
    </row>
    <row r="13" spans="1:14" s="53" customFormat="1" ht="30" customHeight="1" x14ac:dyDescent="0.2">
      <c r="A13" s="391"/>
      <c r="B13" s="392"/>
      <c r="C13" s="392"/>
      <c r="D13" s="386"/>
      <c r="E13" s="386"/>
      <c r="F13" s="386"/>
      <c r="G13" s="386"/>
      <c r="H13" s="387" t="s">
        <v>223</v>
      </c>
      <c r="I13" s="387" t="s">
        <v>224</v>
      </c>
      <c r="J13" s="387"/>
      <c r="K13" s="387" t="s">
        <v>223</v>
      </c>
      <c r="L13" s="387" t="s">
        <v>224</v>
      </c>
      <c r="M13" s="370"/>
      <c r="N13" s="373"/>
    </row>
    <row r="14" spans="1:14" s="53" customFormat="1" ht="6" customHeight="1" x14ac:dyDescent="0.2">
      <c r="A14" s="116"/>
      <c r="B14" s="180"/>
      <c r="C14" s="180"/>
      <c r="D14" s="90"/>
      <c r="E14" s="90"/>
      <c r="F14" s="192"/>
      <c r="G14" s="192"/>
      <c r="H14" s="192"/>
      <c r="I14" s="192"/>
      <c r="J14" s="192"/>
      <c r="K14" s="192"/>
      <c r="L14" s="192"/>
      <c r="M14" s="192"/>
      <c r="N14" s="86"/>
    </row>
    <row r="15" spans="1:14" s="106" customFormat="1" ht="20.100000000000001" customHeight="1" x14ac:dyDescent="0.2">
      <c r="A15" s="208"/>
      <c r="B15" s="124" t="s">
        <v>200</v>
      </c>
      <c r="C15" s="124"/>
      <c r="D15" s="62"/>
      <c r="E15" s="145"/>
      <c r="F15" s="145"/>
      <c r="G15" s="145"/>
      <c r="H15" s="145"/>
      <c r="I15" s="145"/>
      <c r="J15" s="145"/>
      <c r="K15" s="145"/>
      <c r="L15" s="145"/>
      <c r="M15" s="145"/>
    </row>
    <row r="16" spans="1:14" s="53" customFormat="1" ht="20.100000000000001" customHeight="1" x14ac:dyDescent="0.2">
      <c r="A16" s="208"/>
      <c r="B16" s="82"/>
      <c r="C16" s="82"/>
      <c r="D16" s="62"/>
      <c r="E16" s="146"/>
      <c r="F16" s="146"/>
      <c r="G16" s="146"/>
      <c r="H16" s="146"/>
      <c r="I16" s="146"/>
      <c r="J16" s="146"/>
      <c r="K16" s="146"/>
      <c r="L16" s="146"/>
      <c r="M16" s="146"/>
    </row>
    <row r="17" spans="1:13" s="53" customFormat="1" ht="20.100000000000001" customHeight="1" x14ac:dyDescent="0.2">
      <c r="A17" s="208"/>
      <c r="B17" s="82" t="s">
        <v>143</v>
      </c>
      <c r="C17" s="82"/>
      <c r="D17" s="148">
        <v>2017</v>
      </c>
      <c r="E17" s="146">
        <f>SUM(F17:M17)</f>
        <v>10</v>
      </c>
      <c r="F17" s="146" t="s">
        <v>51</v>
      </c>
      <c r="G17" s="146">
        <v>4</v>
      </c>
      <c r="H17" s="144" t="s">
        <v>51</v>
      </c>
      <c r="I17" s="144" t="s">
        <v>51</v>
      </c>
      <c r="J17" s="146"/>
      <c r="K17" s="144" t="s">
        <v>51</v>
      </c>
      <c r="L17" s="146">
        <v>1</v>
      </c>
      <c r="M17" s="146">
        <v>5</v>
      </c>
    </row>
    <row r="18" spans="1:13" s="53" customFormat="1" ht="20.100000000000001" customHeight="1" x14ac:dyDescent="0.2">
      <c r="A18" s="208"/>
      <c r="B18" s="82"/>
      <c r="C18" s="82"/>
      <c r="D18" s="148">
        <v>2018</v>
      </c>
      <c r="E18" s="146">
        <f>SUM(F18:M18)</f>
        <v>13</v>
      </c>
      <c r="F18" s="144" t="s">
        <v>51</v>
      </c>
      <c r="G18" s="146">
        <v>3</v>
      </c>
      <c r="H18" s="146">
        <v>1</v>
      </c>
      <c r="I18" s="146">
        <v>2</v>
      </c>
      <c r="J18" s="146"/>
      <c r="K18" s="144" t="s">
        <v>51</v>
      </c>
      <c r="L18" s="146">
        <v>1</v>
      </c>
      <c r="M18" s="146">
        <v>6</v>
      </c>
    </row>
    <row r="19" spans="1:13" s="53" customFormat="1" ht="20.100000000000001" customHeight="1" x14ac:dyDescent="0.2">
      <c r="A19" s="208"/>
      <c r="B19" s="82"/>
      <c r="C19" s="82"/>
      <c r="D19" s="148">
        <v>2019</v>
      </c>
      <c r="E19" s="146">
        <f>SUM(F19:M19)</f>
        <v>7</v>
      </c>
      <c r="F19" s="146">
        <v>1</v>
      </c>
      <c r="G19" s="146">
        <v>2</v>
      </c>
      <c r="H19" s="144" t="s">
        <v>51</v>
      </c>
      <c r="I19" s="146">
        <v>1</v>
      </c>
      <c r="J19" s="146"/>
      <c r="K19" s="144" t="s">
        <v>51</v>
      </c>
      <c r="L19" s="146">
        <v>2</v>
      </c>
      <c r="M19" s="146">
        <v>1</v>
      </c>
    </row>
    <row r="20" spans="1:13" s="53" customFormat="1" ht="20.100000000000001" customHeight="1" x14ac:dyDescent="0.2">
      <c r="A20" s="208"/>
      <c r="B20" s="82"/>
      <c r="C20" s="82"/>
      <c r="D20" s="148"/>
      <c r="E20" s="146"/>
      <c r="F20" s="146"/>
      <c r="G20" s="146"/>
      <c r="H20" s="146"/>
      <c r="I20" s="146"/>
      <c r="J20" s="146"/>
      <c r="K20" s="144"/>
      <c r="L20" s="146"/>
      <c r="M20" s="146"/>
    </row>
    <row r="21" spans="1:13" s="53" customFormat="1" ht="20.100000000000001" customHeight="1" x14ac:dyDescent="0.2">
      <c r="A21" s="208"/>
      <c r="B21" s="82" t="s">
        <v>144</v>
      </c>
      <c r="C21" s="82"/>
      <c r="D21" s="148">
        <v>2017</v>
      </c>
      <c r="E21" s="146">
        <f>SUM(F21:M21)</f>
        <v>78</v>
      </c>
      <c r="F21" s="146">
        <v>3</v>
      </c>
      <c r="G21" s="146">
        <v>10</v>
      </c>
      <c r="H21" s="144" t="s">
        <v>51</v>
      </c>
      <c r="I21" s="146">
        <v>33</v>
      </c>
      <c r="J21" s="146"/>
      <c r="K21" s="144" t="s">
        <v>51</v>
      </c>
      <c r="L21" s="146">
        <v>6</v>
      </c>
      <c r="M21" s="146">
        <v>26</v>
      </c>
    </row>
    <row r="22" spans="1:13" s="53" customFormat="1" ht="20.100000000000001" customHeight="1" x14ac:dyDescent="0.2">
      <c r="A22" s="208"/>
      <c r="B22" s="82"/>
      <c r="C22" s="82"/>
      <c r="D22" s="148">
        <v>2018</v>
      </c>
      <c r="E22" s="146">
        <f>SUM(F22:M22)</f>
        <v>60</v>
      </c>
      <c r="F22" s="146" t="s">
        <v>51</v>
      </c>
      <c r="G22" s="146">
        <v>13</v>
      </c>
      <c r="H22" s="144" t="s">
        <v>51</v>
      </c>
      <c r="I22" s="146">
        <v>32</v>
      </c>
      <c r="J22" s="146"/>
      <c r="K22" s="144" t="s">
        <v>51</v>
      </c>
      <c r="L22" s="146">
        <v>10</v>
      </c>
      <c r="M22" s="146">
        <v>5</v>
      </c>
    </row>
    <row r="23" spans="1:13" s="53" customFormat="1" ht="20.100000000000001" customHeight="1" x14ac:dyDescent="0.2">
      <c r="A23" s="208"/>
      <c r="B23" s="82"/>
      <c r="C23" s="82"/>
      <c r="D23" s="148">
        <v>2019</v>
      </c>
      <c r="E23" s="146">
        <f>SUM(F23:M23)</f>
        <v>84</v>
      </c>
      <c r="F23" s="146">
        <v>1</v>
      </c>
      <c r="G23" s="146">
        <v>15</v>
      </c>
      <c r="H23" s="144" t="s">
        <v>51</v>
      </c>
      <c r="I23" s="146">
        <v>30</v>
      </c>
      <c r="J23" s="146"/>
      <c r="K23" s="144" t="s">
        <v>51</v>
      </c>
      <c r="L23" s="146">
        <v>9</v>
      </c>
      <c r="M23" s="146">
        <v>29</v>
      </c>
    </row>
    <row r="24" spans="1:13" s="53" customFormat="1" ht="20.100000000000001" customHeight="1" x14ac:dyDescent="0.2">
      <c r="A24" s="208"/>
      <c r="B24" s="82"/>
      <c r="C24" s="82"/>
      <c r="D24" s="148"/>
      <c r="E24" s="146"/>
      <c r="F24" s="146"/>
      <c r="G24" s="146"/>
      <c r="H24" s="144"/>
      <c r="I24" s="144"/>
      <c r="J24" s="146"/>
      <c r="K24" s="144"/>
      <c r="L24" s="144"/>
      <c r="M24" s="146"/>
    </row>
    <row r="25" spans="1:13" s="53" customFormat="1" ht="20.100000000000001" customHeight="1" x14ac:dyDescent="0.2">
      <c r="A25" s="208"/>
      <c r="B25" s="82" t="s">
        <v>145</v>
      </c>
      <c r="C25" s="82"/>
      <c r="D25" s="148">
        <v>2017</v>
      </c>
      <c r="E25" s="146">
        <f>SUM(F25:M25)</f>
        <v>8</v>
      </c>
      <c r="F25" s="146" t="s">
        <v>51</v>
      </c>
      <c r="G25" s="146">
        <v>6</v>
      </c>
      <c r="H25" s="144" t="s">
        <v>51</v>
      </c>
      <c r="I25" s="146">
        <v>1</v>
      </c>
      <c r="J25" s="146"/>
      <c r="K25" s="144" t="s">
        <v>51</v>
      </c>
      <c r="L25" s="144" t="s">
        <v>51</v>
      </c>
      <c r="M25" s="146">
        <v>1</v>
      </c>
    </row>
    <row r="26" spans="1:13" s="53" customFormat="1" ht="20.100000000000001" customHeight="1" x14ac:dyDescent="0.2">
      <c r="A26" s="208"/>
      <c r="B26" s="82"/>
      <c r="C26" s="82"/>
      <c r="D26" s="148">
        <v>2018</v>
      </c>
      <c r="E26" s="146">
        <f>SUM(F26:M26)</f>
        <v>11</v>
      </c>
      <c r="F26" s="144">
        <v>1</v>
      </c>
      <c r="G26" s="146">
        <v>2</v>
      </c>
      <c r="H26" s="144" t="s">
        <v>51</v>
      </c>
      <c r="I26" s="146">
        <v>3</v>
      </c>
      <c r="J26" s="146"/>
      <c r="K26" s="144" t="s">
        <v>51</v>
      </c>
      <c r="L26" s="144" t="s">
        <v>51</v>
      </c>
      <c r="M26" s="146">
        <v>5</v>
      </c>
    </row>
    <row r="27" spans="1:13" s="53" customFormat="1" ht="20.100000000000001" customHeight="1" x14ac:dyDescent="0.2">
      <c r="A27" s="208"/>
      <c r="B27" s="82"/>
      <c r="C27" s="82"/>
      <c r="D27" s="148">
        <v>2019</v>
      </c>
      <c r="E27" s="146">
        <f>SUM(F27:M27)</f>
        <v>8</v>
      </c>
      <c r="F27" s="144" t="s">
        <v>51</v>
      </c>
      <c r="G27" s="146">
        <v>1</v>
      </c>
      <c r="H27" s="144" t="s">
        <v>51</v>
      </c>
      <c r="I27" s="146">
        <v>4</v>
      </c>
      <c r="J27" s="146"/>
      <c r="K27" s="144" t="s">
        <v>51</v>
      </c>
      <c r="L27" s="144" t="s">
        <v>51</v>
      </c>
      <c r="M27" s="146">
        <v>3</v>
      </c>
    </row>
    <row r="28" spans="1:13" s="53" customFormat="1" ht="20.100000000000001" customHeight="1" x14ac:dyDescent="0.2">
      <c r="A28" s="208"/>
      <c r="B28" s="82"/>
      <c r="C28" s="82"/>
      <c r="D28" s="148"/>
      <c r="E28" s="146"/>
      <c r="F28" s="146"/>
      <c r="G28" s="146"/>
      <c r="H28" s="146"/>
      <c r="I28" s="146"/>
      <c r="J28" s="146"/>
      <c r="K28" s="144"/>
      <c r="L28" s="146"/>
      <c r="M28" s="146"/>
    </row>
    <row r="29" spans="1:13" s="53" customFormat="1" ht="20.100000000000001" customHeight="1" x14ac:dyDescent="0.2">
      <c r="A29" s="208"/>
      <c r="B29" s="82" t="s">
        <v>146</v>
      </c>
      <c r="C29" s="82"/>
      <c r="D29" s="148">
        <v>2017</v>
      </c>
      <c r="E29" s="146">
        <f>SUM(F29:M29)</f>
        <v>28</v>
      </c>
      <c r="F29" s="146">
        <v>1</v>
      </c>
      <c r="G29" s="146">
        <v>7</v>
      </c>
      <c r="H29" s="144" t="s">
        <v>51</v>
      </c>
      <c r="I29" s="146">
        <v>4</v>
      </c>
      <c r="J29" s="146"/>
      <c r="K29" s="144" t="s">
        <v>51</v>
      </c>
      <c r="L29" s="146">
        <v>5</v>
      </c>
      <c r="M29" s="146">
        <v>11</v>
      </c>
    </row>
    <row r="30" spans="1:13" s="53" customFormat="1" ht="20.100000000000001" customHeight="1" x14ac:dyDescent="0.2">
      <c r="A30" s="208"/>
      <c r="B30" s="82"/>
      <c r="C30" s="82"/>
      <c r="D30" s="148">
        <v>2018</v>
      </c>
      <c r="E30" s="146">
        <f>SUM(F30:M30)</f>
        <v>9</v>
      </c>
      <c r="F30" s="146" t="s">
        <v>51</v>
      </c>
      <c r="G30" s="146">
        <v>4</v>
      </c>
      <c r="H30" s="144" t="s">
        <v>51</v>
      </c>
      <c r="I30" s="146">
        <v>5</v>
      </c>
      <c r="J30" s="146"/>
      <c r="K30" s="144" t="s">
        <v>51</v>
      </c>
      <c r="L30" s="144" t="s">
        <v>51</v>
      </c>
      <c r="M30" s="146" t="s">
        <v>51</v>
      </c>
    </row>
    <row r="31" spans="1:13" s="53" customFormat="1" ht="20.100000000000001" customHeight="1" x14ac:dyDescent="0.2">
      <c r="A31" s="208"/>
      <c r="B31" s="82"/>
      <c r="C31" s="82"/>
      <c r="D31" s="148">
        <v>2019</v>
      </c>
      <c r="E31" s="146">
        <f>SUM(F31:M31)</f>
        <v>18</v>
      </c>
      <c r="F31" s="144" t="s">
        <v>51</v>
      </c>
      <c r="G31" s="146">
        <v>2</v>
      </c>
      <c r="H31" s="144" t="s">
        <v>51</v>
      </c>
      <c r="I31" s="146">
        <v>4</v>
      </c>
      <c r="J31" s="146"/>
      <c r="K31" s="144" t="s">
        <v>51</v>
      </c>
      <c r="L31" s="146">
        <v>3</v>
      </c>
      <c r="M31" s="146">
        <v>9</v>
      </c>
    </row>
    <row r="32" spans="1:13" s="53" customFormat="1" ht="20.100000000000001" customHeight="1" x14ac:dyDescent="0.2">
      <c r="A32" s="208"/>
      <c r="B32" s="82"/>
      <c r="C32" s="82"/>
      <c r="D32" s="148"/>
      <c r="E32" s="146"/>
      <c r="F32" s="146"/>
      <c r="G32" s="146"/>
      <c r="H32" s="144"/>
      <c r="I32" s="146"/>
      <c r="J32" s="146"/>
      <c r="K32" s="144"/>
      <c r="L32" s="144"/>
      <c r="M32" s="146"/>
    </row>
    <row r="33" spans="1:13" s="53" customFormat="1" ht="20.100000000000001" customHeight="1" x14ac:dyDescent="0.2">
      <c r="A33" s="208"/>
      <c r="B33" s="82" t="s">
        <v>147</v>
      </c>
      <c r="C33" s="82"/>
      <c r="D33" s="148">
        <v>2017</v>
      </c>
      <c r="E33" s="146">
        <f>SUM(F33:M33)</f>
        <v>25</v>
      </c>
      <c r="F33" s="146">
        <v>1</v>
      </c>
      <c r="G33" s="146">
        <v>2</v>
      </c>
      <c r="H33" s="144" t="s">
        <v>51</v>
      </c>
      <c r="I33" s="146">
        <v>12</v>
      </c>
      <c r="J33" s="146"/>
      <c r="K33" s="144" t="s">
        <v>51</v>
      </c>
      <c r="L33" s="144" t="s">
        <v>51</v>
      </c>
      <c r="M33" s="146">
        <v>10</v>
      </c>
    </row>
    <row r="34" spans="1:13" s="53" customFormat="1" ht="20.100000000000001" customHeight="1" x14ac:dyDescent="0.2">
      <c r="A34" s="208"/>
      <c r="B34" s="82"/>
      <c r="C34" s="82"/>
      <c r="D34" s="148">
        <v>2018</v>
      </c>
      <c r="E34" s="146">
        <f>SUM(F34:M34)</f>
        <v>18</v>
      </c>
      <c r="F34" s="146">
        <v>1</v>
      </c>
      <c r="G34" s="146">
        <v>4</v>
      </c>
      <c r="H34" s="144" t="s">
        <v>51</v>
      </c>
      <c r="I34" s="146">
        <v>9</v>
      </c>
      <c r="J34" s="146"/>
      <c r="K34" s="144" t="s">
        <v>51</v>
      </c>
      <c r="L34" s="146">
        <v>3</v>
      </c>
      <c r="M34" s="146">
        <v>1</v>
      </c>
    </row>
    <row r="35" spans="1:13" s="53" customFormat="1" ht="20.100000000000001" customHeight="1" x14ac:dyDescent="0.2">
      <c r="A35" s="208"/>
      <c r="B35" s="82"/>
      <c r="C35" s="82"/>
      <c r="D35" s="148">
        <v>2019</v>
      </c>
      <c r="E35" s="146">
        <f>SUM(F35:M35)</f>
        <v>21</v>
      </c>
      <c r="F35" s="146">
        <v>2</v>
      </c>
      <c r="G35" s="146">
        <v>6</v>
      </c>
      <c r="H35" s="144" t="s">
        <v>51</v>
      </c>
      <c r="I35" s="146">
        <v>4</v>
      </c>
      <c r="J35" s="146"/>
      <c r="K35" s="144" t="s">
        <v>51</v>
      </c>
      <c r="L35" s="144" t="s">
        <v>51</v>
      </c>
      <c r="M35" s="146">
        <v>9</v>
      </c>
    </row>
    <row r="36" spans="1:13" s="53" customFormat="1" ht="20.100000000000001" customHeight="1" x14ac:dyDescent="0.2">
      <c r="A36" s="208"/>
      <c r="B36" s="82"/>
      <c r="C36" s="82"/>
      <c r="D36" s="148"/>
      <c r="E36" s="146"/>
      <c r="F36" s="146"/>
      <c r="G36" s="146"/>
      <c r="H36" s="144"/>
      <c r="I36" s="146"/>
      <c r="J36" s="146"/>
      <c r="K36" s="144"/>
      <c r="L36" s="146"/>
      <c r="M36" s="146"/>
    </row>
    <row r="37" spans="1:13" s="53" customFormat="1" ht="20.100000000000001" customHeight="1" x14ac:dyDescent="0.2">
      <c r="A37" s="208"/>
      <c r="B37" s="82" t="s">
        <v>148</v>
      </c>
      <c r="C37" s="82"/>
      <c r="D37" s="148">
        <v>2017</v>
      </c>
      <c r="E37" s="146">
        <f>SUM(F37:M37)</f>
        <v>122</v>
      </c>
      <c r="F37" s="146">
        <v>5</v>
      </c>
      <c r="G37" s="146">
        <v>18</v>
      </c>
      <c r="H37" s="144" t="s">
        <v>51</v>
      </c>
      <c r="I37" s="146">
        <v>32</v>
      </c>
      <c r="J37" s="146"/>
      <c r="K37" s="144" t="s">
        <v>51</v>
      </c>
      <c r="L37" s="146">
        <v>16</v>
      </c>
      <c r="M37" s="146">
        <v>51</v>
      </c>
    </row>
    <row r="38" spans="1:13" s="53" customFormat="1" ht="20.100000000000001" customHeight="1" x14ac:dyDescent="0.2">
      <c r="A38" s="208"/>
      <c r="B38" s="82"/>
      <c r="C38" s="82"/>
      <c r="D38" s="148">
        <v>2018</v>
      </c>
      <c r="E38" s="146">
        <f>SUM(F38:M38)</f>
        <v>71</v>
      </c>
      <c r="F38" s="146">
        <v>4</v>
      </c>
      <c r="G38" s="146">
        <v>20</v>
      </c>
      <c r="H38" s="144" t="s">
        <v>51</v>
      </c>
      <c r="I38" s="146">
        <v>29</v>
      </c>
      <c r="J38" s="146"/>
      <c r="K38" s="144" t="s">
        <v>51</v>
      </c>
      <c r="L38" s="146">
        <v>10</v>
      </c>
      <c r="M38" s="146">
        <v>8</v>
      </c>
    </row>
    <row r="39" spans="1:13" s="53" customFormat="1" ht="20.100000000000001" customHeight="1" x14ac:dyDescent="0.2">
      <c r="A39" s="208"/>
      <c r="B39" s="82"/>
      <c r="C39" s="82"/>
      <c r="D39" s="148">
        <v>2019</v>
      </c>
      <c r="E39" s="146">
        <f>SUM(F39:M39)</f>
        <v>124</v>
      </c>
      <c r="F39" s="146">
        <v>4</v>
      </c>
      <c r="G39" s="146">
        <v>23</v>
      </c>
      <c r="H39" s="146">
        <v>1</v>
      </c>
      <c r="I39" s="146">
        <v>26</v>
      </c>
      <c r="J39" s="146"/>
      <c r="K39" s="144" t="s">
        <v>51</v>
      </c>
      <c r="L39" s="146">
        <v>26</v>
      </c>
      <c r="M39" s="146">
        <v>44</v>
      </c>
    </row>
    <row r="40" spans="1:13" s="53" customFormat="1" ht="20.100000000000001" customHeight="1" x14ac:dyDescent="0.2">
      <c r="A40" s="208"/>
      <c r="B40" s="82"/>
      <c r="C40" s="82"/>
      <c r="D40" s="148"/>
      <c r="E40" s="146"/>
      <c r="F40" s="146"/>
      <c r="G40" s="146"/>
      <c r="H40" s="144"/>
      <c r="I40" s="146"/>
      <c r="J40" s="146"/>
      <c r="K40" s="144"/>
      <c r="L40" s="144"/>
      <c r="M40" s="146"/>
    </row>
    <row r="41" spans="1:13" s="53" customFormat="1" ht="20.100000000000001" customHeight="1" x14ac:dyDescent="0.2">
      <c r="A41" s="208"/>
      <c r="B41" s="82" t="s">
        <v>149</v>
      </c>
      <c r="C41" s="82"/>
      <c r="D41" s="148">
        <v>2017</v>
      </c>
      <c r="E41" s="146">
        <f>SUM(F41:M41)</f>
        <v>5</v>
      </c>
      <c r="F41" s="146" t="s">
        <v>51</v>
      </c>
      <c r="G41" s="146">
        <v>1</v>
      </c>
      <c r="H41" s="144" t="s">
        <v>51</v>
      </c>
      <c r="I41" s="144" t="s">
        <v>51</v>
      </c>
      <c r="J41" s="146"/>
      <c r="K41" s="144" t="s">
        <v>51</v>
      </c>
      <c r="L41" s="144" t="s">
        <v>51</v>
      </c>
      <c r="M41" s="146">
        <v>4</v>
      </c>
    </row>
    <row r="42" spans="1:13" s="53" customFormat="1" ht="20.100000000000001" customHeight="1" x14ac:dyDescent="0.2">
      <c r="A42" s="208"/>
      <c r="B42" s="82"/>
      <c r="C42" s="82"/>
      <c r="D42" s="148">
        <v>2018</v>
      </c>
      <c r="E42" s="146">
        <f>SUM(F42:M42)</f>
        <v>9</v>
      </c>
      <c r="F42" s="144" t="s">
        <v>51</v>
      </c>
      <c r="G42" s="146">
        <v>5</v>
      </c>
      <c r="H42" s="144" t="s">
        <v>51</v>
      </c>
      <c r="I42" s="144">
        <v>1</v>
      </c>
      <c r="J42" s="144"/>
      <c r="K42" s="144" t="s">
        <v>51</v>
      </c>
      <c r="L42" s="144">
        <v>1</v>
      </c>
      <c r="M42" s="146">
        <v>2</v>
      </c>
    </row>
    <row r="43" spans="1:13" s="53" customFormat="1" ht="20.100000000000001" customHeight="1" x14ac:dyDescent="0.2">
      <c r="A43" s="208"/>
      <c r="B43" s="82"/>
      <c r="C43" s="82"/>
      <c r="D43" s="148">
        <v>2019</v>
      </c>
      <c r="E43" s="146">
        <f>SUM(F43:M43)</f>
        <v>7</v>
      </c>
      <c r="F43" s="144" t="s">
        <v>51</v>
      </c>
      <c r="G43" s="146">
        <v>2</v>
      </c>
      <c r="H43" s="144" t="s">
        <v>51</v>
      </c>
      <c r="I43" s="146">
        <v>1</v>
      </c>
      <c r="J43" s="146"/>
      <c r="K43" s="144" t="s">
        <v>51</v>
      </c>
      <c r="L43" s="144" t="s">
        <v>51</v>
      </c>
      <c r="M43" s="146">
        <v>4</v>
      </c>
    </row>
    <row r="44" spans="1:13" s="53" customFormat="1" ht="20.100000000000001" customHeight="1" x14ac:dyDescent="0.2">
      <c r="A44" s="208"/>
      <c r="B44" s="82"/>
      <c r="C44" s="82"/>
      <c r="D44" s="141"/>
      <c r="E44" s="146"/>
      <c r="F44" s="146"/>
      <c r="G44" s="146"/>
      <c r="H44" s="144"/>
      <c r="I44" s="146"/>
      <c r="J44" s="146"/>
      <c r="K44" s="144"/>
      <c r="L44" s="144"/>
      <c r="M44" s="146"/>
    </row>
    <row r="45" spans="1:13" s="53" customFormat="1" ht="20.100000000000001" customHeight="1" x14ac:dyDescent="0.2">
      <c r="A45" s="208"/>
      <c r="B45" s="82" t="s">
        <v>150</v>
      </c>
      <c r="C45" s="82"/>
      <c r="D45" s="148">
        <v>2017</v>
      </c>
      <c r="E45" s="146">
        <f>SUM(F45:M45)</f>
        <v>3</v>
      </c>
      <c r="F45" s="146" t="s">
        <v>51</v>
      </c>
      <c r="G45" s="146">
        <v>1</v>
      </c>
      <c r="H45" s="144" t="s">
        <v>51</v>
      </c>
      <c r="I45" s="144" t="s">
        <v>51</v>
      </c>
      <c r="J45" s="146"/>
      <c r="K45" s="144" t="s">
        <v>51</v>
      </c>
      <c r="L45" s="144" t="s">
        <v>51</v>
      </c>
      <c r="M45" s="146">
        <v>2</v>
      </c>
    </row>
    <row r="46" spans="1:13" s="53" customFormat="1" ht="20.100000000000001" customHeight="1" x14ac:dyDescent="0.2">
      <c r="A46" s="208"/>
      <c r="B46" s="82"/>
      <c r="C46" s="82"/>
      <c r="D46" s="148">
        <v>2018</v>
      </c>
      <c r="E46" s="146">
        <f>SUM(F46:M46)</f>
        <v>2</v>
      </c>
      <c r="F46" s="144" t="s">
        <v>51</v>
      </c>
      <c r="G46" s="146" t="s">
        <v>51</v>
      </c>
      <c r="H46" s="144" t="s">
        <v>51</v>
      </c>
      <c r="I46" s="144" t="s">
        <v>51</v>
      </c>
      <c r="J46" s="144"/>
      <c r="K46" s="144" t="s">
        <v>51</v>
      </c>
      <c r="L46" s="144" t="s">
        <v>51</v>
      </c>
      <c r="M46" s="146">
        <v>2</v>
      </c>
    </row>
    <row r="47" spans="1:13" s="53" customFormat="1" ht="20.100000000000001" customHeight="1" x14ac:dyDescent="0.2">
      <c r="A47" s="208"/>
      <c r="B47" s="82"/>
      <c r="C47" s="82"/>
      <c r="D47" s="148">
        <v>2019</v>
      </c>
      <c r="E47" s="146">
        <f>SUM(F47:M47)</f>
        <v>3</v>
      </c>
      <c r="F47" s="144" t="s">
        <v>51</v>
      </c>
      <c r="G47" s="146">
        <v>1</v>
      </c>
      <c r="H47" s="144" t="s">
        <v>51</v>
      </c>
      <c r="I47" s="144" t="s">
        <v>51</v>
      </c>
      <c r="J47" s="146"/>
      <c r="K47" s="144" t="s">
        <v>51</v>
      </c>
      <c r="L47" s="144" t="s">
        <v>51</v>
      </c>
      <c r="M47" s="146">
        <v>2</v>
      </c>
    </row>
    <row r="48" spans="1:13" s="53" customFormat="1" ht="20.100000000000001" customHeight="1" x14ac:dyDescent="0.2">
      <c r="A48" s="208"/>
      <c r="B48" s="82"/>
      <c r="C48" s="82"/>
      <c r="D48" s="148"/>
      <c r="E48" s="146"/>
      <c r="F48" s="146"/>
      <c r="G48" s="146"/>
      <c r="H48" s="146"/>
      <c r="I48" s="146"/>
      <c r="J48" s="146"/>
      <c r="K48" s="144"/>
      <c r="L48" s="144"/>
      <c r="M48" s="146"/>
    </row>
    <row r="49" spans="1:14" s="53" customFormat="1" ht="20.100000000000001" customHeight="1" x14ac:dyDescent="0.2">
      <c r="A49" s="208"/>
      <c r="B49" s="82" t="s">
        <v>151</v>
      </c>
      <c r="C49" s="82"/>
      <c r="D49" s="148">
        <v>2017</v>
      </c>
      <c r="E49" s="146">
        <f>SUM(F49:M49)</f>
        <v>21</v>
      </c>
      <c r="F49" s="146">
        <v>1</v>
      </c>
      <c r="G49" s="146">
        <v>7</v>
      </c>
      <c r="H49" s="144" t="s">
        <v>51</v>
      </c>
      <c r="I49" s="146">
        <v>3</v>
      </c>
      <c r="J49" s="146"/>
      <c r="K49" s="144" t="s">
        <v>51</v>
      </c>
      <c r="L49" s="146">
        <v>3</v>
      </c>
      <c r="M49" s="146">
        <v>7</v>
      </c>
    </row>
    <row r="50" spans="1:14" s="53" customFormat="1" ht="20.100000000000001" customHeight="1" x14ac:dyDescent="0.2">
      <c r="A50" s="208"/>
      <c r="B50" s="82"/>
      <c r="C50" s="82"/>
      <c r="D50" s="148">
        <v>2018</v>
      </c>
      <c r="E50" s="146">
        <f>SUM(F50:M50)</f>
        <v>26</v>
      </c>
      <c r="F50" s="146">
        <v>1</v>
      </c>
      <c r="G50" s="146">
        <v>11</v>
      </c>
      <c r="H50" s="144" t="s">
        <v>51</v>
      </c>
      <c r="I50" s="146">
        <v>2</v>
      </c>
      <c r="J50" s="146"/>
      <c r="K50" s="144" t="s">
        <v>51</v>
      </c>
      <c r="L50" s="146">
        <v>1</v>
      </c>
      <c r="M50" s="146">
        <v>11</v>
      </c>
    </row>
    <row r="51" spans="1:14" s="53" customFormat="1" ht="20.100000000000001" customHeight="1" x14ac:dyDescent="0.2">
      <c r="A51" s="208"/>
      <c r="B51" s="82"/>
      <c r="C51" s="82"/>
      <c r="D51" s="148">
        <v>2019</v>
      </c>
      <c r="E51" s="146">
        <f>SUM(F51:M51)</f>
        <v>13</v>
      </c>
      <c r="F51" s="144" t="s">
        <v>51</v>
      </c>
      <c r="G51" s="146">
        <v>2</v>
      </c>
      <c r="H51" s="144" t="s">
        <v>51</v>
      </c>
      <c r="I51" s="146">
        <v>3</v>
      </c>
      <c r="J51" s="146"/>
      <c r="K51" s="144" t="s">
        <v>51</v>
      </c>
      <c r="L51" s="146">
        <v>2</v>
      </c>
      <c r="M51" s="146">
        <v>6</v>
      </c>
    </row>
    <row r="52" spans="1:14" s="53" customFormat="1" ht="20.100000000000001" customHeight="1" x14ac:dyDescent="0.2">
      <c r="A52" s="208"/>
      <c r="B52" s="82"/>
      <c r="C52" s="82"/>
      <c r="D52" s="148"/>
      <c r="E52" s="146"/>
      <c r="F52" s="146"/>
      <c r="G52" s="146"/>
      <c r="H52" s="144"/>
      <c r="I52" s="144"/>
      <c r="J52" s="146"/>
      <c r="K52" s="144"/>
      <c r="L52" s="144"/>
      <c r="M52" s="146"/>
    </row>
    <row r="53" spans="1:14" s="53" customFormat="1" ht="20.100000000000001" customHeight="1" x14ac:dyDescent="0.2">
      <c r="A53" s="208"/>
      <c r="B53" s="82" t="s">
        <v>152</v>
      </c>
      <c r="C53" s="82"/>
      <c r="D53" s="148">
        <v>2017</v>
      </c>
      <c r="E53" s="146">
        <f>SUM(F53:M53)</f>
        <v>5</v>
      </c>
      <c r="F53" s="146" t="s">
        <v>51</v>
      </c>
      <c r="G53" s="146" t="s">
        <v>51</v>
      </c>
      <c r="H53" s="144" t="s">
        <v>51</v>
      </c>
      <c r="I53" s="144" t="s">
        <v>51</v>
      </c>
      <c r="J53" s="146"/>
      <c r="K53" s="144" t="s">
        <v>51</v>
      </c>
      <c r="L53" s="144" t="s">
        <v>51</v>
      </c>
      <c r="M53" s="146">
        <v>5</v>
      </c>
    </row>
    <row r="54" spans="1:14" s="53" customFormat="1" ht="20.100000000000001" customHeight="1" x14ac:dyDescent="0.2">
      <c r="A54" s="208"/>
      <c r="B54" s="82"/>
      <c r="C54" s="82"/>
      <c r="D54" s="148">
        <v>2018</v>
      </c>
      <c r="E54" s="146">
        <f>SUM(F54:M54)</f>
        <v>4</v>
      </c>
      <c r="F54" s="144">
        <v>1</v>
      </c>
      <c r="G54" s="144">
        <v>1</v>
      </c>
      <c r="H54" s="144" t="s">
        <v>51</v>
      </c>
      <c r="I54" s="144">
        <v>1</v>
      </c>
      <c r="J54" s="144"/>
      <c r="K54" s="144" t="s">
        <v>51</v>
      </c>
      <c r="L54" s="144" t="s">
        <v>51</v>
      </c>
      <c r="M54" s="146">
        <v>1</v>
      </c>
    </row>
    <row r="55" spans="1:14" s="53" customFormat="1" ht="20.100000000000001" customHeight="1" x14ac:dyDescent="0.2">
      <c r="A55" s="208"/>
      <c r="B55" s="82"/>
      <c r="C55" s="82"/>
      <c r="D55" s="148">
        <v>2019</v>
      </c>
      <c r="E55" s="146">
        <f>SUM(F55:M55)</f>
        <v>5</v>
      </c>
      <c r="F55" s="53">
        <v>1</v>
      </c>
      <c r="G55" s="114">
        <v>2</v>
      </c>
      <c r="H55" s="114">
        <v>1</v>
      </c>
      <c r="I55" s="301" t="s">
        <v>51</v>
      </c>
      <c r="J55" s="114"/>
      <c r="K55" s="301" t="s">
        <v>51</v>
      </c>
      <c r="L55" s="301" t="s">
        <v>51</v>
      </c>
      <c r="M55" s="114">
        <v>1</v>
      </c>
    </row>
    <row r="56" spans="1:14" s="53" customFormat="1" ht="8.1" customHeight="1" thickBot="1" x14ac:dyDescent="0.25">
      <c r="A56" s="195"/>
      <c r="B56" s="196"/>
      <c r="C56" s="196"/>
      <c r="D56" s="196"/>
      <c r="E56" s="197"/>
      <c r="F56" s="198"/>
      <c r="G56" s="198"/>
      <c r="H56" s="198"/>
      <c r="I56" s="198"/>
      <c r="J56" s="198"/>
      <c r="K56" s="198"/>
      <c r="L56" s="198"/>
      <c r="M56" s="199"/>
      <c r="N56" s="195"/>
    </row>
    <row r="57" spans="1:14" s="53" customFormat="1" ht="12.75" x14ac:dyDescent="0.2">
      <c r="B57" s="115"/>
      <c r="C57" s="115"/>
      <c r="D57" s="115"/>
      <c r="E57" s="63"/>
      <c r="F57" s="114"/>
      <c r="G57" s="114"/>
      <c r="H57" s="114"/>
      <c r="I57" s="114"/>
      <c r="J57" s="114"/>
      <c r="K57" s="114"/>
      <c r="L57" s="114"/>
      <c r="M57" s="189"/>
      <c r="N57" s="8" t="s">
        <v>99</v>
      </c>
    </row>
    <row r="58" spans="1:14" s="53" customFormat="1" ht="12.75" x14ac:dyDescent="0.2">
      <c r="B58" s="115"/>
      <c r="C58" s="115"/>
      <c r="D58" s="115"/>
      <c r="E58" s="63"/>
      <c r="F58" s="114"/>
      <c r="G58" s="114"/>
      <c r="H58" s="114"/>
      <c r="I58" s="114"/>
      <c r="J58" s="114"/>
      <c r="K58" s="114"/>
      <c r="L58" s="114"/>
      <c r="M58" s="189"/>
      <c r="N58" s="41" t="s">
        <v>1</v>
      </c>
    </row>
  </sheetData>
  <mergeCells count="4">
    <mergeCell ref="B11:C11"/>
    <mergeCell ref="H11:I11"/>
    <mergeCell ref="K11:L11"/>
    <mergeCell ref="B12:C12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70" fitToWidth="0" orientation="portrait" r:id="rId1"/>
  <headerFooter>
    <oddHeader xml:space="preserve">&amp;R&amp;"-,Bold"
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81"/>
  <sheetViews>
    <sheetView showGridLines="0" topLeftCell="A4" zoomScale="90" zoomScaleNormal="90" zoomScaleSheetLayoutView="100" workbookViewId="0">
      <selection activeCell="AA22" sqref="AA22"/>
    </sheetView>
  </sheetViews>
  <sheetFormatPr defaultRowHeight="15" x14ac:dyDescent="0.25"/>
  <cols>
    <col min="1" max="1" width="1.7109375" style="2" customWidth="1"/>
    <col min="2" max="2" width="10.140625" style="3" customWidth="1"/>
    <col min="3" max="3" width="14.42578125" style="3" customWidth="1"/>
    <col min="4" max="4" width="7.42578125" style="3" customWidth="1"/>
    <col min="5" max="5" width="10.7109375" style="21" customWidth="1"/>
    <col min="6" max="8" width="10.7109375" style="22" customWidth="1"/>
    <col min="9" max="9" width="14.85546875" style="22" customWidth="1"/>
    <col min="10" max="10" width="1.7109375" style="22" customWidth="1"/>
    <col min="11" max="11" width="10.7109375" style="22" customWidth="1"/>
    <col min="12" max="12" width="14.85546875" style="22" customWidth="1"/>
    <col min="13" max="13" width="14.42578125" style="5" customWidth="1"/>
    <col min="14" max="14" width="0.85546875" style="2" customWidth="1"/>
    <col min="15" max="16384" width="9.140625" style="2"/>
  </cols>
  <sheetData>
    <row r="1" spans="1:16" ht="9.9499999999999993" customHeight="1" x14ac:dyDescent="0.25">
      <c r="B1" s="3" t="s">
        <v>196</v>
      </c>
    </row>
    <row r="2" spans="1:16" s="30" customFormat="1" ht="12.95" customHeight="1" x14ac:dyDescent="0.25">
      <c r="B2" s="27"/>
      <c r="C2" s="27"/>
      <c r="D2" s="29"/>
      <c r="E2" s="28"/>
      <c r="F2" s="29"/>
      <c r="M2" s="160" t="s">
        <v>179</v>
      </c>
      <c r="N2" s="29"/>
    </row>
    <row r="3" spans="1:16" s="30" customFormat="1" ht="12.95" customHeight="1" x14ac:dyDescent="0.25">
      <c r="B3" s="27"/>
      <c r="C3" s="27"/>
      <c r="D3" s="29"/>
      <c r="E3" s="28"/>
      <c r="F3" s="29"/>
      <c r="M3" s="68" t="s">
        <v>180</v>
      </c>
      <c r="N3" s="29"/>
    </row>
    <row r="4" spans="1:16" s="30" customFormat="1" ht="12" customHeight="1" x14ac:dyDescent="0.25">
      <c r="B4" s="27"/>
      <c r="C4" s="27"/>
      <c r="D4" s="29"/>
      <c r="E4" s="28"/>
      <c r="F4" s="29"/>
      <c r="G4" s="68"/>
      <c r="N4" s="29"/>
    </row>
    <row r="5" spans="1:16" s="30" customFormat="1" ht="12" customHeight="1" x14ac:dyDescent="0.25">
      <c r="B5" s="27"/>
      <c r="C5" s="27"/>
      <c r="D5" s="29"/>
      <c r="E5" s="28"/>
      <c r="F5" s="29"/>
      <c r="G5" s="68"/>
      <c r="N5" s="29"/>
    </row>
    <row r="6" spans="1:16" s="53" customFormat="1" ht="9.75" customHeight="1" x14ac:dyDescent="0.2">
      <c r="B6" s="115"/>
      <c r="C6" s="115"/>
      <c r="D6" s="189"/>
      <c r="E6" s="190"/>
      <c r="F6" s="189"/>
      <c r="G6" s="189"/>
      <c r="H6" s="191"/>
      <c r="I6" s="191"/>
      <c r="J6" s="191"/>
      <c r="K6" s="191"/>
      <c r="L6" s="191"/>
      <c r="M6" s="189"/>
      <c r="N6" s="114"/>
    </row>
    <row r="7" spans="1:16" s="53" customFormat="1" ht="15" customHeight="1" x14ac:dyDescent="0.2">
      <c r="B7" s="63" t="s">
        <v>186</v>
      </c>
      <c r="C7" s="64" t="s">
        <v>239</v>
      </c>
      <c r="D7" s="115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6" s="65" customFormat="1" ht="15" customHeight="1" x14ac:dyDescent="0.2">
      <c r="B8" s="66" t="s">
        <v>187</v>
      </c>
      <c r="C8" s="67" t="s">
        <v>240</v>
      </c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6" s="53" customFormat="1" ht="6.75" customHeight="1" thickBot="1" x14ac:dyDescent="0.25">
      <c r="B9" s="115"/>
      <c r="C9" s="115"/>
      <c r="D9" s="115"/>
      <c r="E9" s="63"/>
      <c r="F9" s="114"/>
      <c r="G9" s="114"/>
      <c r="H9" s="114"/>
      <c r="I9" s="114"/>
      <c r="J9" s="114"/>
      <c r="K9" s="114"/>
      <c r="L9" s="114"/>
      <c r="M9" s="189"/>
    </row>
    <row r="10" spans="1:16" s="53" customFormat="1" ht="9.9499999999999993" customHeight="1" thickTop="1" x14ac:dyDescent="0.2">
      <c r="A10" s="378"/>
      <c r="B10" s="388"/>
      <c r="C10" s="388"/>
      <c r="D10" s="389"/>
      <c r="E10" s="374"/>
      <c r="F10" s="375"/>
      <c r="G10" s="375"/>
      <c r="H10" s="376"/>
      <c r="I10" s="375"/>
      <c r="J10" s="375"/>
      <c r="K10" s="375"/>
      <c r="L10" s="375"/>
      <c r="M10" s="377"/>
      <c r="N10" s="378"/>
    </row>
    <row r="11" spans="1:16" s="53" customFormat="1" ht="27.75" customHeight="1" x14ac:dyDescent="0.2">
      <c r="A11" s="390"/>
      <c r="B11" s="432" t="s">
        <v>210</v>
      </c>
      <c r="C11" s="432"/>
      <c r="D11" s="379" t="s">
        <v>222</v>
      </c>
      <c r="E11" s="379" t="s">
        <v>220</v>
      </c>
      <c r="F11" s="379" t="s">
        <v>219</v>
      </c>
      <c r="G11" s="379" t="s">
        <v>218</v>
      </c>
      <c r="H11" s="433" t="s">
        <v>234</v>
      </c>
      <c r="I11" s="433"/>
      <c r="J11" s="380"/>
      <c r="K11" s="433" t="s">
        <v>221</v>
      </c>
      <c r="L11" s="433"/>
      <c r="M11" s="379" t="s">
        <v>217</v>
      </c>
      <c r="N11" s="381"/>
    </row>
    <row r="12" spans="1:16" s="53" customFormat="1" ht="30" customHeight="1" x14ac:dyDescent="0.2">
      <c r="A12" s="390"/>
      <c r="B12" s="434" t="s">
        <v>211</v>
      </c>
      <c r="C12" s="434"/>
      <c r="D12" s="382" t="s">
        <v>212</v>
      </c>
      <c r="E12" s="382" t="s">
        <v>213</v>
      </c>
      <c r="F12" s="382" t="s">
        <v>214</v>
      </c>
      <c r="G12" s="382" t="s">
        <v>215</v>
      </c>
      <c r="H12" s="383" t="s">
        <v>225</v>
      </c>
      <c r="I12" s="383" t="s">
        <v>226</v>
      </c>
      <c r="J12" s="383"/>
      <c r="K12" s="383" t="s">
        <v>225</v>
      </c>
      <c r="L12" s="383" t="s">
        <v>226</v>
      </c>
      <c r="M12" s="384" t="s">
        <v>216</v>
      </c>
      <c r="N12" s="385"/>
    </row>
    <row r="13" spans="1:16" s="53" customFormat="1" ht="30" customHeight="1" x14ac:dyDescent="0.2">
      <c r="A13" s="391"/>
      <c r="B13" s="392"/>
      <c r="C13" s="392"/>
      <c r="D13" s="386"/>
      <c r="E13" s="386"/>
      <c r="F13" s="386"/>
      <c r="G13" s="386"/>
      <c r="H13" s="387" t="s">
        <v>223</v>
      </c>
      <c r="I13" s="387" t="s">
        <v>224</v>
      </c>
      <c r="J13" s="387"/>
      <c r="K13" s="387" t="s">
        <v>223</v>
      </c>
      <c r="L13" s="387" t="s">
        <v>224</v>
      </c>
      <c r="M13" s="370"/>
      <c r="N13" s="373"/>
    </row>
    <row r="14" spans="1:16" s="53" customFormat="1" ht="6" customHeight="1" x14ac:dyDescent="0.2">
      <c r="A14" s="116"/>
      <c r="B14" s="180"/>
      <c r="C14" s="180"/>
      <c r="D14" s="90"/>
      <c r="E14" s="90"/>
      <c r="F14" s="192"/>
      <c r="G14" s="192"/>
      <c r="H14" s="192"/>
      <c r="I14" s="192"/>
      <c r="J14" s="192"/>
      <c r="K14" s="192"/>
      <c r="L14" s="192"/>
      <c r="M14" s="192"/>
      <c r="N14" s="86"/>
    </row>
    <row r="15" spans="1:16" s="53" customFormat="1" ht="15.95" customHeight="1" x14ac:dyDescent="0.2">
      <c r="A15" s="208"/>
      <c r="B15" s="124" t="s">
        <v>100</v>
      </c>
      <c r="C15" s="124"/>
      <c r="D15" s="121">
        <v>2017</v>
      </c>
      <c r="E15" s="145">
        <f>SUM(F15:M15)</f>
        <v>6470</v>
      </c>
      <c r="F15" s="145">
        <f t="shared" ref="F15:I17" si="0">SUM(F19,F23,F27,F31,F35,F39,F43,F47,F51,F55,F59,F63,F67,F71,F75)</f>
        <v>83</v>
      </c>
      <c r="G15" s="145">
        <f t="shared" si="0"/>
        <v>321</v>
      </c>
      <c r="H15" s="145">
        <f t="shared" si="0"/>
        <v>12</v>
      </c>
      <c r="I15" s="145">
        <f t="shared" si="0"/>
        <v>3747</v>
      </c>
      <c r="J15" s="145"/>
      <c r="K15" s="145">
        <f t="shared" ref="K15:M17" si="1">SUM(K19,K23,K27,K31,K35,K39,K43,K47,K51,K55,K59,K63,K67,K71,K75)</f>
        <v>2</v>
      </c>
      <c r="L15" s="145">
        <f t="shared" si="1"/>
        <v>1197</v>
      </c>
      <c r="M15" s="145">
        <f t="shared" si="1"/>
        <v>1108</v>
      </c>
      <c r="N15" s="116"/>
    </row>
    <row r="16" spans="1:16" s="53" customFormat="1" ht="15.95" customHeight="1" x14ac:dyDescent="0.2">
      <c r="A16" s="208"/>
      <c r="B16" s="124"/>
      <c r="C16" s="124"/>
      <c r="D16" s="121">
        <v>2018</v>
      </c>
      <c r="E16" s="145">
        <f>SUM(F16:M16)</f>
        <v>4658</v>
      </c>
      <c r="F16" s="145">
        <f t="shared" si="0"/>
        <v>91</v>
      </c>
      <c r="G16" s="145">
        <f t="shared" si="0"/>
        <v>294</v>
      </c>
      <c r="H16" s="145">
        <f t="shared" si="0"/>
        <v>11</v>
      </c>
      <c r="I16" s="145">
        <f t="shared" si="0"/>
        <v>2314</v>
      </c>
      <c r="J16" s="145"/>
      <c r="K16" s="145">
        <f t="shared" si="1"/>
        <v>3</v>
      </c>
      <c r="L16" s="145">
        <f t="shared" si="1"/>
        <v>952</v>
      </c>
      <c r="M16" s="145">
        <f t="shared" si="1"/>
        <v>993</v>
      </c>
      <c r="N16" s="116"/>
      <c r="P16" s="207"/>
    </row>
    <row r="17" spans="1:17" s="53" customFormat="1" ht="15.95" customHeight="1" x14ac:dyDescent="0.2">
      <c r="A17" s="208"/>
      <c r="B17" s="124"/>
      <c r="C17" s="124"/>
      <c r="D17" s="121">
        <v>2019</v>
      </c>
      <c r="E17" s="145">
        <f>SUM(F17:M17)</f>
        <v>4302</v>
      </c>
      <c r="F17" s="145">
        <f t="shared" si="0"/>
        <v>90</v>
      </c>
      <c r="G17" s="145">
        <f t="shared" si="0"/>
        <v>346</v>
      </c>
      <c r="H17" s="145">
        <f t="shared" si="0"/>
        <v>2</v>
      </c>
      <c r="I17" s="145">
        <f t="shared" si="0"/>
        <v>1981</v>
      </c>
      <c r="J17" s="145"/>
      <c r="K17" s="145">
        <f t="shared" si="1"/>
        <v>4</v>
      </c>
      <c r="L17" s="145">
        <f t="shared" si="1"/>
        <v>919</v>
      </c>
      <c r="M17" s="145">
        <f t="shared" si="1"/>
        <v>960</v>
      </c>
      <c r="N17" s="145">
        <f t="shared" ref="N17" si="2">N21+N25+N29+N33+N37+N41+N45+N49+N53+N57+N61+N65+N69+N73+N77</f>
        <v>0</v>
      </c>
      <c r="P17" s="207"/>
    </row>
    <row r="18" spans="1:17" s="53" customFormat="1" ht="5.0999999999999996" customHeight="1" x14ac:dyDescent="0.2">
      <c r="A18" s="208"/>
      <c r="B18" s="124"/>
      <c r="C18" s="124"/>
      <c r="D18" s="121"/>
      <c r="E18" s="145"/>
      <c r="F18" s="145"/>
      <c r="G18" s="145"/>
      <c r="H18" s="145"/>
      <c r="I18" s="145"/>
      <c r="J18" s="145"/>
      <c r="K18" s="145"/>
      <c r="L18" s="145"/>
      <c r="M18" s="145"/>
      <c r="N18" s="116"/>
      <c r="P18" s="207"/>
    </row>
    <row r="19" spans="1:17" s="53" customFormat="1" ht="15.95" customHeight="1" x14ac:dyDescent="0.2">
      <c r="A19" s="208"/>
      <c r="B19" s="82" t="s">
        <v>101</v>
      </c>
      <c r="C19" s="82"/>
      <c r="D19" s="148">
        <v>2017</v>
      </c>
      <c r="E19" s="146">
        <f>SUM(F19:M19)</f>
        <v>707</v>
      </c>
      <c r="F19" s="146">
        <v>4</v>
      </c>
      <c r="G19" s="146">
        <v>36</v>
      </c>
      <c r="H19" s="144" t="s">
        <v>51</v>
      </c>
      <c r="I19" s="146">
        <v>434</v>
      </c>
      <c r="J19" s="146"/>
      <c r="K19" s="146" t="s">
        <v>51</v>
      </c>
      <c r="L19" s="146">
        <v>147</v>
      </c>
      <c r="M19" s="146">
        <v>86</v>
      </c>
      <c r="N19" s="116"/>
      <c r="P19" s="207"/>
    </row>
    <row r="20" spans="1:17" s="53" customFormat="1" ht="15.95" customHeight="1" x14ac:dyDescent="0.2">
      <c r="A20" s="208"/>
      <c r="B20" s="82"/>
      <c r="C20" s="82"/>
      <c r="D20" s="148">
        <v>2018</v>
      </c>
      <c r="E20" s="146">
        <f>SUM(F20:M20)</f>
        <v>571</v>
      </c>
      <c r="F20" s="146">
        <v>5</v>
      </c>
      <c r="G20" s="146">
        <v>26</v>
      </c>
      <c r="H20" s="144" t="s">
        <v>51</v>
      </c>
      <c r="I20" s="146">
        <v>281</v>
      </c>
      <c r="J20" s="146"/>
      <c r="K20" s="146" t="s">
        <v>51</v>
      </c>
      <c r="L20" s="146">
        <v>163</v>
      </c>
      <c r="M20" s="146">
        <v>96</v>
      </c>
      <c r="N20" s="116"/>
      <c r="P20" s="207"/>
    </row>
    <row r="21" spans="1:17" s="53" customFormat="1" ht="15.95" customHeight="1" x14ac:dyDescent="0.2">
      <c r="A21" s="208"/>
      <c r="B21" s="82"/>
      <c r="C21" s="82"/>
      <c r="D21" s="148">
        <v>2019</v>
      </c>
      <c r="E21" s="146">
        <f>SUM(F21:M21)</f>
        <v>495</v>
      </c>
      <c r="F21" s="146">
        <v>5</v>
      </c>
      <c r="G21" s="146">
        <v>23</v>
      </c>
      <c r="H21" s="144" t="s">
        <v>51</v>
      </c>
      <c r="I21" s="146">
        <v>277</v>
      </c>
      <c r="J21" s="146"/>
      <c r="K21" s="144" t="s">
        <v>51</v>
      </c>
      <c r="L21" s="146">
        <v>143</v>
      </c>
      <c r="M21" s="146">
        <v>47</v>
      </c>
      <c r="N21" s="116"/>
      <c r="P21" s="207"/>
      <c r="Q21" s="82"/>
    </row>
    <row r="22" spans="1:17" s="53" customFormat="1" ht="5.0999999999999996" customHeight="1" x14ac:dyDescent="0.2">
      <c r="A22" s="208"/>
      <c r="B22" s="82"/>
      <c r="C22" s="82"/>
      <c r="D22" s="148"/>
      <c r="E22" s="146"/>
      <c r="F22" s="146"/>
      <c r="G22" s="146"/>
      <c r="H22" s="144"/>
      <c r="I22" s="146"/>
      <c r="J22" s="146"/>
      <c r="K22" s="144"/>
      <c r="L22" s="146"/>
      <c r="M22" s="146"/>
      <c r="N22" s="116"/>
      <c r="P22" s="207"/>
      <c r="Q22" s="82"/>
    </row>
    <row r="23" spans="1:17" s="53" customFormat="1" ht="15.95" customHeight="1" x14ac:dyDescent="0.2">
      <c r="A23" s="208"/>
      <c r="B23" s="82" t="s">
        <v>102</v>
      </c>
      <c r="C23" s="82"/>
      <c r="D23" s="148">
        <v>2017</v>
      </c>
      <c r="E23" s="146">
        <f>SUM(F23:M23)</f>
        <v>838</v>
      </c>
      <c r="F23" s="146">
        <v>11</v>
      </c>
      <c r="G23" s="146">
        <v>41</v>
      </c>
      <c r="H23" s="146">
        <v>2</v>
      </c>
      <c r="I23" s="146">
        <v>524</v>
      </c>
      <c r="J23" s="146"/>
      <c r="K23" s="144" t="s">
        <v>51</v>
      </c>
      <c r="L23" s="146">
        <v>146</v>
      </c>
      <c r="M23" s="146">
        <v>114</v>
      </c>
      <c r="N23" s="116"/>
    </row>
    <row r="24" spans="1:17" s="115" customFormat="1" ht="15.95" customHeight="1" x14ac:dyDescent="0.2">
      <c r="A24" s="208"/>
      <c r="B24" s="82"/>
      <c r="C24" s="82"/>
      <c r="D24" s="148">
        <v>2018</v>
      </c>
      <c r="E24" s="146">
        <f>SUM(F24:M24)</f>
        <v>563</v>
      </c>
      <c r="F24" s="146">
        <v>7</v>
      </c>
      <c r="G24" s="146">
        <v>37</v>
      </c>
      <c r="H24" s="146">
        <v>1</v>
      </c>
      <c r="I24" s="146">
        <v>306</v>
      </c>
      <c r="J24" s="146"/>
      <c r="K24" s="144" t="s">
        <v>51</v>
      </c>
      <c r="L24" s="146">
        <v>132</v>
      </c>
      <c r="M24" s="146">
        <v>80</v>
      </c>
      <c r="N24" s="116"/>
    </row>
    <row r="25" spans="1:17" s="53" customFormat="1" ht="15.95" customHeight="1" x14ac:dyDescent="0.2">
      <c r="A25" s="208"/>
      <c r="B25" s="82"/>
      <c r="C25" s="82"/>
      <c r="D25" s="148">
        <v>2019</v>
      </c>
      <c r="E25" s="146">
        <f>SUM(F25:M25)</f>
        <v>557</v>
      </c>
      <c r="F25" s="146">
        <v>11</v>
      </c>
      <c r="G25" s="146">
        <v>29</v>
      </c>
      <c r="H25" s="146">
        <v>1</v>
      </c>
      <c r="I25" s="146">
        <v>259</v>
      </c>
      <c r="J25" s="146"/>
      <c r="K25" s="144" t="s">
        <v>51</v>
      </c>
      <c r="L25" s="146">
        <v>140</v>
      </c>
      <c r="M25" s="146">
        <v>117</v>
      </c>
      <c r="N25" s="116"/>
    </row>
    <row r="26" spans="1:17" s="53" customFormat="1" ht="5.0999999999999996" customHeight="1" x14ac:dyDescent="0.2">
      <c r="A26" s="208"/>
      <c r="B26" s="82"/>
      <c r="C26" s="82"/>
      <c r="D26" s="148"/>
      <c r="E26" s="146"/>
      <c r="F26" s="146"/>
      <c r="G26" s="146"/>
      <c r="H26" s="144"/>
      <c r="I26" s="146"/>
      <c r="J26" s="146"/>
      <c r="K26" s="144"/>
      <c r="L26" s="146"/>
      <c r="M26" s="146"/>
      <c r="N26" s="116"/>
    </row>
    <row r="27" spans="1:17" s="53" customFormat="1" ht="15.95" customHeight="1" x14ac:dyDescent="0.2">
      <c r="A27" s="208"/>
      <c r="B27" s="82" t="s">
        <v>103</v>
      </c>
      <c r="C27" s="82"/>
      <c r="D27" s="148">
        <v>2017</v>
      </c>
      <c r="E27" s="146">
        <f>SUM(F27:M27)</f>
        <v>110</v>
      </c>
      <c r="F27" s="146">
        <v>3</v>
      </c>
      <c r="G27" s="146">
        <v>30</v>
      </c>
      <c r="H27" s="144" t="s">
        <v>51</v>
      </c>
      <c r="I27" s="146">
        <v>45</v>
      </c>
      <c r="J27" s="146"/>
      <c r="K27" s="144" t="s">
        <v>51</v>
      </c>
      <c r="L27" s="146">
        <v>7</v>
      </c>
      <c r="M27" s="146">
        <v>25</v>
      </c>
      <c r="N27" s="116"/>
    </row>
    <row r="28" spans="1:17" s="53" customFormat="1" ht="15.95" customHeight="1" x14ac:dyDescent="0.2">
      <c r="A28" s="208"/>
      <c r="B28" s="82"/>
      <c r="C28" s="82"/>
      <c r="D28" s="148">
        <v>2018</v>
      </c>
      <c r="E28" s="146">
        <f>SUM(F28:M28)</f>
        <v>98</v>
      </c>
      <c r="F28" s="146">
        <v>2</v>
      </c>
      <c r="G28" s="146">
        <v>31</v>
      </c>
      <c r="H28" s="144" t="s">
        <v>51</v>
      </c>
      <c r="I28" s="146">
        <v>32</v>
      </c>
      <c r="J28" s="146"/>
      <c r="K28" s="144" t="s">
        <v>51</v>
      </c>
      <c r="L28" s="146">
        <v>5</v>
      </c>
      <c r="M28" s="146">
        <v>28</v>
      </c>
      <c r="N28" s="116"/>
    </row>
    <row r="29" spans="1:17" s="53" customFormat="1" ht="15.95" customHeight="1" x14ac:dyDescent="0.2">
      <c r="A29" s="208"/>
      <c r="B29" s="82"/>
      <c r="C29" s="82"/>
      <c r="D29" s="148">
        <v>2019</v>
      </c>
      <c r="E29" s="146">
        <f>SUM(F29:M29)</f>
        <v>123</v>
      </c>
      <c r="F29" s="146">
        <v>1</v>
      </c>
      <c r="G29" s="146">
        <v>32</v>
      </c>
      <c r="H29" s="144" t="s">
        <v>51</v>
      </c>
      <c r="I29" s="146">
        <v>55</v>
      </c>
      <c r="J29" s="146"/>
      <c r="K29" s="144" t="s">
        <v>51</v>
      </c>
      <c r="L29" s="146">
        <v>15</v>
      </c>
      <c r="M29" s="146">
        <v>20</v>
      </c>
      <c r="N29" s="116"/>
    </row>
    <row r="30" spans="1:17" s="53" customFormat="1" ht="5.0999999999999996" customHeight="1" x14ac:dyDescent="0.2">
      <c r="A30" s="208"/>
      <c r="B30" s="82"/>
      <c r="C30" s="82"/>
      <c r="D30" s="148"/>
      <c r="E30" s="146"/>
      <c r="F30" s="146"/>
      <c r="G30" s="146"/>
      <c r="H30" s="144"/>
      <c r="I30" s="146"/>
      <c r="J30" s="146"/>
      <c r="K30" s="144"/>
      <c r="L30" s="146"/>
      <c r="M30" s="146"/>
      <c r="N30" s="116"/>
    </row>
    <row r="31" spans="1:17" s="53" customFormat="1" ht="15.95" customHeight="1" x14ac:dyDescent="0.2">
      <c r="A31" s="208"/>
      <c r="B31" s="82" t="s">
        <v>104</v>
      </c>
      <c r="C31" s="82"/>
      <c r="D31" s="148">
        <v>2017</v>
      </c>
      <c r="E31" s="146">
        <f>SUM(F31:M31)</f>
        <v>971</v>
      </c>
      <c r="F31" s="146">
        <v>11</v>
      </c>
      <c r="G31" s="146">
        <v>23</v>
      </c>
      <c r="H31" s="144" t="s">
        <v>51</v>
      </c>
      <c r="I31" s="146">
        <v>572</v>
      </c>
      <c r="J31" s="146"/>
      <c r="K31" s="144" t="s">
        <v>51</v>
      </c>
      <c r="L31" s="146">
        <v>232</v>
      </c>
      <c r="M31" s="146">
        <v>133</v>
      </c>
      <c r="N31" s="116"/>
    </row>
    <row r="32" spans="1:17" s="53" customFormat="1" ht="15.95" customHeight="1" x14ac:dyDescent="0.2">
      <c r="A32" s="208"/>
      <c r="B32" s="82"/>
      <c r="C32" s="82"/>
      <c r="D32" s="148">
        <v>2018</v>
      </c>
      <c r="E32" s="146">
        <f>SUM(F32:M32)</f>
        <v>497</v>
      </c>
      <c r="F32" s="146">
        <v>19</v>
      </c>
      <c r="G32" s="146">
        <v>29</v>
      </c>
      <c r="H32" s="144" t="s">
        <v>51</v>
      </c>
      <c r="I32" s="146">
        <v>249</v>
      </c>
      <c r="J32" s="146"/>
      <c r="K32" s="144" t="s">
        <v>51</v>
      </c>
      <c r="L32" s="146">
        <v>90</v>
      </c>
      <c r="M32" s="146">
        <v>110</v>
      </c>
      <c r="N32" s="116"/>
    </row>
    <row r="33" spans="1:14" s="53" customFormat="1" ht="15.95" customHeight="1" x14ac:dyDescent="0.2">
      <c r="A33" s="208"/>
      <c r="B33" s="82"/>
      <c r="C33" s="82"/>
      <c r="D33" s="148">
        <v>2019</v>
      </c>
      <c r="E33" s="146">
        <f>SUM(F33:M33)</f>
        <v>439</v>
      </c>
      <c r="F33" s="146">
        <v>14</v>
      </c>
      <c r="G33" s="146">
        <v>44</v>
      </c>
      <c r="H33" s="144" t="s">
        <v>51</v>
      </c>
      <c r="I33" s="146">
        <v>183</v>
      </c>
      <c r="J33" s="146"/>
      <c r="K33" s="144" t="s">
        <v>51</v>
      </c>
      <c r="L33" s="146">
        <v>77</v>
      </c>
      <c r="M33" s="146">
        <v>121</v>
      </c>
      <c r="N33" s="116"/>
    </row>
    <row r="34" spans="1:14" s="53" customFormat="1" ht="5.0999999999999996" customHeight="1" x14ac:dyDescent="0.2">
      <c r="A34" s="208"/>
      <c r="B34" s="82"/>
      <c r="C34" s="82"/>
      <c r="D34" s="148"/>
      <c r="E34" s="146"/>
      <c r="F34" s="146"/>
      <c r="G34" s="146"/>
      <c r="H34" s="146"/>
      <c r="I34" s="146"/>
      <c r="J34" s="146"/>
      <c r="K34" s="144"/>
      <c r="L34" s="146"/>
      <c r="M34" s="146"/>
      <c r="N34" s="116"/>
    </row>
    <row r="35" spans="1:14" s="53" customFormat="1" ht="15.95" customHeight="1" x14ac:dyDescent="0.2">
      <c r="A35" s="208"/>
      <c r="B35" s="82" t="s">
        <v>105</v>
      </c>
      <c r="C35" s="82"/>
      <c r="D35" s="148">
        <v>2017</v>
      </c>
      <c r="E35" s="146">
        <f>SUM(F35:M35)</f>
        <v>582</v>
      </c>
      <c r="F35" s="146">
        <v>8</v>
      </c>
      <c r="G35" s="146">
        <v>16</v>
      </c>
      <c r="H35" s="146">
        <v>3</v>
      </c>
      <c r="I35" s="146">
        <v>338</v>
      </c>
      <c r="J35" s="146"/>
      <c r="K35" s="144" t="s">
        <v>51</v>
      </c>
      <c r="L35" s="146">
        <v>84</v>
      </c>
      <c r="M35" s="146">
        <v>133</v>
      </c>
      <c r="N35" s="116"/>
    </row>
    <row r="36" spans="1:14" s="53" customFormat="1" ht="15.95" customHeight="1" x14ac:dyDescent="0.2">
      <c r="A36" s="208"/>
      <c r="B36" s="82"/>
      <c r="C36" s="82"/>
      <c r="D36" s="148">
        <v>2018</v>
      </c>
      <c r="E36" s="146">
        <f>SUM(F36:M36)</f>
        <v>502</v>
      </c>
      <c r="F36" s="146">
        <v>10</v>
      </c>
      <c r="G36" s="146">
        <v>21</v>
      </c>
      <c r="H36" s="144" t="s">
        <v>51</v>
      </c>
      <c r="I36" s="146">
        <v>282</v>
      </c>
      <c r="J36" s="146"/>
      <c r="K36" s="144" t="s">
        <v>51</v>
      </c>
      <c r="L36" s="146">
        <v>92</v>
      </c>
      <c r="M36" s="146">
        <v>97</v>
      </c>
      <c r="N36" s="116"/>
    </row>
    <row r="37" spans="1:14" s="53" customFormat="1" ht="15.95" customHeight="1" x14ac:dyDescent="0.2">
      <c r="A37" s="208"/>
      <c r="B37" s="82"/>
      <c r="C37" s="82"/>
      <c r="D37" s="148">
        <v>2019</v>
      </c>
      <c r="E37" s="146">
        <f>SUM(F37:M37)</f>
        <v>417</v>
      </c>
      <c r="F37" s="146">
        <v>11</v>
      </c>
      <c r="G37" s="146">
        <v>21</v>
      </c>
      <c r="H37" s="144" t="s">
        <v>51</v>
      </c>
      <c r="I37" s="146">
        <v>223</v>
      </c>
      <c r="J37" s="146"/>
      <c r="K37" s="144" t="s">
        <v>51</v>
      </c>
      <c r="L37" s="146">
        <v>86</v>
      </c>
      <c r="M37" s="146">
        <v>76</v>
      </c>
      <c r="N37" s="116"/>
    </row>
    <row r="38" spans="1:14" s="53" customFormat="1" ht="5.0999999999999996" customHeight="1" x14ac:dyDescent="0.2">
      <c r="A38" s="208"/>
      <c r="B38" s="82"/>
      <c r="C38" s="82"/>
      <c r="D38" s="148"/>
      <c r="E38" s="146"/>
      <c r="F38" s="146"/>
      <c r="G38" s="146"/>
      <c r="H38" s="144"/>
      <c r="I38" s="146"/>
      <c r="J38" s="146"/>
      <c r="K38" s="144"/>
      <c r="L38" s="146"/>
      <c r="M38" s="146"/>
      <c r="N38" s="116"/>
    </row>
    <row r="39" spans="1:14" s="53" customFormat="1" ht="15.95" customHeight="1" x14ac:dyDescent="0.2">
      <c r="A39" s="208"/>
      <c r="B39" s="82" t="s">
        <v>106</v>
      </c>
      <c r="C39" s="82"/>
      <c r="D39" s="148">
        <v>2017</v>
      </c>
      <c r="E39" s="146">
        <f>SUM(F39:M39)</f>
        <v>392</v>
      </c>
      <c r="F39" s="146">
        <v>3</v>
      </c>
      <c r="G39" s="146">
        <v>16</v>
      </c>
      <c r="H39" s="144" t="s">
        <v>51</v>
      </c>
      <c r="I39" s="146">
        <v>244</v>
      </c>
      <c r="J39" s="146"/>
      <c r="K39" s="144" t="s">
        <v>51</v>
      </c>
      <c r="L39" s="146">
        <v>46</v>
      </c>
      <c r="M39" s="146">
        <v>83</v>
      </c>
      <c r="N39" s="116"/>
    </row>
    <row r="40" spans="1:14" s="53" customFormat="1" ht="15.95" customHeight="1" x14ac:dyDescent="0.2">
      <c r="A40" s="208"/>
      <c r="B40" s="82"/>
      <c r="C40" s="82"/>
      <c r="D40" s="148">
        <v>2018</v>
      </c>
      <c r="E40" s="146">
        <f>SUM(F40:M40)</f>
        <v>273</v>
      </c>
      <c r="F40" s="146">
        <v>6</v>
      </c>
      <c r="G40" s="146">
        <v>12</v>
      </c>
      <c r="H40" s="146">
        <v>2</v>
      </c>
      <c r="I40" s="146">
        <v>126</v>
      </c>
      <c r="J40" s="146"/>
      <c r="K40" s="144" t="s">
        <v>51</v>
      </c>
      <c r="L40" s="146">
        <v>31</v>
      </c>
      <c r="M40" s="146">
        <v>96</v>
      </c>
      <c r="N40" s="116"/>
    </row>
    <row r="41" spans="1:14" s="53" customFormat="1" ht="15.95" customHeight="1" x14ac:dyDescent="0.2">
      <c r="A41" s="208"/>
      <c r="B41" s="82"/>
      <c r="C41" s="82"/>
      <c r="D41" s="148">
        <v>2019</v>
      </c>
      <c r="E41" s="146">
        <f>SUM(F41:M41)</f>
        <v>260</v>
      </c>
      <c r="F41" s="146">
        <v>7</v>
      </c>
      <c r="G41" s="146">
        <v>15</v>
      </c>
      <c r="H41" s="144" t="s">
        <v>51</v>
      </c>
      <c r="I41" s="146">
        <v>133</v>
      </c>
      <c r="J41" s="146"/>
      <c r="K41" s="146">
        <v>2</v>
      </c>
      <c r="L41" s="146">
        <v>35</v>
      </c>
      <c r="M41" s="146">
        <v>68</v>
      </c>
      <c r="N41" s="116"/>
    </row>
    <row r="42" spans="1:14" s="53" customFormat="1" ht="5.0999999999999996" customHeight="1" x14ac:dyDescent="0.2">
      <c r="A42" s="208"/>
      <c r="B42" s="82"/>
      <c r="C42" s="82"/>
      <c r="D42" s="148"/>
      <c r="E42" s="146"/>
      <c r="F42" s="146"/>
      <c r="G42" s="146"/>
      <c r="H42" s="146"/>
      <c r="I42" s="146"/>
      <c r="J42" s="146"/>
      <c r="K42" s="144"/>
      <c r="L42" s="146"/>
      <c r="M42" s="146"/>
      <c r="N42" s="116"/>
    </row>
    <row r="43" spans="1:14" s="53" customFormat="1" ht="15.95" customHeight="1" x14ac:dyDescent="0.2">
      <c r="A43" s="208"/>
      <c r="B43" s="82" t="s">
        <v>107</v>
      </c>
      <c r="C43" s="82"/>
      <c r="D43" s="148">
        <v>2017</v>
      </c>
      <c r="E43" s="146">
        <f>SUM(F43:M43)</f>
        <v>151</v>
      </c>
      <c r="F43" s="146">
        <v>2</v>
      </c>
      <c r="G43" s="146">
        <v>10</v>
      </c>
      <c r="H43" s="144" t="s">
        <v>51</v>
      </c>
      <c r="I43" s="146">
        <v>75</v>
      </c>
      <c r="J43" s="146"/>
      <c r="K43" s="144" t="s">
        <v>51</v>
      </c>
      <c r="L43" s="146">
        <v>4</v>
      </c>
      <c r="M43" s="146">
        <v>60</v>
      </c>
      <c r="N43" s="116"/>
    </row>
    <row r="44" spans="1:14" s="53" customFormat="1" ht="15.95" customHeight="1" x14ac:dyDescent="0.2">
      <c r="A44" s="208"/>
      <c r="B44" s="82"/>
      <c r="C44" s="82"/>
      <c r="D44" s="148">
        <v>2018</v>
      </c>
      <c r="E44" s="146">
        <f>SUM(F44:M44)</f>
        <v>129</v>
      </c>
      <c r="F44" s="146">
        <v>5</v>
      </c>
      <c r="G44" s="146">
        <v>8</v>
      </c>
      <c r="H44" s="144" t="s">
        <v>51</v>
      </c>
      <c r="I44" s="146">
        <v>52</v>
      </c>
      <c r="J44" s="146"/>
      <c r="K44" s="144" t="s">
        <v>51</v>
      </c>
      <c r="L44" s="146">
        <v>6</v>
      </c>
      <c r="M44" s="146">
        <v>58</v>
      </c>
      <c r="N44" s="116"/>
    </row>
    <row r="45" spans="1:14" s="53" customFormat="1" ht="15.95" customHeight="1" x14ac:dyDescent="0.2">
      <c r="A45" s="208"/>
      <c r="B45" s="82"/>
      <c r="C45" s="82"/>
      <c r="D45" s="148">
        <v>2019</v>
      </c>
      <c r="E45" s="146">
        <f>SUM(F45:M45)</f>
        <v>150</v>
      </c>
      <c r="F45" s="146">
        <v>5</v>
      </c>
      <c r="G45" s="146">
        <v>24</v>
      </c>
      <c r="H45" s="144" t="s">
        <v>51</v>
      </c>
      <c r="I45" s="146">
        <v>58</v>
      </c>
      <c r="J45" s="146"/>
      <c r="K45" s="144" t="s">
        <v>51</v>
      </c>
      <c r="L45" s="146">
        <v>13</v>
      </c>
      <c r="M45" s="146">
        <v>50</v>
      </c>
      <c r="N45" s="116"/>
    </row>
    <row r="46" spans="1:14" s="53" customFormat="1" ht="5.0999999999999996" customHeight="1" x14ac:dyDescent="0.2">
      <c r="A46" s="208"/>
      <c r="B46" s="82"/>
      <c r="C46" s="82"/>
      <c r="D46" s="148"/>
      <c r="E46" s="146"/>
      <c r="F46" s="146"/>
      <c r="G46" s="146"/>
      <c r="H46" s="144"/>
      <c r="I46" s="146"/>
      <c r="J46" s="146"/>
      <c r="K46" s="144"/>
      <c r="L46" s="146"/>
      <c r="M46" s="146"/>
      <c r="N46" s="116"/>
    </row>
    <row r="47" spans="1:14" s="53" customFormat="1" ht="15.95" customHeight="1" x14ac:dyDescent="0.2">
      <c r="A47" s="208"/>
      <c r="B47" s="82" t="s">
        <v>108</v>
      </c>
      <c r="C47" s="82"/>
      <c r="D47" s="148">
        <v>2017</v>
      </c>
      <c r="E47" s="146">
        <f>SUM(F47:M47)</f>
        <v>98</v>
      </c>
      <c r="F47" s="146">
        <v>6</v>
      </c>
      <c r="G47" s="146">
        <v>8</v>
      </c>
      <c r="H47" s="144" t="s">
        <v>51</v>
      </c>
      <c r="I47" s="146">
        <v>52</v>
      </c>
      <c r="J47" s="146"/>
      <c r="K47" s="144" t="s">
        <v>51</v>
      </c>
      <c r="L47" s="146">
        <v>11</v>
      </c>
      <c r="M47" s="146">
        <v>21</v>
      </c>
      <c r="N47" s="116"/>
    </row>
    <row r="48" spans="1:14" s="53" customFormat="1" ht="15.95" customHeight="1" x14ac:dyDescent="0.2">
      <c r="A48" s="208"/>
      <c r="B48" s="82"/>
      <c r="C48" s="82"/>
      <c r="D48" s="148">
        <v>2018</v>
      </c>
      <c r="E48" s="146">
        <f>SUM(F48:M48)</f>
        <v>78</v>
      </c>
      <c r="F48" s="146">
        <v>3</v>
      </c>
      <c r="G48" s="146">
        <v>12</v>
      </c>
      <c r="H48" s="146">
        <v>1</v>
      </c>
      <c r="I48" s="146">
        <v>30</v>
      </c>
      <c r="J48" s="146"/>
      <c r="K48" s="144" t="s">
        <v>51</v>
      </c>
      <c r="L48" s="146">
        <v>10</v>
      </c>
      <c r="M48" s="146">
        <v>22</v>
      </c>
      <c r="N48" s="116"/>
    </row>
    <row r="49" spans="1:14" s="53" customFormat="1" ht="15.95" customHeight="1" x14ac:dyDescent="0.2">
      <c r="A49" s="208"/>
      <c r="B49" s="82"/>
      <c r="C49" s="82"/>
      <c r="D49" s="148">
        <v>2019</v>
      </c>
      <c r="E49" s="146">
        <f>SUM(F49:M49)</f>
        <v>90</v>
      </c>
      <c r="F49" s="146">
        <v>1</v>
      </c>
      <c r="G49" s="146">
        <v>14</v>
      </c>
      <c r="H49" s="144" t="s">
        <v>51</v>
      </c>
      <c r="I49" s="146">
        <v>22</v>
      </c>
      <c r="J49" s="146"/>
      <c r="K49" s="144" t="s">
        <v>51</v>
      </c>
      <c r="L49" s="146">
        <v>13</v>
      </c>
      <c r="M49" s="146">
        <v>40</v>
      </c>
      <c r="N49" s="116"/>
    </row>
    <row r="50" spans="1:14" s="53" customFormat="1" ht="8.1" customHeight="1" x14ac:dyDescent="0.2">
      <c r="A50" s="208"/>
      <c r="B50" s="82"/>
      <c r="C50" s="82"/>
      <c r="D50" s="141"/>
      <c r="E50" s="146"/>
      <c r="F50" s="146"/>
      <c r="G50" s="146"/>
      <c r="H50" s="146"/>
      <c r="I50" s="146"/>
      <c r="J50" s="146"/>
      <c r="K50" s="144"/>
      <c r="L50" s="146"/>
      <c r="M50" s="146"/>
      <c r="N50" s="116"/>
    </row>
    <row r="51" spans="1:14" s="53" customFormat="1" ht="15.95" customHeight="1" x14ac:dyDescent="0.2">
      <c r="A51" s="208"/>
      <c r="B51" s="82" t="s">
        <v>109</v>
      </c>
      <c r="C51" s="82"/>
      <c r="D51" s="148">
        <v>2017</v>
      </c>
      <c r="E51" s="146">
        <f>SUM(F51:M51)</f>
        <v>1139</v>
      </c>
      <c r="F51" s="146">
        <v>7</v>
      </c>
      <c r="G51" s="146">
        <v>42</v>
      </c>
      <c r="H51" s="146">
        <v>1</v>
      </c>
      <c r="I51" s="146">
        <v>630</v>
      </c>
      <c r="J51" s="146"/>
      <c r="K51" s="144" t="s">
        <v>51</v>
      </c>
      <c r="L51" s="146">
        <v>304</v>
      </c>
      <c r="M51" s="146">
        <v>155</v>
      </c>
      <c r="N51" s="116"/>
    </row>
    <row r="52" spans="1:14" s="53" customFormat="1" ht="15.95" customHeight="1" x14ac:dyDescent="0.2">
      <c r="A52" s="208"/>
      <c r="B52" s="82"/>
      <c r="C52" s="82"/>
      <c r="D52" s="148">
        <v>2018</v>
      </c>
      <c r="E52" s="146">
        <f>SUM(F52:M52)</f>
        <v>745</v>
      </c>
      <c r="F52" s="146">
        <v>13</v>
      </c>
      <c r="G52" s="146">
        <v>30</v>
      </c>
      <c r="H52" s="146">
        <v>1</v>
      </c>
      <c r="I52" s="146">
        <v>376</v>
      </c>
      <c r="J52" s="146"/>
      <c r="K52" s="144" t="s">
        <v>51</v>
      </c>
      <c r="L52" s="146">
        <v>197</v>
      </c>
      <c r="M52" s="146">
        <v>128</v>
      </c>
      <c r="N52" s="116"/>
    </row>
    <row r="53" spans="1:14" s="53" customFormat="1" ht="15.95" customHeight="1" x14ac:dyDescent="0.2">
      <c r="A53" s="208"/>
      <c r="B53" s="82"/>
      <c r="C53" s="82"/>
      <c r="D53" s="148">
        <v>2019</v>
      </c>
      <c r="E53" s="146">
        <f>SUM(F53:M53)</f>
        <v>663</v>
      </c>
      <c r="F53" s="146">
        <v>4</v>
      </c>
      <c r="G53" s="146">
        <v>38</v>
      </c>
      <c r="H53" s="144" t="s">
        <v>51</v>
      </c>
      <c r="I53" s="146">
        <v>296</v>
      </c>
      <c r="J53" s="146"/>
      <c r="K53" s="144" t="s">
        <v>51</v>
      </c>
      <c r="L53" s="146">
        <v>180</v>
      </c>
      <c r="M53" s="146">
        <v>145</v>
      </c>
      <c r="N53" s="116"/>
    </row>
    <row r="54" spans="1:14" s="53" customFormat="1" ht="8.1" customHeight="1" x14ac:dyDescent="0.2">
      <c r="A54" s="208"/>
      <c r="B54" s="82"/>
      <c r="C54" s="82"/>
      <c r="D54" s="148"/>
      <c r="E54" s="146"/>
      <c r="F54" s="146"/>
      <c r="G54" s="146"/>
      <c r="H54" s="144"/>
      <c r="I54" s="146"/>
      <c r="J54" s="146"/>
      <c r="K54" s="144"/>
      <c r="L54" s="146"/>
      <c r="M54" s="146"/>
      <c r="N54" s="116"/>
    </row>
    <row r="55" spans="1:14" s="53" customFormat="1" ht="15.95" customHeight="1" x14ac:dyDescent="0.2">
      <c r="A55" s="208"/>
      <c r="B55" s="82" t="s">
        <v>110</v>
      </c>
      <c r="C55" s="82"/>
      <c r="D55" s="148">
        <v>2017</v>
      </c>
      <c r="E55" s="146">
        <f>SUM(F55:M55)</f>
        <v>65</v>
      </c>
      <c r="F55" s="146" t="s">
        <v>51</v>
      </c>
      <c r="G55" s="146">
        <v>15</v>
      </c>
      <c r="H55" s="144" t="s">
        <v>51</v>
      </c>
      <c r="I55" s="146">
        <v>16</v>
      </c>
      <c r="J55" s="146"/>
      <c r="K55" s="144" t="s">
        <v>51</v>
      </c>
      <c r="L55" s="146">
        <v>9</v>
      </c>
      <c r="M55" s="146">
        <v>25</v>
      </c>
    </row>
    <row r="56" spans="1:14" s="53" customFormat="1" ht="15.95" customHeight="1" x14ac:dyDescent="0.2">
      <c r="A56" s="208"/>
      <c r="B56" s="82"/>
      <c r="C56" s="82"/>
      <c r="D56" s="148">
        <v>2018</v>
      </c>
      <c r="E56" s="146">
        <f>SUM(F56:M56)</f>
        <v>56</v>
      </c>
      <c r="F56" s="144">
        <v>1</v>
      </c>
      <c r="G56" s="146">
        <v>7</v>
      </c>
      <c r="H56" s="144" t="s">
        <v>51</v>
      </c>
      <c r="I56" s="146">
        <v>12</v>
      </c>
      <c r="J56" s="146"/>
      <c r="K56" s="146">
        <v>2</v>
      </c>
      <c r="L56" s="146">
        <v>5</v>
      </c>
      <c r="M56" s="146">
        <v>29</v>
      </c>
    </row>
    <row r="57" spans="1:14" s="53" customFormat="1" ht="15.95" customHeight="1" x14ac:dyDescent="0.2">
      <c r="A57" s="208"/>
      <c r="B57" s="82"/>
      <c r="C57" s="82"/>
      <c r="D57" s="148">
        <v>2019</v>
      </c>
      <c r="E57" s="146">
        <f>SUM(F57:M57)</f>
        <v>56</v>
      </c>
      <c r="F57" s="146">
        <v>1</v>
      </c>
      <c r="G57" s="146">
        <v>8</v>
      </c>
      <c r="H57" s="144" t="s">
        <v>51</v>
      </c>
      <c r="I57" s="146">
        <v>13</v>
      </c>
      <c r="J57" s="146"/>
      <c r="K57" s="144" t="s">
        <v>51</v>
      </c>
      <c r="L57" s="146">
        <v>11</v>
      </c>
      <c r="M57" s="146">
        <v>23</v>
      </c>
    </row>
    <row r="58" spans="1:14" s="53" customFormat="1" ht="8.1" customHeight="1" x14ac:dyDescent="0.2">
      <c r="A58" s="208"/>
      <c r="B58" s="82"/>
      <c r="C58" s="82"/>
      <c r="D58" s="141"/>
      <c r="E58" s="146"/>
      <c r="F58" s="146"/>
      <c r="G58" s="146"/>
      <c r="H58" s="144"/>
      <c r="I58" s="146"/>
      <c r="J58" s="146"/>
      <c r="K58" s="144"/>
      <c r="L58" s="146"/>
      <c r="M58" s="146"/>
    </row>
    <row r="59" spans="1:14" s="53" customFormat="1" ht="15.95" customHeight="1" x14ac:dyDescent="0.2">
      <c r="A59" s="208"/>
      <c r="B59" s="82" t="s">
        <v>111</v>
      </c>
      <c r="C59" s="82"/>
      <c r="D59" s="148">
        <v>2017</v>
      </c>
      <c r="E59" s="146">
        <f>SUM(F59:M59)</f>
        <v>184</v>
      </c>
      <c r="F59" s="146">
        <v>7</v>
      </c>
      <c r="G59" s="146">
        <v>14</v>
      </c>
      <c r="H59" s="146">
        <v>2</v>
      </c>
      <c r="I59" s="146">
        <v>80</v>
      </c>
      <c r="J59" s="146"/>
      <c r="K59" s="144" t="s">
        <v>51</v>
      </c>
      <c r="L59" s="146">
        <v>27</v>
      </c>
      <c r="M59" s="146">
        <v>54</v>
      </c>
    </row>
    <row r="60" spans="1:14" s="53" customFormat="1" ht="15.95" customHeight="1" x14ac:dyDescent="0.2">
      <c r="A60" s="208"/>
      <c r="B60" s="82"/>
      <c r="C60" s="82"/>
      <c r="D60" s="148">
        <v>2018</v>
      </c>
      <c r="E60" s="146">
        <f>SUM(F60:M60)</f>
        <v>169</v>
      </c>
      <c r="F60" s="146">
        <v>3</v>
      </c>
      <c r="G60" s="146">
        <v>26</v>
      </c>
      <c r="H60" s="146">
        <v>1</v>
      </c>
      <c r="I60" s="146">
        <v>64</v>
      </c>
      <c r="J60" s="146"/>
      <c r="K60" s="144" t="s">
        <v>51</v>
      </c>
      <c r="L60" s="146">
        <v>21</v>
      </c>
      <c r="M60" s="146">
        <v>54</v>
      </c>
    </row>
    <row r="61" spans="1:14" s="53" customFormat="1" ht="15.95" customHeight="1" x14ac:dyDescent="0.2">
      <c r="A61" s="208"/>
      <c r="B61" s="82"/>
      <c r="C61" s="82"/>
      <c r="D61" s="148">
        <v>2019</v>
      </c>
      <c r="E61" s="146">
        <f>SUM(F61:M61)</f>
        <v>155</v>
      </c>
      <c r="F61" s="146">
        <v>10</v>
      </c>
      <c r="G61" s="146">
        <v>23</v>
      </c>
      <c r="H61" s="144" t="s">
        <v>51</v>
      </c>
      <c r="I61" s="146">
        <v>58</v>
      </c>
      <c r="J61" s="146"/>
      <c r="K61" s="144" t="s">
        <v>51</v>
      </c>
      <c r="L61" s="146">
        <v>20</v>
      </c>
      <c r="M61" s="146">
        <v>44</v>
      </c>
    </row>
    <row r="62" spans="1:14" s="53" customFormat="1" ht="8.1" customHeight="1" x14ac:dyDescent="0.2">
      <c r="A62" s="208"/>
      <c r="B62" s="82"/>
      <c r="C62" s="82"/>
      <c r="D62" s="148"/>
      <c r="E62" s="146"/>
      <c r="F62" s="146"/>
      <c r="G62" s="146"/>
      <c r="H62" s="144"/>
      <c r="I62" s="146"/>
      <c r="J62" s="146"/>
      <c r="K62" s="144"/>
      <c r="L62" s="146"/>
      <c r="M62" s="146"/>
    </row>
    <row r="63" spans="1:14" s="53" customFormat="1" ht="15.95" customHeight="1" x14ac:dyDescent="0.2">
      <c r="A63" s="208"/>
      <c r="B63" s="82" t="s">
        <v>112</v>
      </c>
      <c r="C63" s="82"/>
      <c r="D63" s="148">
        <v>2017</v>
      </c>
      <c r="E63" s="146">
        <f>SUM(F63:M63)</f>
        <v>448</v>
      </c>
      <c r="F63" s="146">
        <v>6</v>
      </c>
      <c r="G63" s="146">
        <v>20</v>
      </c>
      <c r="H63" s="146">
        <v>2</v>
      </c>
      <c r="I63" s="146">
        <v>295</v>
      </c>
      <c r="J63" s="146"/>
      <c r="K63" s="146">
        <v>1</v>
      </c>
      <c r="L63" s="146">
        <v>77</v>
      </c>
      <c r="M63" s="146">
        <v>47</v>
      </c>
    </row>
    <row r="64" spans="1:14" s="53" customFormat="1" ht="15.95" customHeight="1" x14ac:dyDescent="0.2">
      <c r="A64" s="208"/>
      <c r="B64" s="82"/>
      <c r="C64" s="82"/>
      <c r="D64" s="148">
        <v>2018</v>
      </c>
      <c r="E64" s="146">
        <f>SUM(F64:M64)</f>
        <v>375</v>
      </c>
      <c r="F64" s="146">
        <v>6</v>
      </c>
      <c r="G64" s="146">
        <v>12</v>
      </c>
      <c r="H64" s="146">
        <v>1</v>
      </c>
      <c r="I64" s="146">
        <v>194</v>
      </c>
      <c r="J64" s="146"/>
      <c r="K64" s="144" t="s">
        <v>51</v>
      </c>
      <c r="L64" s="146">
        <v>110</v>
      </c>
      <c r="M64" s="146">
        <v>52</v>
      </c>
    </row>
    <row r="65" spans="1:14" s="53" customFormat="1" ht="15.95" customHeight="1" x14ac:dyDescent="0.2">
      <c r="A65" s="208"/>
      <c r="B65" s="82"/>
      <c r="C65" s="82"/>
      <c r="D65" s="148">
        <v>2019</v>
      </c>
      <c r="E65" s="146">
        <f>SUM(F65:M65)</f>
        <v>311</v>
      </c>
      <c r="F65" s="146">
        <v>8</v>
      </c>
      <c r="G65" s="146">
        <v>15</v>
      </c>
      <c r="H65" s="146">
        <v>1</v>
      </c>
      <c r="I65" s="146">
        <v>130</v>
      </c>
      <c r="J65" s="146"/>
      <c r="K65" s="144" t="s">
        <v>51</v>
      </c>
      <c r="L65" s="146">
        <v>78</v>
      </c>
      <c r="M65" s="146">
        <v>79</v>
      </c>
    </row>
    <row r="66" spans="1:14" s="53" customFormat="1" ht="8.1" customHeight="1" x14ac:dyDescent="0.2">
      <c r="A66" s="208"/>
      <c r="B66" s="82"/>
      <c r="C66" s="82"/>
      <c r="D66" s="141"/>
      <c r="E66" s="146"/>
      <c r="F66" s="146"/>
      <c r="G66" s="146"/>
      <c r="H66" s="146"/>
      <c r="I66" s="146"/>
      <c r="J66" s="146"/>
      <c r="K66" s="144"/>
      <c r="L66" s="146"/>
      <c r="M66" s="146"/>
    </row>
    <row r="67" spans="1:14" s="53" customFormat="1" ht="15.95" customHeight="1" x14ac:dyDescent="0.2">
      <c r="A67" s="208"/>
      <c r="B67" s="82" t="s">
        <v>113</v>
      </c>
      <c r="C67" s="82"/>
      <c r="D67" s="148">
        <v>2017</v>
      </c>
      <c r="E67" s="146">
        <f>SUM(F67:M67)</f>
        <v>287</v>
      </c>
      <c r="F67" s="146">
        <v>3</v>
      </c>
      <c r="G67" s="146">
        <v>21</v>
      </c>
      <c r="H67" s="144" t="s">
        <v>51</v>
      </c>
      <c r="I67" s="146">
        <v>165</v>
      </c>
      <c r="J67" s="146"/>
      <c r="K67" s="144" t="s">
        <v>51</v>
      </c>
      <c r="L67" s="146">
        <v>38</v>
      </c>
      <c r="M67" s="146">
        <v>60</v>
      </c>
    </row>
    <row r="68" spans="1:14" s="53" customFormat="1" ht="15.95" customHeight="1" x14ac:dyDescent="0.2">
      <c r="A68" s="208"/>
      <c r="B68" s="82"/>
      <c r="C68" s="82"/>
      <c r="D68" s="148">
        <v>2018</v>
      </c>
      <c r="E68" s="146">
        <f>SUM(F68:M68)</f>
        <v>219</v>
      </c>
      <c r="F68" s="146">
        <v>2</v>
      </c>
      <c r="G68" s="146">
        <v>15</v>
      </c>
      <c r="H68" s="144" t="s">
        <v>51</v>
      </c>
      <c r="I68" s="146">
        <v>116</v>
      </c>
      <c r="J68" s="146"/>
      <c r="K68" s="144" t="s">
        <v>51</v>
      </c>
      <c r="L68" s="146">
        <v>27</v>
      </c>
      <c r="M68" s="146">
        <v>59</v>
      </c>
    </row>
    <row r="69" spans="1:14" s="53" customFormat="1" ht="15.95" customHeight="1" x14ac:dyDescent="0.2">
      <c r="A69" s="208"/>
      <c r="B69" s="82"/>
      <c r="C69" s="82"/>
      <c r="D69" s="148">
        <v>2019</v>
      </c>
      <c r="E69" s="146">
        <f>SUM(F69:M69)</f>
        <v>185</v>
      </c>
      <c r="F69" s="146">
        <v>4</v>
      </c>
      <c r="G69" s="146">
        <v>17</v>
      </c>
      <c r="H69" s="144" t="s">
        <v>51</v>
      </c>
      <c r="I69" s="146">
        <v>78</v>
      </c>
      <c r="J69" s="146"/>
      <c r="K69" s="144" t="s">
        <v>51</v>
      </c>
      <c r="L69" s="146">
        <v>36</v>
      </c>
      <c r="M69" s="146">
        <v>50</v>
      </c>
    </row>
    <row r="70" spans="1:14" s="53" customFormat="1" ht="8.1" customHeight="1" x14ac:dyDescent="0.2">
      <c r="A70" s="208"/>
      <c r="B70" s="82"/>
      <c r="C70" s="82"/>
      <c r="D70" s="148"/>
      <c r="E70" s="146"/>
      <c r="F70" s="146"/>
      <c r="G70" s="146"/>
      <c r="H70" s="146"/>
      <c r="I70" s="146"/>
      <c r="J70" s="146"/>
      <c r="K70" s="144"/>
      <c r="L70" s="146"/>
      <c r="M70" s="146"/>
    </row>
    <row r="71" spans="1:14" s="53" customFormat="1" ht="15.95" customHeight="1" x14ac:dyDescent="0.2">
      <c r="A71" s="208"/>
      <c r="B71" s="82" t="s">
        <v>114</v>
      </c>
      <c r="C71" s="82"/>
      <c r="D71" s="148">
        <v>2017</v>
      </c>
      <c r="E71" s="146">
        <f>SUM(F71:M71)</f>
        <v>220</v>
      </c>
      <c r="F71" s="146">
        <v>6</v>
      </c>
      <c r="G71" s="146">
        <v>12</v>
      </c>
      <c r="H71" s="146">
        <v>1</v>
      </c>
      <c r="I71" s="146">
        <v>128</v>
      </c>
      <c r="J71" s="146"/>
      <c r="K71" s="146">
        <v>1</v>
      </c>
      <c r="L71" s="146">
        <v>23</v>
      </c>
      <c r="M71" s="146">
        <v>49</v>
      </c>
    </row>
    <row r="72" spans="1:14" s="53" customFormat="1" ht="15.95" customHeight="1" x14ac:dyDescent="0.2">
      <c r="A72" s="208"/>
      <c r="B72" s="82"/>
      <c r="C72" s="82"/>
      <c r="D72" s="148">
        <v>2018</v>
      </c>
      <c r="E72" s="146">
        <f>SUM(F72:M72)</f>
        <v>138</v>
      </c>
      <c r="F72" s="146">
        <v>4</v>
      </c>
      <c r="G72" s="146">
        <v>8</v>
      </c>
      <c r="H72" s="144" t="s">
        <v>51</v>
      </c>
      <c r="I72" s="146">
        <v>74</v>
      </c>
      <c r="J72" s="146"/>
      <c r="K72" s="146">
        <v>1</v>
      </c>
      <c r="L72" s="146">
        <v>23</v>
      </c>
      <c r="M72" s="146">
        <v>28</v>
      </c>
    </row>
    <row r="73" spans="1:14" s="53" customFormat="1" ht="15.95" customHeight="1" x14ac:dyDescent="0.2">
      <c r="A73" s="208"/>
      <c r="B73" s="82"/>
      <c r="C73" s="82"/>
      <c r="D73" s="148">
        <v>2019</v>
      </c>
      <c r="E73" s="146">
        <f>SUM(F73:M73)</f>
        <v>156</v>
      </c>
      <c r="F73" s="146">
        <v>8</v>
      </c>
      <c r="G73" s="146">
        <v>18</v>
      </c>
      <c r="H73" s="144" t="s">
        <v>51</v>
      </c>
      <c r="I73" s="146">
        <v>77</v>
      </c>
      <c r="J73" s="146"/>
      <c r="K73" s="144" t="s">
        <v>51</v>
      </c>
      <c r="L73" s="146">
        <v>19</v>
      </c>
      <c r="M73" s="146">
        <v>34</v>
      </c>
    </row>
    <row r="74" spans="1:14" s="53" customFormat="1" ht="8.1" customHeight="1" x14ac:dyDescent="0.2">
      <c r="A74" s="208"/>
      <c r="B74" s="82"/>
      <c r="C74" s="82"/>
      <c r="D74" s="141"/>
      <c r="E74" s="146"/>
      <c r="F74" s="146"/>
      <c r="G74" s="146"/>
      <c r="H74" s="144"/>
      <c r="I74" s="146"/>
      <c r="J74" s="146"/>
      <c r="K74" s="144"/>
      <c r="L74" s="146"/>
      <c r="M74" s="146"/>
    </row>
    <row r="75" spans="1:14" s="53" customFormat="1" ht="15.95" customHeight="1" x14ac:dyDescent="0.2">
      <c r="A75" s="208"/>
      <c r="B75" s="82" t="s">
        <v>115</v>
      </c>
      <c r="C75" s="82"/>
      <c r="D75" s="148">
        <v>2017</v>
      </c>
      <c r="E75" s="146">
        <f>SUM(F75:M75)</f>
        <v>278</v>
      </c>
      <c r="F75" s="146">
        <v>6</v>
      </c>
      <c r="G75" s="146">
        <v>17</v>
      </c>
      <c r="H75" s="146">
        <v>1</v>
      </c>
      <c r="I75" s="146">
        <v>149</v>
      </c>
      <c r="J75" s="146"/>
      <c r="K75" s="144" t="s">
        <v>51</v>
      </c>
      <c r="L75" s="146">
        <v>42</v>
      </c>
      <c r="M75" s="146">
        <v>63</v>
      </c>
    </row>
    <row r="76" spans="1:14" s="53" customFormat="1" ht="15.95" customHeight="1" x14ac:dyDescent="0.2">
      <c r="A76" s="208"/>
      <c r="B76" s="82"/>
      <c r="C76" s="82"/>
      <c r="D76" s="148">
        <v>2018</v>
      </c>
      <c r="E76" s="146">
        <f>SUM(F76:M76)</f>
        <v>245</v>
      </c>
      <c r="F76" s="146">
        <v>5</v>
      </c>
      <c r="G76" s="146">
        <v>20</v>
      </c>
      <c r="H76" s="146">
        <v>4</v>
      </c>
      <c r="I76" s="146">
        <v>120</v>
      </c>
      <c r="J76" s="146"/>
      <c r="K76" s="144" t="s">
        <v>51</v>
      </c>
      <c r="L76" s="146">
        <v>40</v>
      </c>
      <c r="M76" s="146">
        <v>56</v>
      </c>
    </row>
    <row r="77" spans="1:14" s="53" customFormat="1" ht="15.95" customHeight="1" x14ac:dyDescent="0.2">
      <c r="A77" s="208"/>
      <c r="B77" s="82"/>
      <c r="C77" s="82"/>
      <c r="D77" s="148">
        <v>2019</v>
      </c>
      <c r="E77" s="146">
        <f>SUM(F77:M77)</f>
        <v>245</v>
      </c>
      <c r="F77" s="301" t="s">
        <v>51</v>
      </c>
      <c r="G77" s="114">
        <v>25</v>
      </c>
      <c r="H77" s="301" t="s">
        <v>51</v>
      </c>
      <c r="I77" s="114">
        <v>119</v>
      </c>
      <c r="J77" s="114"/>
      <c r="K77" s="114">
        <v>2</v>
      </c>
      <c r="L77" s="114">
        <v>53</v>
      </c>
      <c r="M77" s="114">
        <v>46</v>
      </c>
    </row>
    <row r="78" spans="1:14" s="53" customFormat="1" ht="8.1" customHeight="1" thickBot="1" x14ac:dyDescent="0.25">
      <c r="A78" s="195"/>
      <c r="B78" s="196"/>
      <c r="C78" s="196"/>
      <c r="D78" s="196"/>
      <c r="E78" s="197"/>
      <c r="F78" s="198"/>
      <c r="G78" s="198"/>
      <c r="H78" s="198"/>
      <c r="I78" s="198"/>
      <c r="J78" s="198"/>
      <c r="K78" s="198"/>
      <c r="L78" s="198"/>
      <c r="M78" s="199"/>
      <c r="N78" s="195"/>
    </row>
    <row r="79" spans="1:14" s="53" customFormat="1" ht="12.75" x14ac:dyDescent="0.2">
      <c r="B79" s="115"/>
      <c r="C79" s="115"/>
      <c r="D79" s="115"/>
      <c r="E79" s="63"/>
      <c r="F79" s="114"/>
      <c r="G79" s="114"/>
      <c r="H79" s="114"/>
      <c r="I79" s="114"/>
      <c r="J79" s="114"/>
      <c r="K79" s="114"/>
      <c r="L79" s="114"/>
      <c r="M79" s="189"/>
      <c r="N79" s="8" t="s">
        <v>99</v>
      </c>
    </row>
    <row r="80" spans="1:14" s="53" customFormat="1" ht="12.75" x14ac:dyDescent="0.2">
      <c r="B80" s="115"/>
      <c r="C80" s="115"/>
      <c r="D80" s="115"/>
      <c r="E80" s="63"/>
      <c r="F80" s="114"/>
      <c r="G80" s="114"/>
      <c r="H80" s="114"/>
      <c r="I80" s="114"/>
      <c r="J80" s="114"/>
      <c r="K80" s="114"/>
      <c r="L80" s="114"/>
      <c r="M80" s="189"/>
      <c r="N80" s="41" t="s">
        <v>1</v>
      </c>
    </row>
    <row r="81" spans="2:13" s="53" customFormat="1" ht="12.95" customHeight="1" x14ac:dyDescent="0.2">
      <c r="B81" s="115"/>
      <c r="C81" s="115"/>
      <c r="D81" s="115"/>
      <c r="E81" s="63"/>
      <c r="F81" s="114"/>
      <c r="G81" s="114"/>
      <c r="H81" s="114"/>
      <c r="I81" s="114"/>
      <c r="J81" s="114"/>
      <c r="K81" s="114"/>
      <c r="L81" s="114"/>
      <c r="M81" s="189"/>
    </row>
  </sheetData>
  <mergeCells count="4">
    <mergeCell ref="B11:C11"/>
    <mergeCell ref="H11:I11"/>
    <mergeCell ref="K11:L11"/>
    <mergeCell ref="B12:C12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70" fitToWidth="0" orientation="portrait" r:id="rId1"/>
  <headerFooter>
    <oddHeader xml:space="preserve">&amp;R&amp;"-,Bold"
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53"/>
  <sheetViews>
    <sheetView showGridLines="0" topLeftCell="A7" zoomScale="90" zoomScaleNormal="90" zoomScaleSheetLayoutView="100" workbookViewId="0">
      <selection activeCell="E40" sqref="E40"/>
    </sheetView>
  </sheetViews>
  <sheetFormatPr defaultRowHeight="15" x14ac:dyDescent="0.25"/>
  <cols>
    <col min="1" max="1" width="1.85546875" style="2" customWidth="1"/>
    <col min="2" max="2" width="9.85546875" style="3" customWidth="1"/>
    <col min="3" max="3" width="14.42578125" style="3" customWidth="1"/>
    <col min="4" max="4" width="7.42578125" style="3" customWidth="1"/>
    <col min="5" max="5" width="10.7109375" style="21" customWidth="1"/>
    <col min="6" max="8" width="10.7109375" style="22" customWidth="1"/>
    <col min="9" max="9" width="14.85546875" style="22" customWidth="1"/>
    <col min="10" max="10" width="1.7109375" style="22" customWidth="1"/>
    <col min="11" max="11" width="10.7109375" style="22" customWidth="1"/>
    <col min="12" max="12" width="14.85546875" style="22" customWidth="1"/>
    <col min="13" max="13" width="14.42578125" style="5" customWidth="1"/>
    <col min="14" max="14" width="0.85546875" style="2" customWidth="1"/>
    <col min="15" max="16384" width="9.140625" style="2"/>
  </cols>
  <sheetData>
    <row r="1" spans="1:14" ht="9.9499999999999993" customHeight="1" x14ac:dyDescent="0.25">
      <c r="B1" s="3" t="s">
        <v>196</v>
      </c>
    </row>
    <row r="2" spans="1:14" s="30" customFormat="1" ht="12.95" customHeight="1" x14ac:dyDescent="0.25">
      <c r="B2" s="27"/>
      <c r="C2" s="27"/>
      <c r="D2" s="29"/>
      <c r="E2" s="28"/>
      <c r="F2" s="29"/>
      <c r="M2" s="160" t="s">
        <v>179</v>
      </c>
      <c r="N2" s="29"/>
    </row>
    <row r="3" spans="1:14" s="30" customFormat="1" ht="12.95" customHeight="1" x14ac:dyDescent="0.25">
      <c r="B3" s="27"/>
      <c r="C3" s="27"/>
      <c r="D3" s="29"/>
      <c r="E3" s="28"/>
      <c r="F3" s="29"/>
      <c r="M3" s="68" t="s">
        <v>180</v>
      </c>
      <c r="N3" s="29"/>
    </row>
    <row r="4" spans="1:14" s="30" customFormat="1" ht="12" customHeight="1" x14ac:dyDescent="0.25">
      <c r="B4" s="27"/>
      <c r="C4" s="27"/>
      <c r="D4" s="29"/>
      <c r="E4" s="28"/>
      <c r="F4" s="29"/>
      <c r="G4" s="68"/>
      <c r="N4" s="29"/>
    </row>
    <row r="5" spans="1:14" s="30" customFormat="1" ht="12" customHeight="1" x14ac:dyDescent="0.25">
      <c r="B5" s="27"/>
      <c r="C5" s="27"/>
      <c r="D5" s="29"/>
      <c r="E5" s="28"/>
      <c r="F5" s="29"/>
      <c r="G5" s="68"/>
      <c r="N5" s="29"/>
    </row>
    <row r="6" spans="1:14" s="53" customFormat="1" ht="9.75" customHeight="1" x14ac:dyDescent="0.2">
      <c r="B6" s="115"/>
      <c r="C6" s="115"/>
      <c r="D6" s="189"/>
      <c r="E6" s="190"/>
      <c r="F6" s="189"/>
      <c r="G6" s="189"/>
      <c r="H6" s="191"/>
      <c r="I6" s="191"/>
      <c r="J6" s="191"/>
      <c r="K6" s="191"/>
      <c r="L6" s="191"/>
      <c r="M6" s="189"/>
      <c r="N6" s="114"/>
    </row>
    <row r="7" spans="1:14" s="53" customFormat="1" ht="15" customHeight="1" x14ac:dyDescent="0.2">
      <c r="B7" s="63" t="s">
        <v>186</v>
      </c>
      <c r="C7" s="64" t="s">
        <v>239</v>
      </c>
      <c r="D7" s="115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4" s="65" customFormat="1" ht="15" customHeight="1" x14ac:dyDescent="0.2">
      <c r="B8" s="66" t="s">
        <v>187</v>
      </c>
      <c r="C8" s="67" t="s">
        <v>240</v>
      </c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4" s="53" customFormat="1" ht="6.75" customHeight="1" thickBot="1" x14ac:dyDescent="0.25">
      <c r="B9" s="115"/>
      <c r="C9" s="115"/>
      <c r="D9" s="115"/>
      <c r="E9" s="63"/>
      <c r="F9" s="114"/>
      <c r="G9" s="114"/>
      <c r="H9" s="114"/>
      <c r="I9" s="114"/>
      <c r="J9" s="114"/>
      <c r="K9" s="114"/>
      <c r="L9" s="114"/>
      <c r="M9" s="189"/>
    </row>
    <row r="10" spans="1:14" s="53" customFormat="1" ht="9.9499999999999993" customHeight="1" thickTop="1" x14ac:dyDescent="0.2">
      <c r="A10" s="378"/>
      <c r="B10" s="388"/>
      <c r="C10" s="388"/>
      <c r="D10" s="389"/>
      <c r="E10" s="374"/>
      <c r="F10" s="375"/>
      <c r="G10" s="375"/>
      <c r="H10" s="376"/>
      <c r="I10" s="375"/>
      <c r="J10" s="375"/>
      <c r="K10" s="375"/>
      <c r="L10" s="375"/>
      <c r="M10" s="377"/>
      <c r="N10" s="378"/>
    </row>
    <row r="11" spans="1:14" s="53" customFormat="1" ht="27.75" customHeight="1" x14ac:dyDescent="0.2">
      <c r="A11" s="390"/>
      <c r="B11" s="432" t="s">
        <v>210</v>
      </c>
      <c r="C11" s="432"/>
      <c r="D11" s="379" t="s">
        <v>222</v>
      </c>
      <c r="E11" s="379" t="s">
        <v>220</v>
      </c>
      <c r="F11" s="379" t="s">
        <v>219</v>
      </c>
      <c r="G11" s="379" t="s">
        <v>218</v>
      </c>
      <c r="H11" s="433" t="s">
        <v>234</v>
      </c>
      <c r="I11" s="433"/>
      <c r="J11" s="380"/>
      <c r="K11" s="433" t="s">
        <v>221</v>
      </c>
      <c r="L11" s="433"/>
      <c r="M11" s="379" t="s">
        <v>217</v>
      </c>
      <c r="N11" s="381"/>
    </row>
    <row r="12" spans="1:14" s="53" customFormat="1" ht="30" customHeight="1" x14ac:dyDescent="0.2">
      <c r="A12" s="390"/>
      <c r="B12" s="434" t="s">
        <v>211</v>
      </c>
      <c r="C12" s="434"/>
      <c r="D12" s="382" t="s">
        <v>212</v>
      </c>
      <c r="E12" s="382" t="s">
        <v>213</v>
      </c>
      <c r="F12" s="382" t="s">
        <v>214</v>
      </c>
      <c r="G12" s="382" t="s">
        <v>215</v>
      </c>
      <c r="H12" s="383" t="s">
        <v>225</v>
      </c>
      <c r="I12" s="383" t="s">
        <v>226</v>
      </c>
      <c r="J12" s="383"/>
      <c r="K12" s="383" t="s">
        <v>225</v>
      </c>
      <c r="L12" s="383" t="s">
        <v>226</v>
      </c>
      <c r="M12" s="384" t="s">
        <v>216</v>
      </c>
      <c r="N12" s="385"/>
    </row>
    <row r="13" spans="1:14" s="53" customFormat="1" ht="30" customHeight="1" x14ac:dyDescent="0.2">
      <c r="A13" s="391"/>
      <c r="B13" s="392"/>
      <c r="C13" s="392"/>
      <c r="D13" s="386"/>
      <c r="E13" s="386"/>
      <c r="F13" s="386"/>
      <c r="G13" s="386"/>
      <c r="H13" s="387" t="s">
        <v>223</v>
      </c>
      <c r="I13" s="387" t="s">
        <v>224</v>
      </c>
      <c r="J13" s="387"/>
      <c r="K13" s="387" t="s">
        <v>223</v>
      </c>
      <c r="L13" s="387" t="s">
        <v>224</v>
      </c>
      <c r="M13" s="370"/>
      <c r="N13" s="373"/>
    </row>
    <row r="14" spans="1:14" s="53" customFormat="1" ht="6" customHeight="1" x14ac:dyDescent="0.2">
      <c r="A14" s="116"/>
      <c r="B14" s="180"/>
      <c r="C14" s="180"/>
      <c r="D14" s="90"/>
      <c r="E14" s="90"/>
      <c r="F14" s="192"/>
      <c r="G14" s="192"/>
      <c r="H14" s="192"/>
      <c r="I14" s="192"/>
      <c r="J14" s="192"/>
      <c r="K14" s="192"/>
      <c r="L14" s="192"/>
      <c r="M14" s="192"/>
      <c r="N14" s="86"/>
    </row>
    <row r="15" spans="1:14" s="116" customFormat="1" ht="24.95" customHeight="1" x14ac:dyDescent="0.2">
      <c r="A15" s="208"/>
      <c r="B15" s="124" t="s">
        <v>116</v>
      </c>
      <c r="C15" s="124"/>
      <c r="D15" s="121">
        <v>2017</v>
      </c>
      <c r="E15" s="145">
        <f>SUM(F15:M15)</f>
        <v>354</v>
      </c>
      <c r="F15" s="145">
        <f t="shared" ref="F15:G17" si="0">SUM(F19,F23,F27,F31,F35,F39,F43)</f>
        <v>5</v>
      </c>
      <c r="G15" s="145">
        <f t="shared" si="0"/>
        <v>64</v>
      </c>
      <c r="H15" s="137" t="s">
        <v>51</v>
      </c>
      <c r="I15" s="145">
        <f>SUM(I19,I23,I27,I31,I35,I39,I43)</f>
        <v>79</v>
      </c>
      <c r="J15" s="145"/>
      <c r="K15" s="137" t="s">
        <v>51</v>
      </c>
      <c r="L15" s="145">
        <f t="shared" ref="L15:M17" si="1">SUM(L19,L23,L27,L31,L35,L39,L43)</f>
        <v>76</v>
      </c>
      <c r="M15" s="145">
        <f t="shared" si="1"/>
        <v>130</v>
      </c>
    </row>
    <row r="16" spans="1:14" s="116" customFormat="1" ht="24.95" customHeight="1" x14ac:dyDescent="0.2">
      <c r="A16" s="208"/>
      <c r="B16" s="124"/>
      <c r="C16" s="124"/>
      <c r="D16" s="121">
        <v>2018</v>
      </c>
      <c r="E16" s="145">
        <f>SUM(F16:M16)</f>
        <v>291</v>
      </c>
      <c r="F16" s="145">
        <f t="shared" si="0"/>
        <v>2</v>
      </c>
      <c r="G16" s="145">
        <f t="shared" si="0"/>
        <v>63</v>
      </c>
      <c r="H16" s="145">
        <f>SUM(H20,H24,H28,H32,H36,H40,H44)</f>
        <v>1</v>
      </c>
      <c r="I16" s="145">
        <f>SUM(I20,I24,I28,I32,I36,I40,I44)</f>
        <v>58</v>
      </c>
      <c r="J16" s="145"/>
      <c r="K16" s="145">
        <f>SUM(K20,K24,K28,K32,K36,K40,K44)</f>
        <v>1</v>
      </c>
      <c r="L16" s="145">
        <f t="shared" si="1"/>
        <v>42</v>
      </c>
      <c r="M16" s="145">
        <f t="shared" si="1"/>
        <v>124</v>
      </c>
    </row>
    <row r="17" spans="1:13" s="116" customFormat="1" ht="24.95" customHeight="1" x14ac:dyDescent="0.2">
      <c r="A17" s="208"/>
      <c r="B17" s="124"/>
      <c r="C17" s="124"/>
      <c r="D17" s="121">
        <v>2019</v>
      </c>
      <c r="E17" s="145">
        <f>SUM(F17:M17)</f>
        <v>293</v>
      </c>
      <c r="F17" s="145">
        <f t="shared" si="0"/>
        <v>1</v>
      </c>
      <c r="G17" s="145">
        <f t="shared" si="0"/>
        <v>80</v>
      </c>
      <c r="H17" s="137" t="s">
        <v>51</v>
      </c>
      <c r="I17" s="145">
        <f>SUM(I21,I25,I29,I33,I37,I41,I45)</f>
        <v>50</v>
      </c>
      <c r="J17" s="145"/>
      <c r="K17" s="137" t="s">
        <v>51</v>
      </c>
      <c r="L17" s="145">
        <f t="shared" si="1"/>
        <v>44</v>
      </c>
      <c r="M17" s="145">
        <f t="shared" si="1"/>
        <v>118</v>
      </c>
    </row>
    <row r="18" spans="1:13" s="116" customFormat="1" ht="24.95" customHeight="1" x14ac:dyDescent="0.2">
      <c r="A18" s="208"/>
      <c r="B18" s="124"/>
      <c r="C18" s="124"/>
      <c r="D18" s="121"/>
      <c r="E18" s="145"/>
      <c r="F18" s="145"/>
      <c r="G18" s="145"/>
      <c r="H18" s="145"/>
      <c r="I18" s="145"/>
      <c r="J18" s="145"/>
      <c r="K18" s="145"/>
      <c r="L18" s="145"/>
      <c r="M18" s="145"/>
    </row>
    <row r="19" spans="1:13" s="116" customFormat="1" ht="24.95" customHeight="1" x14ac:dyDescent="0.2">
      <c r="A19" s="208"/>
      <c r="B19" s="82" t="s">
        <v>117</v>
      </c>
      <c r="C19" s="82"/>
      <c r="D19" s="148">
        <v>2017</v>
      </c>
      <c r="E19" s="146">
        <f>SUM(F19:M19)</f>
        <v>88</v>
      </c>
      <c r="F19" s="146">
        <v>3</v>
      </c>
      <c r="G19" s="146">
        <v>9</v>
      </c>
      <c r="H19" s="146" t="s">
        <v>51</v>
      </c>
      <c r="I19" s="146">
        <v>23</v>
      </c>
      <c r="J19" s="146"/>
      <c r="K19" s="144" t="s">
        <v>51</v>
      </c>
      <c r="L19" s="146">
        <v>18</v>
      </c>
      <c r="M19" s="146">
        <v>35</v>
      </c>
    </row>
    <row r="20" spans="1:13" s="116" customFormat="1" ht="24.95" customHeight="1" x14ac:dyDescent="0.2">
      <c r="A20" s="208"/>
      <c r="B20" s="82"/>
      <c r="C20" s="82"/>
      <c r="D20" s="148">
        <v>2018</v>
      </c>
      <c r="E20" s="146">
        <f>SUM(F20:M20)</f>
        <v>65</v>
      </c>
      <c r="F20" s="146" t="s">
        <v>51</v>
      </c>
      <c r="G20" s="146">
        <v>12</v>
      </c>
      <c r="H20" s="146" t="s">
        <v>51</v>
      </c>
      <c r="I20" s="146">
        <v>13</v>
      </c>
      <c r="J20" s="146"/>
      <c r="K20" s="144" t="s">
        <v>51</v>
      </c>
      <c r="L20" s="146">
        <v>10</v>
      </c>
      <c r="M20" s="146">
        <v>30</v>
      </c>
    </row>
    <row r="21" spans="1:13" s="116" customFormat="1" ht="24.95" customHeight="1" x14ac:dyDescent="0.2">
      <c r="A21" s="208"/>
      <c r="B21" s="82"/>
      <c r="C21" s="82"/>
      <c r="D21" s="148">
        <v>2019</v>
      </c>
      <c r="E21" s="146">
        <f>SUM(F21:M21)</f>
        <v>62</v>
      </c>
      <c r="F21" s="144" t="s">
        <v>51</v>
      </c>
      <c r="G21" s="146">
        <v>19</v>
      </c>
      <c r="H21" s="144" t="s">
        <v>51</v>
      </c>
      <c r="I21" s="146">
        <v>4</v>
      </c>
      <c r="J21" s="146"/>
      <c r="K21" s="144" t="s">
        <v>51</v>
      </c>
      <c r="L21" s="146">
        <v>6</v>
      </c>
      <c r="M21" s="146">
        <v>33</v>
      </c>
    </row>
    <row r="22" spans="1:13" s="116" customFormat="1" ht="24.95" customHeight="1" x14ac:dyDescent="0.2">
      <c r="A22" s="208"/>
      <c r="B22" s="82"/>
      <c r="C22" s="82"/>
      <c r="D22" s="148"/>
      <c r="E22" s="146"/>
      <c r="F22" s="146"/>
      <c r="G22" s="146"/>
      <c r="H22" s="144"/>
      <c r="I22" s="146"/>
      <c r="J22" s="146"/>
      <c r="K22" s="144"/>
      <c r="L22" s="146"/>
      <c r="M22" s="146"/>
    </row>
    <row r="23" spans="1:13" s="116" customFormat="1" ht="24.95" customHeight="1" x14ac:dyDescent="0.2">
      <c r="A23" s="208"/>
      <c r="B23" s="82" t="s">
        <v>118</v>
      </c>
      <c r="C23" s="82"/>
      <c r="D23" s="148">
        <v>2017</v>
      </c>
      <c r="E23" s="146">
        <f>SUM(F23:M23)</f>
        <v>56</v>
      </c>
      <c r="F23" s="146" t="s">
        <v>51</v>
      </c>
      <c r="G23" s="146">
        <v>10</v>
      </c>
      <c r="H23" s="144" t="s">
        <v>51</v>
      </c>
      <c r="I23" s="146">
        <v>14</v>
      </c>
      <c r="J23" s="146"/>
      <c r="K23" s="144" t="s">
        <v>51</v>
      </c>
      <c r="L23" s="146">
        <v>5</v>
      </c>
      <c r="M23" s="146">
        <v>27</v>
      </c>
    </row>
    <row r="24" spans="1:13" s="116" customFormat="1" ht="24.95" customHeight="1" x14ac:dyDescent="0.2">
      <c r="A24" s="208"/>
      <c r="B24" s="82"/>
      <c r="C24" s="82"/>
      <c r="D24" s="148">
        <v>2018</v>
      </c>
      <c r="E24" s="146">
        <f>SUM(F24:M24)</f>
        <v>41</v>
      </c>
      <c r="F24" s="144" t="s">
        <v>51</v>
      </c>
      <c r="G24" s="146">
        <v>5</v>
      </c>
      <c r="H24" s="144" t="s">
        <v>51</v>
      </c>
      <c r="I24" s="146">
        <v>5</v>
      </c>
      <c r="J24" s="146"/>
      <c r="K24" s="144" t="s">
        <v>51</v>
      </c>
      <c r="L24" s="146">
        <v>4</v>
      </c>
      <c r="M24" s="146">
        <v>27</v>
      </c>
    </row>
    <row r="25" spans="1:13" s="116" customFormat="1" ht="24.95" customHeight="1" x14ac:dyDescent="0.2">
      <c r="A25" s="208"/>
      <c r="B25" s="82"/>
      <c r="C25" s="82"/>
      <c r="D25" s="148">
        <v>2019</v>
      </c>
      <c r="E25" s="146">
        <f>SUM(F25:M25)</f>
        <v>36</v>
      </c>
      <c r="F25" s="144" t="s">
        <v>51</v>
      </c>
      <c r="G25" s="146">
        <v>5</v>
      </c>
      <c r="H25" s="144" t="s">
        <v>51</v>
      </c>
      <c r="I25" s="146">
        <v>3</v>
      </c>
      <c r="J25" s="146"/>
      <c r="K25" s="144" t="s">
        <v>51</v>
      </c>
      <c r="L25" s="146">
        <v>5</v>
      </c>
      <c r="M25" s="146">
        <v>23</v>
      </c>
    </row>
    <row r="26" spans="1:13" s="116" customFormat="1" ht="24.95" customHeight="1" x14ac:dyDescent="0.2">
      <c r="A26" s="208"/>
      <c r="B26" s="82"/>
      <c r="C26" s="82"/>
      <c r="D26" s="148"/>
      <c r="E26" s="146"/>
      <c r="F26" s="146"/>
      <c r="G26" s="146"/>
      <c r="H26" s="144"/>
      <c r="I26" s="146"/>
      <c r="J26" s="146"/>
      <c r="K26" s="144"/>
      <c r="L26" s="146"/>
      <c r="M26" s="146"/>
    </row>
    <row r="27" spans="1:13" s="116" customFormat="1" ht="24.95" customHeight="1" x14ac:dyDescent="0.2">
      <c r="A27" s="208"/>
      <c r="B27" s="82" t="s">
        <v>119</v>
      </c>
      <c r="C27" s="82"/>
      <c r="D27" s="148">
        <v>2017</v>
      </c>
      <c r="E27" s="146">
        <f>SUM(F27:M27)</f>
        <v>20</v>
      </c>
      <c r="F27" s="146" t="s">
        <v>51</v>
      </c>
      <c r="G27" s="146">
        <v>5</v>
      </c>
      <c r="H27" s="144" t="s">
        <v>51</v>
      </c>
      <c r="I27" s="146">
        <v>2</v>
      </c>
      <c r="J27" s="146"/>
      <c r="K27" s="144" t="s">
        <v>51</v>
      </c>
      <c r="L27" s="146">
        <v>2</v>
      </c>
      <c r="M27" s="146">
        <v>11</v>
      </c>
    </row>
    <row r="28" spans="1:13" s="116" customFormat="1" ht="24.95" customHeight="1" x14ac:dyDescent="0.2">
      <c r="A28" s="208"/>
      <c r="B28" s="82"/>
      <c r="C28" s="82"/>
      <c r="D28" s="148">
        <v>2018</v>
      </c>
      <c r="E28" s="146">
        <f>SUM(F28:M28)</f>
        <v>26</v>
      </c>
      <c r="F28" s="144" t="s">
        <v>51</v>
      </c>
      <c r="G28" s="146">
        <v>6</v>
      </c>
      <c r="H28" s="144" t="s">
        <v>51</v>
      </c>
      <c r="I28" s="146">
        <v>4</v>
      </c>
      <c r="J28" s="146"/>
      <c r="K28" s="146">
        <v>1</v>
      </c>
      <c r="L28" s="146">
        <v>5</v>
      </c>
      <c r="M28" s="146">
        <v>10</v>
      </c>
    </row>
    <row r="29" spans="1:13" s="116" customFormat="1" ht="24.95" customHeight="1" x14ac:dyDescent="0.2">
      <c r="A29" s="208"/>
      <c r="B29" s="82"/>
      <c r="C29" s="82"/>
      <c r="D29" s="148">
        <v>2019</v>
      </c>
      <c r="E29" s="146">
        <f>SUM(F29:M29)</f>
        <v>19</v>
      </c>
      <c r="F29" s="144" t="s">
        <v>51</v>
      </c>
      <c r="G29" s="146">
        <v>4</v>
      </c>
      <c r="H29" s="144" t="s">
        <v>51</v>
      </c>
      <c r="I29" s="146">
        <v>3</v>
      </c>
      <c r="J29" s="146"/>
      <c r="K29" s="144" t="s">
        <v>51</v>
      </c>
      <c r="L29" s="146">
        <v>2</v>
      </c>
      <c r="M29" s="146">
        <v>10</v>
      </c>
    </row>
    <row r="30" spans="1:13" s="116" customFormat="1" ht="24.95" customHeight="1" x14ac:dyDescent="0.2">
      <c r="A30" s="208"/>
      <c r="B30" s="82"/>
      <c r="C30" s="82"/>
      <c r="D30" s="148"/>
      <c r="E30" s="146"/>
      <c r="F30" s="146"/>
      <c r="G30" s="146"/>
      <c r="H30" s="144"/>
      <c r="I30" s="146"/>
      <c r="J30" s="146"/>
      <c r="K30" s="144"/>
      <c r="L30" s="146"/>
      <c r="M30" s="146"/>
    </row>
    <row r="31" spans="1:13" s="116" customFormat="1" ht="24.95" customHeight="1" x14ac:dyDescent="0.2">
      <c r="A31" s="208"/>
      <c r="B31" s="82" t="s">
        <v>120</v>
      </c>
      <c r="C31" s="82"/>
      <c r="D31" s="148">
        <v>2017</v>
      </c>
      <c r="E31" s="146">
        <f>SUM(F31:M31)</f>
        <v>43</v>
      </c>
      <c r="F31" s="146" t="s">
        <v>51</v>
      </c>
      <c r="G31" s="146">
        <v>10</v>
      </c>
      <c r="H31" s="144" t="s">
        <v>51</v>
      </c>
      <c r="I31" s="146">
        <v>12</v>
      </c>
      <c r="J31" s="146"/>
      <c r="K31" s="144" t="s">
        <v>51</v>
      </c>
      <c r="L31" s="146">
        <v>11</v>
      </c>
      <c r="M31" s="146">
        <v>10</v>
      </c>
    </row>
    <row r="32" spans="1:13" s="116" customFormat="1" ht="24.95" customHeight="1" x14ac:dyDescent="0.2">
      <c r="A32" s="208"/>
      <c r="B32" s="82"/>
      <c r="C32" s="82"/>
      <c r="D32" s="148">
        <v>2018</v>
      </c>
      <c r="E32" s="146">
        <f>SUM(F32:M32)</f>
        <v>48</v>
      </c>
      <c r="F32" s="144" t="s">
        <v>51</v>
      </c>
      <c r="G32" s="146">
        <v>14</v>
      </c>
      <c r="H32" s="146">
        <v>1</v>
      </c>
      <c r="I32" s="146">
        <v>14</v>
      </c>
      <c r="J32" s="146"/>
      <c r="K32" s="144" t="s">
        <v>51</v>
      </c>
      <c r="L32" s="146">
        <v>5</v>
      </c>
      <c r="M32" s="146">
        <v>14</v>
      </c>
    </row>
    <row r="33" spans="1:14" s="116" customFormat="1" ht="24.95" customHeight="1" x14ac:dyDescent="0.2">
      <c r="A33" s="208"/>
      <c r="B33" s="82"/>
      <c r="C33" s="82"/>
      <c r="D33" s="148">
        <v>2019</v>
      </c>
      <c r="E33" s="146">
        <f>SUM(F33:M33)</f>
        <v>40</v>
      </c>
      <c r="F33" s="144">
        <v>1</v>
      </c>
      <c r="G33" s="146">
        <v>15</v>
      </c>
      <c r="H33" s="144" t="s">
        <v>51</v>
      </c>
      <c r="I33" s="146">
        <v>8</v>
      </c>
      <c r="J33" s="146"/>
      <c r="K33" s="144" t="s">
        <v>51</v>
      </c>
      <c r="L33" s="146">
        <v>10</v>
      </c>
      <c r="M33" s="146">
        <v>6</v>
      </c>
    </row>
    <row r="34" spans="1:14" s="116" customFormat="1" ht="24.95" customHeight="1" x14ac:dyDescent="0.2">
      <c r="A34" s="208"/>
      <c r="B34" s="82"/>
      <c r="C34" s="82"/>
      <c r="D34" s="148"/>
      <c r="E34" s="146"/>
      <c r="F34" s="146"/>
      <c r="G34" s="146"/>
      <c r="H34" s="144"/>
      <c r="I34" s="146"/>
      <c r="J34" s="146"/>
      <c r="K34" s="146"/>
      <c r="L34" s="146"/>
      <c r="M34" s="146"/>
    </row>
    <row r="35" spans="1:14" s="116" customFormat="1" ht="24.95" customHeight="1" x14ac:dyDescent="0.2">
      <c r="A35" s="208"/>
      <c r="B35" s="82" t="s">
        <v>121</v>
      </c>
      <c r="C35" s="82"/>
      <c r="D35" s="148">
        <v>2017</v>
      </c>
      <c r="E35" s="146">
        <f>SUM(F35:M35)</f>
        <v>97</v>
      </c>
      <c r="F35" s="146">
        <v>1</v>
      </c>
      <c r="G35" s="146">
        <v>20</v>
      </c>
      <c r="H35" s="144" t="s">
        <v>51</v>
      </c>
      <c r="I35" s="146">
        <v>20</v>
      </c>
      <c r="J35" s="146"/>
      <c r="K35" s="144" t="s">
        <v>51</v>
      </c>
      <c r="L35" s="146">
        <v>30</v>
      </c>
      <c r="M35" s="146">
        <v>26</v>
      </c>
    </row>
    <row r="36" spans="1:14" s="116" customFormat="1" ht="24.95" customHeight="1" x14ac:dyDescent="0.2">
      <c r="A36" s="208"/>
      <c r="B36" s="82"/>
      <c r="C36" s="82"/>
      <c r="D36" s="148">
        <v>2018</v>
      </c>
      <c r="E36" s="146">
        <f>SUM(F36:M36)</f>
        <v>61</v>
      </c>
      <c r="F36" s="146">
        <v>1</v>
      </c>
      <c r="G36" s="146">
        <v>12</v>
      </c>
      <c r="H36" s="144" t="s">
        <v>51</v>
      </c>
      <c r="I36" s="146">
        <v>13</v>
      </c>
      <c r="J36" s="146"/>
      <c r="K36" s="144" t="s">
        <v>51</v>
      </c>
      <c r="L36" s="146">
        <v>14</v>
      </c>
      <c r="M36" s="146">
        <v>21</v>
      </c>
    </row>
    <row r="37" spans="1:14" s="116" customFormat="1" ht="24.95" customHeight="1" x14ac:dyDescent="0.2">
      <c r="A37" s="208"/>
      <c r="B37" s="82"/>
      <c r="C37" s="82"/>
      <c r="D37" s="148">
        <v>2019</v>
      </c>
      <c r="E37" s="146">
        <f>SUM(F37:M37)</f>
        <v>91</v>
      </c>
      <c r="F37" s="144" t="s">
        <v>51</v>
      </c>
      <c r="G37" s="146">
        <v>24</v>
      </c>
      <c r="H37" s="144" t="s">
        <v>51</v>
      </c>
      <c r="I37" s="146">
        <v>22</v>
      </c>
      <c r="J37" s="146"/>
      <c r="K37" s="144" t="s">
        <v>51</v>
      </c>
      <c r="L37" s="146">
        <v>13</v>
      </c>
      <c r="M37" s="146">
        <v>32</v>
      </c>
    </row>
    <row r="38" spans="1:14" s="116" customFormat="1" ht="24.95" customHeight="1" x14ac:dyDescent="0.2">
      <c r="A38" s="208"/>
      <c r="B38" s="82"/>
      <c r="C38" s="82"/>
      <c r="D38" s="148"/>
      <c r="E38" s="146"/>
      <c r="F38" s="146"/>
      <c r="G38" s="146"/>
      <c r="H38" s="144"/>
      <c r="I38" s="146"/>
      <c r="J38" s="146"/>
      <c r="K38" s="144"/>
      <c r="L38" s="146"/>
      <c r="M38" s="146"/>
    </row>
    <row r="39" spans="1:14" s="194" customFormat="1" ht="24.95" customHeight="1" x14ac:dyDescent="0.2">
      <c r="A39" s="208"/>
      <c r="B39" s="82" t="s">
        <v>122</v>
      </c>
      <c r="C39" s="82"/>
      <c r="D39" s="148">
        <v>2017</v>
      </c>
      <c r="E39" s="146">
        <f>SUM(F39:M39)</f>
        <v>29</v>
      </c>
      <c r="F39" s="146">
        <v>1</v>
      </c>
      <c r="G39" s="146">
        <v>5</v>
      </c>
      <c r="H39" s="144" t="s">
        <v>51</v>
      </c>
      <c r="I39" s="146">
        <v>3</v>
      </c>
      <c r="J39" s="146"/>
      <c r="K39" s="144" t="s">
        <v>51</v>
      </c>
      <c r="L39" s="146">
        <v>8</v>
      </c>
      <c r="M39" s="146">
        <v>12</v>
      </c>
      <c r="N39" s="116"/>
    </row>
    <row r="40" spans="1:14" s="116" customFormat="1" ht="24.95" customHeight="1" x14ac:dyDescent="0.2">
      <c r="A40" s="208"/>
      <c r="B40" s="82"/>
      <c r="C40" s="82"/>
      <c r="D40" s="148">
        <v>2018</v>
      </c>
      <c r="E40" s="146">
        <f>SUM(F40:M40)</f>
        <v>26</v>
      </c>
      <c r="F40" s="146">
        <v>1</v>
      </c>
      <c r="G40" s="146">
        <v>8</v>
      </c>
      <c r="H40" s="144" t="s">
        <v>51</v>
      </c>
      <c r="I40" s="146">
        <v>4</v>
      </c>
      <c r="J40" s="146"/>
      <c r="K40" s="144" t="s">
        <v>51</v>
      </c>
      <c r="L40" s="146">
        <v>2</v>
      </c>
      <c r="M40" s="146">
        <v>11</v>
      </c>
    </row>
    <row r="41" spans="1:14" s="116" customFormat="1" ht="24.95" customHeight="1" x14ac:dyDescent="0.2">
      <c r="A41" s="208"/>
      <c r="B41" s="82"/>
      <c r="C41" s="82"/>
      <c r="D41" s="148">
        <v>2019</v>
      </c>
      <c r="E41" s="146">
        <f>SUM(F41:M41)</f>
        <v>30</v>
      </c>
      <c r="F41" s="144" t="s">
        <v>51</v>
      </c>
      <c r="G41" s="146">
        <v>9</v>
      </c>
      <c r="H41" s="144" t="s">
        <v>51</v>
      </c>
      <c r="I41" s="146">
        <v>7</v>
      </c>
      <c r="J41" s="146"/>
      <c r="K41" s="144" t="s">
        <v>51</v>
      </c>
      <c r="L41" s="146">
        <v>6</v>
      </c>
      <c r="M41" s="146">
        <v>8</v>
      </c>
    </row>
    <row r="42" spans="1:14" s="116" customFormat="1" ht="24.95" customHeight="1" x14ac:dyDescent="0.2">
      <c r="A42" s="208"/>
      <c r="B42" s="82"/>
      <c r="C42" s="82"/>
      <c r="D42" s="148"/>
      <c r="E42" s="146"/>
      <c r="F42" s="146"/>
      <c r="G42" s="146"/>
      <c r="H42" s="144"/>
      <c r="I42" s="146"/>
      <c r="J42" s="146"/>
      <c r="K42" s="144"/>
      <c r="L42" s="144"/>
      <c r="M42" s="146"/>
    </row>
    <row r="43" spans="1:14" s="116" customFormat="1" ht="24.95" customHeight="1" x14ac:dyDescent="0.2">
      <c r="A43" s="208"/>
      <c r="B43" s="82" t="s">
        <v>123</v>
      </c>
      <c r="C43" s="82"/>
      <c r="D43" s="148">
        <v>2017</v>
      </c>
      <c r="E43" s="146">
        <f>SUM(F43:M43)</f>
        <v>21</v>
      </c>
      <c r="F43" s="146" t="s">
        <v>51</v>
      </c>
      <c r="G43" s="146">
        <v>5</v>
      </c>
      <c r="H43" s="144" t="s">
        <v>51</v>
      </c>
      <c r="I43" s="146">
        <v>5</v>
      </c>
      <c r="J43" s="146"/>
      <c r="K43" s="144" t="s">
        <v>51</v>
      </c>
      <c r="L43" s="146">
        <v>2</v>
      </c>
      <c r="M43" s="146">
        <v>9</v>
      </c>
    </row>
    <row r="44" spans="1:14" s="116" customFormat="1" ht="24.95" customHeight="1" x14ac:dyDescent="0.2">
      <c r="A44" s="208"/>
      <c r="B44" s="82"/>
      <c r="C44" s="82"/>
      <c r="D44" s="148">
        <v>2018</v>
      </c>
      <c r="E44" s="146">
        <f>SUM(F44:M44)</f>
        <v>24</v>
      </c>
      <c r="F44" s="144" t="s">
        <v>51</v>
      </c>
      <c r="G44" s="146">
        <v>6</v>
      </c>
      <c r="H44" s="144" t="s">
        <v>51</v>
      </c>
      <c r="I44" s="146">
        <v>5</v>
      </c>
      <c r="J44" s="146"/>
      <c r="K44" s="144" t="s">
        <v>51</v>
      </c>
      <c r="L44" s="146">
        <v>2</v>
      </c>
      <c r="M44" s="146">
        <v>11</v>
      </c>
    </row>
    <row r="45" spans="1:14" s="116" customFormat="1" ht="24.95" customHeight="1" x14ac:dyDescent="0.2">
      <c r="A45" s="208"/>
      <c r="B45" s="82"/>
      <c r="C45" s="82"/>
      <c r="D45" s="148">
        <v>2019</v>
      </c>
      <c r="E45" s="146">
        <f>SUM(F45:M45)</f>
        <v>15</v>
      </c>
      <c r="F45" s="411" t="s">
        <v>51</v>
      </c>
      <c r="G45" s="143">
        <v>4</v>
      </c>
      <c r="H45" s="411" t="s">
        <v>51</v>
      </c>
      <c r="I45" s="143">
        <v>3</v>
      </c>
      <c r="J45" s="143"/>
      <c r="K45" s="411" t="s">
        <v>51</v>
      </c>
      <c r="L45" s="143">
        <v>2</v>
      </c>
      <c r="M45" s="143">
        <v>6</v>
      </c>
    </row>
    <row r="46" spans="1:14" s="53" customFormat="1" ht="8.1" customHeight="1" thickBot="1" x14ac:dyDescent="0.25">
      <c r="A46" s="195"/>
      <c r="B46" s="196"/>
      <c r="C46" s="196"/>
      <c r="D46" s="363"/>
      <c r="E46" s="197"/>
      <c r="F46" s="198"/>
      <c r="G46" s="198"/>
      <c r="H46" s="198"/>
      <c r="I46" s="198"/>
      <c r="J46" s="198"/>
      <c r="K46" s="198"/>
      <c r="L46" s="198"/>
      <c r="M46" s="199"/>
      <c r="N46" s="195"/>
    </row>
    <row r="47" spans="1:14" s="19" customFormat="1" ht="12.75" x14ac:dyDescent="0.2">
      <c r="B47" s="96"/>
      <c r="C47" s="96"/>
      <c r="D47" s="148"/>
      <c r="E47" s="97"/>
      <c r="F47" s="98"/>
      <c r="G47" s="98"/>
      <c r="H47" s="98"/>
      <c r="I47" s="98"/>
      <c r="J47" s="98"/>
      <c r="K47" s="98"/>
      <c r="L47" s="98"/>
      <c r="M47" s="214"/>
      <c r="N47" s="8" t="s">
        <v>99</v>
      </c>
    </row>
    <row r="48" spans="1:14" s="19" customFormat="1" ht="12.75" x14ac:dyDescent="0.2">
      <c r="B48" s="96"/>
      <c r="C48" s="96"/>
      <c r="D48" s="148"/>
      <c r="E48" s="97"/>
      <c r="F48" s="98"/>
      <c r="G48" s="98"/>
      <c r="H48" s="98"/>
      <c r="I48" s="98"/>
      <c r="J48" s="98"/>
      <c r="K48" s="98"/>
      <c r="L48" s="98"/>
      <c r="M48" s="214"/>
      <c r="N48" s="41" t="s">
        <v>1</v>
      </c>
    </row>
    <row r="49" spans="4:4" x14ac:dyDescent="0.25">
      <c r="D49" s="148"/>
    </row>
    <row r="50" spans="4:4" x14ac:dyDescent="0.25">
      <c r="D50" s="141"/>
    </row>
    <row r="51" spans="4:4" x14ac:dyDescent="0.25">
      <c r="D51" s="148"/>
    </row>
    <row r="52" spans="4:4" x14ac:dyDescent="0.25">
      <c r="D52" s="148"/>
    </row>
    <row r="53" spans="4:4" x14ac:dyDescent="0.25">
      <c r="D53" s="148"/>
    </row>
  </sheetData>
  <mergeCells count="4">
    <mergeCell ref="B11:C11"/>
    <mergeCell ref="H11:I11"/>
    <mergeCell ref="K11:L11"/>
    <mergeCell ref="B12:C12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70" fitToWidth="0" orientation="portrait" r:id="rId1"/>
  <headerFooter>
    <oddHeader xml:space="preserve">&amp;R&amp;"-,Bold"
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7"/>
  <sheetViews>
    <sheetView showGridLines="0" topLeftCell="A7" zoomScale="90" zoomScaleNormal="90" zoomScaleSheetLayoutView="100" workbookViewId="0">
      <selection activeCell="M29" sqref="M29"/>
    </sheetView>
  </sheetViews>
  <sheetFormatPr defaultRowHeight="15" x14ac:dyDescent="0.25"/>
  <cols>
    <col min="1" max="1" width="1.42578125" style="2" customWidth="1"/>
    <col min="2" max="2" width="10" style="3" customWidth="1"/>
    <col min="3" max="3" width="14.42578125" style="3" customWidth="1"/>
    <col min="4" max="4" width="7.42578125" style="3" customWidth="1"/>
    <col min="5" max="5" width="10.7109375" style="4" customWidth="1"/>
    <col min="6" max="7" width="10.7109375" style="5" customWidth="1"/>
    <col min="8" max="8" width="10.7109375" style="185" customWidth="1"/>
    <col min="9" max="9" width="14.85546875" style="185" customWidth="1"/>
    <col min="10" max="10" width="1.7109375" style="185" customWidth="1"/>
    <col min="11" max="11" width="10.7109375" style="185" customWidth="1"/>
    <col min="12" max="12" width="14.85546875" style="185" customWidth="1"/>
    <col min="13" max="13" width="14.42578125" style="5" customWidth="1"/>
    <col min="14" max="14" width="0.85546875" style="2" customWidth="1"/>
    <col min="15" max="16384" width="9.140625" style="2"/>
  </cols>
  <sheetData>
    <row r="1" spans="1:14" ht="9.9499999999999993" customHeight="1" x14ac:dyDescent="0.25">
      <c r="B1" s="3" t="s">
        <v>196</v>
      </c>
      <c r="E1" s="21"/>
      <c r="F1" s="22"/>
      <c r="G1" s="22"/>
      <c r="H1" s="22"/>
      <c r="I1" s="22"/>
      <c r="J1" s="22"/>
      <c r="K1" s="22"/>
      <c r="L1" s="22"/>
    </row>
    <row r="2" spans="1:14" s="30" customFormat="1" ht="12.95" customHeight="1" x14ac:dyDescent="0.25">
      <c r="B2" s="27"/>
      <c r="C2" s="27"/>
      <c r="D2" s="29"/>
      <c r="E2" s="28"/>
      <c r="F2" s="29"/>
      <c r="M2" s="160" t="s">
        <v>179</v>
      </c>
      <c r="N2" s="29"/>
    </row>
    <row r="3" spans="1:14" s="30" customFormat="1" ht="12.95" customHeight="1" x14ac:dyDescent="0.25">
      <c r="B3" s="27"/>
      <c r="C3" s="27"/>
      <c r="D3" s="29"/>
      <c r="E3" s="28"/>
      <c r="F3" s="29"/>
      <c r="M3" s="68" t="s">
        <v>180</v>
      </c>
      <c r="N3" s="29"/>
    </row>
    <row r="4" spans="1:14" s="30" customFormat="1" ht="12" customHeight="1" x14ac:dyDescent="0.25">
      <c r="B4" s="27"/>
      <c r="C4" s="27"/>
      <c r="D4" s="29"/>
      <c r="E4" s="28"/>
      <c r="F4" s="29"/>
      <c r="G4" s="68"/>
      <c r="N4" s="29"/>
    </row>
    <row r="5" spans="1:14" s="30" customFormat="1" ht="12" customHeight="1" x14ac:dyDescent="0.25">
      <c r="B5" s="27"/>
      <c r="C5" s="27"/>
      <c r="D5" s="29"/>
      <c r="E5" s="28"/>
      <c r="F5" s="29"/>
      <c r="G5" s="68"/>
      <c r="N5" s="29"/>
    </row>
    <row r="6" spans="1:14" s="53" customFormat="1" ht="9.75" customHeight="1" x14ac:dyDescent="0.2">
      <c r="B6" s="115"/>
      <c r="C6" s="115"/>
      <c r="D6" s="189"/>
      <c r="E6" s="190"/>
      <c r="F6" s="189"/>
      <c r="G6" s="189"/>
      <c r="H6" s="191"/>
      <c r="I6" s="191"/>
      <c r="J6" s="191"/>
      <c r="K6" s="191"/>
      <c r="L6" s="191"/>
      <c r="M6" s="189"/>
      <c r="N6" s="114"/>
    </row>
    <row r="7" spans="1:14" s="53" customFormat="1" ht="15" customHeight="1" x14ac:dyDescent="0.2">
      <c r="B7" s="63" t="s">
        <v>186</v>
      </c>
      <c r="C7" s="64" t="s">
        <v>239</v>
      </c>
      <c r="D7" s="115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4" s="65" customFormat="1" ht="15" customHeight="1" x14ac:dyDescent="0.2">
      <c r="B8" s="66" t="s">
        <v>187</v>
      </c>
      <c r="C8" s="67" t="s">
        <v>240</v>
      </c>
      <c r="E8" s="67"/>
      <c r="F8" s="67"/>
      <c r="G8" s="67"/>
      <c r="H8" s="67"/>
      <c r="I8" s="67"/>
      <c r="J8" s="67"/>
      <c r="K8" s="67"/>
      <c r="L8" s="67"/>
      <c r="M8" s="67"/>
      <c r="N8" s="67"/>
    </row>
    <row r="9" spans="1:14" s="53" customFormat="1" ht="6.75" customHeight="1" thickBot="1" x14ac:dyDescent="0.25">
      <c r="B9" s="115"/>
      <c r="C9" s="115"/>
      <c r="D9" s="115"/>
      <c r="E9" s="63"/>
      <c r="F9" s="114"/>
      <c r="G9" s="114"/>
      <c r="H9" s="114"/>
      <c r="I9" s="114"/>
      <c r="J9" s="114"/>
      <c r="K9" s="114"/>
      <c r="L9" s="114"/>
      <c r="M9" s="189"/>
    </row>
    <row r="10" spans="1:14" s="53" customFormat="1" ht="9.9499999999999993" customHeight="1" thickTop="1" x14ac:dyDescent="0.2">
      <c r="A10" s="378"/>
      <c r="B10" s="388"/>
      <c r="C10" s="388"/>
      <c r="D10" s="389"/>
      <c r="E10" s="374"/>
      <c r="F10" s="375"/>
      <c r="G10" s="375"/>
      <c r="H10" s="376"/>
      <c r="I10" s="375"/>
      <c r="J10" s="375"/>
      <c r="K10" s="375"/>
      <c r="L10" s="375"/>
      <c r="M10" s="377"/>
      <c r="N10" s="378"/>
    </row>
    <row r="11" spans="1:14" s="53" customFormat="1" ht="27.75" customHeight="1" x14ac:dyDescent="0.2">
      <c r="A11" s="390"/>
      <c r="B11" s="432" t="s">
        <v>210</v>
      </c>
      <c r="C11" s="432"/>
      <c r="D11" s="379" t="s">
        <v>222</v>
      </c>
      <c r="E11" s="379" t="s">
        <v>220</v>
      </c>
      <c r="F11" s="379" t="s">
        <v>219</v>
      </c>
      <c r="G11" s="379" t="s">
        <v>218</v>
      </c>
      <c r="H11" s="433" t="s">
        <v>234</v>
      </c>
      <c r="I11" s="433"/>
      <c r="J11" s="380"/>
      <c r="K11" s="433" t="s">
        <v>221</v>
      </c>
      <c r="L11" s="433"/>
      <c r="M11" s="379" t="s">
        <v>217</v>
      </c>
      <c r="N11" s="381"/>
    </row>
    <row r="12" spans="1:14" s="53" customFormat="1" ht="30" customHeight="1" x14ac:dyDescent="0.2">
      <c r="A12" s="390"/>
      <c r="B12" s="434" t="s">
        <v>211</v>
      </c>
      <c r="C12" s="434"/>
      <c r="D12" s="382" t="s">
        <v>212</v>
      </c>
      <c r="E12" s="382" t="s">
        <v>213</v>
      </c>
      <c r="F12" s="382" t="s">
        <v>214</v>
      </c>
      <c r="G12" s="382" t="s">
        <v>215</v>
      </c>
      <c r="H12" s="383" t="s">
        <v>225</v>
      </c>
      <c r="I12" s="383" t="s">
        <v>226</v>
      </c>
      <c r="J12" s="383"/>
      <c r="K12" s="383" t="s">
        <v>225</v>
      </c>
      <c r="L12" s="383" t="s">
        <v>226</v>
      </c>
      <c r="M12" s="384" t="s">
        <v>216</v>
      </c>
      <c r="N12" s="385"/>
    </row>
    <row r="13" spans="1:14" s="53" customFormat="1" ht="30" customHeight="1" x14ac:dyDescent="0.2">
      <c r="A13" s="391"/>
      <c r="B13" s="392"/>
      <c r="C13" s="392"/>
      <c r="D13" s="386"/>
      <c r="E13" s="386"/>
      <c r="F13" s="386"/>
      <c r="G13" s="386"/>
      <c r="H13" s="387" t="s">
        <v>223</v>
      </c>
      <c r="I13" s="387" t="s">
        <v>224</v>
      </c>
      <c r="J13" s="387"/>
      <c r="K13" s="387" t="s">
        <v>223</v>
      </c>
      <c r="L13" s="387" t="s">
        <v>224</v>
      </c>
      <c r="M13" s="370"/>
      <c r="N13" s="373"/>
    </row>
    <row r="14" spans="1:14" s="53" customFormat="1" ht="6" customHeight="1" x14ac:dyDescent="0.2">
      <c r="A14" s="116"/>
      <c r="B14" s="180"/>
      <c r="C14" s="180"/>
      <c r="D14" s="90"/>
      <c r="E14" s="90"/>
      <c r="F14" s="192"/>
      <c r="G14" s="192"/>
      <c r="H14" s="192"/>
      <c r="I14" s="192"/>
      <c r="J14" s="192"/>
      <c r="K14" s="192"/>
      <c r="L14" s="192"/>
      <c r="M14" s="192"/>
      <c r="N14" s="86"/>
    </row>
    <row r="15" spans="1:14" s="53" customFormat="1" ht="24.95" customHeight="1" x14ac:dyDescent="0.2">
      <c r="A15" s="208"/>
      <c r="B15" s="124" t="s">
        <v>175</v>
      </c>
      <c r="C15" s="124"/>
      <c r="D15" s="109">
        <v>2017</v>
      </c>
      <c r="E15" s="145">
        <f>SUM(F15:M15)</f>
        <v>3999</v>
      </c>
      <c r="F15" s="145">
        <f>SUM(F19,F23,F27,F31,F35,F39)</f>
        <v>37</v>
      </c>
      <c r="G15" s="145">
        <f t="shared" ref="F15:I17" si="0">SUM(G19,G23,G27,G31,G35,G39)</f>
        <v>132</v>
      </c>
      <c r="H15" s="145">
        <f t="shared" si="0"/>
        <v>4</v>
      </c>
      <c r="I15" s="145">
        <f t="shared" si="0"/>
        <v>1984</v>
      </c>
      <c r="J15" s="145"/>
      <c r="K15" s="137" t="s">
        <v>51</v>
      </c>
      <c r="L15" s="145">
        <f t="shared" ref="L15:M17" si="1">SUM(L19,L23,L27,L31,L35,L39)</f>
        <v>1191</v>
      </c>
      <c r="M15" s="145">
        <f t="shared" si="1"/>
        <v>651</v>
      </c>
    </row>
    <row r="16" spans="1:14" s="102" customFormat="1" ht="24.95" customHeight="1" x14ac:dyDescent="0.2">
      <c r="A16" s="208"/>
      <c r="B16" s="124"/>
      <c r="C16" s="124"/>
      <c r="D16" s="109">
        <v>2018</v>
      </c>
      <c r="E16" s="145">
        <f>SUM(F16:M16)</f>
        <v>3137</v>
      </c>
      <c r="F16" s="145">
        <f t="shared" si="0"/>
        <v>33</v>
      </c>
      <c r="G16" s="145">
        <f t="shared" si="0"/>
        <v>112</v>
      </c>
      <c r="H16" s="145">
        <f t="shared" si="0"/>
        <v>3</v>
      </c>
      <c r="I16" s="145">
        <f t="shared" si="0"/>
        <v>1344</v>
      </c>
      <c r="J16" s="145"/>
      <c r="K16" s="145">
        <f>SUM(K20,K24,K28,K32,K36,K40)</f>
        <v>1</v>
      </c>
      <c r="L16" s="145">
        <f t="shared" si="1"/>
        <v>1124</v>
      </c>
      <c r="M16" s="145">
        <f t="shared" si="1"/>
        <v>520</v>
      </c>
    </row>
    <row r="17" spans="1:13" s="102" customFormat="1" ht="24.95" customHeight="1" x14ac:dyDescent="0.2">
      <c r="A17" s="208"/>
      <c r="B17" s="124"/>
      <c r="C17" s="124"/>
      <c r="D17" s="109">
        <v>2019</v>
      </c>
      <c r="E17" s="145">
        <f>SUM(F17:M17)</f>
        <v>2914</v>
      </c>
      <c r="F17" s="145">
        <f t="shared" si="0"/>
        <v>22</v>
      </c>
      <c r="G17" s="145">
        <f t="shared" si="0"/>
        <v>122</v>
      </c>
      <c r="H17" s="137" t="s">
        <v>51</v>
      </c>
      <c r="I17" s="145">
        <f t="shared" si="0"/>
        <v>1173</v>
      </c>
      <c r="J17" s="145"/>
      <c r="K17" s="145">
        <f>SUM(K21,K25,K29,K33,K37,K41)</f>
        <v>2</v>
      </c>
      <c r="L17" s="145">
        <f t="shared" si="1"/>
        <v>1090</v>
      </c>
      <c r="M17" s="145">
        <f t="shared" si="1"/>
        <v>505</v>
      </c>
    </row>
    <row r="18" spans="1:13" s="102" customFormat="1" ht="24.95" customHeight="1" x14ac:dyDescent="0.2">
      <c r="A18" s="208"/>
      <c r="B18" s="124"/>
      <c r="C18" s="124"/>
      <c r="D18" s="109"/>
      <c r="E18" s="145"/>
      <c r="F18" s="145"/>
      <c r="G18" s="145"/>
      <c r="H18" s="145"/>
      <c r="I18" s="145"/>
      <c r="J18" s="145"/>
      <c r="K18" s="145"/>
      <c r="L18" s="145"/>
      <c r="M18" s="145"/>
    </row>
    <row r="19" spans="1:13" s="102" customFormat="1" ht="24.95" customHeight="1" x14ac:dyDescent="0.2">
      <c r="A19" s="208"/>
      <c r="B19" s="82" t="s">
        <v>81</v>
      </c>
      <c r="C19" s="82"/>
      <c r="D19" s="108">
        <v>2017</v>
      </c>
      <c r="E19" s="146">
        <f>SUM(F19:M19)</f>
        <v>579</v>
      </c>
      <c r="F19" s="146">
        <v>2</v>
      </c>
      <c r="G19" s="146">
        <v>24</v>
      </c>
      <c r="H19" s="146">
        <v>1</v>
      </c>
      <c r="I19" s="146">
        <v>304</v>
      </c>
      <c r="J19" s="146"/>
      <c r="K19" s="144" t="s">
        <v>51</v>
      </c>
      <c r="L19" s="146">
        <v>179</v>
      </c>
      <c r="M19" s="146">
        <v>69</v>
      </c>
    </row>
    <row r="20" spans="1:13" s="102" customFormat="1" ht="24.95" customHeight="1" x14ac:dyDescent="0.2">
      <c r="A20" s="208"/>
      <c r="B20" s="82"/>
      <c r="C20" s="82"/>
      <c r="D20" s="108">
        <v>2018</v>
      </c>
      <c r="E20" s="146">
        <f>SUM(F20:M20)</f>
        <v>418</v>
      </c>
      <c r="F20" s="146">
        <v>3</v>
      </c>
      <c r="G20" s="146">
        <v>20</v>
      </c>
      <c r="H20" s="146">
        <v>1</v>
      </c>
      <c r="I20" s="146">
        <v>177</v>
      </c>
      <c r="J20" s="146"/>
      <c r="K20" s="146">
        <v>1</v>
      </c>
      <c r="L20" s="146">
        <v>145</v>
      </c>
      <c r="M20" s="146">
        <v>71</v>
      </c>
    </row>
    <row r="21" spans="1:13" s="102" customFormat="1" ht="24.95" customHeight="1" x14ac:dyDescent="0.2">
      <c r="A21" s="208"/>
      <c r="B21" s="82"/>
      <c r="C21" s="82"/>
      <c r="D21" s="108">
        <v>2019</v>
      </c>
      <c r="E21" s="146">
        <f>SUM(F21:M21)</f>
        <v>394</v>
      </c>
      <c r="F21" s="146">
        <v>4</v>
      </c>
      <c r="G21" s="146">
        <v>30</v>
      </c>
      <c r="H21" s="144" t="s">
        <v>51</v>
      </c>
      <c r="I21" s="146">
        <v>169</v>
      </c>
      <c r="J21" s="146"/>
      <c r="K21" s="144" t="s">
        <v>51</v>
      </c>
      <c r="L21" s="146">
        <v>118</v>
      </c>
      <c r="M21" s="146">
        <v>73</v>
      </c>
    </row>
    <row r="22" spans="1:13" s="102" customFormat="1" ht="24.95" customHeight="1" x14ac:dyDescent="0.2">
      <c r="A22" s="208"/>
      <c r="B22" s="82"/>
      <c r="C22" s="82"/>
      <c r="D22" s="108"/>
      <c r="E22" s="146"/>
      <c r="F22" s="146"/>
      <c r="G22" s="146"/>
      <c r="H22" s="146"/>
      <c r="I22" s="146"/>
      <c r="J22" s="146"/>
      <c r="K22" s="146"/>
      <c r="L22" s="146"/>
      <c r="M22" s="146"/>
    </row>
    <row r="23" spans="1:13" s="102" customFormat="1" ht="24.95" customHeight="1" x14ac:dyDescent="0.2">
      <c r="A23" s="208"/>
      <c r="B23" s="82" t="s">
        <v>82</v>
      </c>
      <c r="C23" s="82"/>
      <c r="D23" s="108">
        <v>2017</v>
      </c>
      <c r="E23" s="146">
        <f>SUM(F23:M23)</f>
        <v>472</v>
      </c>
      <c r="F23" s="146">
        <v>5</v>
      </c>
      <c r="G23" s="146">
        <v>23</v>
      </c>
      <c r="H23" s="144" t="s">
        <v>51</v>
      </c>
      <c r="I23" s="146">
        <v>269</v>
      </c>
      <c r="J23" s="146"/>
      <c r="K23" s="144" t="s">
        <v>51</v>
      </c>
      <c r="L23" s="146">
        <v>92</v>
      </c>
      <c r="M23" s="146">
        <v>83</v>
      </c>
    </row>
    <row r="24" spans="1:13" s="53" customFormat="1" ht="24.95" customHeight="1" x14ac:dyDescent="0.2">
      <c r="A24" s="208"/>
      <c r="B24" s="82"/>
      <c r="C24" s="82"/>
      <c r="D24" s="108">
        <v>2018</v>
      </c>
      <c r="E24" s="146">
        <f>SUM(F24:M24)</f>
        <v>279</v>
      </c>
      <c r="F24" s="146">
        <v>3</v>
      </c>
      <c r="G24" s="146">
        <v>27</v>
      </c>
      <c r="H24" s="146">
        <v>1</v>
      </c>
      <c r="I24" s="146">
        <v>121</v>
      </c>
      <c r="J24" s="146"/>
      <c r="K24" s="144" t="s">
        <v>51</v>
      </c>
      <c r="L24" s="146">
        <v>54</v>
      </c>
      <c r="M24" s="146">
        <v>73</v>
      </c>
    </row>
    <row r="25" spans="1:13" s="53" customFormat="1" ht="24.95" customHeight="1" x14ac:dyDescent="0.2">
      <c r="A25" s="208"/>
      <c r="B25" s="82"/>
      <c r="C25" s="82"/>
      <c r="D25" s="108">
        <v>2019</v>
      </c>
      <c r="E25" s="146">
        <f>SUM(F25:M25)</f>
        <v>377</v>
      </c>
      <c r="F25" s="146">
        <v>6</v>
      </c>
      <c r="G25" s="146">
        <v>21</v>
      </c>
      <c r="H25" s="144" t="s">
        <v>51</v>
      </c>
      <c r="I25" s="146">
        <v>170</v>
      </c>
      <c r="J25" s="146"/>
      <c r="K25" s="144" t="s">
        <v>51</v>
      </c>
      <c r="L25" s="146">
        <v>90</v>
      </c>
      <c r="M25" s="146">
        <v>90</v>
      </c>
    </row>
    <row r="26" spans="1:13" s="53" customFormat="1" ht="24.95" customHeight="1" x14ac:dyDescent="0.2">
      <c r="A26" s="208"/>
      <c r="B26" s="82"/>
      <c r="C26" s="82"/>
      <c r="D26" s="108"/>
      <c r="E26" s="146"/>
      <c r="F26" s="146"/>
      <c r="G26" s="146"/>
      <c r="H26" s="146"/>
      <c r="I26" s="146"/>
      <c r="J26" s="146"/>
      <c r="K26" s="146"/>
      <c r="L26" s="146"/>
      <c r="M26" s="146"/>
    </row>
    <row r="27" spans="1:13" s="53" customFormat="1" ht="24.95" customHeight="1" x14ac:dyDescent="0.2">
      <c r="A27" s="208"/>
      <c r="B27" s="82" t="s">
        <v>83</v>
      </c>
      <c r="C27" s="82"/>
      <c r="D27" s="108">
        <v>2017</v>
      </c>
      <c r="E27" s="146">
        <f>SUM(F27:M27)</f>
        <v>1352</v>
      </c>
      <c r="F27" s="146">
        <v>10</v>
      </c>
      <c r="G27" s="146">
        <v>30</v>
      </c>
      <c r="H27" s="146">
        <v>1</v>
      </c>
      <c r="I27" s="146">
        <v>551</v>
      </c>
      <c r="J27" s="146"/>
      <c r="K27" s="144" t="s">
        <v>51</v>
      </c>
      <c r="L27" s="146">
        <v>599</v>
      </c>
      <c r="M27" s="146">
        <v>161</v>
      </c>
    </row>
    <row r="28" spans="1:13" s="53" customFormat="1" ht="24.95" customHeight="1" x14ac:dyDescent="0.2">
      <c r="A28" s="208"/>
      <c r="B28" s="82"/>
      <c r="C28" s="82"/>
      <c r="D28" s="108">
        <v>2018</v>
      </c>
      <c r="E28" s="146">
        <f>SUM(F28:M28)</f>
        <v>1354</v>
      </c>
      <c r="F28" s="146">
        <v>8</v>
      </c>
      <c r="G28" s="146">
        <v>23</v>
      </c>
      <c r="H28" s="144" t="s">
        <v>51</v>
      </c>
      <c r="I28" s="146">
        <v>532</v>
      </c>
      <c r="J28" s="146"/>
      <c r="K28" s="144" t="s">
        <v>51</v>
      </c>
      <c r="L28" s="146">
        <v>679</v>
      </c>
      <c r="M28" s="146">
        <v>112</v>
      </c>
    </row>
    <row r="29" spans="1:13" s="53" customFormat="1" ht="24.95" customHeight="1" x14ac:dyDescent="0.2">
      <c r="A29" s="208"/>
      <c r="B29" s="82"/>
      <c r="C29" s="82"/>
      <c r="D29" s="108">
        <v>2019</v>
      </c>
      <c r="E29" s="146">
        <f>SUM(F29:M29)</f>
        <v>1265</v>
      </c>
      <c r="F29" s="146">
        <v>8</v>
      </c>
      <c r="G29" s="146">
        <v>19</v>
      </c>
      <c r="H29" s="144" t="s">
        <v>51</v>
      </c>
      <c r="I29" s="146">
        <v>445</v>
      </c>
      <c r="J29" s="146"/>
      <c r="K29" s="144" t="s">
        <v>51</v>
      </c>
      <c r="L29" s="146">
        <v>690</v>
      </c>
      <c r="M29" s="146">
        <v>103</v>
      </c>
    </row>
    <row r="30" spans="1:13" s="53" customFormat="1" ht="24.95" customHeight="1" x14ac:dyDescent="0.2">
      <c r="A30" s="208"/>
      <c r="B30" s="82"/>
      <c r="C30" s="82"/>
      <c r="D30" s="108"/>
      <c r="E30" s="146"/>
      <c r="F30" s="146"/>
      <c r="G30" s="146"/>
      <c r="H30" s="144"/>
      <c r="I30" s="146"/>
      <c r="J30" s="146"/>
      <c r="K30" s="144"/>
      <c r="L30" s="146"/>
      <c r="M30" s="146"/>
    </row>
    <row r="31" spans="1:13" s="53" customFormat="1" ht="24.95" customHeight="1" x14ac:dyDescent="0.2">
      <c r="A31" s="208"/>
      <c r="B31" s="82" t="s">
        <v>84</v>
      </c>
      <c r="C31" s="82"/>
      <c r="D31" s="108">
        <v>2017</v>
      </c>
      <c r="E31" s="146">
        <f>SUM(F31:M31)</f>
        <v>784</v>
      </c>
      <c r="F31" s="146">
        <v>15</v>
      </c>
      <c r="G31" s="146">
        <v>21</v>
      </c>
      <c r="H31" s="144">
        <v>1</v>
      </c>
      <c r="I31" s="146">
        <v>417</v>
      </c>
      <c r="J31" s="146"/>
      <c r="K31" s="144" t="s">
        <v>51</v>
      </c>
      <c r="L31" s="146">
        <v>129</v>
      </c>
      <c r="M31" s="146">
        <v>201</v>
      </c>
    </row>
    <row r="32" spans="1:13" s="53" customFormat="1" ht="24.95" customHeight="1" x14ac:dyDescent="0.2">
      <c r="A32" s="208"/>
      <c r="B32" s="82"/>
      <c r="C32" s="82"/>
      <c r="D32" s="108">
        <v>2018</v>
      </c>
      <c r="E32" s="146">
        <f>SUM(F32:M32)</f>
        <v>660</v>
      </c>
      <c r="F32" s="146">
        <v>12</v>
      </c>
      <c r="G32" s="146">
        <v>24</v>
      </c>
      <c r="H32" s="146">
        <v>1</v>
      </c>
      <c r="I32" s="146">
        <v>313</v>
      </c>
      <c r="J32" s="146"/>
      <c r="K32" s="144" t="s">
        <v>51</v>
      </c>
      <c r="L32" s="146">
        <v>147</v>
      </c>
      <c r="M32" s="146">
        <v>163</v>
      </c>
    </row>
    <row r="33" spans="1:14" s="53" customFormat="1" ht="24.95" customHeight="1" x14ac:dyDescent="0.2">
      <c r="A33" s="208"/>
      <c r="B33" s="82"/>
      <c r="C33" s="82"/>
      <c r="D33" s="108">
        <v>2019</v>
      </c>
      <c r="E33" s="146">
        <f>SUM(F33:M33)</f>
        <v>510</v>
      </c>
      <c r="F33" s="146">
        <v>3</v>
      </c>
      <c r="G33" s="146">
        <v>18</v>
      </c>
      <c r="H33" s="144" t="s">
        <v>51</v>
      </c>
      <c r="I33" s="146">
        <v>231</v>
      </c>
      <c r="J33" s="146"/>
      <c r="K33" s="146">
        <v>2</v>
      </c>
      <c r="L33" s="146">
        <v>105</v>
      </c>
      <c r="M33" s="146">
        <v>151</v>
      </c>
    </row>
    <row r="34" spans="1:14" s="53" customFormat="1" ht="24.95" customHeight="1" x14ac:dyDescent="0.2">
      <c r="A34" s="208"/>
      <c r="B34" s="82"/>
      <c r="C34" s="82"/>
      <c r="D34" s="108"/>
      <c r="E34" s="146"/>
      <c r="F34" s="146"/>
      <c r="G34" s="146"/>
      <c r="H34" s="146"/>
      <c r="I34" s="146"/>
      <c r="J34" s="146"/>
      <c r="K34" s="146"/>
      <c r="L34" s="146"/>
      <c r="M34" s="146"/>
    </row>
    <row r="35" spans="1:14" s="115" customFormat="1" ht="24.95" customHeight="1" x14ac:dyDescent="0.2">
      <c r="A35" s="208"/>
      <c r="B35" s="82" t="s">
        <v>85</v>
      </c>
      <c r="C35" s="82"/>
      <c r="D35" s="108">
        <v>2017</v>
      </c>
      <c r="E35" s="146">
        <f>SUM(F35:M35)</f>
        <v>793</v>
      </c>
      <c r="F35" s="146">
        <v>5</v>
      </c>
      <c r="G35" s="146">
        <v>32</v>
      </c>
      <c r="H35" s="146">
        <v>1</v>
      </c>
      <c r="I35" s="146">
        <v>433</v>
      </c>
      <c r="J35" s="146"/>
      <c r="K35" s="144" t="s">
        <v>51</v>
      </c>
      <c r="L35" s="146">
        <v>188</v>
      </c>
      <c r="M35" s="146">
        <v>134</v>
      </c>
      <c r="N35" s="53"/>
    </row>
    <row r="36" spans="1:14" s="53" customFormat="1" ht="24.95" customHeight="1" x14ac:dyDescent="0.2">
      <c r="A36" s="208"/>
      <c r="B36" s="82"/>
      <c r="C36" s="82"/>
      <c r="D36" s="108">
        <v>2018</v>
      </c>
      <c r="E36" s="146">
        <f>SUM(F36:M36)</f>
        <v>410</v>
      </c>
      <c r="F36" s="146">
        <v>7</v>
      </c>
      <c r="G36" s="146">
        <v>16</v>
      </c>
      <c r="H36" s="144" t="s">
        <v>51</v>
      </c>
      <c r="I36" s="146">
        <v>197</v>
      </c>
      <c r="J36" s="146"/>
      <c r="K36" s="144" t="s">
        <v>51</v>
      </c>
      <c r="L36" s="146">
        <v>95</v>
      </c>
      <c r="M36" s="146">
        <v>95</v>
      </c>
    </row>
    <row r="37" spans="1:14" s="53" customFormat="1" ht="24.95" customHeight="1" x14ac:dyDescent="0.2">
      <c r="A37" s="208"/>
      <c r="B37" s="82"/>
      <c r="C37" s="82"/>
      <c r="D37" s="108">
        <v>2019</v>
      </c>
      <c r="E37" s="146">
        <f>SUM(F37:M37)</f>
        <v>345</v>
      </c>
      <c r="F37" s="146">
        <v>1</v>
      </c>
      <c r="G37" s="146">
        <v>30</v>
      </c>
      <c r="H37" s="144" t="s">
        <v>51</v>
      </c>
      <c r="I37" s="146">
        <v>150</v>
      </c>
      <c r="J37" s="146"/>
      <c r="K37" s="144" t="s">
        <v>51</v>
      </c>
      <c r="L37" s="146">
        <v>82</v>
      </c>
      <c r="M37" s="146">
        <v>82</v>
      </c>
    </row>
    <row r="38" spans="1:14" s="53" customFormat="1" ht="24.95" customHeight="1" x14ac:dyDescent="0.2">
      <c r="A38" s="208"/>
      <c r="B38" s="82"/>
      <c r="C38" s="82"/>
      <c r="D38" s="108"/>
      <c r="E38" s="146"/>
      <c r="F38" s="146"/>
      <c r="G38" s="146"/>
      <c r="H38" s="146"/>
      <c r="I38" s="146"/>
      <c r="J38" s="146"/>
      <c r="K38" s="144"/>
      <c r="L38" s="146"/>
      <c r="M38" s="146"/>
    </row>
    <row r="39" spans="1:14" s="53" customFormat="1" ht="24.95" customHeight="1" x14ac:dyDescent="0.2">
      <c r="A39" s="208"/>
      <c r="B39" s="82" t="s">
        <v>86</v>
      </c>
      <c r="C39" s="82"/>
      <c r="D39" s="108">
        <v>2017</v>
      </c>
      <c r="E39" s="146">
        <f>SUM(F39:M39)</f>
        <v>19</v>
      </c>
      <c r="F39" s="144" t="s">
        <v>51</v>
      </c>
      <c r="G39" s="146">
        <v>2</v>
      </c>
      <c r="H39" s="146" t="s">
        <v>51</v>
      </c>
      <c r="I39" s="146">
        <v>10</v>
      </c>
      <c r="J39" s="146"/>
      <c r="K39" s="144" t="s">
        <v>51</v>
      </c>
      <c r="L39" s="146">
        <v>4</v>
      </c>
      <c r="M39" s="146">
        <v>3</v>
      </c>
    </row>
    <row r="40" spans="1:14" s="53" customFormat="1" ht="24.95" customHeight="1" x14ac:dyDescent="0.2">
      <c r="A40" s="208"/>
      <c r="B40" s="82"/>
      <c r="C40" s="82"/>
      <c r="D40" s="108">
        <v>2018</v>
      </c>
      <c r="E40" s="146">
        <f>SUM(F40:M40)</f>
        <v>16</v>
      </c>
      <c r="F40" s="144" t="s">
        <v>51</v>
      </c>
      <c r="G40" s="146">
        <v>2</v>
      </c>
      <c r="H40" s="144" t="s">
        <v>51</v>
      </c>
      <c r="I40" s="146">
        <v>4</v>
      </c>
      <c r="J40" s="146"/>
      <c r="K40" s="144" t="s">
        <v>51</v>
      </c>
      <c r="L40" s="146">
        <v>4</v>
      </c>
      <c r="M40" s="146">
        <v>6</v>
      </c>
    </row>
    <row r="41" spans="1:14" s="53" customFormat="1" ht="24.95" customHeight="1" x14ac:dyDescent="0.2">
      <c r="A41" s="208"/>
      <c r="B41" s="82"/>
      <c r="C41" s="82"/>
      <c r="D41" s="108">
        <v>2019</v>
      </c>
      <c r="E41" s="146">
        <f>SUM(F41:M41)</f>
        <v>23</v>
      </c>
      <c r="F41" s="356" t="s">
        <v>51</v>
      </c>
      <c r="G41" s="147">
        <v>4</v>
      </c>
      <c r="H41" s="356" t="s">
        <v>51</v>
      </c>
      <c r="I41" s="147">
        <v>8</v>
      </c>
      <c r="J41" s="147"/>
      <c r="K41" s="356" t="s">
        <v>51</v>
      </c>
      <c r="L41" s="147">
        <v>5</v>
      </c>
      <c r="M41" s="147">
        <v>6</v>
      </c>
    </row>
    <row r="42" spans="1:14" s="53" customFormat="1" ht="8.1" customHeight="1" thickBot="1" x14ac:dyDescent="0.25">
      <c r="A42" s="195"/>
      <c r="B42" s="196"/>
      <c r="C42" s="196"/>
      <c r="D42" s="196"/>
      <c r="E42" s="197"/>
      <c r="F42" s="198"/>
      <c r="G42" s="198"/>
      <c r="H42" s="198"/>
      <c r="I42" s="198"/>
      <c r="J42" s="198"/>
      <c r="K42" s="198"/>
      <c r="L42" s="198"/>
      <c r="M42" s="199"/>
      <c r="N42" s="195"/>
    </row>
    <row r="43" spans="1:14" s="53" customFormat="1" ht="12.75" x14ac:dyDescent="0.2">
      <c r="B43" s="115"/>
      <c r="C43" s="115"/>
      <c r="D43" s="115"/>
      <c r="E43" s="63"/>
      <c r="F43" s="114"/>
      <c r="G43" s="114"/>
      <c r="H43" s="114"/>
      <c r="I43" s="114"/>
      <c r="J43" s="114"/>
      <c r="K43" s="114"/>
      <c r="L43" s="114"/>
      <c r="M43" s="189"/>
      <c r="N43" s="8" t="s">
        <v>99</v>
      </c>
    </row>
    <row r="44" spans="1:14" s="53" customFormat="1" ht="12.75" x14ac:dyDescent="0.2">
      <c r="B44" s="115"/>
      <c r="C44" s="115"/>
      <c r="D44" s="115"/>
      <c r="E44" s="63"/>
      <c r="F44" s="114"/>
      <c r="G44" s="114"/>
      <c r="H44" s="114"/>
      <c r="I44" s="114"/>
      <c r="J44" s="114"/>
      <c r="K44" s="114"/>
      <c r="L44" s="114"/>
      <c r="M44" s="189"/>
      <c r="N44" s="41" t="s">
        <v>1</v>
      </c>
    </row>
    <row r="45" spans="1:14" x14ac:dyDescent="0.25">
      <c r="D45" s="13"/>
    </row>
    <row r="46" spans="1:14" x14ac:dyDescent="0.25">
      <c r="D46" s="13"/>
    </row>
    <row r="47" spans="1:14" x14ac:dyDescent="0.25">
      <c r="D47" s="13"/>
    </row>
  </sheetData>
  <mergeCells count="4">
    <mergeCell ref="B11:C11"/>
    <mergeCell ref="H11:I11"/>
    <mergeCell ref="K11:L11"/>
    <mergeCell ref="B12:C12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70" fitToWidth="0" orientation="portrait" r:id="rId1"/>
  <headerFooter>
    <oddHeader xml:space="preserve">&amp;R&amp;"-,Bold"
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79"/>
  <sheetViews>
    <sheetView showGridLines="0" view="pageBreakPreview" zoomScaleNormal="120" zoomScaleSheetLayoutView="100" workbookViewId="0">
      <selection activeCell="E76" sqref="E76"/>
    </sheetView>
  </sheetViews>
  <sheetFormatPr defaultColWidth="9.140625" defaultRowHeight="15" x14ac:dyDescent="0.25"/>
  <cols>
    <col min="1" max="1" width="1" style="2" customWidth="1"/>
    <col min="2" max="2" width="12.140625" style="3" customWidth="1"/>
    <col min="3" max="3" width="6.7109375" style="3" customWidth="1"/>
    <col min="4" max="4" width="8.85546875" style="3" customWidth="1"/>
    <col min="5" max="5" width="12.28515625" style="4" customWidth="1"/>
    <col min="6" max="6" width="11.5703125" style="5" customWidth="1"/>
    <col min="7" max="7" width="12.28515625" style="5" customWidth="1"/>
    <col min="8" max="8" width="12.28515625" style="185" customWidth="1"/>
    <col min="9" max="9" width="12.28515625" style="5" customWidth="1"/>
    <col min="10" max="10" width="10.42578125" style="2" customWidth="1"/>
    <col min="11" max="11" width="11.85546875" style="2" customWidth="1"/>
    <col min="12" max="16384" width="9.140625" style="2"/>
  </cols>
  <sheetData>
    <row r="1" spans="1:11" s="30" customFormat="1" ht="12" customHeight="1" x14ac:dyDescent="0.25">
      <c r="B1" s="27"/>
      <c r="C1" s="27"/>
      <c r="D1" s="27"/>
      <c r="E1" s="27"/>
      <c r="F1" s="27"/>
      <c r="G1" s="28"/>
      <c r="H1" s="29"/>
      <c r="K1" s="160" t="s">
        <v>179</v>
      </c>
    </row>
    <row r="2" spans="1:11" s="30" customFormat="1" ht="12" customHeight="1" x14ac:dyDescent="0.25">
      <c r="B2" s="27"/>
      <c r="C2" s="27"/>
      <c r="D2" s="27"/>
      <c r="E2" s="27"/>
      <c r="F2" s="27"/>
      <c r="G2" s="28"/>
      <c r="H2" s="29"/>
      <c r="K2" s="68" t="s">
        <v>180</v>
      </c>
    </row>
    <row r="3" spans="1:11" s="30" customFormat="1" ht="12" customHeight="1" x14ac:dyDescent="0.25">
      <c r="B3" s="27"/>
      <c r="C3" s="27"/>
      <c r="D3" s="27"/>
      <c r="E3" s="27"/>
      <c r="F3" s="27"/>
      <c r="G3" s="28"/>
      <c r="H3" s="29"/>
      <c r="I3" s="68"/>
    </row>
    <row r="4" spans="1:11" s="30" customFormat="1" ht="12" customHeight="1" x14ac:dyDescent="0.25">
      <c r="B4" s="27"/>
      <c r="C4" s="27"/>
      <c r="D4" s="27"/>
      <c r="E4" s="27"/>
      <c r="F4" s="27"/>
      <c r="G4" s="28"/>
      <c r="H4" s="29"/>
      <c r="I4" s="68"/>
    </row>
    <row r="5" spans="1:11" s="53" customFormat="1" ht="15" customHeight="1" x14ac:dyDescent="0.2">
      <c r="B5" s="79" t="s">
        <v>201</v>
      </c>
      <c r="C5" s="64" t="s">
        <v>245</v>
      </c>
      <c r="D5" s="64"/>
      <c r="E5" s="64"/>
      <c r="F5" s="64"/>
      <c r="G5" s="64"/>
      <c r="H5" s="64"/>
      <c r="I5" s="64"/>
      <c r="J5" s="64"/>
      <c r="K5" s="64"/>
    </row>
    <row r="6" spans="1:11" s="53" customFormat="1" ht="15" customHeight="1" x14ac:dyDescent="0.2">
      <c r="B6" s="80" t="s">
        <v>202</v>
      </c>
      <c r="C6" s="86" t="s">
        <v>246</v>
      </c>
      <c r="D6" s="86"/>
      <c r="E6" s="86"/>
      <c r="F6" s="86"/>
      <c r="G6" s="86"/>
      <c r="H6" s="86"/>
      <c r="I6" s="86"/>
      <c r="J6" s="86"/>
      <c r="K6" s="86"/>
    </row>
    <row r="7" spans="1:11" ht="8.1" customHeight="1" thickBot="1" x14ac:dyDescent="0.3">
      <c r="B7" s="181"/>
      <c r="C7" s="181"/>
      <c r="D7" s="181"/>
      <c r="E7" s="182"/>
      <c r="F7" s="183"/>
      <c r="G7" s="183"/>
      <c r="H7" s="184"/>
      <c r="I7" s="183"/>
      <c r="J7" s="7"/>
      <c r="K7" s="7"/>
    </row>
    <row r="8" spans="1:11" ht="6" customHeight="1" thickTop="1" x14ac:dyDescent="0.2">
      <c r="A8" s="393"/>
      <c r="B8" s="393"/>
      <c r="C8" s="394"/>
      <c r="D8" s="394"/>
      <c r="E8" s="435"/>
      <c r="F8" s="435"/>
      <c r="G8" s="435"/>
      <c r="H8" s="435"/>
      <c r="I8" s="435"/>
      <c r="J8" s="435"/>
      <c r="K8" s="435"/>
    </row>
    <row r="9" spans="1:11" s="53" customFormat="1" ht="30.75" customHeight="1" x14ac:dyDescent="0.2">
      <c r="A9" s="390"/>
      <c r="B9" s="395" t="s">
        <v>188</v>
      </c>
      <c r="C9" s="396"/>
      <c r="D9" s="397" t="s">
        <v>189</v>
      </c>
      <c r="E9" s="436" t="s">
        <v>92</v>
      </c>
      <c r="F9" s="438" t="s">
        <v>190</v>
      </c>
      <c r="G9" s="440" t="s">
        <v>191</v>
      </c>
      <c r="H9" s="440"/>
      <c r="I9" s="440"/>
      <c r="J9" s="439" t="s">
        <v>251</v>
      </c>
      <c r="K9" s="438" t="s">
        <v>192</v>
      </c>
    </row>
    <row r="10" spans="1:11" s="102" customFormat="1" ht="55.5" customHeight="1" x14ac:dyDescent="0.2">
      <c r="A10" s="398"/>
      <c r="B10" s="399"/>
      <c r="C10" s="368"/>
      <c r="D10" s="368"/>
      <c r="E10" s="437"/>
      <c r="F10" s="439"/>
      <c r="G10" s="369" t="s">
        <v>193</v>
      </c>
      <c r="H10" s="369" t="s">
        <v>194</v>
      </c>
      <c r="I10" s="370" t="s">
        <v>195</v>
      </c>
      <c r="J10" s="441"/>
      <c r="K10" s="439"/>
    </row>
    <row r="11" spans="1:11" ht="6.75" customHeight="1" x14ac:dyDescent="0.25">
      <c r="I11" s="183"/>
    </row>
    <row r="12" spans="1:11" ht="12.95" customHeight="1" x14ac:dyDescent="0.2">
      <c r="B12" s="170" t="s">
        <v>181</v>
      </c>
      <c r="C12" s="171"/>
      <c r="D12" s="62">
        <v>2017</v>
      </c>
      <c r="E12" s="172">
        <f>SUM(F12:K12)</f>
        <v>77804</v>
      </c>
      <c r="F12" s="172">
        <f>SUM(F16,F20,F24,F28,F32,F36,F40,F44,F48,F52,F56,F60,F64,F68)</f>
        <v>16201</v>
      </c>
      <c r="G12" s="172">
        <f t="shared" ref="G12:J12" si="0">SUM(G16,G20,G24,G28,G32,G36,G40,G44,G48,G52,G56,G60,G64,G68)</f>
        <v>2102</v>
      </c>
      <c r="H12" s="172">
        <f t="shared" si="0"/>
        <v>8480</v>
      </c>
      <c r="I12" s="172">
        <f t="shared" si="0"/>
        <v>31577</v>
      </c>
      <c r="J12" s="172">
        <f t="shared" si="0"/>
        <v>240</v>
      </c>
      <c r="K12" s="172">
        <f>SUM(K16,K20,K24,K28,K32,K36,K40,K44,K48,K52,K56,K60,K64,K68)</f>
        <v>19204</v>
      </c>
    </row>
    <row r="13" spans="1:11" ht="12.95" customHeight="1" x14ac:dyDescent="0.2">
      <c r="B13" s="170"/>
      <c r="C13" s="171"/>
      <c r="D13" s="60">
        <v>2018</v>
      </c>
      <c r="E13" s="172">
        <f>SUM(F13:K13)</f>
        <v>71760</v>
      </c>
      <c r="F13" s="172">
        <f t="shared" ref="F13:J14" si="1">SUM(F17,F21,F25,F29,F33,F37,F41,F45,F49,F53,F57,F61,F65,F69)</f>
        <v>15742</v>
      </c>
      <c r="G13" s="172">
        <f t="shared" si="1"/>
        <v>1761</v>
      </c>
      <c r="H13" s="172">
        <f t="shared" si="1"/>
        <v>7413</v>
      </c>
      <c r="I13" s="172">
        <f t="shared" si="1"/>
        <v>26779</v>
      </c>
      <c r="J13" s="172">
        <f t="shared" si="1"/>
        <v>138</v>
      </c>
      <c r="K13" s="172">
        <f>SUM(K17,K21,K25,K29,K33,K37,K41,K45,K49,K53,K57,K61,K65,K69)</f>
        <v>19927</v>
      </c>
    </row>
    <row r="14" spans="1:11" ht="12.95" customHeight="1" x14ac:dyDescent="0.2">
      <c r="B14" s="170"/>
      <c r="C14" s="171"/>
      <c r="D14" s="60">
        <v>2019</v>
      </c>
      <c r="E14" s="172">
        <f>SUM(F14:K14)</f>
        <v>66967</v>
      </c>
      <c r="F14" s="172">
        <f>SUM(F18,F22,F26,F30,F34,F38,F42,F46,F50,F54,F58,F62,F66,F70)</f>
        <v>16497</v>
      </c>
      <c r="G14" s="172">
        <f t="shared" si="1"/>
        <v>1549</v>
      </c>
      <c r="H14" s="172">
        <f t="shared" si="1"/>
        <v>6817</v>
      </c>
      <c r="I14" s="172">
        <f t="shared" si="1"/>
        <v>22501</v>
      </c>
      <c r="J14" s="172">
        <f t="shared" si="1"/>
        <v>19</v>
      </c>
      <c r="K14" s="172">
        <f>SUM(K18,K22,K26,K30,K34,K38,K42,K46,K50,K54,K58,K62,K66,K70)</f>
        <v>19584</v>
      </c>
    </row>
    <row r="15" spans="1:11" ht="8.1" customHeight="1" x14ac:dyDescent="0.2">
      <c r="B15" s="170"/>
      <c r="C15" s="171"/>
      <c r="D15" s="147"/>
      <c r="E15" s="172"/>
      <c r="F15" s="172"/>
      <c r="G15" s="172"/>
      <c r="H15" s="172"/>
      <c r="I15" s="172"/>
      <c r="J15" s="172"/>
      <c r="K15" s="172"/>
    </row>
    <row r="16" spans="1:11" ht="12.95" customHeight="1" x14ac:dyDescent="0.2">
      <c r="B16" s="174" t="s">
        <v>95</v>
      </c>
      <c r="C16" s="175"/>
      <c r="D16" s="141">
        <v>2017</v>
      </c>
      <c r="E16" s="176">
        <f t="shared" ref="E16:E17" si="2">SUM(F16:K16)</f>
        <v>8729</v>
      </c>
      <c r="F16" s="176">
        <f>'1.7Johor'!F13</f>
        <v>1211</v>
      </c>
      <c r="G16" s="176">
        <f>'1.7Johor'!G13</f>
        <v>274</v>
      </c>
      <c r="H16" s="176">
        <f>'1.7Johor'!H13</f>
        <v>1097</v>
      </c>
      <c r="I16" s="176">
        <f>'1.7Johor'!I13</f>
        <v>4104</v>
      </c>
      <c r="J16" s="176">
        <f>'1.7Johor'!J13</f>
        <v>11</v>
      </c>
      <c r="K16" s="176">
        <f>'1.7Johor'!K13</f>
        <v>2032</v>
      </c>
    </row>
    <row r="17" spans="2:14" ht="12.95" customHeight="1" x14ac:dyDescent="0.2">
      <c r="B17" s="174"/>
      <c r="C17" s="175"/>
      <c r="D17" s="147">
        <v>2018</v>
      </c>
      <c r="E17" s="176">
        <f t="shared" si="2"/>
        <v>8458</v>
      </c>
      <c r="F17" s="176">
        <f>'1.7Johor'!F14</f>
        <v>1239</v>
      </c>
      <c r="G17" s="176">
        <f>'1.7Johor'!G14</f>
        <v>278</v>
      </c>
      <c r="H17" s="176">
        <f>'1.7Johor'!H14</f>
        <v>1035</v>
      </c>
      <c r="I17" s="176">
        <f>'1.7Johor'!I14</f>
        <v>3881</v>
      </c>
      <c r="J17" s="176">
        <f>'1.7Johor'!J14</f>
        <v>4</v>
      </c>
      <c r="K17" s="176">
        <f>'1.7Johor'!K14</f>
        <v>2021</v>
      </c>
    </row>
    <row r="18" spans="2:14" ht="12.95" customHeight="1" x14ac:dyDescent="0.2">
      <c r="B18" s="174"/>
      <c r="C18" s="175"/>
      <c r="D18" s="147">
        <v>2019</v>
      </c>
      <c r="E18" s="176">
        <f>SUM(F18:K18)</f>
        <v>7947</v>
      </c>
      <c r="F18" s="176">
        <f>'1.7Johor'!F15</f>
        <v>1364</v>
      </c>
      <c r="G18" s="176">
        <f>'1.7Johor'!G15</f>
        <v>219</v>
      </c>
      <c r="H18" s="176">
        <f>'1.7Johor'!H15</f>
        <v>981</v>
      </c>
      <c r="I18" s="176">
        <f>'1.7Johor'!I15</f>
        <v>3471</v>
      </c>
      <c r="J18" s="176">
        <f>'1.7Johor'!J15</f>
        <v>4</v>
      </c>
      <c r="K18" s="176">
        <f>'1.7Johor'!K15</f>
        <v>1908</v>
      </c>
    </row>
    <row r="19" spans="2:14" ht="8.1" customHeight="1" x14ac:dyDescent="0.2">
      <c r="B19" s="174"/>
      <c r="C19" s="175"/>
      <c r="D19" s="147"/>
      <c r="E19" s="176"/>
      <c r="F19" s="176"/>
      <c r="G19" s="176"/>
      <c r="H19" s="176"/>
      <c r="I19" s="176"/>
      <c r="J19" s="176"/>
      <c r="K19" s="176"/>
    </row>
    <row r="20" spans="2:14" ht="12.95" customHeight="1" x14ac:dyDescent="0.2">
      <c r="B20" s="174" t="s">
        <v>97</v>
      </c>
      <c r="C20" s="175"/>
      <c r="D20" s="141">
        <v>2017</v>
      </c>
      <c r="E20" s="176">
        <f t="shared" ref="E20:E21" si="3">SUM(F20:K20)</f>
        <v>5763</v>
      </c>
      <c r="F20" s="176">
        <f>'1.7Kedah'!F13</f>
        <v>1350</v>
      </c>
      <c r="G20" s="176">
        <f>'1.7Kedah'!G13</f>
        <v>81</v>
      </c>
      <c r="H20" s="176">
        <f>'1.7Kedah'!H13</f>
        <v>378</v>
      </c>
      <c r="I20" s="176">
        <f>'1.7Kedah'!I13</f>
        <v>2846</v>
      </c>
      <c r="J20" s="176">
        <f>'1.7Kedah'!J13</f>
        <v>29</v>
      </c>
      <c r="K20" s="176">
        <f>'1.7Kedah'!K13</f>
        <v>1079</v>
      </c>
    </row>
    <row r="21" spans="2:14" ht="12.95" customHeight="1" x14ac:dyDescent="0.2">
      <c r="B21" s="174"/>
      <c r="C21" s="175"/>
      <c r="D21" s="147">
        <v>2018</v>
      </c>
      <c r="E21" s="176">
        <f t="shared" si="3"/>
        <v>5232</v>
      </c>
      <c r="F21" s="176">
        <f>'1.7Kedah'!F14</f>
        <v>1130</v>
      </c>
      <c r="G21" s="176">
        <f>'1.7Kedah'!G14</f>
        <v>56</v>
      </c>
      <c r="H21" s="176">
        <f>'1.7Kedah'!H14</f>
        <v>366</v>
      </c>
      <c r="I21" s="176">
        <f>'1.7Kedah'!I14</f>
        <v>2579</v>
      </c>
      <c r="J21" s="176">
        <f>'1.7Kedah'!J14</f>
        <v>12</v>
      </c>
      <c r="K21" s="176">
        <f>'1.7Kedah'!K14</f>
        <v>1089</v>
      </c>
    </row>
    <row r="22" spans="2:14" ht="12.95" customHeight="1" x14ac:dyDescent="0.2">
      <c r="B22" s="174"/>
      <c r="C22" s="175"/>
      <c r="D22" s="147">
        <v>2019</v>
      </c>
      <c r="E22" s="176">
        <f>SUM(F22:K22)</f>
        <v>4678</v>
      </c>
      <c r="F22" s="176">
        <f>'1.7Kedah'!F15</f>
        <v>1138</v>
      </c>
      <c r="G22" s="176">
        <f>'1.7Kedah'!G15</f>
        <v>78</v>
      </c>
      <c r="H22" s="176">
        <f>'1.7Kedah'!H15</f>
        <v>314</v>
      </c>
      <c r="I22" s="176">
        <f>'1.7Kedah'!I15</f>
        <v>2192</v>
      </c>
      <c r="J22" s="176">
        <f>'1.7Kedah'!J15</f>
        <v>2</v>
      </c>
      <c r="K22" s="176">
        <f>'1.7Kedah'!K15</f>
        <v>954</v>
      </c>
    </row>
    <row r="23" spans="2:14" ht="8.1" customHeight="1" x14ac:dyDescent="0.2">
      <c r="B23" s="174"/>
      <c r="C23" s="175"/>
      <c r="D23" s="147"/>
      <c r="E23" s="176"/>
      <c r="F23" s="176"/>
      <c r="G23" s="176"/>
      <c r="H23" s="176"/>
      <c r="I23" s="176"/>
      <c r="J23" s="176"/>
      <c r="K23" s="176"/>
    </row>
    <row r="24" spans="2:14" ht="12.95" customHeight="1" x14ac:dyDescent="0.2">
      <c r="B24" s="174" t="s">
        <v>182</v>
      </c>
      <c r="C24" s="175"/>
      <c r="D24" s="141">
        <v>2017</v>
      </c>
      <c r="E24" s="176">
        <f t="shared" ref="E24:E25" si="4">SUM(F24:K24)</f>
        <v>3920</v>
      </c>
      <c r="F24" s="176">
        <f>'1.7Kelantan'!F13</f>
        <v>570</v>
      </c>
      <c r="G24" s="176">
        <f>'1.7Kelantan'!G13</f>
        <v>98</v>
      </c>
      <c r="H24" s="176">
        <f>'1.7Kelantan'!H13</f>
        <v>722</v>
      </c>
      <c r="I24" s="176">
        <f>'1.7Kelantan'!I13</f>
        <v>1983</v>
      </c>
      <c r="J24" s="176" t="str">
        <f>'1.7Kelantan'!J13</f>
        <v>-</v>
      </c>
      <c r="K24" s="176">
        <f>'1.7Kelantan'!K13</f>
        <v>547</v>
      </c>
    </row>
    <row r="25" spans="2:14" s="3" customFormat="1" ht="12.95" customHeight="1" x14ac:dyDescent="0.2">
      <c r="B25" s="174"/>
      <c r="C25" s="175"/>
      <c r="D25" s="147">
        <v>2018</v>
      </c>
      <c r="E25" s="176">
        <f t="shared" si="4"/>
        <v>3476</v>
      </c>
      <c r="F25" s="176">
        <f>'1.7Kelantan'!F14</f>
        <v>699</v>
      </c>
      <c r="G25" s="176">
        <f>'1.7Kelantan'!G14</f>
        <v>64</v>
      </c>
      <c r="H25" s="176">
        <f>'1.7Kelantan'!H14</f>
        <v>489</v>
      </c>
      <c r="I25" s="176">
        <f>'1.7Kelantan'!I14</f>
        <v>1611</v>
      </c>
      <c r="J25" s="176" t="str">
        <f>'1.7Kelantan'!J14</f>
        <v>-</v>
      </c>
      <c r="K25" s="176">
        <f>'1.7Kelantan'!K14</f>
        <v>613</v>
      </c>
      <c r="L25" s="2"/>
      <c r="M25" s="2"/>
      <c r="N25" s="2"/>
    </row>
    <row r="26" spans="2:14" ht="12.95" customHeight="1" x14ac:dyDescent="0.2">
      <c r="B26" s="174"/>
      <c r="C26" s="175"/>
      <c r="D26" s="147">
        <v>2019</v>
      </c>
      <c r="E26" s="176">
        <f>SUM(F26:K26)</f>
        <v>3075</v>
      </c>
      <c r="F26" s="176">
        <f>'1.7Kelantan'!F15</f>
        <v>929</v>
      </c>
      <c r="G26" s="176">
        <f>'1.7Kelantan'!G15</f>
        <v>20</v>
      </c>
      <c r="H26" s="176">
        <f>'1.7Kelantan'!H15</f>
        <v>301</v>
      </c>
      <c r="I26" s="176">
        <f>'1.7Kelantan'!I15</f>
        <v>1069</v>
      </c>
      <c r="J26" s="176">
        <f>'1.7Kelantan'!J15</f>
        <v>1</v>
      </c>
      <c r="K26" s="176">
        <f>'1.7Kelantan'!K15</f>
        <v>755</v>
      </c>
    </row>
    <row r="27" spans="2:14" ht="8.1" customHeight="1" x14ac:dyDescent="0.2">
      <c r="B27" s="174"/>
      <c r="C27" s="175"/>
      <c r="D27" s="147"/>
      <c r="E27" s="176"/>
      <c r="F27" s="176"/>
      <c r="G27" s="176"/>
      <c r="H27" s="176"/>
      <c r="I27" s="176"/>
      <c r="J27" s="176"/>
      <c r="K27" s="176"/>
    </row>
    <row r="28" spans="2:14" ht="12.95" customHeight="1" x14ac:dyDescent="0.2">
      <c r="B28" s="174" t="s">
        <v>183</v>
      </c>
      <c r="C28" s="175"/>
      <c r="D28" s="141">
        <v>2017</v>
      </c>
      <c r="E28" s="176">
        <f t="shared" ref="E28:E29" si="5">SUM(F28:K28)</f>
        <v>2255</v>
      </c>
      <c r="F28" s="176">
        <f>'1.7Melaka &amp; N9 '!F13</f>
        <v>567</v>
      </c>
      <c r="G28" s="176">
        <f>'1.7Melaka &amp; N9 '!G13</f>
        <v>27</v>
      </c>
      <c r="H28" s="176">
        <f>'1.7Melaka &amp; N9 '!H13</f>
        <v>112</v>
      </c>
      <c r="I28" s="176">
        <f>'1.7Melaka &amp; N9 '!I13</f>
        <v>1101</v>
      </c>
      <c r="J28" s="176">
        <f>'1.7Melaka &amp; N9 '!J13</f>
        <v>2</v>
      </c>
      <c r="K28" s="176">
        <f>'1.7Melaka &amp; N9 '!K13</f>
        <v>446</v>
      </c>
    </row>
    <row r="29" spans="2:14" ht="12.95" customHeight="1" x14ac:dyDescent="0.2">
      <c r="B29" s="174"/>
      <c r="C29" s="175"/>
      <c r="D29" s="147">
        <v>2018</v>
      </c>
      <c r="E29" s="176">
        <f t="shared" si="5"/>
        <v>2179</v>
      </c>
      <c r="F29" s="176">
        <f>'1.7Melaka &amp; N9 '!F14</f>
        <v>591</v>
      </c>
      <c r="G29" s="176">
        <f>'1.7Melaka &amp; N9 '!G14</f>
        <v>20</v>
      </c>
      <c r="H29" s="176">
        <f>'1.7Melaka &amp; N9 '!H14</f>
        <v>104</v>
      </c>
      <c r="I29" s="176">
        <f>'1.7Melaka &amp; N9 '!I14</f>
        <v>1030</v>
      </c>
      <c r="J29" s="176" t="str">
        <f>'1.7Melaka &amp; N9 '!J14</f>
        <v>-</v>
      </c>
      <c r="K29" s="176">
        <f>'1.7Melaka &amp; N9 '!K14</f>
        <v>434</v>
      </c>
    </row>
    <row r="30" spans="2:14" ht="12.95" customHeight="1" x14ac:dyDescent="0.2">
      <c r="B30" s="174"/>
      <c r="C30" s="175"/>
      <c r="D30" s="147">
        <v>2019</v>
      </c>
      <c r="E30" s="176">
        <f>SUM(F30:K30)</f>
        <v>2101</v>
      </c>
      <c r="F30" s="176">
        <f>'1.7Melaka &amp; N9 '!F15</f>
        <v>681</v>
      </c>
      <c r="G30" s="176">
        <f>'1.7Melaka &amp; N9 '!G15</f>
        <v>18</v>
      </c>
      <c r="H30" s="176">
        <f>'1.7Melaka &amp; N9 '!H15</f>
        <v>91</v>
      </c>
      <c r="I30" s="176">
        <f>'1.7Melaka &amp; N9 '!I15</f>
        <v>718</v>
      </c>
      <c r="J30" s="412" t="s">
        <v>51</v>
      </c>
      <c r="K30" s="176">
        <f>'1.7Melaka &amp; N9 '!K15</f>
        <v>593</v>
      </c>
    </row>
    <row r="31" spans="2:14" ht="8.1" customHeight="1" x14ac:dyDescent="0.2">
      <c r="B31" s="174"/>
      <c r="C31" s="175"/>
      <c r="D31" s="147"/>
      <c r="E31" s="176"/>
      <c r="F31" s="176"/>
      <c r="G31" s="176"/>
      <c r="H31" s="176"/>
      <c r="I31" s="176"/>
      <c r="J31" s="176"/>
      <c r="K31" s="176"/>
    </row>
    <row r="32" spans="2:14" ht="12.95" customHeight="1" x14ac:dyDescent="0.2">
      <c r="B32" s="174" t="s">
        <v>31</v>
      </c>
      <c r="C32" s="175"/>
      <c r="D32" s="141">
        <v>2017</v>
      </c>
      <c r="E32" s="176">
        <f t="shared" ref="E32:E33" si="6">SUM(F32:K32)</f>
        <v>3089</v>
      </c>
      <c r="F32" s="176">
        <f>'1.7Melaka &amp; N9 '!F30</f>
        <v>895</v>
      </c>
      <c r="G32" s="176">
        <f>'1.7Melaka &amp; N9 '!G30</f>
        <v>64</v>
      </c>
      <c r="H32" s="176">
        <f>'1.7Melaka &amp; N9 '!H30</f>
        <v>170</v>
      </c>
      <c r="I32" s="176">
        <f>'1.7Melaka &amp; N9 '!I30</f>
        <v>839</v>
      </c>
      <c r="J32" s="176" t="str">
        <f>'1.7Melaka &amp; N9 '!J30</f>
        <v>-</v>
      </c>
      <c r="K32" s="176">
        <f>'1.7Melaka &amp; N9 '!K30</f>
        <v>1121</v>
      </c>
    </row>
    <row r="33" spans="2:11" ht="12.95" customHeight="1" x14ac:dyDescent="0.2">
      <c r="B33" s="174"/>
      <c r="C33" s="175"/>
      <c r="D33" s="147">
        <v>2018</v>
      </c>
      <c r="E33" s="176">
        <f t="shared" si="6"/>
        <v>2842</v>
      </c>
      <c r="F33" s="176">
        <f>'1.7Melaka &amp; N9 '!F31</f>
        <v>873</v>
      </c>
      <c r="G33" s="176">
        <f>'1.7Melaka &amp; N9 '!G31</f>
        <v>60</v>
      </c>
      <c r="H33" s="176">
        <f>'1.7Melaka &amp; N9 '!H31</f>
        <v>151</v>
      </c>
      <c r="I33" s="176">
        <f>'1.7Melaka &amp; N9 '!I31</f>
        <v>711</v>
      </c>
      <c r="J33" s="176">
        <f>'1.7Melaka &amp; N9 '!J31</f>
        <v>1</v>
      </c>
      <c r="K33" s="176">
        <f>'1.7Melaka &amp; N9 '!K31</f>
        <v>1046</v>
      </c>
    </row>
    <row r="34" spans="2:11" ht="12.95" customHeight="1" x14ac:dyDescent="0.2">
      <c r="B34" s="174"/>
      <c r="C34" s="175"/>
      <c r="D34" s="147">
        <v>2019</v>
      </c>
      <c r="E34" s="176">
        <f>SUM(F34:K34)</f>
        <v>2549</v>
      </c>
      <c r="F34" s="176">
        <f>'1.7Melaka &amp; N9 '!F32</f>
        <v>765</v>
      </c>
      <c r="G34" s="176">
        <f>'1.7Melaka &amp; N9 '!G32</f>
        <v>48</v>
      </c>
      <c r="H34" s="176">
        <f>'1.7Melaka &amp; N9 '!H32</f>
        <v>166</v>
      </c>
      <c r="I34" s="176">
        <f>'1.7Melaka &amp; N9 '!I32</f>
        <v>626</v>
      </c>
      <c r="J34" s="412" t="s">
        <v>51</v>
      </c>
      <c r="K34" s="176">
        <f>'1.7Melaka &amp; N9 '!K32</f>
        <v>944</v>
      </c>
    </row>
    <row r="35" spans="2:11" ht="8.1" customHeight="1" x14ac:dyDescent="0.2">
      <c r="B35" s="174"/>
      <c r="C35" s="175"/>
      <c r="D35" s="147"/>
      <c r="E35" s="176"/>
      <c r="F35" s="176"/>
      <c r="G35" s="176"/>
      <c r="H35" s="176"/>
      <c r="I35" s="176"/>
      <c r="J35" s="176"/>
      <c r="K35" s="176"/>
    </row>
    <row r="36" spans="2:11" ht="12.95" customHeight="1" x14ac:dyDescent="0.2">
      <c r="B36" s="174" t="s">
        <v>98</v>
      </c>
      <c r="C36" s="175"/>
      <c r="D36" s="141">
        <v>2017</v>
      </c>
      <c r="E36" s="176">
        <f t="shared" ref="E36:E37" si="7">SUM(F36:K36)</f>
        <v>2951</v>
      </c>
      <c r="F36" s="176">
        <f>'1.7Pahang'!F13</f>
        <v>794</v>
      </c>
      <c r="G36" s="176">
        <f>'1.7Pahang'!G13</f>
        <v>58</v>
      </c>
      <c r="H36" s="176">
        <f>'1.7Pahang'!H13</f>
        <v>214</v>
      </c>
      <c r="I36" s="176">
        <f>'1.7Pahang'!I13</f>
        <v>1173</v>
      </c>
      <c r="J36" s="176">
        <f>'1.7Pahang'!J13</f>
        <v>5</v>
      </c>
      <c r="K36" s="176">
        <f>'1.7Pahang'!K13</f>
        <v>707</v>
      </c>
    </row>
    <row r="37" spans="2:11" ht="12.95" customHeight="1" x14ac:dyDescent="0.2">
      <c r="B37" s="174"/>
      <c r="C37" s="175"/>
      <c r="D37" s="147">
        <v>2018</v>
      </c>
      <c r="E37" s="176">
        <f t="shared" si="7"/>
        <v>3012</v>
      </c>
      <c r="F37" s="176">
        <f>'1.7Pahang'!F14</f>
        <v>861</v>
      </c>
      <c r="G37" s="176">
        <f>'1.7Pahang'!G14</f>
        <v>60</v>
      </c>
      <c r="H37" s="176">
        <f>'1.7Pahang'!H14</f>
        <v>155</v>
      </c>
      <c r="I37" s="176">
        <f>'1.7Pahang'!I14</f>
        <v>793</v>
      </c>
      <c r="J37" s="176">
        <f>'1.7Pahang'!J14</f>
        <v>1</v>
      </c>
      <c r="K37" s="176">
        <f>'1.7Pahang'!K14</f>
        <v>1142</v>
      </c>
    </row>
    <row r="38" spans="2:11" ht="12.95" customHeight="1" x14ac:dyDescent="0.2">
      <c r="B38" s="174"/>
      <c r="C38" s="175"/>
      <c r="D38" s="147">
        <v>2019</v>
      </c>
      <c r="E38" s="176">
        <f>SUM(F38:K38)</f>
        <v>2676</v>
      </c>
      <c r="F38" s="176">
        <f>'1.7Pahang'!F15</f>
        <v>718</v>
      </c>
      <c r="G38" s="176">
        <f>'1.7Pahang'!G15</f>
        <v>29</v>
      </c>
      <c r="H38" s="176">
        <f>'1.7Pahang'!H15</f>
        <v>130</v>
      </c>
      <c r="I38" s="176">
        <f>'1.7Pahang'!I15</f>
        <v>713</v>
      </c>
      <c r="J38" s="412" t="s">
        <v>51</v>
      </c>
      <c r="K38" s="176">
        <f>'1.7Pahang'!K15</f>
        <v>1086</v>
      </c>
    </row>
    <row r="39" spans="2:11" ht="8.1" customHeight="1" x14ac:dyDescent="0.2">
      <c r="B39" s="174"/>
      <c r="C39" s="175"/>
      <c r="D39" s="147"/>
      <c r="E39" s="176"/>
      <c r="F39" s="176"/>
      <c r="G39" s="176"/>
      <c r="H39" s="176"/>
      <c r="I39" s="176"/>
      <c r="J39" s="176"/>
      <c r="K39" s="176"/>
    </row>
    <row r="40" spans="2:11" ht="12.95" customHeight="1" x14ac:dyDescent="0.2">
      <c r="B40" s="174" t="s">
        <v>174</v>
      </c>
      <c r="C40" s="175"/>
      <c r="D40" s="141">
        <v>2017</v>
      </c>
      <c r="E40" s="176">
        <f>SUM(F40:K40)</f>
        <v>4186</v>
      </c>
      <c r="F40" s="176">
        <f>'1.7Perak'!F13</f>
        <v>859</v>
      </c>
      <c r="G40" s="176">
        <f>'1.7Perak'!G13</f>
        <v>81</v>
      </c>
      <c r="H40" s="176">
        <f>'1.7Perak'!H13</f>
        <v>321</v>
      </c>
      <c r="I40" s="176">
        <f>'1.7Perak'!I13</f>
        <v>1912</v>
      </c>
      <c r="J40" s="176">
        <f>'1.7Perak'!J13</f>
        <v>10</v>
      </c>
      <c r="K40" s="176">
        <f>'1.7Perak'!K13</f>
        <v>1003</v>
      </c>
    </row>
    <row r="41" spans="2:11" ht="12.95" customHeight="1" x14ac:dyDescent="0.2">
      <c r="B41" s="174"/>
      <c r="C41" s="175"/>
      <c r="D41" s="147">
        <v>2018</v>
      </c>
      <c r="E41" s="176">
        <f>SUM(F41:K41)</f>
        <v>4123</v>
      </c>
      <c r="F41" s="176">
        <f>'1.7Perak'!F14</f>
        <v>1023</v>
      </c>
      <c r="G41" s="176">
        <f>'1.7Perak'!G14</f>
        <v>101</v>
      </c>
      <c r="H41" s="176">
        <f>'1.7Perak'!H14</f>
        <v>286</v>
      </c>
      <c r="I41" s="176">
        <f>'1.7Perak'!I14</f>
        <v>1672</v>
      </c>
      <c r="J41" s="176">
        <f>'1.7Perak'!J14</f>
        <v>9</v>
      </c>
      <c r="K41" s="176">
        <f>'1.7Perak'!K14</f>
        <v>1032</v>
      </c>
    </row>
    <row r="42" spans="2:11" ht="12.95" customHeight="1" x14ac:dyDescent="0.2">
      <c r="B42" s="174"/>
      <c r="C42" s="175"/>
      <c r="D42" s="147">
        <v>2019</v>
      </c>
      <c r="E42" s="176">
        <f>SUM(F42:K42)</f>
        <v>3809</v>
      </c>
      <c r="F42" s="176">
        <f>'1.7Perak'!F15</f>
        <v>1064</v>
      </c>
      <c r="G42" s="176">
        <f>'1.7Perak'!G15</f>
        <v>58</v>
      </c>
      <c r="H42" s="176">
        <f>'1.7Perak'!H15</f>
        <v>237</v>
      </c>
      <c r="I42" s="176">
        <f>'1.7Perak'!I15</f>
        <v>1359</v>
      </c>
      <c r="J42" s="176">
        <f>'1.7Perak'!J15</f>
        <v>4</v>
      </c>
      <c r="K42" s="176">
        <f>'1.7Perak'!K15</f>
        <v>1087</v>
      </c>
    </row>
    <row r="43" spans="2:11" ht="8.1" customHeight="1" x14ac:dyDescent="0.2">
      <c r="B43" s="174"/>
      <c r="C43" s="175"/>
      <c r="D43" s="147"/>
      <c r="E43" s="176"/>
      <c r="F43" s="176"/>
      <c r="G43" s="176"/>
      <c r="H43" s="176"/>
      <c r="I43" s="176"/>
      <c r="J43" s="176"/>
      <c r="K43" s="176"/>
    </row>
    <row r="44" spans="2:11" ht="12.95" customHeight="1" x14ac:dyDescent="0.2">
      <c r="B44" s="174" t="s">
        <v>49</v>
      </c>
      <c r="C44" s="175"/>
      <c r="D44" s="141">
        <v>2017</v>
      </c>
      <c r="E44" s="176">
        <f>SUM(F44:K44)</f>
        <v>472</v>
      </c>
      <c r="F44" s="176">
        <f>'1.7Perlis &amp; PP '!F13</f>
        <v>88</v>
      </c>
      <c r="G44" s="176">
        <f>'1.7Perlis &amp; PP '!G13</f>
        <v>5</v>
      </c>
      <c r="H44" s="176">
        <f>'1.7Perlis &amp; PP '!H13</f>
        <v>11</v>
      </c>
      <c r="I44" s="176">
        <f>'1.7Perlis &amp; PP '!I13</f>
        <v>186</v>
      </c>
      <c r="J44" s="176">
        <f>'1.7Perlis &amp; PP '!J13</f>
        <v>1</v>
      </c>
      <c r="K44" s="176">
        <f>'1.7Perlis &amp; PP '!K13</f>
        <v>181</v>
      </c>
    </row>
    <row r="45" spans="2:11" ht="12.95" customHeight="1" x14ac:dyDescent="0.2">
      <c r="B45" s="174"/>
      <c r="C45" s="175"/>
      <c r="D45" s="147">
        <v>2018</v>
      </c>
      <c r="E45" s="176">
        <f>SUM(F45:K45)</f>
        <v>437</v>
      </c>
      <c r="F45" s="176">
        <f>'1.7Perlis &amp; PP '!F14</f>
        <v>54</v>
      </c>
      <c r="G45" s="176">
        <f>'1.7Perlis &amp; PP '!G14</f>
        <v>2</v>
      </c>
      <c r="H45" s="176">
        <f>'1.7Perlis &amp; PP '!H14</f>
        <v>14</v>
      </c>
      <c r="I45" s="176">
        <f>'1.7Perlis &amp; PP '!I14</f>
        <v>175</v>
      </c>
      <c r="J45" s="176" t="str">
        <f>'1.7Perlis &amp; PP '!J14</f>
        <v>-</v>
      </c>
      <c r="K45" s="176">
        <f>'1.7Perlis &amp; PP '!K14</f>
        <v>192</v>
      </c>
    </row>
    <row r="46" spans="2:11" ht="12.95" customHeight="1" x14ac:dyDescent="0.2">
      <c r="B46" s="174"/>
      <c r="C46" s="175"/>
      <c r="D46" s="147">
        <v>2019</v>
      </c>
      <c r="E46" s="176">
        <f>SUM(F46:K46)</f>
        <v>406</v>
      </c>
      <c r="F46" s="176">
        <f>'1.7Perlis &amp; PP '!F15</f>
        <v>111</v>
      </c>
      <c r="G46" s="176">
        <f>'1.7Perlis &amp; PP '!G15</f>
        <v>2</v>
      </c>
      <c r="H46" s="176">
        <f>'1.7Perlis &amp; PP '!H15</f>
        <v>17</v>
      </c>
      <c r="I46" s="176">
        <f>'1.7Perlis &amp; PP '!I15</f>
        <v>89</v>
      </c>
      <c r="J46" s="412" t="s">
        <v>51</v>
      </c>
      <c r="K46" s="176">
        <f>'1.7Perlis &amp; PP '!K15</f>
        <v>187</v>
      </c>
    </row>
    <row r="47" spans="2:11" ht="8.1" customHeight="1" x14ac:dyDescent="0.2">
      <c r="B47" s="174"/>
      <c r="C47" s="175"/>
      <c r="D47" s="147"/>
      <c r="E47" s="176"/>
      <c r="F47" s="176"/>
      <c r="G47" s="176"/>
      <c r="H47" s="176"/>
      <c r="I47" s="176"/>
      <c r="J47" s="176"/>
      <c r="K47" s="176"/>
    </row>
    <row r="48" spans="2:11" ht="12.95" customHeight="1" x14ac:dyDescent="0.2">
      <c r="B48" s="174" t="s">
        <v>50</v>
      </c>
      <c r="C48" s="175"/>
      <c r="D48" s="141">
        <v>2017</v>
      </c>
      <c r="E48" s="176">
        <f>SUM(F48:K48)</f>
        <v>4474</v>
      </c>
      <c r="F48" s="176">
        <f>'1.7Perlis &amp; PP '!F30</f>
        <v>868</v>
      </c>
      <c r="G48" s="176">
        <f>'1.7Perlis &amp; PP '!G30</f>
        <v>66</v>
      </c>
      <c r="H48" s="176">
        <f>'1.7Perlis &amp; PP '!H30</f>
        <v>357</v>
      </c>
      <c r="I48" s="176">
        <f>'1.7Perlis &amp; PP '!I30</f>
        <v>2322</v>
      </c>
      <c r="J48" s="176">
        <f>'1.7Perlis &amp; PP '!J30</f>
        <v>11</v>
      </c>
      <c r="K48" s="176">
        <f>'1.7Perlis &amp; PP '!K30</f>
        <v>850</v>
      </c>
    </row>
    <row r="49" spans="2:11" ht="12.95" customHeight="1" x14ac:dyDescent="0.2">
      <c r="B49" s="174"/>
      <c r="C49" s="175"/>
      <c r="D49" s="147">
        <v>2018</v>
      </c>
      <c r="E49" s="176">
        <f>SUM(F49:K49)</f>
        <v>4127</v>
      </c>
      <c r="F49" s="176">
        <f>'1.7Perlis &amp; PP '!F31</f>
        <v>855</v>
      </c>
      <c r="G49" s="176">
        <f>'1.7Perlis &amp; PP '!G31</f>
        <v>76</v>
      </c>
      <c r="H49" s="176">
        <f>'1.7Perlis &amp; PP '!H31</f>
        <v>350</v>
      </c>
      <c r="I49" s="176">
        <f>'1.7Perlis &amp; PP '!I31</f>
        <v>1986</v>
      </c>
      <c r="J49" s="176">
        <f>'1.7Perlis &amp; PP '!J31</f>
        <v>12</v>
      </c>
      <c r="K49" s="176">
        <f>'1.7Perlis &amp; PP '!K31</f>
        <v>848</v>
      </c>
    </row>
    <row r="50" spans="2:11" ht="12.95" customHeight="1" x14ac:dyDescent="0.2">
      <c r="B50" s="174"/>
      <c r="C50" s="175"/>
      <c r="D50" s="147">
        <v>2019</v>
      </c>
      <c r="E50" s="176">
        <f>SUM(F50:K50)</f>
        <v>4162</v>
      </c>
      <c r="F50" s="176">
        <f>'1.7Perlis &amp; PP '!F32</f>
        <v>1036</v>
      </c>
      <c r="G50" s="176">
        <f>'1.7Perlis &amp; PP '!G32</f>
        <v>73</v>
      </c>
      <c r="H50" s="176">
        <f>'1.7Perlis &amp; PP '!H32</f>
        <v>314</v>
      </c>
      <c r="I50" s="176">
        <f>'1.7Perlis &amp; PP '!I32</f>
        <v>1704</v>
      </c>
      <c r="J50" s="176">
        <f>'1.7Perlis &amp; PP '!J32</f>
        <v>2</v>
      </c>
      <c r="K50" s="176">
        <f>'1.7Perlis &amp; PP '!K32</f>
        <v>1033</v>
      </c>
    </row>
    <row r="51" spans="2:11" ht="8.1" customHeight="1" x14ac:dyDescent="0.2">
      <c r="B51" s="174"/>
      <c r="C51" s="175"/>
      <c r="D51" s="147"/>
      <c r="E51" s="176"/>
      <c r="F51" s="176"/>
      <c r="G51" s="176"/>
      <c r="H51" s="176"/>
      <c r="I51" s="176"/>
      <c r="J51" s="176"/>
      <c r="K51" s="176"/>
    </row>
    <row r="52" spans="2:11" ht="12.95" customHeight="1" x14ac:dyDescent="0.2">
      <c r="B52" s="103" t="s">
        <v>228</v>
      </c>
      <c r="C52" s="175"/>
      <c r="D52" s="141">
        <v>2017</v>
      </c>
      <c r="E52" s="176">
        <f>SUM(F52:K52)</f>
        <v>5475</v>
      </c>
      <c r="F52" s="176">
        <f>'1.7Sabah'!F13</f>
        <v>1908</v>
      </c>
      <c r="G52" s="176">
        <f>'1.7Sabah'!G13</f>
        <v>116</v>
      </c>
      <c r="H52" s="176">
        <f>'1.7Sabah'!H13</f>
        <v>244</v>
      </c>
      <c r="I52" s="176">
        <f>'1.7Sabah'!I13</f>
        <v>666</v>
      </c>
      <c r="J52" s="176">
        <f>'1.7Sabah'!J13</f>
        <v>23</v>
      </c>
      <c r="K52" s="176">
        <f>'1.7Sabah'!K13</f>
        <v>2518</v>
      </c>
    </row>
    <row r="53" spans="2:11" ht="12.95" customHeight="1" x14ac:dyDescent="0.2">
      <c r="B53" s="174"/>
      <c r="C53" s="175"/>
      <c r="D53" s="147">
        <v>2018</v>
      </c>
      <c r="E53" s="176">
        <f>SUM(F53:K53)</f>
        <v>5571</v>
      </c>
      <c r="F53" s="176">
        <f>'1.7Sabah'!F14</f>
        <v>1881</v>
      </c>
      <c r="G53" s="176">
        <f>'1.7Sabah'!G14</f>
        <v>74</v>
      </c>
      <c r="H53" s="176">
        <f>'1.7Sabah'!H14</f>
        <v>160</v>
      </c>
      <c r="I53" s="176">
        <f>'1.7Sabah'!I14</f>
        <v>504</v>
      </c>
      <c r="J53" s="176">
        <f>'1.7Sabah'!J14</f>
        <v>6</v>
      </c>
      <c r="K53" s="176">
        <f>'1.7Sabah'!K14</f>
        <v>2946</v>
      </c>
    </row>
    <row r="54" spans="2:11" ht="12.95" customHeight="1" x14ac:dyDescent="0.2">
      <c r="B54" s="174"/>
      <c r="C54" s="175"/>
      <c r="D54" s="147">
        <v>2019</v>
      </c>
      <c r="E54" s="176">
        <f>SUM(F54:K54)</f>
        <v>5106</v>
      </c>
      <c r="F54" s="176">
        <f>'1.7Sabah'!F15</f>
        <v>1806</v>
      </c>
      <c r="G54" s="176">
        <f>'1.7Sabah'!G15</f>
        <v>81</v>
      </c>
      <c r="H54" s="176">
        <f>'1.7Sabah'!H15</f>
        <v>157</v>
      </c>
      <c r="I54" s="176">
        <f>'1.7Sabah'!I15</f>
        <v>435</v>
      </c>
      <c r="J54" s="412" t="s">
        <v>51</v>
      </c>
      <c r="K54" s="176">
        <f>'1.7Sabah'!K15</f>
        <v>2627</v>
      </c>
    </row>
    <row r="55" spans="2:11" ht="8.1" customHeight="1" x14ac:dyDescent="0.2">
      <c r="B55" s="174"/>
      <c r="C55" s="175"/>
      <c r="D55" s="147"/>
      <c r="E55" s="176"/>
      <c r="F55" s="176"/>
      <c r="G55" s="176"/>
      <c r="H55" s="176"/>
      <c r="I55" s="176"/>
      <c r="J55" s="176"/>
      <c r="K55" s="176"/>
    </row>
    <row r="56" spans="2:11" ht="12.95" customHeight="1" x14ac:dyDescent="0.2">
      <c r="B56" s="174" t="s">
        <v>124</v>
      </c>
      <c r="C56" s="175"/>
      <c r="D56" s="141">
        <v>2017</v>
      </c>
      <c r="E56" s="176">
        <f>SUM(F56:K56)</f>
        <v>5505</v>
      </c>
      <c r="F56" s="176">
        <f>'1.7Sarawak'!F13</f>
        <v>1314</v>
      </c>
      <c r="G56" s="176">
        <f>'1.7Sarawak'!G13</f>
        <v>75</v>
      </c>
      <c r="H56" s="176">
        <f>'1.7Sarawak'!H13</f>
        <v>574</v>
      </c>
      <c r="I56" s="176">
        <f>'1.7Sarawak'!I13</f>
        <v>2258</v>
      </c>
      <c r="J56" s="176">
        <f>'1.7Sarawak'!J13</f>
        <v>1</v>
      </c>
      <c r="K56" s="176">
        <f>'1.7Sarawak'!K13</f>
        <v>1283</v>
      </c>
    </row>
    <row r="57" spans="2:11" ht="12.95" customHeight="1" x14ac:dyDescent="0.2">
      <c r="B57" s="174"/>
      <c r="C57" s="175"/>
      <c r="D57" s="147">
        <v>2018</v>
      </c>
      <c r="E57" s="176">
        <f>SUM(F57:K57)</f>
        <v>5019</v>
      </c>
      <c r="F57" s="176">
        <f>'1.7Sarawak'!F14</f>
        <v>1497</v>
      </c>
      <c r="G57" s="176">
        <f>'1.7Sarawak'!G14</f>
        <v>53</v>
      </c>
      <c r="H57" s="176">
        <f>'1.7Sarawak'!H14</f>
        <v>386</v>
      </c>
      <c r="I57" s="176">
        <f>'1.7Sarawak'!I14</f>
        <v>1692</v>
      </c>
      <c r="J57" s="176">
        <f>'1.7Sarawak'!J14</f>
        <v>2</v>
      </c>
      <c r="K57" s="176">
        <f>'1.7Sarawak'!K14</f>
        <v>1389</v>
      </c>
    </row>
    <row r="58" spans="2:11" ht="12.95" customHeight="1" x14ac:dyDescent="0.2">
      <c r="B58" s="174"/>
      <c r="C58" s="175"/>
      <c r="D58" s="147">
        <v>2019</v>
      </c>
      <c r="E58" s="176">
        <f>SUM(F58:K58)</f>
        <v>5125</v>
      </c>
      <c r="F58" s="176">
        <f>'1.7Sarawak'!F15</f>
        <v>1623</v>
      </c>
      <c r="G58" s="176">
        <f>'1.7Sarawak'!G15</f>
        <v>61</v>
      </c>
      <c r="H58" s="176">
        <f>'1.7Sarawak'!H15</f>
        <v>404</v>
      </c>
      <c r="I58" s="176">
        <f>'1.7Sarawak'!I15</f>
        <v>1393</v>
      </c>
      <c r="J58" s="412" t="s">
        <v>51</v>
      </c>
      <c r="K58" s="176">
        <f>'1.7Sarawak'!K15</f>
        <v>1644</v>
      </c>
    </row>
    <row r="59" spans="2:11" ht="8.1" customHeight="1" x14ac:dyDescent="0.2">
      <c r="B59" s="174"/>
      <c r="C59" s="175"/>
      <c r="D59" s="147"/>
      <c r="E59" s="176"/>
      <c r="F59" s="176"/>
      <c r="G59" s="176"/>
      <c r="H59" s="176"/>
      <c r="I59" s="176"/>
      <c r="J59" s="176"/>
      <c r="K59" s="176"/>
    </row>
    <row r="60" spans="2:11" ht="12.95" customHeight="1" x14ac:dyDescent="0.2">
      <c r="B60" s="174" t="s">
        <v>100</v>
      </c>
      <c r="C60" s="175"/>
      <c r="D60" s="141">
        <v>2017</v>
      </c>
      <c r="E60" s="176">
        <f>SUM(F60:K60)</f>
        <v>19599</v>
      </c>
      <c r="F60" s="176">
        <f>'1.7Selangor'!F13</f>
        <v>4133</v>
      </c>
      <c r="G60" s="176">
        <f>'1.7Selangor'!G13</f>
        <v>844</v>
      </c>
      <c r="H60" s="176">
        <f>'1.7Selangor'!H13</f>
        <v>2586</v>
      </c>
      <c r="I60" s="176">
        <f>'1.7Selangor'!I13</f>
        <v>7945</v>
      </c>
      <c r="J60" s="176">
        <f>'1.7Selangor'!J13</f>
        <v>140</v>
      </c>
      <c r="K60" s="176">
        <f>'1.7Selangor'!K13</f>
        <v>3951</v>
      </c>
    </row>
    <row r="61" spans="2:11" ht="12.95" customHeight="1" x14ac:dyDescent="0.2">
      <c r="B61" s="174"/>
      <c r="C61" s="175"/>
      <c r="D61" s="147">
        <v>2018</v>
      </c>
      <c r="E61" s="176">
        <f>SUM(F61:K61)</f>
        <v>16762</v>
      </c>
      <c r="F61" s="176">
        <f>'1.7Selangor'!F14</f>
        <v>3515</v>
      </c>
      <c r="G61" s="176">
        <f>'1.7Selangor'!G14</f>
        <v>654</v>
      </c>
      <c r="H61" s="176">
        <f>'1.7Selangor'!H14</f>
        <v>2358</v>
      </c>
      <c r="I61" s="176">
        <f>'1.7Selangor'!I14</f>
        <v>6510</v>
      </c>
      <c r="J61" s="176">
        <f>'1.7Selangor'!J14</f>
        <v>87</v>
      </c>
      <c r="K61" s="176">
        <f>'1.7Selangor'!K14</f>
        <v>3638</v>
      </c>
    </row>
    <row r="62" spans="2:11" ht="12.95" customHeight="1" x14ac:dyDescent="0.2">
      <c r="B62" s="174"/>
      <c r="C62" s="175"/>
      <c r="D62" s="147">
        <v>2019</v>
      </c>
      <c r="E62" s="176">
        <f>SUM(F62:K62)</f>
        <v>15498</v>
      </c>
      <c r="F62" s="176">
        <f>'1.7Selangor'!F15</f>
        <v>3679</v>
      </c>
      <c r="G62" s="176">
        <f>'1.7Selangor'!G15</f>
        <v>595</v>
      </c>
      <c r="H62" s="176">
        <f>'1.7Selangor'!H15</f>
        <v>2204</v>
      </c>
      <c r="I62" s="176">
        <f>'1.7Selangor'!I15</f>
        <v>5503</v>
      </c>
      <c r="J62" s="176">
        <f>'1.7Selangor'!J15</f>
        <v>3</v>
      </c>
      <c r="K62" s="176">
        <f>'1.7Selangor'!K15</f>
        <v>3514</v>
      </c>
    </row>
    <row r="63" spans="2:11" ht="8.1" customHeight="1" x14ac:dyDescent="0.2">
      <c r="B63" s="174"/>
      <c r="C63" s="175"/>
      <c r="D63" s="147"/>
      <c r="E63" s="176"/>
      <c r="F63" s="176"/>
      <c r="G63" s="176"/>
      <c r="H63" s="176"/>
      <c r="I63" s="176"/>
      <c r="J63" s="176"/>
      <c r="K63" s="176"/>
    </row>
    <row r="64" spans="2:11" ht="12.95" customHeight="1" x14ac:dyDescent="0.2">
      <c r="B64" s="174" t="s">
        <v>116</v>
      </c>
      <c r="C64" s="175"/>
      <c r="D64" s="141">
        <v>2017</v>
      </c>
      <c r="E64" s="176">
        <f>SUM(F64:K64)</f>
        <v>1903</v>
      </c>
      <c r="F64" s="176">
        <f>'1.7Terengganu'!F13</f>
        <v>456</v>
      </c>
      <c r="G64" s="176">
        <f>'1.7Terengganu'!G13</f>
        <v>22</v>
      </c>
      <c r="H64" s="176">
        <f>'1.7Terengganu'!H13</f>
        <v>146</v>
      </c>
      <c r="I64" s="176">
        <f>'1.7Terengganu'!I13</f>
        <v>914</v>
      </c>
      <c r="J64" s="176" t="str">
        <f>'1.7Terengganu'!J13</f>
        <v>-</v>
      </c>
      <c r="K64" s="176">
        <f>'1.7Terengganu'!K13</f>
        <v>365</v>
      </c>
    </row>
    <row r="65" spans="1:11" ht="12.95" customHeight="1" x14ac:dyDescent="0.2">
      <c r="B65" s="174"/>
      <c r="C65" s="175"/>
      <c r="D65" s="147">
        <v>2018</v>
      </c>
      <c r="E65" s="176">
        <f>SUM(F65:K65)</f>
        <v>1532</v>
      </c>
      <c r="F65" s="176">
        <f>'1.7Terengganu'!F14</f>
        <v>420</v>
      </c>
      <c r="G65" s="176">
        <f>'1.7Terengganu'!G14</f>
        <v>10</v>
      </c>
      <c r="H65" s="176">
        <f>'1.7Terengganu'!H14</f>
        <v>77</v>
      </c>
      <c r="I65" s="176">
        <f>'1.7Terengganu'!I14</f>
        <v>605</v>
      </c>
      <c r="J65" s="176">
        <f>'1.7Terengganu'!J14</f>
        <v>1</v>
      </c>
      <c r="K65" s="176">
        <f>'1.7Terengganu'!K14</f>
        <v>419</v>
      </c>
    </row>
    <row r="66" spans="1:11" ht="12.95" customHeight="1" x14ac:dyDescent="0.2">
      <c r="B66" s="174"/>
      <c r="C66" s="175"/>
      <c r="D66" s="147">
        <v>2019</v>
      </c>
      <c r="E66" s="176">
        <f>SUM(F66:K66)</f>
        <v>1577</v>
      </c>
      <c r="F66" s="176">
        <f>'1.7Terengganu'!F15</f>
        <v>496</v>
      </c>
      <c r="G66" s="176">
        <f>'1.7Terengganu'!G15</f>
        <v>13</v>
      </c>
      <c r="H66" s="176">
        <f>'1.7Terengganu'!H15</f>
        <v>78</v>
      </c>
      <c r="I66" s="176">
        <f>'1.7Terengganu'!I15</f>
        <v>466</v>
      </c>
      <c r="J66" s="176">
        <f>'1.7Terengganu'!J15</f>
        <v>1</v>
      </c>
      <c r="K66" s="176">
        <f>'1.7Terengganu'!K15</f>
        <v>523</v>
      </c>
    </row>
    <row r="67" spans="1:11" ht="8.1" customHeight="1" x14ac:dyDescent="0.2">
      <c r="B67" s="174"/>
      <c r="C67" s="175"/>
      <c r="D67" s="147"/>
      <c r="E67" s="176"/>
      <c r="F67" s="176"/>
      <c r="G67" s="176"/>
      <c r="H67" s="176"/>
      <c r="I67" s="176"/>
      <c r="J67" s="176"/>
      <c r="K67" s="176"/>
    </row>
    <row r="68" spans="1:11" ht="12.95" customHeight="1" x14ac:dyDescent="0.2">
      <c r="B68" s="103" t="s">
        <v>227</v>
      </c>
      <c r="C68" s="175"/>
      <c r="D68" s="141">
        <v>2017</v>
      </c>
      <c r="E68" s="176">
        <f>SUM(F68:K68)</f>
        <v>9483</v>
      </c>
      <c r="F68" s="176">
        <f>'1.7 KL'!D2</f>
        <v>1188</v>
      </c>
      <c r="G68" s="176">
        <f>'1.7 KL'!E2</f>
        <v>291</v>
      </c>
      <c r="H68" s="176">
        <f>'1.7 KL'!F2</f>
        <v>1548</v>
      </c>
      <c r="I68" s="176">
        <f>'1.7 KL'!G2</f>
        <v>3328</v>
      </c>
      <c r="J68" s="176">
        <f>'1.7 KL'!H2</f>
        <v>7</v>
      </c>
      <c r="K68" s="176">
        <f>'1.7 KL'!I2</f>
        <v>3121</v>
      </c>
    </row>
    <row r="69" spans="1:11" ht="12.95" customHeight="1" x14ac:dyDescent="0.2">
      <c r="B69" s="174"/>
      <c r="C69" s="175"/>
      <c r="D69" s="147">
        <v>2018</v>
      </c>
      <c r="E69" s="176">
        <f>SUM(F69:K69)</f>
        <v>8990</v>
      </c>
      <c r="F69" s="176">
        <f>'1.7 KL'!D3</f>
        <v>1104</v>
      </c>
      <c r="G69" s="176">
        <f>'1.7 KL'!E3</f>
        <v>253</v>
      </c>
      <c r="H69" s="176">
        <f>'1.7 KL'!F3</f>
        <v>1482</v>
      </c>
      <c r="I69" s="176">
        <f>'1.7 KL'!G3</f>
        <v>3030</v>
      </c>
      <c r="J69" s="176">
        <f>'1.7 KL'!H3</f>
        <v>3</v>
      </c>
      <c r="K69" s="176">
        <f>'1.7 KL'!I3</f>
        <v>3118</v>
      </c>
    </row>
    <row r="70" spans="1:11" ht="12.95" customHeight="1" x14ac:dyDescent="0.2">
      <c r="A70" s="7"/>
      <c r="B70" s="174"/>
      <c r="C70" s="175"/>
      <c r="D70" s="141">
        <v>2019</v>
      </c>
      <c r="E70" s="176">
        <f>SUM(F70:K70)</f>
        <v>8258</v>
      </c>
      <c r="F70" s="176">
        <f>'1.7 KL'!D4</f>
        <v>1087</v>
      </c>
      <c r="G70" s="176">
        <f>'1.7 KL'!E4</f>
        <v>254</v>
      </c>
      <c r="H70" s="176">
        <f>'1.7 KL'!F4</f>
        <v>1423</v>
      </c>
      <c r="I70" s="176">
        <f>'1.7 KL'!G4</f>
        <v>2763</v>
      </c>
      <c r="J70" s="176">
        <f>'1.7 KL'!H4</f>
        <v>2</v>
      </c>
      <c r="K70" s="176">
        <f>'1.7 KL'!I4</f>
        <v>2729</v>
      </c>
    </row>
    <row r="71" spans="1:11" ht="8.1" customHeight="1" thickBot="1" x14ac:dyDescent="0.25">
      <c r="A71" s="34"/>
      <c r="B71" s="186"/>
      <c r="C71" s="187"/>
      <c r="D71" s="187"/>
      <c r="E71" s="188"/>
      <c r="F71" s="188"/>
      <c r="G71" s="188"/>
      <c r="H71" s="188"/>
      <c r="I71" s="188"/>
      <c r="J71" s="188"/>
      <c r="K71" s="188"/>
    </row>
    <row r="72" spans="1:11" s="30" customFormat="1" x14ac:dyDescent="0.2">
      <c r="B72" s="27"/>
      <c r="C72" s="27"/>
      <c r="D72" s="27"/>
      <c r="E72" s="27"/>
      <c r="F72" s="28"/>
      <c r="G72" s="29"/>
      <c r="H72" s="29"/>
      <c r="I72" s="29"/>
      <c r="K72" s="166" t="s">
        <v>99</v>
      </c>
    </row>
    <row r="73" spans="1:11" s="30" customFormat="1" x14ac:dyDescent="0.25">
      <c r="A73" s="359" t="s">
        <v>229</v>
      </c>
      <c r="B73" s="27"/>
      <c r="C73" s="27"/>
      <c r="D73" s="27"/>
      <c r="E73" s="27"/>
      <c r="F73" s="28"/>
      <c r="G73" s="29"/>
      <c r="H73" s="29"/>
      <c r="I73" s="29"/>
      <c r="K73" s="167" t="s">
        <v>1</v>
      </c>
    </row>
    <row r="74" spans="1:11" x14ac:dyDescent="0.25">
      <c r="A74" s="360" t="s">
        <v>230</v>
      </c>
    </row>
    <row r="75" spans="1:11" x14ac:dyDescent="0.25">
      <c r="A75" s="362" t="s">
        <v>231</v>
      </c>
    </row>
    <row r="76" spans="1:11" x14ac:dyDescent="0.25">
      <c r="A76" s="360" t="s">
        <v>232</v>
      </c>
    </row>
    <row r="77" spans="1:11" x14ac:dyDescent="0.25">
      <c r="A77" s="362" t="s">
        <v>233</v>
      </c>
    </row>
    <row r="78" spans="1:11" x14ac:dyDescent="0.25">
      <c r="B78" s="420" t="s">
        <v>252</v>
      </c>
    </row>
    <row r="79" spans="1:11" x14ac:dyDescent="0.25">
      <c r="B79" s="362" t="s">
        <v>253</v>
      </c>
    </row>
  </sheetData>
  <mergeCells count="6">
    <mergeCell ref="E8:K8"/>
    <mergeCell ref="E9:E10"/>
    <mergeCell ref="F9:F10"/>
    <mergeCell ref="G9:I9"/>
    <mergeCell ref="J9:J10"/>
    <mergeCell ref="K9:K10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77" fitToWidth="0" orientation="portrait" r:id="rId1"/>
  <headerFooter>
    <oddHeader xml:space="preserve">&amp;R&amp;"-,Bold"
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77"/>
  <sheetViews>
    <sheetView showGridLines="0" topLeftCell="A40" zoomScaleNormal="100" zoomScaleSheetLayoutView="100" workbookViewId="0">
      <selection activeCell="AA22" sqref="AA22"/>
    </sheetView>
  </sheetViews>
  <sheetFormatPr defaultRowHeight="14.25" x14ac:dyDescent="0.2"/>
  <cols>
    <col min="1" max="1" width="1.5703125" style="53" customWidth="1"/>
    <col min="2" max="2" width="12" style="115" customWidth="1"/>
    <col min="3" max="3" width="7" style="115" customWidth="1"/>
    <col min="4" max="4" width="10.140625" style="115" customWidth="1"/>
    <col min="5" max="5" width="10.7109375" style="190" customWidth="1"/>
    <col min="6" max="6" width="11.7109375" style="189" customWidth="1"/>
    <col min="7" max="7" width="10.28515625" style="189" customWidth="1"/>
    <col min="8" max="8" width="11.7109375" style="191" customWidth="1"/>
    <col min="9" max="9" width="12.28515625" style="189" customWidth="1"/>
    <col min="10" max="11" width="11.7109375" style="53" customWidth="1"/>
    <col min="12" max="12" width="1.28515625" style="2" customWidth="1"/>
    <col min="13" max="16384" width="9.140625" style="53"/>
  </cols>
  <sheetData>
    <row r="1" spans="1:13" s="30" customFormat="1" ht="12" customHeight="1" x14ac:dyDescent="0.25">
      <c r="B1" s="27"/>
      <c r="C1" s="27"/>
      <c r="D1" s="27"/>
      <c r="E1" s="28"/>
      <c r="F1" s="29"/>
      <c r="K1" s="160" t="s">
        <v>179</v>
      </c>
    </row>
    <row r="2" spans="1:13" s="30" customFormat="1" ht="12" customHeight="1" x14ac:dyDescent="0.25">
      <c r="B2" s="27"/>
      <c r="C2" s="27"/>
      <c r="D2" s="27"/>
      <c r="E2" s="28"/>
      <c r="F2" s="29"/>
      <c r="K2" s="68" t="s">
        <v>180</v>
      </c>
    </row>
    <row r="3" spans="1:13" s="30" customFormat="1" ht="12" customHeight="1" x14ac:dyDescent="0.25">
      <c r="B3" s="27"/>
      <c r="C3" s="27"/>
      <c r="D3" s="27"/>
      <c r="E3" s="28"/>
      <c r="F3" s="29"/>
      <c r="G3" s="68"/>
    </row>
    <row r="4" spans="1:13" s="30" customFormat="1" ht="12" customHeight="1" x14ac:dyDescent="0.25">
      <c r="B4" s="27"/>
      <c r="C4" s="27"/>
      <c r="D4" s="27"/>
      <c r="E4" s="28"/>
      <c r="F4" s="29"/>
      <c r="G4" s="68"/>
    </row>
    <row r="5" spans="1:13" ht="9.9499999999999993" customHeight="1" x14ac:dyDescent="0.2">
      <c r="L5" s="53"/>
    </row>
    <row r="6" spans="1:13" ht="15" customHeight="1" x14ac:dyDescent="0.2">
      <c r="B6" s="63" t="s">
        <v>208</v>
      </c>
      <c r="C6" s="64" t="s">
        <v>247</v>
      </c>
      <c r="F6" s="64"/>
      <c r="G6" s="64"/>
      <c r="H6" s="64"/>
      <c r="I6" s="64"/>
      <c r="J6" s="64"/>
      <c r="K6" s="64"/>
      <c r="L6" s="179"/>
      <c r="M6" s="179"/>
    </row>
    <row r="7" spans="1:13" ht="18" customHeight="1" x14ac:dyDescent="0.2">
      <c r="B7" s="80" t="s">
        <v>209</v>
      </c>
      <c r="C7" s="86" t="s">
        <v>248</v>
      </c>
      <c r="F7" s="86"/>
      <c r="G7" s="86"/>
      <c r="H7" s="86"/>
      <c r="I7" s="86"/>
      <c r="J7" s="86"/>
      <c r="K7" s="86"/>
      <c r="L7" s="180"/>
      <c r="M7" s="180"/>
    </row>
    <row r="8" spans="1:13" ht="8.1" customHeight="1" thickBot="1" x14ac:dyDescent="0.25">
      <c r="B8" s="194"/>
      <c r="C8" s="194"/>
      <c r="D8" s="194"/>
      <c r="E8" s="215"/>
      <c r="F8" s="216"/>
      <c r="G8" s="216"/>
      <c r="H8" s="217"/>
      <c r="I8" s="216"/>
      <c r="J8" s="116"/>
      <c r="K8" s="116"/>
      <c r="L8" s="53"/>
    </row>
    <row r="9" spans="1:13" ht="8.1" customHeight="1" thickTop="1" x14ac:dyDescent="0.2">
      <c r="A9" s="378"/>
      <c r="B9" s="389"/>
      <c r="C9" s="389"/>
      <c r="D9" s="389"/>
      <c r="E9" s="400"/>
      <c r="F9" s="377"/>
      <c r="G9" s="377"/>
      <c r="H9" s="401"/>
      <c r="I9" s="377"/>
      <c r="J9" s="378"/>
      <c r="K9" s="378"/>
      <c r="L9" s="378"/>
    </row>
    <row r="10" spans="1:13" ht="30.75" customHeight="1" x14ac:dyDescent="0.2">
      <c r="A10" s="390"/>
      <c r="B10" s="443" t="s">
        <v>207</v>
      </c>
      <c r="C10" s="443"/>
      <c r="D10" s="402" t="s">
        <v>96</v>
      </c>
      <c r="E10" s="437" t="s">
        <v>92</v>
      </c>
      <c r="F10" s="437" t="s">
        <v>203</v>
      </c>
      <c r="G10" s="440" t="s">
        <v>191</v>
      </c>
      <c r="H10" s="440"/>
      <c r="I10" s="440"/>
      <c r="J10" s="439" t="s">
        <v>251</v>
      </c>
      <c r="K10" s="437" t="s">
        <v>192</v>
      </c>
      <c r="L10" s="390"/>
    </row>
    <row r="11" spans="1:13" s="102" customFormat="1" ht="55.5" customHeight="1" x14ac:dyDescent="0.2">
      <c r="A11" s="398"/>
      <c r="B11" s="444"/>
      <c r="C11" s="444"/>
      <c r="D11" s="368"/>
      <c r="E11" s="442"/>
      <c r="F11" s="442"/>
      <c r="G11" s="403" t="s">
        <v>193</v>
      </c>
      <c r="H11" s="403" t="s">
        <v>194</v>
      </c>
      <c r="I11" s="403" t="s">
        <v>204</v>
      </c>
      <c r="J11" s="441"/>
      <c r="K11" s="442"/>
      <c r="L11" s="398"/>
    </row>
    <row r="12" spans="1:13" s="102" customFormat="1" ht="7.5" customHeight="1" x14ac:dyDescent="0.2">
      <c r="B12" s="86"/>
      <c r="C12" s="86"/>
      <c r="D12" s="85"/>
      <c r="E12" s="90"/>
      <c r="F12" s="218"/>
      <c r="G12" s="90"/>
      <c r="H12" s="90"/>
      <c r="I12" s="90"/>
      <c r="J12" s="218"/>
      <c r="K12" s="90"/>
    </row>
    <row r="13" spans="1:13" s="106" customFormat="1" ht="12.95" customHeight="1" x14ac:dyDescent="0.2">
      <c r="B13" s="219" t="s">
        <v>95</v>
      </c>
      <c r="C13" s="126"/>
      <c r="D13" s="220">
        <v>2017</v>
      </c>
      <c r="E13" s="221">
        <f t="shared" ref="E13:E14" si="0">SUM(F13:K13)</f>
        <v>8729</v>
      </c>
      <c r="F13" s="222">
        <f t="shared" ref="F13:K15" si="1">SUM(F17,F21,F25,F29,F33,F37,F41,F45,F49,F53,F57,F61,F65,F69)</f>
        <v>1211</v>
      </c>
      <c r="G13" s="222">
        <f t="shared" si="1"/>
        <v>274</v>
      </c>
      <c r="H13" s="222">
        <f t="shared" si="1"/>
        <v>1097</v>
      </c>
      <c r="I13" s="222">
        <f t="shared" si="1"/>
        <v>4104</v>
      </c>
      <c r="J13" s="222">
        <f t="shared" si="1"/>
        <v>11</v>
      </c>
      <c r="K13" s="222">
        <f t="shared" si="1"/>
        <v>2032</v>
      </c>
      <c r="L13" s="116"/>
    </row>
    <row r="14" spans="1:13" s="106" customFormat="1" ht="12.95" customHeight="1" x14ac:dyDescent="0.2">
      <c r="B14" s="126"/>
      <c r="C14" s="126"/>
      <c r="D14" s="220">
        <v>2018</v>
      </c>
      <c r="E14" s="221">
        <f t="shared" si="0"/>
        <v>8458</v>
      </c>
      <c r="F14" s="222">
        <f t="shared" si="1"/>
        <v>1239</v>
      </c>
      <c r="G14" s="222">
        <f t="shared" si="1"/>
        <v>278</v>
      </c>
      <c r="H14" s="222">
        <f t="shared" si="1"/>
        <v>1035</v>
      </c>
      <c r="I14" s="222">
        <f t="shared" si="1"/>
        <v>3881</v>
      </c>
      <c r="J14" s="222">
        <f t="shared" si="1"/>
        <v>4</v>
      </c>
      <c r="K14" s="222">
        <f t="shared" si="1"/>
        <v>2021</v>
      </c>
      <c r="L14" s="116"/>
    </row>
    <row r="15" spans="1:13" s="106" customFormat="1" ht="12.95" customHeight="1" x14ac:dyDescent="0.2">
      <c r="B15" s="126"/>
      <c r="C15" s="126"/>
      <c r="D15" s="220">
        <v>2019</v>
      </c>
      <c r="E15" s="221">
        <f t="shared" ref="E15" si="2">SUM(F15:K15)</f>
        <v>7947</v>
      </c>
      <c r="F15" s="222">
        <f t="shared" si="1"/>
        <v>1364</v>
      </c>
      <c r="G15" s="222">
        <f t="shared" si="1"/>
        <v>219</v>
      </c>
      <c r="H15" s="222">
        <f t="shared" si="1"/>
        <v>981</v>
      </c>
      <c r="I15" s="222">
        <f t="shared" si="1"/>
        <v>3471</v>
      </c>
      <c r="J15" s="222">
        <f t="shared" si="1"/>
        <v>4</v>
      </c>
      <c r="K15" s="222">
        <f t="shared" si="1"/>
        <v>1908</v>
      </c>
      <c r="L15" s="143"/>
    </row>
    <row r="16" spans="1:13" s="116" customFormat="1" ht="8.1" customHeight="1" x14ac:dyDescent="0.2">
      <c r="B16" s="126"/>
      <c r="C16" s="84"/>
      <c r="D16" s="223"/>
      <c r="E16" s="226"/>
      <c r="F16" s="226"/>
      <c r="G16" s="226"/>
      <c r="H16" s="226"/>
      <c r="I16" s="226"/>
      <c r="J16" s="226"/>
      <c r="K16" s="226"/>
    </row>
    <row r="17" spans="2:16" s="116" customFormat="1" ht="12.95" customHeight="1" x14ac:dyDescent="0.2">
      <c r="B17" s="224" t="s">
        <v>2</v>
      </c>
      <c r="C17" s="224"/>
      <c r="D17" s="225">
        <v>2017</v>
      </c>
      <c r="E17" s="226">
        <f>SUM(F17:K17)</f>
        <v>558</v>
      </c>
      <c r="F17" s="226">
        <v>90</v>
      </c>
      <c r="G17" s="226">
        <v>10</v>
      </c>
      <c r="H17" s="226">
        <v>52</v>
      </c>
      <c r="I17" s="226">
        <v>287</v>
      </c>
      <c r="J17" s="226">
        <v>1</v>
      </c>
      <c r="K17" s="226">
        <v>118</v>
      </c>
    </row>
    <row r="18" spans="2:16" s="116" customFormat="1" ht="12.95" customHeight="1" x14ac:dyDescent="0.2">
      <c r="B18" s="224"/>
      <c r="C18" s="224"/>
      <c r="D18" s="225">
        <v>2018</v>
      </c>
      <c r="E18" s="226">
        <f>SUM(F18:K18)</f>
        <v>584</v>
      </c>
      <c r="F18" s="226">
        <v>158</v>
      </c>
      <c r="G18" s="226">
        <v>15</v>
      </c>
      <c r="H18" s="226">
        <v>46</v>
      </c>
      <c r="I18" s="226">
        <v>225</v>
      </c>
      <c r="J18" s="226">
        <v>2</v>
      </c>
      <c r="K18" s="226">
        <v>138</v>
      </c>
    </row>
    <row r="19" spans="2:16" s="116" customFormat="1" ht="12.95" customHeight="1" x14ac:dyDescent="0.2">
      <c r="B19" s="224"/>
      <c r="C19" s="224"/>
      <c r="D19" s="225">
        <v>2019</v>
      </c>
      <c r="E19" s="226">
        <f>SUM(F19:K19)</f>
        <v>524</v>
      </c>
      <c r="F19" s="226">
        <v>157</v>
      </c>
      <c r="G19" s="226">
        <v>4</v>
      </c>
      <c r="H19" s="226">
        <v>28</v>
      </c>
      <c r="I19" s="226">
        <v>208</v>
      </c>
      <c r="J19" s="227" t="s">
        <v>51</v>
      </c>
      <c r="K19" s="226">
        <v>127</v>
      </c>
    </row>
    <row r="20" spans="2:16" s="116" customFormat="1" ht="8.1" customHeight="1" x14ac:dyDescent="0.2">
      <c r="B20" s="224"/>
      <c r="C20" s="224"/>
      <c r="D20" s="225"/>
      <c r="E20" s="227"/>
      <c r="F20" s="227"/>
      <c r="G20" s="227"/>
      <c r="H20" s="227"/>
      <c r="I20" s="227"/>
      <c r="J20" s="227"/>
      <c r="K20" s="227"/>
    </row>
    <row r="21" spans="2:16" ht="12.95" customHeight="1" x14ac:dyDescent="0.2">
      <c r="B21" s="224" t="s">
        <v>52</v>
      </c>
      <c r="C21" s="224"/>
      <c r="D21" s="225">
        <v>2017</v>
      </c>
      <c r="E21" s="227">
        <f>SUM(F21:K21)</f>
        <v>727</v>
      </c>
      <c r="F21" s="227">
        <v>92</v>
      </c>
      <c r="G21" s="227">
        <v>17</v>
      </c>
      <c r="H21" s="227">
        <v>130</v>
      </c>
      <c r="I21" s="227">
        <v>337</v>
      </c>
      <c r="J21" s="227">
        <v>1</v>
      </c>
      <c r="K21" s="227">
        <v>150</v>
      </c>
      <c r="L21" s="116"/>
    </row>
    <row r="22" spans="2:16" ht="12.95" customHeight="1" x14ac:dyDescent="0.2">
      <c r="B22" s="224"/>
      <c r="C22" s="224"/>
      <c r="D22" s="225">
        <v>2018</v>
      </c>
      <c r="E22" s="227">
        <f>SUM(F22:K22)</f>
        <v>784</v>
      </c>
      <c r="F22" s="227">
        <v>47</v>
      </c>
      <c r="G22" s="227">
        <v>20</v>
      </c>
      <c r="H22" s="227">
        <v>138</v>
      </c>
      <c r="I22" s="227">
        <v>403</v>
      </c>
      <c r="J22" s="227" t="s">
        <v>51</v>
      </c>
      <c r="K22" s="227">
        <v>176</v>
      </c>
      <c r="L22" s="116"/>
    </row>
    <row r="23" spans="2:16" ht="12.95" customHeight="1" x14ac:dyDescent="0.2">
      <c r="B23" s="224"/>
      <c r="C23" s="224"/>
      <c r="D23" s="225">
        <v>2019</v>
      </c>
      <c r="E23" s="226">
        <f>SUM(F23:K23)</f>
        <v>784</v>
      </c>
      <c r="F23" s="227">
        <v>76</v>
      </c>
      <c r="G23" s="227">
        <v>36</v>
      </c>
      <c r="H23" s="227">
        <v>131</v>
      </c>
      <c r="I23" s="227">
        <v>313</v>
      </c>
      <c r="J23" s="227" t="s">
        <v>51</v>
      </c>
      <c r="K23" s="227">
        <v>228</v>
      </c>
      <c r="L23" s="116"/>
    </row>
    <row r="24" spans="2:16" ht="8.1" customHeight="1" x14ac:dyDescent="0.2">
      <c r="B24" s="224"/>
      <c r="C24" s="224"/>
      <c r="D24" s="225"/>
      <c r="E24" s="227"/>
      <c r="F24" s="226"/>
      <c r="G24" s="226"/>
      <c r="H24" s="226"/>
      <c r="I24" s="226"/>
      <c r="J24" s="227"/>
      <c r="K24" s="226"/>
      <c r="L24" s="116"/>
    </row>
    <row r="25" spans="2:16" ht="12.95" customHeight="1" x14ac:dyDescent="0.2">
      <c r="B25" s="224" t="s">
        <v>53</v>
      </c>
      <c r="C25" s="224"/>
      <c r="D25" s="225">
        <v>2017</v>
      </c>
      <c r="E25" s="227">
        <f t="shared" ref="E25:E26" si="3">SUM(F25:K25)</f>
        <v>2275</v>
      </c>
      <c r="F25" s="226">
        <v>263</v>
      </c>
      <c r="G25" s="226">
        <v>65</v>
      </c>
      <c r="H25" s="226">
        <v>344</v>
      </c>
      <c r="I25" s="226">
        <v>945</v>
      </c>
      <c r="J25" s="226" t="s">
        <v>51</v>
      </c>
      <c r="K25" s="226">
        <v>658</v>
      </c>
      <c r="L25" s="53"/>
    </row>
    <row r="26" spans="2:16" ht="12.95" customHeight="1" x14ac:dyDescent="0.2">
      <c r="B26" s="224"/>
      <c r="C26" s="224"/>
      <c r="D26" s="225">
        <v>2018</v>
      </c>
      <c r="E26" s="227">
        <f t="shared" si="3"/>
        <v>2042</v>
      </c>
      <c r="F26" s="226">
        <v>220</v>
      </c>
      <c r="G26" s="226">
        <v>55</v>
      </c>
      <c r="H26" s="226">
        <v>317</v>
      </c>
      <c r="I26" s="226">
        <v>911</v>
      </c>
      <c r="J26" s="227" t="s">
        <v>51</v>
      </c>
      <c r="K26" s="226">
        <v>539</v>
      </c>
      <c r="L26" s="53"/>
    </row>
    <row r="27" spans="2:16" ht="12.95" customHeight="1" x14ac:dyDescent="0.2">
      <c r="B27" s="224"/>
      <c r="C27" s="224"/>
      <c r="D27" s="225">
        <v>2019</v>
      </c>
      <c r="E27" s="226">
        <f>SUM(F27:K27)</f>
        <v>1766</v>
      </c>
      <c r="F27" s="226">
        <v>283</v>
      </c>
      <c r="G27" s="226">
        <v>37</v>
      </c>
      <c r="H27" s="226">
        <v>283</v>
      </c>
      <c r="I27" s="226">
        <v>733</v>
      </c>
      <c r="J27" s="227">
        <v>1</v>
      </c>
      <c r="K27" s="226">
        <v>429</v>
      </c>
      <c r="L27" s="53"/>
    </row>
    <row r="28" spans="2:16" ht="8.1" customHeight="1" x14ac:dyDescent="0.2">
      <c r="B28" s="224"/>
      <c r="C28" s="224"/>
      <c r="D28" s="225"/>
      <c r="E28" s="227"/>
      <c r="F28" s="226"/>
      <c r="G28" s="226"/>
      <c r="H28" s="226"/>
      <c r="I28" s="226"/>
      <c r="J28" s="226"/>
      <c r="K28" s="226"/>
      <c r="L28" s="53"/>
    </row>
    <row r="29" spans="2:16" ht="12.95" customHeight="1" x14ac:dyDescent="0.2">
      <c r="B29" s="224" t="s">
        <v>54</v>
      </c>
      <c r="C29" s="224"/>
      <c r="D29" s="225">
        <v>2017</v>
      </c>
      <c r="E29" s="227">
        <f t="shared" ref="E29:E30" si="4">SUM(F29:K29)</f>
        <v>1237</v>
      </c>
      <c r="F29" s="226">
        <v>229</v>
      </c>
      <c r="G29" s="226">
        <v>42</v>
      </c>
      <c r="H29" s="226">
        <v>174</v>
      </c>
      <c r="I29" s="226">
        <v>510</v>
      </c>
      <c r="J29" s="226" t="s">
        <v>51</v>
      </c>
      <c r="K29" s="226">
        <v>282</v>
      </c>
      <c r="L29" s="53"/>
    </row>
    <row r="30" spans="2:16" ht="12.95" customHeight="1" x14ac:dyDescent="0.2">
      <c r="B30" s="224"/>
      <c r="C30" s="224"/>
      <c r="D30" s="225">
        <v>2018</v>
      </c>
      <c r="E30" s="227">
        <f t="shared" si="4"/>
        <v>1306</v>
      </c>
      <c r="F30" s="226">
        <v>238</v>
      </c>
      <c r="G30" s="226">
        <v>36</v>
      </c>
      <c r="H30" s="226">
        <v>160</v>
      </c>
      <c r="I30" s="226">
        <v>572</v>
      </c>
      <c r="J30" s="227" t="s">
        <v>51</v>
      </c>
      <c r="K30" s="226">
        <v>300</v>
      </c>
      <c r="L30" s="53"/>
    </row>
    <row r="31" spans="2:16" s="115" customFormat="1" ht="12.95" customHeight="1" x14ac:dyDescent="0.2">
      <c r="B31" s="224"/>
      <c r="C31" s="224"/>
      <c r="D31" s="225">
        <v>2019</v>
      </c>
      <c r="E31" s="226">
        <f>SUM(F31:K31)</f>
        <v>1144</v>
      </c>
      <c r="F31" s="226">
        <v>233</v>
      </c>
      <c r="G31" s="226">
        <v>40</v>
      </c>
      <c r="H31" s="226">
        <v>169</v>
      </c>
      <c r="I31" s="226">
        <v>433</v>
      </c>
      <c r="J31" s="227" t="s">
        <v>51</v>
      </c>
      <c r="K31" s="226">
        <v>269</v>
      </c>
      <c r="L31" s="53"/>
      <c r="M31" s="53"/>
      <c r="N31" s="53"/>
      <c r="O31" s="53"/>
      <c r="P31" s="53"/>
    </row>
    <row r="32" spans="2:16" s="115" customFormat="1" ht="8.1" customHeight="1" x14ac:dyDescent="0.2">
      <c r="B32" s="224"/>
      <c r="C32" s="224"/>
      <c r="D32" s="225"/>
      <c r="E32" s="227"/>
      <c r="F32" s="226"/>
      <c r="G32" s="226"/>
      <c r="H32" s="226"/>
      <c r="I32" s="226"/>
      <c r="J32" s="227"/>
      <c r="K32" s="226"/>
      <c r="L32" s="53"/>
      <c r="M32" s="53"/>
      <c r="N32" s="53"/>
      <c r="O32" s="53"/>
      <c r="P32" s="53"/>
    </row>
    <row r="33" spans="2:12" ht="12.95" customHeight="1" x14ac:dyDescent="0.2">
      <c r="B33" s="224" t="s">
        <v>3</v>
      </c>
      <c r="C33" s="224"/>
      <c r="D33" s="225">
        <v>2017</v>
      </c>
      <c r="E33" s="227">
        <f t="shared" ref="E33:E34" si="5">SUM(F33:K33)</f>
        <v>535</v>
      </c>
      <c r="F33" s="226">
        <v>29</v>
      </c>
      <c r="G33" s="226">
        <v>15</v>
      </c>
      <c r="H33" s="226">
        <v>47</v>
      </c>
      <c r="I33" s="226">
        <v>339</v>
      </c>
      <c r="J33" s="226">
        <v>1</v>
      </c>
      <c r="K33" s="226">
        <v>104</v>
      </c>
      <c r="L33" s="53"/>
    </row>
    <row r="34" spans="2:12" ht="12.95" customHeight="1" x14ac:dyDescent="0.2">
      <c r="B34" s="224"/>
      <c r="C34" s="224"/>
      <c r="D34" s="225">
        <v>2018</v>
      </c>
      <c r="E34" s="227">
        <f t="shared" si="5"/>
        <v>477</v>
      </c>
      <c r="F34" s="226">
        <v>28</v>
      </c>
      <c r="G34" s="226">
        <v>31</v>
      </c>
      <c r="H34" s="226">
        <v>44</v>
      </c>
      <c r="I34" s="226">
        <v>258</v>
      </c>
      <c r="J34" s="227" t="s">
        <v>51</v>
      </c>
      <c r="K34" s="226">
        <v>116</v>
      </c>
      <c r="L34" s="53"/>
    </row>
    <row r="35" spans="2:12" ht="12.95" customHeight="1" x14ac:dyDescent="0.2">
      <c r="B35" s="224"/>
      <c r="C35" s="224"/>
      <c r="D35" s="225">
        <v>2019</v>
      </c>
      <c r="E35" s="226">
        <f>SUM(F35:K35)</f>
        <v>458</v>
      </c>
      <c r="F35" s="226">
        <v>56</v>
      </c>
      <c r="G35" s="226">
        <v>12</v>
      </c>
      <c r="H35" s="226">
        <v>41</v>
      </c>
      <c r="I35" s="226">
        <v>235</v>
      </c>
      <c r="J35" s="227" t="s">
        <v>51</v>
      </c>
      <c r="K35" s="226">
        <v>114</v>
      </c>
      <c r="L35" s="53"/>
    </row>
    <row r="36" spans="2:12" ht="8.1" customHeight="1" x14ac:dyDescent="0.2">
      <c r="B36" s="224"/>
      <c r="C36" s="224"/>
      <c r="D36" s="225"/>
      <c r="E36" s="227"/>
      <c r="F36" s="226"/>
      <c r="G36" s="226"/>
      <c r="H36" s="226"/>
      <c r="I36" s="226"/>
      <c r="J36" s="227"/>
      <c r="K36" s="226"/>
      <c r="L36" s="53"/>
    </row>
    <row r="37" spans="2:12" ht="12.95" customHeight="1" x14ac:dyDescent="0.2">
      <c r="B37" s="224" t="s">
        <v>4</v>
      </c>
      <c r="C37" s="224"/>
      <c r="D37" s="225">
        <v>2017</v>
      </c>
      <c r="E37" s="227">
        <f t="shared" ref="E37:E38" si="6">SUM(F37:K37)</f>
        <v>494</v>
      </c>
      <c r="F37" s="226">
        <v>102</v>
      </c>
      <c r="G37" s="226">
        <v>17</v>
      </c>
      <c r="H37" s="226">
        <v>46</v>
      </c>
      <c r="I37" s="226">
        <v>231</v>
      </c>
      <c r="J37" s="226">
        <v>1</v>
      </c>
      <c r="K37" s="226">
        <v>97</v>
      </c>
      <c r="L37" s="53"/>
    </row>
    <row r="38" spans="2:12" ht="12.95" customHeight="1" x14ac:dyDescent="0.2">
      <c r="B38" s="224"/>
      <c r="C38" s="224"/>
      <c r="D38" s="225">
        <v>2018</v>
      </c>
      <c r="E38" s="227">
        <f t="shared" si="6"/>
        <v>475</v>
      </c>
      <c r="F38" s="226">
        <v>108</v>
      </c>
      <c r="G38" s="226">
        <v>13</v>
      </c>
      <c r="H38" s="226">
        <v>48</v>
      </c>
      <c r="I38" s="226">
        <v>200</v>
      </c>
      <c r="J38" s="227" t="s">
        <v>51</v>
      </c>
      <c r="K38" s="226">
        <v>106</v>
      </c>
      <c r="L38" s="53"/>
    </row>
    <row r="39" spans="2:12" ht="12.95" customHeight="1" x14ac:dyDescent="0.2">
      <c r="B39" s="224"/>
      <c r="C39" s="224"/>
      <c r="D39" s="225">
        <v>2019</v>
      </c>
      <c r="E39" s="226">
        <f>SUM(F39:K39)</f>
        <v>401</v>
      </c>
      <c r="F39" s="226">
        <v>79</v>
      </c>
      <c r="G39" s="226">
        <v>10</v>
      </c>
      <c r="H39" s="226">
        <v>32</v>
      </c>
      <c r="I39" s="226">
        <v>186</v>
      </c>
      <c r="J39" s="227" t="s">
        <v>51</v>
      </c>
      <c r="K39" s="226">
        <v>94</v>
      </c>
      <c r="L39" s="53"/>
    </row>
    <row r="40" spans="2:12" ht="8.1" customHeight="1" x14ac:dyDescent="0.2">
      <c r="B40" s="224"/>
      <c r="C40" s="224"/>
      <c r="D40" s="225"/>
      <c r="E40" s="227"/>
      <c r="F40" s="226"/>
      <c r="G40" s="226"/>
      <c r="H40" s="226"/>
      <c r="I40" s="226"/>
      <c r="J40" s="226"/>
      <c r="K40" s="226"/>
      <c r="L40" s="53"/>
    </row>
    <row r="41" spans="2:12" ht="12.95" customHeight="1" x14ac:dyDescent="0.2">
      <c r="B41" s="224" t="s">
        <v>9</v>
      </c>
      <c r="C41" s="224"/>
      <c r="D41" s="225">
        <v>2017</v>
      </c>
      <c r="E41" s="227">
        <f t="shared" ref="E41:E42" si="7">SUM(F41:K41)</f>
        <v>563</v>
      </c>
      <c r="F41" s="226">
        <v>134</v>
      </c>
      <c r="G41" s="226">
        <v>26</v>
      </c>
      <c r="H41" s="226">
        <v>49</v>
      </c>
      <c r="I41" s="226">
        <v>186</v>
      </c>
      <c r="J41" s="226">
        <v>1</v>
      </c>
      <c r="K41" s="226">
        <v>167</v>
      </c>
      <c r="L41" s="53"/>
    </row>
    <row r="42" spans="2:12" ht="12.95" customHeight="1" x14ac:dyDescent="0.2">
      <c r="B42" s="224"/>
      <c r="C42" s="224"/>
      <c r="D42" s="225">
        <v>2018</v>
      </c>
      <c r="E42" s="227">
        <f t="shared" si="7"/>
        <v>547</v>
      </c>
      <c r="F42" s="226">
        <v>136</v>
      </c>
      <c r="G42" s="226">
        <v>21</v>
      </c>
      <c r="H42" s="226">
        <v>40</v>
      </c>
      <c r="I42" s="226">
        <v>172</v>
      </c>
      <c r="J42" s="226" t="s">
        <v>51</v>
      </c>
      <c r="K42" s="226">
        <v>178</v>
      </c>
      <c r="L42" s="53"/>
    </row>
    <row r="43" spans="2:12" ht="12.95" customHeight="1" x14ac:dyDescent="0.2">
      <c r="B43" s="224"/>
      <c r="C43" s="224"/>
      <c r="D43" s="225">
        <v>2019</v>
      </c>
      <c r="E43" s="226">
        <f>SUM(F43:K43)</f>
        <v>543</v>
      </c>
      <c r="F43" s="226">
        <v>112</v>
      </c>
      <c r="G43" s="226">
        <v>19</v>
      </c>
      <c r="H43" s="226">
        <v>44</v>
      </c>
      <c r="I43" s="226">
        <v>180</v>
      </c>
      <c r="J43" s="227" t="s">
        <v>51</v>
      </c>
      <c r="K43" s="226">
        <v>188</v>
      </c>
      <c r="L43" s="53"/>
    </row>
    <row r="44" spans="2:12" ht="8.1" customHeight="1" x14ac:dyDescent="0.2">
      <c r="B44" s="224"/>
      <c r="C44" s="224"/>
      <c r="D44" s="225"/>
      <c r="E44" s="227"/>
      <c r="F44" s="226"/>
      <c r="G44" s="226"/>
      <c r="H44" s="226"/>
      <c r="I44" s="226"/>
      <c r="J44" s="226"/>
      <c r="K44" s="226"/>
      <c r="L44" s="53"/>
    </row>
    <row r="45" spans="2:12" ht="12.95" customHeight="1" x14ac:dyDescent="0.2">
      <c r="B45" s="224" t="s">
        <v>10</v>
      </c>
      <c r="C45" s="224"/>
      <c r="D45" s="225">
        <v>2017</v>
      </c>
      <c r="E45" s="227">
        <f t="shared" ref="E45:E46" si="8">SUM(F45:K45)</f>
        <v>190</v>
      </c>
      <c r="F45" s="227">
        <v>25</v>
      </c>
      <c r="G45" s="226">
        <v>3</v>
      </c>
      <c r="H45" s="226">
        <v>8</v>
      </c>
      <c r="I45" s="226">
        <v>83</v>
      </c>
      <c r="J45" s="226" t="s">
        <v>51</v>
      </c>
      <c r="K45" s="226">
        <v>71</v>
      </c>
      <c r="L45" s="53"/>
    </row>
    <row r="46" spans="2:12" ht="12.95" customHeight="1" x14ac:dyDescent="0.2">
      <c r="B46" s="224"/>
      <c r="C46" s="224"/>
      <c r="D46" s="225">
        <v>2018</v>
      </c>
      <c r="E46" s="227">
        <f t="shared" si="8"/>
        <v>174</v>
      </c>
      <c r="F46" s="226">
        <v>28</v>
      </c>
      <c r="G46" s="226">
        <v>3</v>
      </c>
      <c r="H46" s="226">
        <v>5</v>
      </c>
      <c r="I46" s="226">
        <v>75</v>
      </c>
      <c r="J46" s="227">
        <v>1</v>
      </c>
      <c r="K46" s="226">
        <v>62</v>
      </c>
      <c r="L46" s="53"/>
    </row>
    <row r="47" spans="2:12" ht="12.95" customHeight="1" x14ac:dyDescent="0.2">
      <c r="B47" s="224"/>
      <c r="C47" s="224"/>
      <c r="D47" s="225">
        <v>2019</v>
      </c>
      <c r="E47" s="226">
        <f>SUM(F47:K47)</f>
        <v>195</v>
      </c>
      <c r="F47" s="226">
        <v>53</v>
      </c>
      <c r="G47" s="227" t="s">
        <v>51</v>
      </c>
      <c r="H47" s="226">
        <v>13</v>
      </c>
      <c r="I47" s="226">
        <v>63</v>
      </c>
      <c r="J47" s="226">
        <v>3</v>
      </c>
      <c r="K47" s="226">
        <v>63</v>
      </c>
      <c r="L47" s="53"/>
    </row>
    <row r="48" spans="2:12" ht="8.1" customHeight="1" x14ac:dyDescent="0.2">
      <c r="B48" s="224"/>
      <c r="C48" s="224"/>
      <c r="D48" s="225"/>
      <c r="E48" s="227"/>
      <c r="F48" s="226"/>
      <c r="G48" s="226"/>
      <c r="H48" s="226"/>
      <c r="I48" s="226"/>
      <c r="J48" s="227"/>
      <c r="K48" s="226"/>
      <c r="L48" s="53"/>
    </row>
    <row r="49" spans="1:12" ht="12.95" customHeight="1" x14ac:dyDescent="0.2">
      <c r="B49" s="224" t="s">
        <v>5</v>
      </c>
      <c r="C49" s="224"/>
      <c r="D49" s="225">
        <v>2017</v>
      </c>
      <c r="E49" s="227">
        <f t="shared" ref="E49:E50" si="9">SUM(F49:K49)</f>
        <v>120</v>
      </c>
      <c r="F49" s="226">
        <v>9</v>
      </c>
      <c r="G49" s="226">
        <v>1</v>
      </c>
      <c r="H49" s="226">
        <v>5</v>
      </c>
      <c r="I49" s="226">
        <v>45</v>
      </c>
      <c r="J49" s="227">
        <v>1</v>
      </c>
      <c r="K49" s="226">
        <v>59</v>
      </c>
      <c r="L49" s="53"/>
    </row>
    <row r="50" spans="1:12" ht="12.95" customHeight="1" x14ac:dyDescent="0.2">
      <c r="B50" s="224"/>
      <c r="C50" s="224"/>
      <c r="D50" s="225">
        <v>2018</v>
      </c>
      <c r="E50" s="227">
        <f t="shared" si="9"/>
        <v>100</v>
      </c>
      <c r="F50" s="226">
        <v>16</v>
      </c>
      <c r="G50" s="226">
        <v>4</v>
      </c>
      <c r="H50" s="226">
        <v>9</v>
      </c>
      <c r="I50" s="226">
        <v>40</v>
      </c>
      <c r="J50" s="227">
        <v>1</v>
      </c>
      <c r="K50" s="226">
        <v>30</v>
      </c>
      <c r="L50" s="53"/>
    </row>
    <row r="51" spans="1:12" ht="12.95" customHeight="1" x14ac:dyDescent="0.2">
      <c r="A51" s="116"/>
      <c r="B51" s="224"/>
      <c r="C51" s="224"/>
      <c r="D51" s="225">
        <v>2019</v>
      </c>
      <c r="E51" s="226">
        <f>SUM(F51:K51)</f>
        <v>109</v>
      </c>
      <c r="F51" s="226">
        <v>15</v>
      </c>
      <c r="G51" s="226">
        <v>3</v>
      </c>
      <c r="H51" s="226">
        <v>4</v>
      </c>
      <c r="I51" s="226">
        <v>55</v>
      </c>
      <c r="J51" s="227" t="s">
        <v>51</v>
      </c>
      <c r="K51" s="226">
        <v>32</v>
      </c>
      <c r="L51" s="53"/>
    </row>
    <row r="52" spans="1:12" s="116" customFormat="1" ht="8.1" customHeight="1" x14ac:dyDescent="0.2">
      <c r="B52" s="224"/>
      <c r="C52" s="224"/>
      <c r="D52" s="225"/>
      <c r="E52" s="227"/>
      <c r="F52" s="226"/>
      <c r="G52" s="226"/>
      <c r="H52" s="226"/>
      <c r="I52" s="226"/>
      <c r="J52" s="226"/>
      <c r="K52" s="226"/>
      <c r="L52" s="53"/>
    </row>
    <row r="53" spans="1:12" s="116" customFormat="1" ht="12.95" customHeight="1" x14ac:dyDescent="0.2">
      <c r="B53" s="224" t="s">
        <v>6</v>
      </c>
      <c r="C53" s="224"/>
      <c r="D53" s="225">
        <v>2017</v>
      </c>
      <c r="E53" s="227">
        <f t="shared" ref="E53:E54" si="10">SUM(F53:K53)</f>
        <v>234</v>
      </c>
      <c r="F53" s="226">
        <v>46</v>
      </c>
      <c r="G53" s="226">
        <v>4</v>
      </c>
      <c r="H53" s="226">
        <v>10</v>
      </c>
      <c r="I53" s="226">
        <v>109</v>
      </c>
      <c r="J53" s="226" t="s">
        <v>51</v>
      </c>
      <c r="K53" s="226">
        <v>65</v>
      </c>
    </row>
    <row r="54" spans="1:12" s="116" customFormat="1" ht="12.95" customHeight="1" x14ac:dyDescent="0.2">
      <c r="B54" s="224"/>
      <c r="C54" s="224"/>
      <c r="D54" s="225">
        <v>2018</v>
      </c>
      <c r="E54" s="227">
        <f t="shared" si="10"/>
        <v>247</v>
      </c>
      <c r="F54" s="226">
        <v>39</v>
      </c>
      <c r="G54" s="226">
        <v>4</v>
      </c>
      <c r="H54" s="226">
        <v>17</v>
      </c>
      <c r="I54" s="226">
        <v>137</v>
      </c>
      <c r="J54" s="227" t="s">
        <v>51</v>
      </c>
      <c r="K54" s="226">
        <v>50</v>
      </c>
    </row>
    <row r="55" spans="1:12" s="116" customFormat="1" ht="12.95" customHeight="1" x14ac:dyDescent="0.2">
      <c r="B55" s="224"/>
      <c r="C55" s="224"/>
      <c r="D55" s="225">
        <v>2019</v>
      </c>
      <c r="E55" s="226">
        <f>SUM(F55:K55)</f>
        <v>235</v>
      </c>
      <c r="F55" s="226">
        <v>75</v>
      </c>
      <c r="G55" s="227" t="s">
        <v>51</v>
      </c>
      <c r="H55" s="226">
        <v>11</v>
      </c>
      <c r="I55" s="226">
        <v>81</v>
      </c>
      <c r="J55" s="227" t="s">
        <v>51</v>
      </c>
      <c r="K55" s="226">
        <v>68</v>
      </c>
    </row>
    <row r="56" spans="1:12" s="116" customFormat="1" ht="8.1" customHeight="1" x14ac:dyDescent="0.2">
      <c r="B56" s="224"/>
      <c r="C56" s="224"/>
      <c r="D56" s="225"/>
      <c r="E56" s="227"/>
      <c r="F56" s="226"/>
      <c r="G56" s="226"/>
      <c r="H56" s="226"/>
      <c r="I56" s="226"/>
      <c r="J56" s="227"/>
      <c r="K56" s="226"/>
    </row>
    <row r="57" spans="1:12" s="116" customFormat="1" ht="12.95" customHeight="1" x14ac:dyDescent="0.2">
      <c r="B57" s="224" t="s">
        <v>55</v>
      </c>
      <c r="C57" s="224"/>
      <c r="D57" s="225">
        <v>2017</v>
      </c>
      <c r="E57" s="227">
        <f t="shared" ref="E57" si="11">SUM(F57:K57)</f>
        <v>3</v>
      </c>
      <c r="F57" s="226">
        <v>1</v>
      </c>
      <c r="G57" s="226" t="s">
        <v>51</v>
      </c>
      <c r="H57" s="226" t="s">
        <v>51</v>
      </c>
      <c r="I57" s="226">
        <v>2</v>
      </c>
      <c r="J57" s="227" t="s">
        <v>51</v>
      </c>
      <c r="K57" s="226" t="s">
        <v>51</v>
      </c>
    </row>
    <row r="58" spans="1:12" s="116" customFormat="1" ht="12.95" customHeight="1" x14ac:dyDescent="0.2">
      <c r="B58" s="224"/>
      <c r="C58" s="224"/>
      <c r="D58" s="225">
        <v>2018</v>
      </c>
      <c r="E58" s="227" t="s">
        <v>51</v>
      </c>
      <c r="F58" s="226" t="s">
        <v>51</v>
      </c>
      <c r="G58" s="227" t="s">
        <v>51</v>
      </c>
      <c r="H58" s="227" t="s">
        <v>51</v>
      </c>
      <c r="I58" s="226" t="s">
        <v>51</v>
      </c>
      <c r="J58" s="227" t="s">
        <v>51</v>
      </c>
      <c r="K58" s="227" t="s">
        <v>51</v>
      </c>
    </row>
    <row r="59" spans="1:12" s="116" customFormat="1" ht="12.95" customHeight="1" x14ac:dyDescent="0.2">
      <c r="B59" s="224"/>
      <c r="C59" s="224"/>
      <c r="D59" s="225">
        <v>2019</v>
      </c>
      <c r="E59" s="227" t="s">
        <v>51</v>
      </c>
      <c r="F59" s="226" t="s">
        <v>51</v>
      </c>
      <c r="G59" s="227" t="s">
        <v>51</v>
      </c>
      <c r="H59" s="227" t="s">
        <v>51</v>
      </c>
      <c r="I59" s="226" t="s">
        <v>51</v>
      </c>
      <c r="J59" s="227" t="s">
        <v>51</v>
      </c>
      <c r="K59" s="227" t="s">
        <v>51</v>
      </c>
    </row>
    <row r="60" spans="1:12" s="116" customFormat="1" ht="8.1" customHeight="1" x14ac:dyDescent="0.2">
      <c r="B60" s="224"/>
      <c r="C60" s="224"/>
      <c r="D60" s="225"/>
      <c r="E60" s="227"/>
      <c r="F60" s="226"/>
      <c r="G60" s="226"/>
      <c r="H60" s="226"/>
      <c r="I60" s="226"/>
      <c r="J60" s="227"/>
      <c r="K60" s="226"/>
    </row>
    <row r="61" spans="1:12" s="116" customFormat="1" ht="12.95" customHeight="1" x14ac:dyDescent="0.2">
      <c r="B61" s="224" t="s">
        <v>7</v>
      </c>
      <c r="C61" s="224"/>
      <c r="D61" s="225">
        <v>2017</v>
      </c>
      <c r="E61" s="227">
        <f t="shared" ref="E61:E62" si="12">SUM(F61:K61)</f>
        <v>247</v>
      </c>
      <c r="F61" s="226">
        <v>12</v>
      </c>
      <c r="G61" s="226">
        <v>5</v>
      </c>
      <c r="H61" s="226">
        <v>50</v>
      </c>
      <c r="I61" s="226">
        <v>150</v>
      </c>
      <c r="J61" s="226" t="s">
        <v>51</v>
      </c>
      <c r="K61" s="226">
        <v>30</v>
      </c>
    </row>
    <row r="62" spans="1:12" s="116" customFormat="1" ht="12.95" customHeight="1" x14ac:dyDescent="0.2">
      <c r="B62" s="224"/>
      <c r="C62" s="224"/>
      <c r="D62" s="225">
        <v>2018</v>
      </c>
      <c r="E62" s="227">
        <f t="shared" si="12"/>
        <v>228</v>
      </c>
      <c r="F62" s="226">
        <v>15</v>
      </c>
      <c r="G62" s="226">
        <v>7</v>
      </c>
      <c r="H62" s="226">
        <v>28</v>
      </c>
      <c r="I62" s="226">
        <v>136</v>
      </c>
      <c r="J62" s="227" t="s">
        <v>51</v>
      </c>
      <c r="K62" s="226">
        <v>42</v>
      </c>
      <c r="L62" s="2"/>
    </row>
    <row r="63" spans="1:12" s="116" customFormat="1" ht="12.95" customHeight="1" x14ac:dyDescent="0.2">
      <c r="B63" s="224"/>
      <c r="C63" s="224"/>
      <c r="D63" s="225">
        <v>2019</v>
      </c>
      <c r="E63" s="226">
        <f>SUM(F63:K63)</f>
        <v>235</v>
      </c>
      <c r="F63" s="226">
        <v>33</v>
      </c>
      <c r="G63" s="226">
        <v>5</v>
      </c>
      <c r="H63" s="226">
        <v>16</v>
      </c>
      <c r="I63" s="226">
        <v>136</v>
      </c>
      <c r="J63" s="227" t="s">
        <v>51</v>
      </c>
      <c r="K63" s="226">
        <v>45</v>
      </c>
      <c r="L63" s="2"/>
    </row>
    <row r="64" spans="1:12" s="116" customFormat="1" ht="8.1" customHeight="1" x14ac:dyDescent="0.2">
      <c r="B64" s="224"/>
      <c r="C64" s="224"/>
      <c r="D64" s="225"/>
      <c r="E64" s="227"/>
      <c r="F64" s="226"/>
      <c r="G64" s="226"/>
      <c r="H64" s="226"/>
      <c r="I64" s="226"/>
      <c r="J64" s="226"/>
      <c r="K64" s="226"/>
      <c r="L64" s="2"/>
    </row>
    <row r="65" spans="1:12" s="116" customFormat="1" ht="12.95" customHeight="1" x14ac:dyDescent="0.2">
      <c r="B65" s="224" t="s">
        <v>8</v>
      </c>
      <c r="C65" s="224"/>
      <c r="D65" s="225">
        <v>2017</v>
      </c>
      <c r="E65" s="227">
        <f t="shared" ref="E65:E66" si="13">SUM(F65:K65)</f>
        <v>325</v>
      </c>
      <c r="F65" s="226">
        <v>73</v>
      </c>
      <c r="G65" s="226">
        <v>6</v>
      </c>
      <c r="H65" s="226">
        <v>17</v>
      </c>
      <c r="I65" s="226">
        <v>129</v>
      </c>
      <c r="J65" s="227">
        <v>5</v>
      </c>
      <c r="K65" s="226">
        <v>95</v>
      </c>
      <c r="L65" s="2"/>
    </row>
    <row r="66" spans="1:12" s="116" customFormat="1" ht="12.95" customHeight="1" x14ac:dyDescent="0.2">
      <c r="B66" s="224"/>
      <c r="C66" s="224"/>
      <c r="D66" s="225">
        <v>2018</v>
      </c>
      <c r="E66" s="227">
        <f t="shared" si="13"/>
        <v>299</v>
      </c>
      <c r="F66" s="226">
        <v>74</v>
      </c>
      <c r="G66" s="226">
        <v>9</v>
      </c>
      <c r="H66" s="226">
        <v>15</v>
      </c>
      <c r="I66" s="226">
        <v>99</v>
      </c>
      <c r="J66" s="226" t="s">
        <v>51</v>
      </c>
      <c r="K66" s="226">
        <v>102</v>
      </c>
      <c r="L66" s="2"/>
    </row>
    <row r="67" spans="1:12" s="116" customFormat="1" ht="12.95" customHeight="1" x14ac:dyDescent="0.2">
      <c r="B67" s="224"/>
      <c r="C67" s="224"/>
      <c r="D67" s="225">
        <v>2019</v>
      </c>
      <c r="E67" s="226">
        <f>SUM(F67:K67)</f>
        <v>275</v>
      </c>
      <c r="F67" s="226">
        <v>68</v>
      </c>
      <c r="G67" s="226">
        <v>8</v>
      </c>
      <c r="H67" s="226">
        <v>14</v>
      </c>
      <c r="I67" s="226">
        <v>85</v>
      </c>
      <c r="J67" s="227" t="s">
        <v>51</v>
      </c>
      <c r="K67" s="226">
        <v>100</v>
      </c>
      <c r="L67" s="2"/>
    </row>
    <row r="68" spans="1:12" s="116" customFormat="1" ht="8.1" customHeight="1" x14ac:dyDescent="0.2">
      <c r="B68" s="224"/>
      <c r="C68" s="224"/>
      <c r="D68" s="225"/>
      <c r="E68" s="227"/>
      <c r="F68" s="228"/>
      <c r="G68" s="228"/>
      <c r="H68" s="226"/>
      <c r="I68" s="226"/>
      <c r="J68" s="227"/>
      <c r="K68" s="226"/>
      <c r="L68" s="2"/>
    </row>
    <row r="69" spans="1:12" ht="12.95" customHeight="1" x14ac:dyDescent="0.2">
      <c r="B69" s="224" t="s">
        <v>56</v>
      </c>
      <c r="C69" s="224"/>
      <c r="D69" s="225">
        <v>2017</v>
      </c>
      <c r="E69" s="227">
        <f t="shared" ref="E69:E70" si="14">SUM(F69:K69)</f>
        <v>1221</v>
      </c>
      <c r="F69" s="226">
        <v>106</v>
      </c>
      <c r="G69" s="226">
        <v>63</v>
      </c>
      <c r="H69" s="226">
        <v>165</v>
      </c>
      <c r="I69" s="226">
        <v>751</v>
      </c>
      <c r="J69" s="227" t="s">
        <v>51</v>
      </c>
      <c r="K69" s="226">
        <v>136</v>
      </c>
    </row>
    <row r="70" spans="1:12" ht="12.95" customHeight="1" x14ac:dyDescent="0.2">
      <c r="A70" s="116"/>
      <c r="B70" s="224"/>
      <c r="C70" s="224"/>
      <c r="D70" s="225">
        <v>2018</v>
      </c>
      <c r="E70" s="227">
        <f t="shared" si="14"/>
        <v>1195</v>
      </c>
      <c r="F70" s="228">
        <v>132</v>
      </c>
      <c r="G70" s="228">
        <v>60</v>
      </c>
      <c r="H70" s="226">
        <v>168</v>
      </c>
      <c r="I70" s="226">
        <v>653</v>
      </c>
      <c r="J70" s="227" t="s">
        <v>51</v>
      </c>
      <c r="K70" s="226">
        <v>182</v>
      </c>
    </row>
    <row r="71" spans="1:12" ht="12.95" customHeight="1" x14ac:dyDescent="0.2">
      <c r="A71" s="116"/>
      <c r="B71" s="224"/>
      <c r="C71" s="224"/>
      <c r="D71" s="225">
        <v>2019</v>
      </c>
      <c r="E71" s="226">
        <f>SUM(F71:K71)</f>
        <v>1278</v>
      </c>
      <c r="F71" s="228">
        <v>124</v>
      </c>
      <c r="G71" s="228">
        <v>45</v>
      </c>
      <c r="H71" s="228">
        <v>195</v>
      </c>
      <c r="I71" s="228">
        <v>763</v>
      </c>
      <c r="J71" s="414" t="s">
        <v>51</v>
      </c>
      <c r="K71" s="228">
        <v>151</v>
      </c>
    </row>
    <row r="72" spans="1:12" ht="8.1" customHeight="1" thickBot="1" x14ac:dyDescent="0.25">
      <c r="A72" s="195"/>
      <c r="B72" s="229"/>
      <c r="C72" s="229"/>
      <c r="D72" s="230"/>
      <c r="E72" s="231"/>
      <c r="F72" s="232"/>
      <c r="G72" s="232"/>
      <c r="H72" s="231"/>
      <c r="I72" s="231"/>
      <c r="J72" s="233"/>
      <c r="K72" s="231"/>
      <c r="L72" s="34"/>
    </row>
    <row r="73" spans="1:12" x14ac:dyDescent="0.2">
      <c r="B73" s="83"/>
      <c r="C73" s="83"/>
      <c r="D73" s="83"/>
      <c r="E73" s="215"/>
      <c r="F73" s="216"/>
      <c r="G73" s="116"/>
      <c r="H73" s="116"/>
      <c r="I73" s="234"/>
      <c r="J73" s="217"/>
      <c r="K73" s="8" t="s">
        <v>99</v>
      </c>
    </row>
    <row r="74" spans="1:12" s="30" customFormat="1" ht="15" x14ac:dyDescent="0.25">
      <c r="C74" s="27"/>
      <c r="D74" s="27"/>
      <c r="E74" s="27"/>
      <c r="F74" s="28"/>
      <c r="G74" s="29"/>
      <c r="H74" s="29"/>
      <c r="I74" s="29"/>
      <c r="K74" s="167" t="s">
        <v>1</v>
      </c>
    </row>
    <row r="75" spans="1:12" s="2" customFormat="1" ht="15" x14ac:dyDescent="0.25">
      <c r="A75" s="359" t="s">
        <v>254</v>
      </c>
      <c r="B75" s="27"/>
      <c r="C75" s="3"/>
      <c r="D75" s="3"/>
      <c r="E75" s="4"/>
      <c r="F75" s="5"/>
      <c r="G75" s="5"/>
      <c r="H75" s="185"/>
      <c r="I75" s="5"/>
    </row>
    <row r="76" spans="1:12" s="2" customFormat="1" ht="15" x14ac:dyDescent="0.25">
      <c r="A76" s="420" t="s">
        <v>252</v>
      </c>
      <c r="C76" s="3"/>
      <c r="D76" s="3"/>
      <c r="E76" s="4"/>
      <c r="F76" s="5"/>
      <c r="G76" s="5"/>
      <c r="H76" s="185"/>
      <c r="I76" s="5"/>
    </row>
    <row r="77" spans="1:12" x14ac:dyDescent="0.2">
      <c r="A77" s="362" t="s">
        <v>253</v>
      </c>
      <c r="B77" s="53"/>
    </row>
  </sheetData>
  <mergeCells count="6">
    <mergeCell ref="K10:K11"/>
    <mergeCell ref="B10:C11"/>
    <mergeCell ref="E10:E11"/>
    <mergeCell ref="F10:F11"/>
    <mergeCell ref="G10:I10"/>
    <mergeCell ref="J10:J11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80" fitToWidth="0" orientation="portrait" r:id="rId1"/>
  <headerFooter>
    <oddHeader xml:space="preserve">&amp;R&amp;"-,Bold"
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65"/>
  <sheetViews>
    <sheetView showGridLines="0" topLeftCell="A39" zoomScaleNormal="100" zoomScaleSheetLayoutView="100" workbookViewId="0">
      <selection activeCell="AA22" sqref="AA22"/>
    </sheetView>
  </sheetViews>
  <sheetFormatPr defaultRowHeight="15" x14ac:dyDescent="0.25"/>
  <cols>
    <col min="1" max="1" width="1.7109375" style="2" customWidth="1"/>
    <col min="2" max="2" width="9.85546875" style="3" customWidth="1"/>
    <col min="3" max="3" width="7.85546875" style="3" customWidth="1"/>
    <col min="4" max="4" width="10.42578125" style="5" customWidth="1"/>
    <col min="5" max="5" width="10.5703125" style="4" customWidth="1"/>
    <col min="6" max="6" width="11.7109375" style="5" customWidth="1"/>
    <col min="7" max="7" width="11.140625" style="5" customWidth="1"/>
    <col min="8" max="8" width="11.7109375" style="185" customWidth="1"/>
    <col min="9" max="9" width="12.28515625" style="5" customWidth="1"/>
    <col min="10" max="10" width="10.5703125" style="22" customWidth="1"/>
    <col min="11" max="11" width="11.7109375" style="2" customWidth="1"/>
    <col min="12" max="12" width="1.28515625" style="2" customWidth="1"/>
    <col min="13" max="16384" width="9.140625" style="2"/>
  </cols>
  <sheetData>
    <row r="1" spans="1:12" s="30" customFormat="1" ht="12.95" customHeight="1" x14ac:dyDescent="0.25">
      <c r="B1" s="27"/>
      <c r="C1" s="27"/>
      <c r="D1" s="29"/>
      <c r="E1" s="28"/>
      <c r="F1" s="29"/>
      <c r="J1" s="29"/>
      <c r="K1" s="160" t="s">
        <v>179</v>
      </c>
    </row>
    <row r="2" spans="1:12" s="30" customFormat="1" ht="12.95" customHeight="1" x14ac:dyDescent="0.25">
      <c r="B2" s="27"/>
      <c r="C2" s="27"/>
      <c r="D2" s="29"/>
      <c r="E2" s="28"/>
      <c r="F2" s="29"/>
      <c r="J2" s="29"/>
      <c r="K2" s="68" t="s">
        <v>180</v>
      </c>
    </row>
    <row r="3" spans="1:12" s="30" customFormat="1" ht="12" customHeight="1" x14ac:dyDescent="0.25">
      <c r="B3" s="27"/>
      <c r="C3" s="27"/>
      <c r="D3" s="29"/>
      <c r="E3" s="28"/>
      <c r="F3" s="29"/>
      <c r="G3" s="68"/>
      <c r="J3" s="29"/>
    </row>
    <row r="4" spans="1:12" s="30" customFormat="1" ht="12" customHeight="1" x14ac:dyDescent="0.25">
      <c r="B4" s="27"/>
      <c r="C4" s="27"/>
      <c r="D4" s="29"/>
      <c r="E4" s="28"/>
      <c r="F4" s="29"/>
      <c r="G4" s="68"/>
      <c r="J4" s="29"/>
    </row>
    <row r="5" spans="1:12" s="53" customFormat="1" ht="9.9499999999999993" customHeight="1" x14ac:dyDescent="0.2">
      <c r="B5" s="115"/>
      <c r="C5" s="115"/>
      <c r="D5" s="189"/>
      <c r="E5" s="190"/>
      <c r="F5" s="189"/>
      <c r="G5" s="189"/>
      <c r="H5" s="191"/>
      <c r="I5" s="189"/>
      <c r="J5" s="114"/>
    </row>
    <row r="6" spans="1:12" s="53" customFormat="1" ht="15" customHeight="1" x14ac:dyDescent="0.2">
      <c r="B6" s="63" t="s">
        <v>208</v>
      </c>
      <c r="C6" s="64" t="s">
        <v>249</v>
      </c>
      <c r="D6" s="189"/>
      <c r="E6" s="190"/>
      <c r="F6" s="64"/>
      <c r="G6" s="64"/>
      <c r="H6" s="64"/>
      <c r="I6" s="64"/>
      <c r="J6" s="79"/>
      <c r="K6" s="64"/>
      <c r="L6" s="179"/>
    </row>
    <row r="7" spans="1:12" s="53" customFormat="1" ht="18" customHeight="1" x14ac:dyDescent="0.2">
      <c r="B7" s="80" t="s">
        <v>209</v>
      </c>
      <c r="C7" s="86" t="s">
        <v>250</v>
      </c>
      <c r="D7" s="189"/>
      <c r="E7" s="190"/>
      <c r="F7" s="86"/>
      <c r="G7" s="86"/>
      <c r="H7" s="86"/>
      <c r="I7" s="86"/>
      <c r="J7" s="235"/>
      <c r="K7" s="86"/>
      <c r="L7" s="180"/>
    </row>
    <row r="8" spans="1:12" s="53" customFormat="1" ht="8.1" customHeight="1" thickBot="1" x14ac:dyDescent="0.25">
      <c r="B8" s="194"/>
      <c r="C8" s="194"/>
      <c r="D8" s="216"/>
      <c r="E8" s="215"/>
      <c r="F8" s="216"/>
      <c r="G8" s="216"/>
      <c r="H8" s="217"/>
      <c r="I8" s="216"/>
      <c r="J8" s="143"/>
      <c r="K8" s="116"/>
    </row>
    <row r="9" spans="1:12" s="53" customFormat="1" ht="8.1" customHeight="1" thickTop="1" x14ac:dyDescent="0.2">
      <c r="A9" s="378"/>
      <c r="B9" s="389"/>
      <c r="C9" s="389"/>
      <c r="D9" s="377"/>
      <c r="E9" s="400"/>
      <c r="F9" s="377"/>
      <c r="G9" s="377"/>
      <c r="H9" s="401"/>
      <c r="I9" s="377"/>
      <c r="J9" s="375"/>
      <c r="K9" s="378"/>
      <c r="L9" s="378"/>
    </row>
    <row r="10" spans="1:12" s="53" customFormat="1" ht="30.75" customHeight="1" x14ac:dyDescent="0.2">
      <c r="A10" s="390"/>
      <c r="B10" s="443" t="s">
        <v>207</v>
      </c>
      <c r="C10" s="443"/>
      <c r="D10" s="402" t="s">
        <v>96</v>
      </c>
      <c r="E10" s="437" t="s">
        <v>92</v>
      </c>
      <c r="F10" s="437" t="s">
        <v>203</v>
      </c>
      <c r="G10" s="440" t="s">
        <v>191</v>
      </c>
      <c r="H10" s="440"/>
      <c r="I10" s="440"/>
      <c r="J10" s="439" t="s">
        <v>251</v>
      </c>
      <c r="K10" s="437" t="s">
        <v>192</v>
      </c>
      <c r="L10" s="390"/>
    </row>
    <row r="11" spans="1:12" s="102" customFormat="1" ht="55.5" customHeight="1" x14ac:dyDescent="0.2">
      <c r="A11" s="398"/>
      <c r="B11" s="444"/>
      <c r="C11" s="444"/>
      <c r="D11" s="404"/>
      <c r="E11" s="442"/>
      <c r="F11" s="442"/>
      <c r="G11" s="403" t="s">
        <v>193</v>
      </c>
      <c r="H11" s="403" t="s">
        <v>194</v>
      </c>
      <c r="I11" s="403" t="s">
        <v>204</v>
      </c>
      <c r="J11" s="441"/>
      <c r="K11" s="442"/>
      <c r="L11" s="398"/>
    </row>
    <row r="12" spans="1:12" s="102" customFormat="1" ht="8.1" customHeight="1" x14ac:dyDescent="0.2">
      <c r="A12" s="106"/>
      <c r="B12" s="236"/>
      <c r="C12" s="236"/>
      <c r="D12" s="149"/>
      <c r="E12" s="90"/>
      <c r="F12" s="218"/>
      <c r="G12" s="90"/>
      <c r="H12" s="90"/>
      <c r="I12" s="90"/>
      <c r="J12" s="218"/>
      <c r="K12" s="90"/>
    </row>
    <row r="13" spans="1:12" s="116" customFormat="1" ht="15" customHeight="1" x14ac:dyDescent="0.2">
      <c r="B13" s="61" t="s">
        <v>97</v>
      </c>
      <c r="D13" s="283">
        <v>2017</v>
      </c>
      <c r="E13" s="145">
        <f t="shared" ref="E13" si="0">SUM(F13:K13)</f>
        <v>5763</v>
      </c>
      <c r="F13" s="125">
        <f t="shared" ref="F13:K15" si="1">SUM(F17,F21,F25,F29,F33,F37,F41,F45,F49,F53,F57)</f>
        <v>1350</v>
      </c>
      <c r="G13" s="125">
        <f t="shared" si="1"/>
        <v>81</v>
      </c>
      <c r="H13" s="125">
        <f t="shared" si="1"/>
        <v>378</v>
      </c>
      <c r="I13" s="125">
        <f t="shared" si="1"/>
        <v>2846</v>
      </c>
      <c r="J13" s="125">
        <f t="shared" si="1"/>
        <v>29</v>
      </c>
      <c r="K13" s="125">
        <f t="shared" si="1"/>
        <v>1079</v>
      </c>
    </row>
    <row r="14" spans="1:12" s="116" customFormat="1" ht="15" customHeight="1" x14ac:dyDescent="0.2">
      <c r="B14" s="106"/>
      <c r="D14" s="283">
        <v>2018</v>
      </c>
      <c r="E14" s="145">
        <f>SUM(F14:K14)</f>
        <v>5232</v>
      </c>
      <c r="F14" s="125">
        <f t="shared" si="1"/>
        <v>1130</v>
      </c>
      <c r="G14" s="125">
        <f t="shared" si="1"/>
        <v>56</v>
      </c>
      <c r="H14" s="125">
        <f t="shared" si="1"/>
        <v>366</v>
      </c>
      <c r="I14" s="125">
        <f t="shared" si="1"/>
        <v>2579</v>
      </c>
      <c r="J14" s="125">
        <f t="shared" si="1"/>
        <v>12</v>
      </c>
      <c r="K14" s="125">
        <f t="shared" si="1"/>
        <v>1089</v>
      </c>
    </row>
    <row r="15" spans="1:12" s="116" customFormat="1" ht="15" customHeight="1" x14ac:dyDescent="0.2">
      <c r="B15" s="106"/>
      <c r="D15" s="283">
        <v>2019</v>
      </c>
      <c r="E15" s="145">
        <f t="shared" ref="E15" si="2">SUM(F15:K15)</f>
        <v>4678</v>
      </c>
      <c r="F15" s="125">
        <f t="shared" si="1"/>
        <v>1138</v>
      </c>
      <c r="G15" s="125">
        <f t="shared" si="1"/>
        <v>78</v>
      </c>
      <c r="H15" s="125">
        <f t="shared" si="1"/>
        <v>314</v>
      </c>
      <c r="I15" s="125">
        <f t="shared" si="1"/>
        <v>2192</v>
      </c>
      <c r="J15" s="125">
        <f t="shared" si="1"/>
        <v>2</v>
      </c>
      <c r="K15" s="125">
        <f t="shared" si="1"/>
        <v>954</v>
      </c>
      <c r="L15" s="143"/>
    </row>
    <row r="16" spans="1:12" s="116" customFormat="1" ht="8.1" customHeight="1" x14ac:dyDescent="0.25">
      <c r="B16" s="106"/>
      <c r="D16" s="284"/>
      <c r="E16" s="146"/>
      <c r="F16" s="142"/>
      <c r="G16" s="142"/>
      <c r="H16" s="142"/>
      <c r="I16" s="142"/>
      <c r="J16" s="142"/>
      <c r="K16" s="142"/>
    </row>
    <row r="17" spans="2:11" s="116" customFormat="1" ht="15" customHeight="1" x14ac:dyDescent="0.2">
      <c r="B17" s="56" t="s">
        <v>57</v>
      </c>
      <c r="C17" s="82"/>
      <c r="D17" s="285">
        <v>2017</v>
      </c>
      <c r="E17" s="146">
        <f t="shared" ref="E17" si="3">SUM(F17:K17)</f>
        <v>255</v>
      </c>
      <c r="F17" s="142">
        <v>46</v>
      </c>
      <c r="G17" s="142" t="s">
        <v>51</v>
      </c>
      <c r="H17" s="142">
        <v>13</v>
      </c>
      <c r="I17" s="142">
        <v>153</v>
      </c>
      <c r="J17" s="142" t="s">
        <v>51</v>
      </c>
      <c r="K17" s="142">
        <v>43</v>
      </c>
    </row>
    <row r="18" spans="2:11" s="116" customFormat="1" ht="15" customHeight="1" x14ac:dyDescent="0.2">
      <c r="B18" s="56"/>
      <c r="C18" s="82"/>
      <c r="D18" s="285">
        <v>2018</v>
      </c>
      <c r="E18" s="146">
        <f>SUM(F18:K18)</f>
        <v>281</v>
      </c>
      <c r="F18" s="142">
        <v>66</v>
      </c>
      <c r="G18" s="142" t="s">
        <v>51</v>
      </c>
      <c r="H18" s="142">
        <v>11</v>
      </c>
      <c r="I18" s="142">
        <v>157</v>
      </c>
      <c r="J18" s="237">
        <v>1</v>
      </c>
      <c r="K18" s="142">
        <v>46</v>
      </c>
    </row>
    <row r="19" spans="2:11" s="116" customFormat="1" ht="15" customHeight="1" x14ac:dyDescent="0.2">
      <c r="B19" s="56"/>
      <c r="C19" s="82"/>
      <c r="D19" s="285">
        <v>2019</v>
      </c>
      <c r="E19" s="146">
        <f>SUM(F19:K19)</f>
        <v>270</v>
      </c>
      <c r="F19" s="142">
        <v>49</v>
      </c>
      <c r="G19" s="142">
        <v>4</v>
      </c>
      <c r="H19" s="142">
        <v>14</v>
      </c>
      <c r="I19" s="142">
        <v>153</v>
      </c>
      <c r="J19" s="237" t="s">
        <v>51</v>
      </c>
      <c r="K19" s="142">
        <v>50</v>
      </c>
    </row>
    <row r="20" spans="2:11" s="116" customFormat="1" ht="8.1" customHeight="1" x14ac:dyDescent="0.2">
      <c r="B20" s="56"/>
      <c r="C20" s="82"/>
      <c r="D20" s="285"/>
      <c r="E20" s="146"/>
      <c r="F20" s="142"/>
      <c r="G20" s="142"/>
      <c r="H20" s="142"/>
      <c r="I20" s="142"/>
      <c r="J20" s="237"/>
      <c r="K20" s="142"/>
    </row>
    <row r="21" spans="2:11" s="116" customFormat="1" ht="15" customHeight="1" x14ac:dyDescent="0.2">
      <c r="B21" s="56" t="s">
        <v>58</v>
      </c>
      <c r="C21" s="82"/>
      <c r="D21" s="285">
        <v>2017</v>
      </c>
      <c r="E21" s="146">
        <f t="shared" ref="E21" si="4">SUM(F21:K21)</f>
        <v>57</v>
      </c>
      <c r="F21" s="142">
        <v>13</v>
      </c>
      <c r="G21" s="142" t="s">
        <v>51</v>
      </c>
      <c r="H21" s="142">
        <v>4</v>
      </c>
      <c r="I21" s="142">
        <v>19</v>
      </c>
      <c r="J21" s="237" t="s">
        <v>51</v>
      </c>
      <c r="K21" s="142">
        <v>21</v>
      </c>
    </row>
    <row r="22" spans="2:11" s="116" customFormat="1" ht="15" customHeight="1" x14ac:dyDescent="0.2">
      <c r="B22" s="56"/>
      <c r="C22" s="82"/>
      <c r="D22" s="285">
        <v>2018</v>
      </c>
      <c r="E22" s="146">
        <f>SUM(F22:K22)</f>
        <v>51</v>
      </c>
      <c r="F22" s="142">
        <v>13</v>
      </c>
      <c r="G22" s="237">
        <v>1</v>
      </c>
      <c r="H22" s="142">
        <v>1</v>
      </c>
      <c r="I22" s="142">
        <v>10</v>
      </c>
      <c r="J22" s="142" t="s">
        <v>51</v>
      </c>
      <c r="K22" s="142">
        <v>26</v>
      </c>
    </row>
    <row r="23" spans="2:11" s="116" customFormat="1" ht="15" customHeight="1" x14ac:dyDescent="0.2">
      <c r="B23" s="56"/>
      <c r="C23" s="82"/>
      <c r="D23" s="285">
        <v>2019</v>
      </c>
      <c r="E23" s="146">
        <f>SUM(F23:K23)</f>
        <v>44</v>
      </c>
      <c r="F23" s="142">
        <v>20</v>
      </c>
      <c r="G23" s="237" t="s">
        <v>51</v>
      </c>
      <c r="H23" s="237" t="s">
        <v>51</v>
      </c>
      <c r="I23" s="142">
        <v>8</v>
      </c>
      <c r="J23" s="237" t="s">
        <v>51</v>
      </c>
      <c r="K23" s="142">
        <v>16</v>
      </c>
    </row>
    <row r="24" spans="2:11" s="116" customFormat="1" ht="8.1" customHeight="1" x14ac:dyDescent="0.2">
      <c r="B24" s="56"/>
      <c r="C24" s="82"/>
      <c r="D24" s="285"/>
      <c r="E24" s="146"/>
      <c r="F24" s="142"/>
      <c r="G24" s="142"/>
      <c r="H24" s="142"/>
      <c r="I24" s="142"/>
      <c r="J24" s="142"/>
      <c r="K24" s="142"/>
    </row>
    <row r="25" spans="2:11" s="53" customFormat="1" ht="15" customHeight="1" x14ac:dyDescent="0.2">
      <c r="B25" s="56" t="s">
        <v>59</v>
      </c>
      <c r="C25" s="82"/>
      <c r="D25" s="285">
        <v>2017</v>
      </c>
      <c r="E25" s="146">
        <f t="shared" ref="E25" si="5">SUM(F25:K25)</f>
        <v>1387</v>
      </c>
      <c r="F25" s="142">
        <v>344</v>
      </c>
      <c r="G25" s="142">
        <v>15</v>
      </c>
      <c r="H25" s="142">
        <v>80</v>
      </c>
      <c r="I25" s="142">
        <v>771</v>
      </c>
      <c r="J25" s="142" t="s">
        <v>51</v>
      </c>
      <c r="K25" s="142">
        <v>177</v>
      </c>
    </row>
    <row r="26" spans="2:11" s="53" customFormat="1" ht="15" customHeight="1" x14ac:dyDescent="0.2">
      <c r="B26" s="56"/>
      <c r="C26" s="82"/>
      <c r="D26" s="285">
        <v>2018</v>
      </c>
      <c r="E26" s="146">
        <f>SUM(F26:K26)</f>
        <v>1211</v>
      </c>
      <c r="F26" s="142">
        <v>300</v>
      </c>
      <c r="G26" s="142">
        <v>9</v>
      </c>
      <c r="H26" s="142">
        <v>79</v>
      </c>
      <c r="I26" s="142">
        <v>652</v>
      </c>
      <c r="J26" s="237">
        <v>2</v>
      </c>
      <c r="K26" s="142">
        <v>169</v>
      </c>
    </row>
    <row r="27" spans="2:11" s="53" customFormat="1" ht="15" customHeight="1" x14ac:dyDescent="0.2">
      <c r="B27" s="56"/>
      <c r="C27" s="82"/>
      <c r="D27" s="285">
        <v>2019</v>
      </c>
      <c r="E27" s="146">
        <f>SUM(F27:K27)</f>
        <v>1107</v>
      </c>
      <c r="F27" s="142">
        <v>255</v>
      </c>
      <c r="G27" s="142">
        <v>21</v>
      </c>
      <c r="H27" s="142">
        <v>92</v>
      </c>
      <c r="I27" s="142">
        <v>550</v>
      </c>
      <c r="J27" s="237" t="s">
        <v>51</v>
      </c>
      <c r="K27" s="142">
        <v>189</v>
      </c>
    </row>
    <row r="28" spans="2:11" s="53" customFormat="1" ht="8.1" customHeight="1" x14ac:dyDescent="0.2">
      <c r="B28" s="56"/>
      <c r="C28" s="82"/>
      <c r="D28" s="285"/>
      <c r="E28" s="146"/>
      <c r="F28" s="142"/>
      <c r="G28" s="142"/>
      <c r="H28" s="142"/>
      <c r="I28" s="142"/>
      <c r="J28" s="142"/>
      <c r="K28" s="142"/>
    </row>
    <row r="29" spans="2:11" s="53" customFormat="1" ht="15" customHeight="1" x14ac:dyDescent="0.2">
      <c r="B29" s="56" t="s">
        <v>60</v>
      </c>
      <c r="C29" s="82"/>
      <c r="D29" s="285">
        <v>2017</v>
      </c>
      <c r="E29" s="146">
        <f t="shared" ref="E29" si="6">SUM(F29:K29)</f>
        <v>1705</v>
      </c>
      <c r="F29" s="142">
        <v>375</v>
      </c>
      <c r="G29" s="142">
        <v>23</v>
      </c>
      <c r="H29" s="142">
        <v>170</v>
      </c>
      <c r="I29" s="142">
        <v>865</v>
      </c>
      <c r="J29" s="142">
        <v>4</v>
      </c>
      <c r="K29" s="142">
        <v>268</v>
      </c>
    </row>
    <row r="30" spans="2:11" s="53" customFormat="1" ht="15" customHeight="1" x14ac:dyDescent="0.2">
      <c r="B30" s="56"/>
      <c r="C30" s="82"/>
      <c r="D30" s="285">
        <v>2018</v>
      </c>
      <c r="E30" s="146">
        <f>SUM(F30:K30)</f>
        <v>1602</v>
      </c>
      <c r="F30" s="142">
        <v>360</v>
      </c>
      <c r="G30" s="142">
        <v>19</v>
      </c>
      <c r="H30" s="142">
        <v>174</v>
      </c>
      <c r="I30" s="142">
        <v>730</v>
      </c>
      <c r="J30" s="142">
        <v>3</v>
      </c>
      <c r="K30" s="142">
        <v>316</v>
      </c>
    </row>
    <row r="31" spans="2:11" s="53" customFormat="1" ht="15" customHeight="1" x14ac:dyDescent="0.2">
      <c r="B31" s="56"/>
      <c r="C31" s="82"/>
      <c r="D31" s="285">
        <v>2019</v>
      </c>
      <c r="E31" s="146">
        <f>SUM(F31:K31)</f>
        <v>1485</v>
      </c>
      <c r="F31" s="142">
        <v>424</v>
      </c>
      <c r="G31" s="142">
        <v>41</v>
      </c>
      <c r="H31" s="142">
        <v>115</v>
      </c>
      <c r="I31" s="142">
        <v>652</v>
      </c>
      <c r="J31" s="142">
        <v>2</v>
      </c>
      <c r="K31" s="142">
        <v>251</v>
      </c>
    </row>
    <row r="32" spans="2:11" s="53" customFormat="1" ht="8.1" customHeight="1" x14ac:dyDescent="0.2">
      <c r="B32" s="56"/>
      <c r="C32" s="82"/>
      <c r="D32" s="285"/>
      <c r="E32" s="146"/>
      <c r="F32" s="142"/>
      <c r="G32" s="142"/>
      <c r="H32" s="142"/>
      <c r="I32" s="142"/>
      <c r="J32" s="142"/>
      <c r="K32" s="142"/>
    </row>
    <row r="33" spans="2:11" s="53" customFormat="1" ht="15" customHeight="1" x14ac:dyDescent="0.2">
      <c r="B33" s="56" t="s">
        <v>61</v>
      </c>
      <c r="C33" s="82"/>
      <c r="D33" s="285">
        <v>2017</v>
      </c>
      <c r="E33" s="146">
        <f t="shared" ref="E33" si="7">SUM(F33:K33)</f>
        <v>673</v>
      </c>
      <c r="F33" s="142">
        <v>237</v>
      </c>
      <c r="G33" s="142">
        <v>3</v>
      </c>
      <c r="H33" s="142">
        <v>18</v>
      </c>
      <c r="I33" s="142">
        <v>240</v>
      </c>
      <c r="J33" s="142">
        <v>3</v>
      </c>
      <c r="K33" s="142">
        <v>172</v>
      </c>
    </row>
    <row r="34" spans="2:11" s="53" customFormat="1" ht="15" customHeight="1" x14ac:dyDescent="0.2">
      <c r="B34" s="56"/>
      <c r="C34" s="82"/>
      <c r="D34" s="285">
        <v>2018</v>
      </c>
      <c r="E34" s="146">
        <f>SUM(F34:K34)</f>
        <v>501</v>
      </c>
      <c r="F34" s="142">
        <v>140</v>
      </c>
      <c r="G34" s="142">
        <v>5</v>
      </c>
      <c r="H34" s="142">
        <v>22</v>
      </c>
      <c r="I34" s="142">
        <v>192</v>
      </c>
      <c r="J34" s="142">
        <v>4</v>
      </c>
      <c r="K34" s="142">
        <v>138</v>
      </c>
    </row>
    <row r="35" spans="2:11" s="53" customFormat="1" ht="15" customHeight="1" x14ac:dyDescent="0.2">
      <c r="B35" s="56"/>
      <c r="C35" s="82"/>
      <c r="D35" s="285">
        <v>2019</v>
      </c>
      <c r="E35" s="146">
        <f>SUM(F35:K35)</f>
        <v>405</v>
      </c>
      <c r="F35" s="142">
        <v>95</v>
      </c>
      <c r="G35" s="142">
        <v>1</v>
      </c>
      <c r="H35" s="142">
        <v>20</v>
      </c>
      <c r="I35" s="142">
        <v>187</v>
      </c>
      <c r="J35" s="237" t="s">
        <v>51</v>
      </c>
      <c r="K35" s="142">
        <v>102</v>
      </c>
    </row>
    <row r="36" spans="2:11" s="53" customFormat="1" ht="8.1" customHeight="1" x14ac:dyDescent="0.2">
      <c r="B36" s="56"/>
      <c r="C36" s="82"/>
      <c r="D36" s="285"/>
      <c r="E36" s="146"/>
      <c r="F36" s="142"/>
      <c r="G36" s="142"/>
      <c r="H36" s="142"/>
      <c r="I36" s="142"/>
      <c r="J36" s="142"/>
      <c r="K36" s="142"/>
    </row>
    <row r="37" spans="2:11" s="53" customFormat="1" ht="15" customHeight="1" x14ac:dyDescent="0.2">
      <c r="B37" s="56" t="s">
        <v>62</v>
      </c>
      <c r="C37" s="82"/>
      <c r="D37" s="285">
        <v>2017</v>
      </c>
      <c r="E37" s="146">
        <f t="shared" ref="E37" si="8">SUM(F37:K37)</f>
        <v>847</v>
      </c>
      <c r="F37" s="142">
        <v>168</v>
      </c>
      <c r="G37" s="142">
        <v>32</v>
      </c>
      <c r="H37" s="142">
        <v>71</v>
      </c>
      <c r="I37" s="142">
        <v>415</v>
      </c>
      <c r="J37" s="142">
        <v>3</v>
      </c>
      <c r="K37" s="142">
        <v>158</v>
      </c>
    </row>
    <row r="38" spans="2:11" s="53" customFormat="1" ht="15" customHeight="1" x14ac:dyDescent="0.2">
      <c r="B38" s="56"/>
      <c r="C38" s="82"/>
      <c r="D38" s="285">
        <v>2018</v>
      </c>
      <c r="E38" s="146">
        <f>SUM(F38:K38)</f>
        <v>727</v>
      </c>
      <c r="F38" s="142">
        <v>133</v>
      </c>
      <c r="G38" s="142">
        <v>19</v>
      </c>
      <c r="H38" s="142">
        <v>55</v>
      </c>
      <c r="I38" s="142">
        <v>400</v>
      </c>
      <c r="J38" s="142">
        <v>1</v>
      </c>
      <c r="K38" s="142">
        <v>119</v>
      </c>
    </row>
    <row r="39" spans="2:11" s="53" customFormat="1" ht="15" customHeight="1" x14ac:dyDescent="0.2">
      <c r="B39" s="56"/>
      <c r="C39" s="82"/>
      <c r="D39" s="285">
        <v>2019</v>
      </c>
      <c r="E39" s="146">
        <f>SUM(F39:K39)</f>
        <v>598</v>
      </c>
      <c r="F39" s="142">
        <v>140</v>
      </c>
      <c r="G39" s="142">
        <v>8</v>
      </c>
      <c r="H39" s="142">
        <v>40</v>
      </c>
      <c r="I39" s="142">
        <v>317</v>
      </c>
      <c r="J39" s="237" t="s">
        <v>51</v>
      </c>
      <c r="K39" s="142">
        <v>93</v>
      </c>
    </row>
    <row r="40" spans="2:11" s="53" customFormat="1" ht="8.1" customHeight="1" x14ac:dyDescent="0.2">
      <c r="B40" s="56"/>
      <c r="C40" s="82"/>
      <c r="D40" s="285"/>
      <c r="E40" s="146"/>
      <c r="F40" s="142"/>
      <c r="G40" s="142"/>
      <c r="H40" s="142"/>
      <c r="I40" s="142"/>
      <c r="J40" s="142"/>
      <c r="K40" s="142"/>
    </row>
    <row r="41" spans="2:11" s="53" customFormat="1" ht="15" customHeight="1" x14ac:dyDescent="0.2">
      <c r="B41" s="56" t="s">
        <v>63</v>
      </c>
      <c r="C41" s="82"/>
      <c r="D41" s="285">
        <v>2017</v>
      </c>
      <c r="E41" s="146">
        <f t="shared" ref="E41" si="9">SUM(F41:K41)</f>
        <v>353</v>
      </c>
      <c r="F41" s="142">
        <v>80</v>
      </c>
      <c r="G41" s="142" t="s">
        <v>51</v>
      </c>
      <c r="H41" s="142">
        <v>2</v>
      </c>
      <c r="I41" s="142">
        <v>117</v>
      </c>
      <c r="J41" s="142">
        <v>17</v>
      </c>
      <c r="K41" s="142">
        <v>137</v>
      </c>
    </row>
    <row r="42" spans="2:11" s="53" customFormat="1" ht="15" customHeight="1" x14ac:dyDescent="0.2">
      <c r="B42" s="56"/>
      <c r="C42" s="82"/>
      <c r="D42" s="285">
        <v>2018</v>
      </c>
      <c r="E42" s="146">
        <f>SUM(F42:K42)</f>
        <v>355</v>
      </c>
      <c r="F42" s="142">
        <v>56</v>
      </c>
      <c r="G42" s="142" t="s">
        <v>51</v>
      </c>
      <c r="H42" s="142">
        <v>3</v>
      </c>
      <c r="I42" s="142">
        <v>116</v>
      </c>
      <c r="J42" s="142" t="s">
        <v>51</v>
      </c>
      <c r="K42" s="142">
        <v>180</v>
      </c>
    </row>
    <row r="43" spans="2:11" s="53" customFormat="1" ht="15" customHeight="1" x14ac:dyDescent="0.2">
      <c r="B43" s="56"/>
      <c r="C43" s="82"/>
      <c r="D43" s="285">
        <v>2019</v>
      </c>
      <c r="E43" s="146">
        <f>SUM(F43:K43)</f>
        <v>338</v>
      </c>
      <c r="F43" s="142">
        <v>83</v>
      </c>
      <c r="G43" s="142">
        <v>1</v>
      </c>
      <c r="H43" s="142">
        <v>2</v>
      </c>
      <c r="I43" s="142">
        <v>106</v>
      </c>
      <c r="J43" s="237" t="s">
        <v>51</v>
      </c>
      <c r="K43" s="142">
        <v>146</v>
      </c>
    </row>
    <row r="44" spans="2:11" s="53" customFormat="1" ht="8.1" customHeight="1" x14ac:dyDescent="0.2">
      <c r="B44" s="56"/>
      <c r="C44" s="82"/>
      <c r="D44" s="285"/>
      <c r="E44" s="146"/>
      <c r="F44" s="142"/>
      <c r="G44" s="237"/>
      <c r="H44" s="142"/>
      <c r="I44" s="142"/>
      <c r="J44" s="142"/>
      <c r="K44" s="142"/>
    </row>
    <row r="45" spans="2:11" s="53" customFormat="1" ht="15" customHeight="1" x14ac:dyDescent="0.2">
      <c r="B45" s="56" t="s">
        <v>64</v>
      </c>
      <c r="C45" s="82"/>
      <c r="D45" s="285">
        <v>2017</v>
      </c>
      <c r="E45" s="146">
        <f t="shared" ref="E45" si="10">SUM(F45:K45)</f>
        <v>100</v>
      </c>
      <c r="F45" s="142">
        <v>26</v>
      </c>
      <c r="G45" s="142">
        <v>1</v>
      </c>
      <c r="H45" s="142">
        <v>4</v>
      </c>
      <c r="I45" s="142">
        <v>53</v>
      </c>
      <c r="J45" s="237">
        <v>1</v>
      </c>
      <c r="K45" s="142">
        <v>15</v>
      </c>
    </row>
    <row r="46" spans="2:11" s="53" customFormat="1" ht="15" customHeight="1" x14ac:dyDescent="0.2">
      <c r="B46" s="56"/>
      <c r="C46" s="82"/>
      <c r="D46" s="285">
        <v>2018</v>
      </c>
      <c r="E46" s="146">
        <f>SUM(F46:K46)</f>
        <v>90</v>
      </c>
      <c r="F46" s="142">
        <v>10</v>
      </c>
      <c r="G46" s="142" t="s">
        <v>51</v>
      </c>
      <c r="H46" s="142">
        <v>2</v>
      </c>
      <c r="I46" s="142">
        <v>46</v>
      </c>
      <c r="J46" s="142">
        <v>1</v>
      </c>
      <c r="K46" s="142">
        <v>31</v>
      </c>
    </row>
    <row r="47" spans="2:11" s="53" customFormat="1" ht="15" customHeight="1" x14ac:dyDescent="0.2">
      <c r="B47" s="56"/>
      <c r="C47" s="82"/>
      <c r="D47" s="285">
        <v>2019</v>
      </c>
      <c r="E47" s="146">
        <f>SUM(F47:K47)</f>
        <v>69</v>
      </c>
      <c r="F47" s="142">
        <v>23</v>
      </c>
      <c r="G47" s="237" t="s">
        <v>51</v>
      </c>
      <c r="H47" s="142">
        <v>1</v>
      </c>
      <c r="I47" s="142">
        <v>25</v>
      </c>
      <c r="J47" s="237" t="s">
        <v>51</v>
      </c>
      <c r="K47" s="142">
        <v>20</v>
      </c>
    </row>
    <row r="48" spans="2:11" s="53" customFormat="1" ht="8.1" customHeight="1" x14ac:dyDescent="0.2">
      <c r="B48" s="56"/>
      <c r="C48" s="82"/>
      <c r="D48" s="285"/>
      <c r="E48" s="146"/>
      <c r="F48" s="142"/>
      <c r="G48" s="142"/>
      <c r="H48" s="142"/>
      <c r="I48" s="142"/>
      <c r="J48" s="142"/>
      <c r="K48" s="142"/>
    </row>
    <row r="49" spans="1:12" s="53" customFormat="1" ht="15" customHeight="1" x14ac:dyDescent="0.2">
      <c r="B49" s="56" t="s">
        <v>65</v>
      </c>
      <c r="C49" s="82"/>
      <c r="D49" s="285">
        <v>2017</v>
      </c>
      <c r="E49" s="146">
        <f t="shared" ref="E49" si="11">SUM(F49:K49)</f>
        <v>208</v>
      </c>
      <c r="F49" s="142">
        <v>42</v>
      </c>
      <c r="G49" s="142">
        <v>4</v>
      </c>
      <c r="H49" s="142">
        <v>9</v>
      </c>
      <c r="I49" s="142">
        <v>99</v>
      </c>
      <c r="J49" s="142" t="s">
        <v>51</v>
      </c>
      <c r="K49" s="142">
        <v>54</v>
      </c>
    </row>
    <row r="50" spans="1:12" s="53" customFormat="1" ht="15" customHeight="1" x14ac:dyDescent="0.2">
      <c r="B50" s="56"/>
      <c r="C50" s="82"/>
      <c r="D50" s="285">
        <v>2018</v>
      </c>
      <c r="E50" s="146">
        <f>SUM(F50:K50)</f>
        <v>208</v>
      </c>
      <c r="F50" s="142">
        <v>39</v>
      </c>
      <c r="G50" s="142" t="s">
        <v>51</v>
      </c>
      <c r="H50" s="142">
        <v>6</v>
      </c>
      <c r="I50" s="142">
        <v>124</v>
      </c>
      <c r="J50" s="142" t="s">
        <v>51</v>
      </c>
      <c r="K50" s="142">
        <v>39</v>
      </c>
    </row>
    <row r="51" spans="1:12" s="53" customFormat="1" ht="15" customHeight="1" x14ac:dyDescent="0.2">
      <c r="A51" s="116"/>
      <c r="B51" s="56"/>
      <c r="C51" s="82"/>
      <c r="D51" s="285">
        <v>2019</v>
      </c>
      <c r="E51" s="146">
        <f>SUM(F51:K51)</f>
        <v>192</v>
      </c>
      <c r="F51" s="142">
        <v>37</v>
      </c>
      <c r="G51" s="142">
        <v>1</v>
      </c>
      <c r="H51" s="142">
        <v>19</v>
      </c>
      <c r="I51" s="142">
        <v>87</v>
      </c>
      <c r="J51" s="237" t="s">
        <v>51</v>
      </c>
      <c r="K51" s="142">
        <v>48</v>
      </c>
    </row>
    <row r="52" spans="1:12" s="53" customFormat="1" ht="8.1" customHeight="1" x14ac:dyDescent="0.2">
      <c r="B52" s="56"/>
      <c r="C52" s="82"/>
      <c r="D52" s="285"/>
      <c r="E52" s="146"/>
      <c r="F52" s="142"/>
      <c r="G52" s="142"/>
      <c r="H52" s="142"/>
      <c r="I52" s="142"/>
      <c r="J52" s="142"/>
      <c r="K52" s="142"/>
    </row>
    <row r="53" spans="1:12" s="116" customFormat="1" ht="15" customHeight="1" x14ac:dyDescent="0.2">
      <c r="B53" s="56" t="s">
        <v>66</v>
      </c>
      <c r="C53" s="82"/>
      <c r="D53" s="285">
        <v>2017</v>
      </c>
      <c r="E53" s="146">
        <f t="shared" ref="E53" si="12">SUM(F53:K53)</f>
        <v>55</v>
      </c>
      <c r="F53" s="142">
        <v>8</v>
      </c>
      <c r="G53" s="237">
        <v>1</v>
      </c>
      <c r="H53" s="142">
        <v>1</v>
      </c>
      <c r="I53" s="142">
        <v>28</v>
      </c>
      <c r="J53" s="142" t="s">
        <v>51</v>
      </c>
      <c r="K53" s="142">
        <v>17</v>
      </c>
    </row>
    <row r="54" spans="1:12" s="116" customFormat="1" ht="15" customHeight="1" x14ac:dyDescent="0.2">
      <c r="B54" s="56"/>
      <c r="C54" s="82"/>
      <c r="D54" s="285">
        <v>2018</v>
      </c>
      <c r="E54" s="146">
        <f>SUM(F54:K54)</f>
        <v>64</v>
      </c>
      <c r="F54" s="142">
        <v>8</v>
      </c>
      <c r="G54" s="142" t="s">
        <v>51</v>
      </c>
      <c r="H54" s="142">
        <v>6</v>
      </c>
      <c r="I54" s="142">
        <v>38</v>
      </c>
      <c r="J54" s="142" t="s">
        <v>51</v>
      </c>
      <c r="K54" s="142">
        <v>12</v>
      </c>
    </row>
    <row r="55" spans="1:12" s="116" customFormat="1" ht="15" customHeight="1" x14ac:dyDescent="0.2">
      <c r="B55" s="56"/>
      <c r="C55" s="82"/>
      <c r="D55" s="285">
        <v>2019</v>
      </c>
      <c r="E55" s="146">
        <f>SUM(F55:K55)</f>
        <v>55</v>
      </c>
      <c r="F55" s="142">
        <v>3</v>
      </c>
      <c r="G55" s="237" t="s">
        <v>51</v>
      </c>
      <c r="H55" s="142">
        <v>5</v>
      </c>
      <c r="I55" s="142">
        <v>37</v>
      </c>
      <c r="J55" s="237" t="s">
        <v>51</v>
      </c>
      <c r="K55" s="142">
        <v>10</v>
      </c>
    </row>
    <row r="56" spans="1:12" s="116" customFormat="1" ht="8.1" customHeight="1" x14ac:dyDescent="0.2">
      <c r="B56" s="56"/>
      <c r="C56" s="82"/>
      <c r="D56" s="285"/>
      <c r="E56" s="146"/>
      <c r="F56" s="142"/>
      <c r="G56" s="142"/>
      <c r="H56" s="142"/>
      <c r="I56" s="142"/>
      <c r="J56" s="142"/>
      <c r="K56" s="142"/>
    </row>
    <row r="57" spans="1:12" s="116" customFormat="1" ht="15" customHeight="1" x14ac:dyDescent="0.2">
      <c r="B57" s="56" t="s">
        <v>67</v>
      </c>
      <c r="C57" s="82"/>
      <c r="D57" s="285">
        <v>2017</v>
      </c>
      <c r="E57" s="146">
        <f t="shared" ref="E57" si="13">SUM(F57:K57)</f>
        <v>123</v>
      </c>
      <c r="F57" s="142">
        <v>11</v>
      </c>
      <c r="G57" s="142">
        <v>2</v>
      </c>
      <c r="H57" s="142">
        <v>6</v>
      </c>
      <c r="I57" s="142">
        <v>86</v>
      </c>
      <c r="J57" s="142">
        <v>1</v>
      </c>
      <c r="K57" s="142">
        <v>17</v>
      </c>
    </row>
    <row r="58" spans="1:12" s="116" customFormat="1" ht="15" customHeight="1" x14ac:dyDescent="0.2">
      <c r="B58" s="56"/>
      <c r="C58" s="82"/>
      <c r="D58" s="285">
        <v>2018</v>
      </c>
      <c r="E58" s="146">
        <f>SUM(F58:K58)</f>
        <v>142</v>
      </c>
      <c r="F58" s="142">
        <v>5</v>
      </c>
      <c r="G58" s="142">
        <v>3</v>
      </c>
      <c r="H58" s="142">
        <v>7</v>
      </c>
      <c r="I58" s="142">
        <v>114</v>
      </c>
      <c r="J58" s="142" t="s">
        <v>51</v>
      </c>
      <c r="K58" s="142">
        <v>13</v>
      </c>
    </row>
    <row r="59" spans="1:12" s="116" customFormat="1" ht="15" customHeight="1" x14ac:dyDescent="0.2">
      <c r="B59" s="56"/>
      <c r="C59" s="82"/>
      <c r="D59" s="285">
        <v>2019</v>
      </c>
      <c r="E59" s="146">
        <f>SUM(F59:K59)</f>
        <v>115</v>
      </c>
      <c r="F59" s="116">
        <v>9</v>
      </c>
      <c r="G59" s="116">
        <v>1</v>
      </c>
      <c r="H59" s="116">
        <v>6</v>
      </c>
      <c r="I59" s="116">
        <v>70</v>
      </c>
      <c r="J59" s="411" t="s">
        <v>51</v>
      </c>
      <c r="K59" s="116">
        <v>29</v>
      </c>
    </row>
    <row r="60" spans="1:12" s="7" customFormat="1" ht="8.1" customHeight="1" thickBot="1" x14ac:dyDescent="0.25">
      <c r="A60" s="34"/>
      <c r="B60" s="16"/>
      <c r="C60" s="164"/>
      <c r="D60" s="238"/>
      <c r="E60" s="178"/>
      <c r="F60" s="178"/>
      <c r="G60" s="178"/>
      <c r="H60" s="178"/>
      <c r="I60" s="178"/>
      <c r="J60" s="157"/>
      <c r="K60" s="178"/>
      <c r="L60" s="34"/>
    </row>
    <row r="61" spans="1:12" x14ac:dyDescent="0.25">
      <c r="B61" s="239"/>
      <c r="C61" s="239"/>
      <c r="D61" s="240"/>
      <c r="E61" s="182"/>
      <c r="F61" s="183"/>
      <c r="G61" s="7"/>
      <c r="H61" s="7"/>
      <c r="I61" s="241"/>
      <c r="J61" s="184"/>
      <c r="K61" s="8" t="s">
        <v>99</v>
      </c>
    </row>
    <row r="62" spans="1:12" x14ac:dyDescent="0.25">
      <c r="B62" s="7"/>
      <c r="C62" s="7"/>
      <c r="D62" s="240"/>
      <c r="E62" s="242"/>
      <c r="F62" s="240"/>
      <c r="G62" s="239"/>
      <c r="H62" s="239"/>
      <c r="I62" s="240"/>
      <c r="J62" s="183"/>
      <c r="K62" s="41" t="s">
        <v>1</v>
      </c>
    </row>
    <row r="63" spans="1:12" x14ac:dyDescent="0.25">
      <c r="A63" s="359" t="s">
        <v>254</v>
      </c>
      <c r="B63" s="27"/>
      <c r="D63" s="3"/>
      <c r="J63" s="2"/>
    </row>
    <row r="64" spans="1:12" x14ac:dyDescent="0.25">
      <c r="A64" s="420" t="s">
        <v>252</v>
      </c>
      <c r="B64" s="420"/>
      <c r="D64" s="3"/>
      <c r="J64" s="2"/>
    </row>
    <row r="65" spans="1:12" s="53" customFormat="1" ht="14.25" x14ac:dyDescent="0.2">
      <c r="A65" s="362" t="s">
        <v>253</v>
      </c>
      <c r="B65" s="362"/>
      <c r="C65" s="115"/>
      <c r="D65" s="115"/>
      <c r="E65" s="190"/>
      <c r="F65" s="189"/>
      <c r="G65" s="189"/>
      <c r="H65" s="191"/>
      <c r="I65" s="189"/>
      <c r="L65" s="2"/>
    </row>
  </sheetData>
  <mergeCells count="6">
    <mergeCell ref="K10:K11"/>
    <mergeCell ref="B10:C11"/>
    <mergeCell ref="E10:E11"/>
    <mergeCell ref="F10:F11"/>
    <mergeCell ref="G10:I10"/>
    <mergeCell ref="J10:J11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83" fitToWidth="0" orientation="portrait" r:id="rId1"/>
  <headerFooter>
    <oddHeader xml:space="preserve">&amp;R&amp;"-,Bold"
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61"/>
  <sheetViews>
    <sheetView showGridLines="0" view="pageBreakPreview" topLeftCell="A37" zoomScaleNormal="100" zoomScaleSheetLayoutView="100" workbookViewId="0">
      <selection activeCell="AA22" sqref="AA22"/>
    </sheetView>
  </sheetViews>
  <sheetFormatPr defaultRowHeight="15" x14ac:dyDescent="0.25"/>
  <cols>
    <col min="1" max="1" width="0.85546875" style="2" customWidth="1"/>
    <col min="2" max="2" width="10" style="3" customWidth="1"/>
    <col min="3" max="3" width="7.42578125" style="3" customWidth="1"/>
    <col min="4" max="4" width="8.5703125" style="3" customWidth="1"/>
    <col min="5" max="5" width="11.7109375" style="4" customWidth="1"/>
    <col min="6" max="7" width="11.7109375" style="5" customWidth="1"/>
    <col min="8" max="8" width="11.7109375" style="185" customWidth="1"/>
    <col min="9" max="9" width="12.28515625" style="5" customWidth="1"/>
    <col min="10" max="11" width="11.7109375" style="2" customWidth="1"/>
    <col min="12" max="12" width="0.7109375" style="2" customWidth="1"/>
    <col min="13" max="16384" width="9.140625" style="2"/>
  </cols>
  <sheetData>
    <row r="1" spans="1:12" s="30" customFormat="1" ht="12.95" customHeight="1" x14ac:dyDescent="0.25">
      <c r="B1" s="27"/>
      <c r="C1" s="27"/>
      <c r="D1" s="29"/>
      <c r="E1" s="28"/>
      <c r="F1" s="29"/>
      <c r="J1" s="29"/>
      <c r="K1" s="160" t="s">
        <v>179</v>
      </c>
    </row>
    <row r="2" spans="1:12" s="30" customFormat="1" ht="12.95" customHeight="1" x14ac:dyDescent="0.25">
      <c r="B2" s="27"/>
      <c r="C2" s="27"/>
      <c r="D2" s="29"/>
      <c r="E2" s="28"/>
      <c r="F2" s="29"/>
      <c r="J2" s="29"/>
      <c r="K2" s="68" t="s">
        <v>180</v>
      </c>
    </row>
    <row r="3" spans="1:12" s="30" customFormat="1" ht="12" customHeight="1" x14ac:dyDescent="0.25">
      <c r="B3" s="27"/>
      <c r="C3" s="27"/>
      <c r="D3" s="29"/>
      <c r="E3" s="28"/>
      <c r="F3" s="29"/>
      <c r="G3" s="68"/>
      <c r="J3" s="29"/>
    </row>
    <row r="4" spans="1:12" s="30" customFormat="1" ht="12" customHeight="1" x14ac:dyDescent="0.25">
      <c r="B4" s="27"/>
      <c r="C4" s="27"/>
      <c r="D4" s="29"/>
      <c r="E4" s="28"/>
      <c r="F4" s="29"/>
      <c r="G4" s="68"/>
      <c r="J4" s="29"/>
    </row>
    <row r="5" spans="1:12" s="53" customFormat="1" ht="9.9499999999999993" customHeight="1" x14ac:dyDescent="0.2">
      <c r="B5" s="115"/>
      <c r="C5" s="115"/>
      <c r="D5" s="189"/>
      <c r="E5" s="190"/>
      <c r="F5" s="189"/>
      <c r="G5" s="189"/>
      <c r="H5" s="191"/>
      <c r="I5" s="189"/>
      <c r="J5" s="114"/>
    </row>
    <row r="6" spans="1:12" s="53" customFormat="1" ht="15" customHeight="1" x14ac:dyDescent="0.2">
      <c r="B6" s="63" t="s">
        <v>208</v>
      </c>
      <c r="C6" s="64" t="s">
        <v>249</v>
      </c>
      <c r="D6" s="189"/>
      <c r="E6" s="190"/>
      <c r="F6" s="64"/>
      <c r="G6" s="64"/>
      <c r="H6" s="64"/>
      <c r="I6" s="64"/>
      <c r="J6" s="79"/>
      <c r="K6" s="64"/>
      <c r="L6" s="179"/>
    </row>
    <row r="7" spans="1:12" s="53" customFormat="1" ht="18" customHeight="1" x14ac:dyDescent="0.2">
      <c r="B7" s="80" t="s">
        <v>209</v>
      </c>
      <c r="C7" s="86" t="s">
        <v>250</v>
      </c>
      <c r="D7" s="189"/>
      <c r="E7" s="190"/>
      <c r="F7" s="86"/>
      <c r="G7" s="86"/>
      <c r="H7" s="86"/>
      <c r="I7" s="86"/>
      <c r="J7" s="235"/>
      <c r="K7" s="86"/>
      <c r="L7" s="180"/>
    </row>
    <row r="8" spans="1:12" s="53" customFormat="1" ht="7.5" customHeight="1" thickBot="1" x14ac:dyDescent="0.25">
      <c r="B8" s="194"/>
      <c r="C8" s="194"/>
      <c r="D8" s="216"/>
      <c r="E8" s="215"/>
      <c r="F8" s="216"/>
      <c r="G8" s="216"/>
      <c r="H8" s="217"/>
      <c r="I8" s="216"/>
      <c r="J8" s="143"/>
      <c r="K8" s="116"/>
    </row>
    <row r="9" spans="1:12" s="53" customFormat="1" ht="8.1" customHeight="1" thickTop="1" x14ac:dyDescent="0.2">
      <c r="A9" s="378"/>
      <c r="B9" s="389"/>
      <c r="C9" s="389"/>
      <c r="D9" s="377"/>
      <c r="E9" s="400"/>
      <c r="F9" s="377"/>
      <c r="G9" s="377"/>
      <c r="H9" s="401"/>
      <c r="I9" s="377"/>
      <c r="J9" s="375"/>
      <c r="K9" s="378"/>
      <c r="L9" s="378"/>
    </row>
    <row r="10" spans="1:12" s="53" customFormat="1" ht="30.75" customHeight="1" x14ac:dyDescent="0.2">
      <c r="A10" s="390"/>
      <c r="B10" s="443" t="s">
        <v>207</v>
      </c>
      <c r="C10" s="443"/>
      <c r="D10" s="405" t="s">
        <v>96</v>
      </c>
      <c r="E10" s="437" t="s">
        <v>92</v>
      </c>
      <c r="F10" s="437" t="s">
        <v>203</v>
      </c>
      <c r="G10" s="440" t="s">
        <v>191</v>
      </c>
      <c r="H10" s="440"/>
      <c r="I10" s="440"/>
      <c r="J10" s="439" t="s">
        <v>251</v>
      </c>
      <c r="K10" s="437" t="s">
        <v>192</v>
      </c>
      <c r="L10" s="390"/>
    </row>
    <row r="11" spans="1:12" s="102" customFormat="1" ht="55.5" customHeight="1" x14ac:dyDescent="0.2">
      <c r="A11" s="398"/>
      <c r="B11" s="444"/>
      <c r="C11" s="444"/>
      <c r="D11" s="404"/>
      <c r="E11" s="442"/>
      <c r="F11" s="442"/>
      <c r="G11" s="403" t="s">
        <v>193</v>
      </c>
      <c r="H11" s="403" t="s">
        <v>194</v>
      </c>
      <c r="I11" s="403" t="s">
        <v>204</v>
      </c>
      <c r="J11" s="441"/>
      <c r="K11" s="442"/>
      <c r="L11" s="398"/>
    </row>
    <row r="12" spans="1:12" s="102" customFormat="1" ht="8.1" customHeight="1" x14ac:dyDescent="0.2">
      <c r="A12" s="106"/>
      <c r="B12" s="236"/>
      <c r="C12" s="236"/>
      <c r="D12" s="149"/>
      <c r="E12" s="90"/>
      <c r="F12" s="218"/>
      <c r="G12" s="90"/>
      <c r="H12" s="90"/>
      <c r="I12" s="90"/>
      <c r="J12" s="218"/>
      <c r="K12" s="90"/>
      <c r="L12" s="106"/>
    </row>
    <row r="13" spans="1:12" s="116" customFormat="1" ht="15" customHeight="1" x14ac:dyDescent="0.2">
      <c r="B13" s="61" t="s">
        <v>182</v>
      </c>
      <c r="D13" s="243">
        <v>2017</v>
      </c>
      <c r="E13" s="244">
        <f>SUM(F13:K13)</f>
        <v>3920</v>
      </c>
      <c r="F13" s="244">
        <f t="shared" ref="F13:K15" si="0">SUM(F17,F21,F25,F29,F33,F37,F41,F45,F49,F53)</f>
        <v>570</v>
      </c>
      <c r="G13" s="244">
        <f t="shared" si="0"/>
        <v>98</v>
      </c>
      <c r="H13" s="244">
        <f t="shared" si="0"/>
        <v>722</v>
      </c>
      <c r="I13" s="244">
        <f t="shared" si="0"/>
        <v>1983</v>
      </c>
      <c r="J13" s="292" t="s">
        <v>51</v>
      </c>
      <c r="K13" s="244">
        <f t="shared" si="0"/>
        <v>547</v>
      </c>
    </row>
    <row r="14" spans="1:12" s="116" customFormat="1" ht="15" customHeight="1" x14ac:dyDescent="0.2">
      <c r="B14" s="106"/>
      <c r="D14" s="243">
        <v>2018</v>
      </c>
      <c r="E14" s="244">
        <f>SUM(F14:K14)</f>
        <v>3476</v>
      </c>
      <c r="F14" s="244">
        <f t="shared" si="0"/>
        <v>699</v>
      </c>
      <c r="G14" s="244">
        <f t="shared" si="0"/>
        <v>64</v>
      </c>
      <c r="H14" s="244">
        <f t="shared" si="0"/>
        <v>489</v>
      </c>
      <c r="I14" s="244">
        <f t="shared" si="0"/>
        <v>1611</v>
      </c>
      <c r="J14" s="292" t="s">
        <v>51</v>
      </c>
      <c r="K14" s="244">
        <f t="shared" si="0"/>
        <v>613</v>
      </c>
    </row>
    <row r="15" spans="1:12" s="116" customFormat="1" ht="15" customHeight="1" x14ac:dyDescent="0.2">
      <c r="B15" s="106"/>
      <c r="D15" s="243">
        <v>2019</v>
      </c>
      <c r="E15" s="244">
        <f>SUM(F15:K15)</f>
        <v>3075</v>
      </c>
      <c r="F15" s="244">
        <f t="shared" si="0"/>
        <v>929</v>
      </c>
      <c r="G15" s="244">
        <f t="shared" si="0"/>
        <v>20</v>
      </c>
      <c r="H15" s="244">
        <f t="shared" si="0"/>
        <v>301</v>
      </c>
      <c r="I15" s="244">
        <f t="shared" si="0"/>
        <v>1069</v>
      </c>
      <c r="J15" s="244">
        <f t="shared" si="0"/>
        <v>1</v>
      </c>
      <c r="K15" s="244">
        <f t="shared" si="0"/>
        <v>755</v>
      </c>
      <c r="L15" s="245">
        <f t="shared" ref="L15" si="1">L19+L23+L27+L31+L35+L39+L43+L47+L51+L55</f>
        <v>0</v>
      </c>
    </row>
    <row r="16" spans="1:12" s="116" customFormat="1" ht="8.1" customHeight="1" x14ac:dyDescent="0.25">
      <c r="B16" s="106"/>
      <c r="D16" s="223"/>
      <c r="E16" s="246"/>
      <c r="F16" s="286"/>
      <c r="G16" s="287"/>
      <c r="H16" s="287"/>
      <c r="I16" s="287"/>
      <c r="J16" s="287"/>
      <c r="K16" s="287"/>
    </row>
    <row r="17" spans="1:11" s="116" customFormat="1" ht="15" customHeight="1" x14ac:dyDescent="0.25">
      <c r="A17" s="115"/>
      <c r="B17" s="56" t="s">
        <v>11</v>
      </c>
      <c r="C17" s="82"/>
      <c r="D17" s="223">
        <v>2017</v>
      </c>
      <c r="E17" s="246">
        <f t="shared" ref="E17" si="2">SUM(F17:K17)</f>
        <v>253</v>
      </c>
      <c r="F17" s="286">
        <f>55+12</f>
        <v>67</v>
      </c>
      <c r="G17" s="287">
        <v>5</v>
      </c>
      <c r="H17" s="287">
        <v>19</v>
      </c>
      <c r="I17" s="287">
        <v>130</v>
      </c>
      <c r="J17" s="288" t="s">
        <v>51</v>
      </c>
      <c r="K17" s="287">
        <f>3+4+10+1+14</f>
        <v>32</v>
      </c>
    </row>
    <row r="18" spans="1:11" s="116" customFormat="1" ht="15" customHeight="1" x14ac:dyDescent="0.25">
      <c r="B18" s="56"/>
      <c r="C18" s="82"/>
      <c r="D18" s="223">
        <v>2018</v>
      </c>
      <c r="E18" s="246">
        <f>SUM(F18:K18)</f>
        <v>217</v>
      </c>
      <c r="F18" s="286">
        <v>44</v>
      </c>
      <c r="G18" s="287">
        <v>3</v>
      </c>
      <c r="H18" s="287">
        <v>20</v>
      </c>
      <c r="I18" s="287">
        <v>109</v>
      </c>
      <c r="J18" s="341" t="s">
        <v>51</v>
      </c>
      <c r="K18" s="287">
        <v>41</v>
      </c>
    </row>
    <row r="19" spans="1:11" s="116" customFormat="1" ht="15" customHeight="1" x14ac:dyDescent="0.25">
      <c r="B19" s="56"/>
      <c r="C19" s="82"/>
      <c r="D19" s="223">
        <v>2019</v>
      </c>
      <c r="E19" s="246">
        <f>SUM(F19:K19)</f>
        <v>200</v>
      </c>
      <c r="F19" s="286">
        <v>70</v>
      </c>
      <c r="G19" s="289">
        <v>3</v>
      </c>
      <c r="H19" s="289">
        <v>21</v>
      </c>
      <c r="I19" s="287">
        <v>62</v>
      </c>
      <c r="J19" s="291" t="s">
        <v>51</v>
      </c>
      <c r="K19" s="289">
        <v>44</v>
      </c>
    </row>
    <row r="20" spans="1:11" s="116" customFormat="1" ht="8.1" customHeight="1" x14ac:dyDescent="0.25">
      <c r="A20" s="53"/>
      <c r="B20" s="56"/>
      <c r="C20" s="82"/>
      <c r="D20" s="223"/>
      <c r="E20" s="246"/>
      <c r="F20" s="286"/>
      <c r="G20" s="287"/>
      <c r="H20" s="287"/>
      <c r="I20" s="287"/>
      <c r="J20" s="287"/>
      <c r="K20" s="287"/>
    </row>
    <row r="21" spans="1:11" s="116" customFormat="1" ht="15" customHeight="1" x14ac:dyDescent="0.25">
      <c r="A21" s="53"/>
      <c r="B21" s="56" t="s">
        <v>18</v>
      </c>
      <c r="C21" s="82"/>
      <c r="D21" s="223">
        <v>2017</v>
      </c>
      <c r="E21" s="246">
        <f t="shared" ref="E21" si="3">SUM(F21:K21)</f>
        <v>164</v>
      </c>
      <c r="F21" s="290">
        <f>24+2</f>
        <v>26</v>
      </c>
      <c r="G21" s="287">
        <v>2</v>
      </c>
      <c r="H21" s="287">
        <v>26</v>
      </c>
      <c r="I21" s="288">
        <v>72</v>
      </c>
      <c r="J21" s="288" t="s">
        <v>51</v>
      </c>
      <c r="K21" s="287">
        <f>4+5+12+17</f>
        <v>38</v>
      </c>
    </row>
    <row r="22" spans="1:11" s="116" customFormat="1" ht="15" customHeight="1" x14ac:dyDescent="0.25">
      <c r="A22" s="53"/>
      <c r="B22" s="56"/>
      <c r="C22" s="82"/>
      <c r="D22" s="223">
        <v>2018</v>
      </c>
      <c r="E22" s="246">
        <f>SUM(F22:K22)</f>
        <v>123</v>
      </c>
      <c r="F22" s="286">
        <v>16</v>
      </c>
      <c r="G22" s="286">
        <v>8</v>
      </c>
      <c r="H22" s="286">
        <v>17</v>
      </c>
      <c r="I22" s="286">
        <v>42</v>
      </c>
      <c r="J22" s="341" t="s">
        <v>51</v>
      </c>
      <c r="K22" s="286">
        <v>40</v>
      </c>
    </row>
    <row r="23" spans="1:11" s="116" customFormat="1" ht="15" customHeight="1" x14ac:dyDescent="0.25">
      <c r="B23" s="56"/>
      <c r="C23" s="82"/>
      <c r="D23" s="223">
        <v>2019</v>
      </c>
      <c r="E23" s="246">
        <f>SUM(F23:K23)</f>
        <v>122</v>
      </c>
      <c r="F23" s="290">
        <v>36</v>
      </c>
      <c r="G23" s="288" t="s">
        <v>51</v>
      </c>
      <c r="H23" s="287">
        <v>8</v>
      </c>
      <c r="I23" s="288">
        <v>33</v>
      </c>
      <c r="J23" s="287">
        <v>1</v>
      </c>
      <c r="K23" s="287">
        <v>44</v>
      </c>
    </row>
    <row r="24" spans="1:11" s="116" customFormat="1" ht="8.1" customHeight="1" x14ac:dyDescent="0.25">
      <c r="B24" s="56"/>
      <c r="C24" s="82"/>
      <c r="D24" s="223"/>
      <c r="E24" s="246"/>
      <c r="F24" s="286"/>
      <c r="G24" s="287"/>
      <c r="H24" s="287"/>
      <c r="I24" s="287"/>
      <c r="J24" s="288"/>
      <c r="K24" s="287"/>
    </row>
    <row r="25" spans="1:11" s="116" customFormat="1" ht="15" customHeight="1" x14ac:dyDescent="0.25">
      <c r="B25" s="56" t="s">
        <v>20</v>
      </c>
      <c r="C25" s="82"/>
      <c r="D25" s="223">
        <v>2017</v>
      </c>
      <c r="E25" s="246">
        <f t="shared" ref="E25" si="4">SUM(F25:K25)</f>
        <v>43</v>
      </c>
      <c r="F25" s="286">
        <f>10+4</f>
        <v>14</v>
      </c>
      <c r="G25" s="288" t="s">
        <v>51</v>
      </c>
      <c r="H25" s="287">
        <v>3</v>
      </c>
      <c r="I25" s="287">
        <v>22</v>
      </c>
      <c r="J25" s="288" t="s">
        <v>51</v>
      </c>
      <c r="K25" s="287">
        <f>1+3</f>
        <v>4</v>
      </c>
    </row>
    <row r="26" spans="1:11" s="116" customFormat="1" ht="15" customHeight="1" x14ac:dyDescent="0.25">
      <c r="A26" s="53"/>
      <c r="B26" s="56"/>
      <c r="C26" s="82"/>
      <c r="D26" s="223">
        <v>2018</v>
      </c>
      <c r="E26" s="246">
        <f>SUM(F26:K26)</f>
        <v>43</v>
      </c>
      <c r="F26" s="308">
        <v>15</v>
      </c>
      <c r="G26" s="308">
        <v>2</v>
      </c>
      <c r="H26" s="308">
        <v>2</v>
      </c>
      <c r="I26" s="308">
        <v>16</v>
      </c>
      <c r="J26" s="338" t="s">
        <v>51</v>
      </c>
      <c r="K26" s="308">
        <v>8</v>
      </c>
    </row>
    <row r="27" spans="1:11" s="53" customFormat="1" ht="15" customHeight="1" x14ac:dyDescent="0.25">
      <c r="A27" s="116"/>
      <c r="B27" s="56"/>
      <c r="C27" s="82"/>
      <c r="D27" s="223">
        <v>2019</v>
      </c>
      <c r="E27" s="246">
        <f>SUM(F27:K27)</f>
        <v>45</v>
      </c>
      <c r="F27" s="286">
        <v>21</v>
      </c>
      <c r="G27" s="288" t="s">
        <v>51</v>
      </c>
      <c r="H27" s="287">
        <v>4</v>
      </c>
      <c r="I27" s="287">
        <v>11</v>
      </c>
      <c r="J27" s="288" t="s">
        <v>51</v>
      </c>
      <c r="K27" s="287">
        <v>9</v>
      </c>
    </row>
    <row r="28" spans="1:11" s="53" customFormat="1" ht="8.1" customHeight="1" x14ac:dyDescent="0.25">
      <c r="A28" s="116"/>
      <c r="B28" s="56"/>
      <c r="C28" s="82"/>
      <c r="D28" s="223"/>
      <c r="E28" s="246"/>
      <c r="F28" s="286"/>
      <c r="G28" s="287"/>
      <c r="H28" s="287"/>
      <c r="I28" s="287"/>
      <c r="J28" s="287"/>
      <c r="K28" s="287"/>
    </row>
    <row r="29" spans="1:11" s="53" customFormat="1" ht="15" customHeight="1" x14ac:dyDescent="0.25">
      <c r="B29" s="56" t="s">
        <v>12</v>
      </c>
      <c r="C29" s="82"/>
      <c r="D29" s="223">
        <v>2017</v>
      </c>
      <c r="E29" s="246">
        <f t="shared" ref="E29" si="5">SUM(F29:K29)</f>
        <v>1812</v>
      </c>
      <c r="F29" s="286">
        <f>131+27</f>
        <v>158</v>
      </c>
      <c r="G29" s="287">
        <f>1+65</f>
        <v>66</v>
      </c>
      <c r="H29" s="287">
        <v>434</v>
      </c>
      <c r="I29" s="287">
        <v>1013</v>
      </c>
      <c r="J29" s="288" t="s">
        <v>51</v>
      </c>
      <c r="K29" s="287">
        <f>19+13+76+1+32</f>
        <v>141</v>
      </c>
    </row>
    <row r="30" spans="1:11" s="53" customFormat="1" ht="15" customHeight="1" x14ac:dyDescent="0.25">
      <c r="B30" s="56"/>
      <c r="C30" s="82"/>
      <c r="D30" s="223">
        <v>2018</v>
      </c>
      <c r="E30" s="246">
        <f>SUM(F30:K30)</f>
        <v>1429</v>
      </c>
      <c r="F30" s="308">
        <v>34</v>
      </c>
      <c r="G30" s="308">
        <v>32</v>
      </c>
      <c r="H30" s="308">
        <v>288</v>
      </c>
      <c r="I30" s="308">
        <v>900</v>
      </c>
      <c r="J30" s="338" t="s">
        <v>51</v>
      </c>
      <c r="K30" s="308">
        <v>175</v>
      </c>
    </row>
    <row r="31" spans="1:11" s="53" customFormat="1" ht="15" customHeight="1" x14ac:dyDescent="0.25">
      <c r="A31" s="116"/>
      <c r="B31" s="56"/>
      <c r="C31" s="82"/>
      <c r="D31" s="223">
        <v>2019</v>
      </c>
      <c r="E31" s="246">
        <f>SUM(F31:K31)</f>
        <v>1351</v>
      </c>
      <c r="F31" s="286">
        <v>341</v>
      </c>
      <c r="G31" s="287">
        <v>11</v>
      </c>
      <c r="H31" s="287">
        <v>176</v>
      </c>
      <c r="I31" s="287">
        <v>565</v>
      </c>
      <c r="J31" s="288" t="s">
        <v>51</v>
      </c>
      <c r="K31" s="287">
        <v>258</v>
      </c>
    </row>
    <row r="32" spans="1:11" s="53" customFormat="1" ht="8.1" customHeight="1" x14ac:dyDescent="0.25">
      <c r="A32" s="116"/>
      <c r="B32" s="56"/>
      <c r="C32" s="82"/>
      <c r="D32" s="223"/>
      <c r="E32" s="246"/>
      <c r="F32" s="286"/>
      <c r="G32" s="287"/>
      <c r="H32" s="287"/>
      <c r="I32" s="287"/>
      <c r="J32" s="288"/>
      <c r="K32" s="287"/>
    </row>
    <row r="33" spans="1:14" s="53" customFormat="1" ht="15" customHeight="1" x14ac:dyDescent="0.25">
      <c r="B33" s="56" t="s">
        <v>19</v>
      </c>
      <c r="C33" s="82"/>
      <c r="D33" s="223">
        <v>2017</v>
      </c>
      <c r="E33" s="246">
        <f t="shared" ref="E33" si="6">SUM(F33:K33)</f>
        <v>210</v>
      </c>
      <c r="F33" s="286">
        <f>27+6</f>
        <v>33</v>
      </c>
      <c r="G33" s="287">
        <v>2</v>
      </c>
      <c r="H33" s="287">
        <v>36</v>
      </c>
      <c r="I33" s="287">
        <v>75</v>
      </c>
      <c r="J33" s="288" t="s">
        <v>51</v>
      </c>
      <c r="K33" s="287">
        <f>4+10+20+30</f>
        <v>64</v>
      </c>
    </row>
    <row r="34" spans="1:14" s="53" customFormat="1" ht="15" customHeight="1" x14ac:dyDescent="0.25">
      <c r="B34" s="56"/>
      <c r="C34" s="82"/>
      <c r="D34" s="223">
        <v>2018</v>
      </c>
      <c r="E34" s="246">
        <f>SUM(F34:K34)</f>
        <v>162</v>
      </c>
      <c r="F34" s="308">
        <v>42</v>
      </c>
      <c r="G34" s="308">
        <v>2</v>
      </c>
      <c r="H34" s="308">
        <v>15</v>
      </c>
      <c r="I34" s="308">
        <v>36</v>
      </c>
      <c r="J34" s="338" t="s">
        <v>51</v>
      </c>
      <c r="K34" s="308">
        <v>67</v>
      </c>
    </row>
    <row r="35" spans="1:14" s="53" customFormat="1" ht="15" customHeight="1" x14ac:dyDescent="0.25">
      <c r="A35" s="116"/>
      <c r="B35" s="56"/>
      <c r="C35" s="82"/>
      <c r="D35" s="223">
        <v>2019</v>
      </c>
      <c r="E35" s="246">
        <f>SUM(F35:K35)</f>
        <v>134</v>
      </c>
      <c r="F35" s="286">
        <v>40</v>
      </c>
      <c r="G35" s="287">
        <v>1</v>
      </c>
      <c r="H35" s="287">
        <v>8</v>
      </c>
      <c r="I35" s="287">
        <v>23</v>
      </c>
      <c r="J35" s="288" t="s">
        <v>51</v>
      </c>
      <c r="K35" s="287">
        <v>62</v>
      </c>
    </row>
    <row r="36" spans="1:14" s="53" customFormat="1" ht="8.1" customHeight="1" x14ac:dyDescent="0.25">
      <c r="A36" s="116"/>
      <c r="B36" s="56"/>
      <c r="C36" s="82"/>
      <c r="D36" s="223"/>
      <c r="E36" s="246"/>
      <c r="F36" s="286"/>
      <c r="G36" s="287"/>
      <c r="H36" s="287"/>
      <c r="I36" s="287"/>
      <c r="J36" s="287"/>
      <c r="K36" s="287"/>
    </row>
    <row r="37" spans="1:14" s="53" customFormat="1" ht="15" customHeight="1" x14ac:dyDescent="0.25">
      <c r="B37" s="56" t="s">
        <v>13</v>
      </c>
      <c r="C37" s="82"/>
      <c r="D37" s="223">
        <v>2017</v>
      </c>
      <c r="E37" s="246">
        <f t="shared" ref="E37" si="7">SUM(F37:K37)</f>
        <v>177</v>
      </c>
      <c r="F37" s="286">
        <f>30+5</f>
        <v>35</v>
      </c>
      <c r="G37" s="287">
        <v>2</v>
      </c>
      <c r="H37" s="287">
        <v>34</v>
      </c>
      <c r="I37" s="287">
        <v>71</v>
      </c>
      <c r="J37" s="288" t="s">
        <v>51</v>
      </c>
      <c r="K37" s="287">
        <f>3+1+7+1+23</f>
        <v>35</v>
      </c>
    </row>
    <row r="38" spans="1:14" s="53" customFormat="1" ht="15" customHeight="1" x14ac:dyDescent="0.25">
      <c r="B38" s="56"/>
      <c r="C38" s="82"/>
      <c r="D38" s="223">
        <v>2018</v>
      </c>
      <c r="E38" s="246">
        <f>SUM(F38:K38)</f>
        <v>351</v>
      </c>
      <c r="F38" s="308">
        <v>234</v>
      </c>
      <c r="G38" s="337">
        <v>3</v>
      </c>
      <c r="H38" s="337">
        <v>36</v>
      </c>
      <c r="I38" s="337">
        <v>54</v>
      </c>
      <c r="J38" s="338" t="s">
        <v>51</v>
      </c>
      <c r="K38" s="337">
        <v>24</v>
      </c>
    </row>
    <row r="39" spans="1:14" s="115" customFormat="1" ht="15" customHeight="1" x14ac:dyDescent="0.25">
      <c r="A39" s="116"/>
      <c r="B39" s="56"/>
      <c r="C39" s="82"/>
      <c r="D39" s="223">
        <v>2019</v>
      </c>
      <c r="E39" s="246">
        <f>SUM(F39:K39)</f>
        <v>169</v>
      </c>
      <c r="F39" s="286">
        <v>63</v>
      </c>
      <c r="G39" s="287">
        <v>1</v>
      </c>
      <c r="H39" s="287">
        <v>20</v>
      </c>
      <c r="I39" s="287">
        <v>36</v>
      </c>
      <c r="J39" s="288" t="s">
        <v>51</v>
      </c>
      <c r="K39" s="287">
        <v>49</v>
      </c>
      <c r="L39" s="53"/>
      <c r="M39" s="53"/>
      <c r="N39" s="53"/>
    </row>
    <row r="40" spans="1:14" s="115" customFormat="1" ht="8.1" customHeight="1" x14ac:dyDescent="0.25">
      <c r="A40" s="116"/>
      <c r="B40" s="56"/>
      <c r="C40" s="82"/>
      <c r="D40" s="223"/>
      <c r="E40" s="246"/>
      <c r="F40" s="286"/>
      <c r="G40" s="287"/>
      <c r="H40" s="287"/>
      <c r="I40" s="287"/>
      <c r="J40" s="287"/>
      <c r="K40" s="287"/>
      <c r="L40" s="53"/>
      <c r="M40" s="53"/>
      <c r="N40" s="53"/>
    </row>
    <row r="41" spans="1:14" s="53" customFormat="1" ht="15" customHeight="1" x14ac:dyDescent="0.25">
      <c r="B41" s="56" t="s">
        <v>14</v>
      </c>
      <c r="C41" s="82"/>
      <c r="D41" s="223">
        <v>2017</v>
      </c>
      <c r="E41" s="246">
        <f t="shared" ref="E41" si="8">SUM(F41:K41)</f>
        <v>426</v>
      </c>
      <c r="F41" s="286">
        <f>71+25</f>
        <v>96</v>
      </c>
      <c r="G41" s="287">
        <v>8</v>
      </c>
      <c r="H41" s="287">
        <v>50</v>
      </c>
      <c r="I41" s="287">
        <v>173</v>
      </c>
      <c r="J41" s="288" t="s">
        <v>51</v>
      </c>
      <c r="K41" s="287">
        <v>99</v>
      </c>
    </row>
    <row r="42" spans="1:14" s="53" customFormat="1" ht="15" customHeight="1" x14ac:dyDescent="0.25">
      <c r="B42" s="56"/>
      <c r="C42" s="82"/>
      <c r="D42" s="223">
        <v>2018</v>
      </c>
      <c r="E42" s="246">
        <f>SUM(F42:K42)</f>
        <v>375</v>
      </c>
      <c r="F42" s="308">
        <v>112</v>
      </c>
      <c r="G42" s="308">
        <v>6</v>
      </c>
      <c r="H42" s="308">
        <v>37</v>
      </c>
      <c r="I42" s="308">
        <v>96</v>
      </c>
      <c r="J42" s="338" t="s">
        <v>51</v>
      </c>
      <c r="K42" s="308">
        <v>124</v>
      </c>
    </row>
    <row r="43" spans="1:14" s="53" customFormat="1" ht="15" customHeight="1" x14ac:dyDescent="0.25">
      <c r="A43" s="116"/>
      <c r="B43" s="56"/>
      <c r="C43" s="82"/>
      <c r="D43" s="223">
        <v>2019</v>
      </c>
      <c r="E43" s="246">
        <f>SUM(F43:K43)</f>
        <v>349</v>
      </c>
      <c r="F43" s="286">
        <v>146</v>
      </c>
      <c r="G43" s="288" t="s">
        <v>51</v>
      </c>
      <c r="H43" s="287">
        <v>11</v>
      </c>
      <c r="I43" s="287">
        <v>56</v>
      </c>
      <c r="J43" s="288" t="s">
        <v>51</v>
      </c>
      <c r="K43" s="287">
        <v>136</v>
      </c>
    </row>
    <row r="44" spans="1:14" s="53" customFormat="1" ht="8.1" customHeight="1" x14ac:dyDescent="0.25">
      <c r="A44" s="116"/>
      <c r="B44" s="56"/>
      <c r="C44" s="82"/>
      <c r="D44" s="223"/>
      <c r="E44" s="246"/>
      <c r="F44" s="290"/>
      <c r="G44" s="287"/>
      <c r="H44" s="287"/>
      <c r="I44" s="287"/>
      <c r="J44" s="287"/>
      <c r="K44" s="287"/>
    </row>
    <row r="45" spans="1:14" s="53" customFormat="1" ht="15" customHeight="1" x14ac:dyDescent="0.25">
      <c r="B45" s="56" t="s">
        <v>15</v>
      </c>
      <c r="C45" s="82"/>
      <c r="D45" s="223">
        <v>2017</v>
      </c>
      <c r="E45" s="246">
        <f t="shared" ref="E45" si="9">SUM(F45:K45)</f>
        <v>337</v>
      </c>
      <c r="F45" s="286">
        <f>64+8</f>
        <v>72</v>
      </c>
      <c r="G45" s="287">
        <f>4+3</f>
        <v>7</v>
      </c>
      <c r="H45" s="287">
        <v>54</v>
      </c>
      <c r="I45" s="287">
        <v>150</v>
      </c>
      <c r="J45" s="288" t="s">
        <v>51</v>
      </c>
      <c r="K45" s="287">
        <f>4+3+12+1+34</f>
        <v>54</v>
      </c>
    </row>
    <row r="46" spans="1:14" s="53" customFormat="1" ht="15" customHeight="1" x14ac:dyDescent="0.25">
      <c r="B46" s="56"/>
      <c r="C46" s="82"/>
      <c r="D46" s="223">
        <v>2018</v>
      </c>
      <c r="E46" s="246">
        <f>SUM(F46:K46)</f>
        <v>342</v>
      </c>
      <c r="F46" s="308">
        <v>102</v>
      </c>
      <c r="G46" s="308">
        <v>3</v>
      </c>
      <c r="H46" s="308">
        <v>21</v>
      </c>
      <c r="I46" s="308">
        <v>165</v>
      </c>
      <c r="J46" s="338" t="s">
        <v>51</v>
      </c>
      <c r="K46" s="308">
        <v>51</v>
      </c>
    </row>
    <row r="47" spans="1:14" s="53" customFormat="1" ht="15" customHeight="1" x14ac:dyDescent="0.25">
      <c r="A47" s="116"/>
      <c r="B47" s="56"/>
      <c r="C47" s="82"/>
      <c r="D47" s="223">
        <v>2019</v>
      </c>
      <c r="E47" s="246">
        <f>SUM(F47:K47)</f>
        <v>270</v>
      </c>
      <c r="F47" s="286">
        <v>78</v>
      </c>
      <c r="G47" s="287">
        <v>2</v>
      </c>
      <c r="H47" s="287">
        <v>20</v>
      </c>
      <c r="I47" s="287">
        <v>114</v>
      </c>
      <c r="J47" s="288" t="s">
        <v>51</v>
      </c>
      <c r="K47" s="287">
        <v>56</v>
      </c>
    </row>
    <row r="48" spans="1:14" s="53" customFormat="1" ht="8.1" customHeight="1" x14ac:dyDescent="0.25">
      <c r="A48" s="116"/>
      <c r="B48" s="56"/>
      <c r="C48" s="82"/>
      <c r="D48" s="223"/>
      <c r="E48" s="246"/>
      <c r="F48" s="286"/>
      <c r="G48" s="287"/>
      <c r="H48" s="287"/>
      <c r="I48" s="287"/>
      <c r="J48" s="287"/>
      <c r="K48" s="287"/>
    </row>
    <row r="49" spans="1:12" s="53" customFormat="1" ht="15" customHeight="1" x14ac:dyDescent="0.25">
      <c r="B49" s="56" t="s">
        <v>16</v>
      </c>
      <c r="C49" s="82"/>
      <c r="D49" s="223">
        <v>2017</v>
      </c>
      <c r="E49" s="246">
        <f t="shared" ref="E49" si="10">SUM(F49:K49)</f>
        <v>209</v>
      </c>
      <c r="F49" s="286">
        <f>22+4</f>
        <v>26</v>
      </c>
      <c r="G49" s="287">
        <v>3</v>
      </c>
      <c r="H49" s="287">
        <v>40</v>
      </c>
      <c r="I49" s="287">
        <v>124</v>
      </c>
      <c r="J49" s="288" t="s">
        <v>51</v>
      </c>
      <c r="K49" s="287">
        <f>1+4+1+10</f>
        <v>16</v>
      </c>
    </row>
    <row r="50" spans="1:12" s="53" customFormat="1" ht="15" customHeight="1" x14ac:dyDescent="0.25">
      <c r="B50" s="56"/>
      <c r="C50" s="82"/>
      <c r="D50" s="223">
        <v>2018</v>
      </c>
      <c r="E50" s="246">
        <f>SUM(F50:K50)</f>
        <v>165</v>
      </c>
      <c r="F50" s="308">
        <v>18</v>
      </c>
      <c r="G50" s="308">
        <v>3</v>
      </c>
      <c r="H50" s="308">
        <v>31</v>
      </c>
      <c r="I50" s="308">
        <v>85</v>
      </c>
      <c r="J50" s="338" t="s">
        <v>51</v>
      </c>
      <c r="K50" s="308">
        <v>28</v>
      </c>
    </row>
    <row r="51" spans="1:12" s="53" customFormat="1" ht="15" customHeight="1" x14ac:dyDescent="0.25">
      <c r="A51" s="116"/>
      <c r="B51" s="56"/>
      <c r="C51" s="82"/>
      <c r="D51" s="223">
        <v>2019</v>
      </c>
      <c r="E51" s="246">
        <f>SUM(F51:K51)</f>
        <v>191</v>
      </c>
      <c r="F51" s="286">
        <v>48</v>
      </c>
      <c r="G51" s="287">
        <v>1</v>
      </c>
      <c r="H51" s="287">
        <v>17</v>
      </c>
      <c r="I51" s="287">
        <v>89</v>
      </c>
      <c r="J51" s="288" t="s">
        <v>51</v>
      </c>
      <c r="K51" s="287">
        <v>36</v>
      </c>
    </row>
    <row r="52" spans="1:12" s="53" customFormat="1" ht="8.1" customHeight="1" x14ac:dyDescent="0.25">
      <c r="A52" s="116"/>
      <c r="B52" s="56"/>
      <c r="C52" s="82"/>
      <c r="D52" s="223"/>
      <c r="E52" s="246"/>
      <c r="F52" s="286"/>
      <c r="G52" s="287"/>
      <c r="H52" s="287"/>
      <c r="I52" s="287"/>
      <c r="J52" s="287"/>
      <c r="K52" s="287"/>
    </row>
    <row r="53" spans="1:12" s="116" customFormat="1" ht="15" customHeight="1" x14ac:dyDescent="0.25">
      <c r="A53" s="53"/>
      <c r="B53" s="56" t="s">
        <v>17</v>
      </c>
      <c r="C53" s="82"/>
      <c r="D53" s="223">
        <v>2017</v>
      </c>
      <c r="E53" s="246">
        <f t="shared" ref="E53" si="11">SUM(F53:K53)</f>
        <v>289</v>
      </c>
      <c r="F53" s="286">
        <f>31+12</f>
        <v>43</v>
      </c>
      <c r="G53" s="289">
        <v>3</v>
      </c>
      <c r="H53" s="289">
        <v>26</v>
      </c>
      <c r="I53" s="287">
        <v>153</v>
      </c>
      <c r="J53" s="291" t="s">
        <v>51</v>
      </c>
      <c r="K53" s="289">
        <v>64</v>
      </c>
    </row>
    <row r="54" spans="1:12" s="116" customFormat="1" ht="15" customHeight="1" x14ac:dyDescent="0.25">
      <c r="A54" s="53"/>
      <c r="B54" s="56"/>
      <c r="C54" s="82"/>
      <c r="D54" s="223">
        <v>2018</v>
      </c>
      <c r="E54" s="246">
        <f>SUM(F54:K54)</f>
        <v>269</v>
      </c>
      <c r="F54" s="286">
        <v>82</v>
      </c>
      <c r="G54" s="286">
        <v>2</v>
      </c>
      <c r="H54" s="286">
        <v>22</v>
      </c>
      <c r="I54" s="286">
        <v>108</v>
      </c>
      <c r="J54" s="341" t="s">
        <v>51</v>
      </c>
      <c r="K54" s="286">
        <v>55</v>
      </c>
    </row>
    <row r="55" spans="1:12" s="116" customFormat="1" ht="15" customHeight="1" x14ac:dyDescent="0.2">
      <c r="B55" s="56"/>
      <c r="C55" s="82"/>
      <c r="D55" s="223">
        <v>2019</v>
      </c>
      <c r="E55" s="246">
        <f>SUM(F55:K55)</f>
        <v>244</v>
      </c>
      <c r="F55" s="116">
        <v>86</v>
      </c>
      <c r="G55" s="116">
        <v>1</v>
      </c>
      <c r="H55" s="116">
        <v>16</v>
      </c>
      <c r="I55" s="116">
        <v>80</v>
      </c>
      <c r="J55" s="411" t="s">
        <v>51</v>
      </c>
      <c r="K55" s="116">
        <v>61</v>
      </c>
    </row>
    <row r="56" spans="1:12" s="116" customFormat="1" ht="8.1" customHeight="1" thickBot="1" x14ac:dyDescent="0.25">
      <c r="A56" s="195"/>
      <c r="B56" s="57"/>
      <c r="C56" s="247"/>
      <c r="D56" s="248"/>
      <c r="E56" s="249"/>
      <c r="F56" s="250"/>
      <c r="G56" s="251"/>
      <c r="H56" s="251"/>
      <c r="I56" s="249"/>
      <c r="J56" s="252"/>
      <c r="K56" s="251"/>
      <c r="L56" s="195"/>
    </row>
    <row r="57" spans="1:12" x14ac:dyDescent="0.25">
      <c r="B57" s="239"/>
      <c r="C57" s="239"/>
      <c r="D57" s="239"/>
      <c r="E57" s="182"/>
      <c r="F57" s="328"/>
      <c r="G57" s="331"/>
      <c r="H57" s="331"/>
      <c r="I57" s="329"/>
      <c r="J57" s="330"/>
      <c r="K57" s="154" t="s">
        <v>99</v>
      </c>
    </row>
    <row r="58" spans="1:12" x14ac:dyDescent="0.25">
      <c r="B58" s="7"/>
      <c r="C58" s="7"/>
      <c r="D58" s="7"/>
      <c r="E58" s="242"/>
      <c r="F58" s="240"/>
      <c r="G58" s="239"/>
      <c r="H58" s="239"/>
      <c r="I58" s="240"/>
      <c r="J58" s="183"/>
      <c r="K58" s="41" t="s">
        <v>1</v>
      </c>
    </row>
    <row r="59" spans="1:12" x14ac:dyDescent="0.25">
      <c r="A59" s="359" t="s">
        <v>254</v>
      </c>
      <c r="B59" s="27"/>
    </row>
    <row r="60" spans="1:12" x14ac:dyDescent="0.25">
      <c r="A60" s="420" t="s">
        <v>252</v>
      </c>
      <c r="B60" s="420"/>
    </row>
    <row r="61" spans="1:12" s="53" customFormat="1" ht="14.25" x14ac:dyDescent="0.2">
      <c r="A61" s="362" t="s">
        <v>253</v>
      </c>
      <c r="B61" s="362"/>
      <c r="C61" s="115"/>
      <c r="D61" s="115"/>
      <c r="E61" s="190"/>
      <c r="F61" s="189"/>
      <c r="G61" s="189"/>
      <c r="H61" s="191"/>
      <c r="I61" s="189"/>
      <c r="L61" s="2"/>
    </row>
  </sheetData>
  <mergeCells count="6">
    <mergeCell ref="K10:K11"/>
    <mergeCell ref="B10:C11"/>
    <mergeCell ref="E10:E11"/>
    <mergeCell ref="F10:F11"/>
    <mergeCell ref="G10:I10"/>
    <mergeCell ref="J10:J11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85" fitToWidth="0" orientation="portrait" r:id="rId1"/>
  <headerFooter>
    <oddHeader xml:space="preserve">&amp;R&amp;"-,Bold"
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70"/>
  <sheetViews>
    <sheetView showGridLines="0" view="pageBreakPreview" topLeftCell="A37" zoomScaleNormal="100" zoomScaleSheetLayoutView="100" workbookViewId="0">
      <selection activeCell="AA22" sqref="AA22"/>
    </sheetView>
  </sheetViews>
  <sheetFormatPr defaultRowHeight="15" x14ac:dyDescent="0.25"/>
  <cols>
    <col min="1" max="1" width="0.85546875" style="2" customWidth="1"/>
    <col min="2" max="2" width="9.85546875" style="3" customWidth="1"/>
    <col min="3" max="3" width="8.42578125" style="3" customWidth="1"/>
    <col min="4" max="4" width="10.42578125" style="3" customWidth="1"/>
    <col min="5" max="5" width="11.7109375" style="4" customWidth="1"/>
    <col min="6" max="6" width="11.7109375" style="5" customWidth="1"/>
    <col min="7" max="7" width="10.5703125" style="5" customWidth="1"/>
    <col min="8" max="8" width="10.5703125" style="185" customWidth="1"/>
    <col min="9" max="9" width="11.28515625" style="5" customWidth="1"/>
    <col min="10" max="10" width="11" style="2" customWidth="1"/>
    <col min="11" max="11" width="10.42578125" style="2" customWidth="1"/>
    <col min="12" max="12" width="1.42578125" style="2" customWidth="1"/>
    <col min="13" max="16384" width="9.140625" style="2"/>
  </cols>
  <sheetData>
    <row r="1" spans="1:12" s="30" customFormat="1" ht="12.95" customHeight="1" x14ac:dyDescent="0.25">
      <c r="B1" s="27"/>
      <c r="C1" s="27"/>
      <c r="D1" s="29"/>
      <c r="E1" s="28"/>
      <c r="F1" s="29"/>
      <c r="J1" s="29"/>
      <c r="K1" s="160" t="s">
        <v>179</v>
      </c>
    </row>
    <row r="2" spans="1:12" s="30" customFormat="1" ht="12.95" customHeight="1" x14ac:dyDescent="0.25">
      <c r="B2" s="27"/>
      <c r="C2" s="27"/>
      <c r="D2" s="29"/>
      <c r="E2" s="28"/>
      <c r="F2" s="29"/>
      <c r="J2" s="29"/>
      <c r="K2" s="68" t="s">
        <v>180</v>
      </c>
    </row>
    <row r="3" spans="1:12" s="30" customFormat="1" ht="12" customHeight="1" x14ac:dyDescent="0.25">
      <c r="B3" s="27"/>
      <c r="C3" s="27"/>
      <c r="D3" s="29"/>
      <c r="E3" s="28"/>
      <c r="F3" s="29"/>
      <c r="G3" s="68"/>
      <c r="J3" s="29"/>
    </row>
    <row r="4" spans="1:12" s="30" customFormat="1" ht="12" customHeight="1" x14ac:dyDescent="0.25">
      <c r="B4" s="27"/>
      <c r="C4" s="27"/>
      <c r="D4" s="29"/>
      <c r="E4" s="28"/>
      <c r="F4" s="29"/>
      <c r="G4" s="68"/>
      <c r="J4" s="29"/>
    </row>
    <row r="5" spans="1:12" s="53" customFormat="1" ht="9.9499999999999993" customHeight="1" x14ac:dyDescent="0.2">
      <c r="B5" s="115"/>
      <c r="C5" s="115"/>
      <c r="D5" s="189"/>
      <c r="E5" s="190"/>
      <c r="F5" s="189"/>
      <c r="G5" s="189"/>
      <c r="H5" s="191"/>
      <c r="I5" s="189"/>
      <c r="J5" s="114"/>
    </row>
    <row r="6" spans="1:12" s="53" customFormat="1" ht="15" customHeight="1" x14ac:dyDescent="0.2">
      <c r="B6" s="63" t="s">
        <v>208</v>
      </c>
      <c r="C6" s="64" t="s">
        <v>249</v>
      </c>
      <c r="D6" s="189"/>
      <c r="E6" s="190"/>
      <c r="F6" s="64"/>
      <c r="G6" s="64"/>
      <c r="H6" s="64"/>
      <c r="I6" s="64"/>
      <c r="J6" s="79"/>
      <c r="K6" s="64"/>
      <c r="L6" s="179"/>
    </row>
    <row r="7" spans="1:12" s="53" customFormat="1" ht="18" customHeight="1" x14ac:dyDescent="0.2">
      <c r="B7" s="80" t="s">
        <v>209</v>
      </c>
      <c r="C7" s="86" t="s">
        <v>250</v>
      </c>
      <c r="D7" s="189"/>
      <c r="E7" s="190"/>
      <c r="F7" s="86"/>
      <c r="G7" s="86"/>
      <c r="H7" s="86"/>
      <c r="I7" s="86"/>
      <c r="J7" s="235"/>
      <c r="K7" s="86"/>
      <c r="L7" s="180"/>
    </row>
    <row r="8" spans="1:12" s="53" customFormat="1" ht="8.1" customHeight="1" thickBot="1" x14ac:dyDescent="0.25">
      <c r="B8" s="194"/>
      <c r="C8" s="194"/>
      <c r="D8" s="216"/>
      <c r="E8" s="215"/>
      <c r="F8" s="216"/>
      <c r="G8" s="216"/>
      <c r="H8" s="217"/>
      <c r="I8" s="216"/>
      <c r="J8" s="143"/>
      <c r="K8" s="116"/>
    </row>
    <row r="9" spans="1:12" s="53" customFormat="1" ht="8.1" customHeight="1" thickTop="1" x14ac:dyDescent="0.2">
      <c r="A9" s="378"/>
      <c r="B9" s="389"/>
      <c r="C9" s="389"/>
      <c r="D9" s="377"/>
      <c r="E9" s="400"/>
      <c r="F9" s="377"/>
      <c r="G9" s="377"/>
      <c r="H9" s="401"/>
      <c r="I9" s="377"/>
      <c r="J9" s="375"/>
      <c r="K9" s="378"/>
      <c r="L9" s="378"/>
    </row>
    <row r="10" spans="1:12" s="53" customFormat="1" ht="30.75" customHeight="1" x14ac:dyDescent="0.2">
      <c r="A10" s="390"/>
      <c r="B10" s="443" t="s">
        <v>207</v>
      </c>
      <c r="C10" s="443"/>
      <c r="D10" s="405" t="s">
        <v>96</v>
      </c>
      <c r="E10" s="437" t="s">
        <v>92</v>
      </c>
      <c r="F10" s="437" t="s">
        <v>203</v>
      </c>
      <c r="G10" s="440" t="s">
        <v>191</v>
      </c>
      <c r="H10" s="440"/>
      <c r="I10" s="440"/>
      <c r="J10" s="439" t="s">
        <v>251</v>
      </c>
      <c r="K10" s="437" t="s">
        <v>192</v>
      </c>
      <c r="L10" s="390"/>
    </row>
    <row r="11" spans="1:12" s="102" customFormat="1" ht="55.5" customHeight="1" x14ac:dyDescent="0.2">
      <c r="A11" s="398"/>
      <c r="B11" s="444"/>
      <c r="C11" s="444"/>
      <c r="D11" s="404"/>
      <c r="E11" s="442"/>
      <c r="F11" s="442"/>
      <c r="G11" s="403" t="s">
        <v>193</v>
      </c>
      <c r="H11" s="403" t="s">
        <v>194</v>
      </c>
      <c r="I11" s="403" t="s">
        <v>204</v>
      </c>
      <c r="J11" s="441"/>
      <c r="K11" s="442"/>
      <c r="L11" s="398"/>
    </row>
    <row r="12" spans="1:12" s="102" customFormat="1" ht="8.1" customHeight="1" x14ac:dyDescent="0.2">
      <c r="A12" s="253"/>
      <c r="B12" s="236"/>
      <c r="C12" s="236"/>
      <c r="D12" s="149"/>
      <c r="E12" s="90"/>
      <c r="F12" s="218"/>
      <c r="G12" s="90"/>
      <c r="H12" s="90"/>
      <c r="I12" s="90"/>
      <c r="J12" s="218"/>
      <c r="K12" s="90"/>
      <c r="L12" s="106"/>
    </row>
    <row r="13" spans="1:12" s="106" customFormat="1" ht="14.1" customHeight="1" x14ac:dyDescent="0.2">
      <c r="B13" s="61" t="s">
        <v>183</v>
      </c>
      <c r="C13" s="124"/>
      <c r="D13" s="62">
        <v>2017</v>
      </c>
      <c r="E13" s="145">
        <f t="shared" ref="E13:E14" si="0">SUM(F13:K13)</f>
        <v>2255</v>
      </c>
      <c r="F13" s="145">
        <f t="shared" ref="F13:K15" si="1">SUM(F17,F21,F25)</f>
        <v>567</v>
      </c>
      <c r="G13" s="145">
        <f t="shared" si="1"/>
        <v>27</v>
      </c>
      <c r="H13" s="145">
        <f t="shared" si="1"/>
        <v>112</v>
      </c>
      <c r="I13" s="145">
        <f t="shared" si="1"/>
        <v>1101</v>
      </c>
      <c r="J13" s="145">
        <f t="shared" si="1"/>
        <v>2</v>
      </c>
      <c r="K13" s="145">
        <f t="shared" si="1"/>
        <v>446</v>
      </c>
    </row>
    <row r="14" spans="1:12" s="106" customFormat="1" ht="14.1" customHeight="1" x14ac:dyDescent="0.2">
      <c r="B14" s="124"/>
      <c r="C14" s="124"/>
      <c r="D14" s="62">
        <v>2018</v>
      </c>
      <c r="E14" s="145">
        <f t="shared" si="0"/>
        <v>2179</v>
      </c>
      <c r="F14" s="145">
        <f t="shared" si="1"/>
        <v>591</v>
      </c>
      <c r="G14" s="145">
        <f t="shared" si="1"/>
        <v>20</v>
      </c>
      <c r="H14" s="145">
        <f t="shared" si="1"/>
        <v>104</v>
      </c>
      <c r="I14" s="145">
        <f t="shared" si="1"/>
        <v>1030</v>
      </c>
      <c r="J14" s="137" t="s">
        <v>51</v>
      </c>
      <c r="K14" s="145">
        <f t="shared" si="1"/>
        <v>434</v>
      </c>
    </row>
    <row r="15" spans="1:12" s="106" customFormat="1" ht="14.1" customHeight="1" x14ac:dyDescent="0.2">
      <c r="B15" s="124"/>
      <c r="C15" s="124"/>
      <c r="D15" s="62">
        <v>2019</v>
      </c>
      <c r="E15" s="145">
        <f t="shared" ref="E15" si="2">SUM(F15:K15)</f>
        <v>2101</v>
      </c>
      <c r="F15" s="145">
        <f t="shared" si="1"/>
        <v>681</v>
      </c>
      <c r="G15" s="145">
        <f t="shared" si="1"/>
        <v>18</v>
      </c>
      <c r="H15" s="145">
        <f t="shared" si="1"/>
        <v>91</v>
      </c>
      <c r="I15" s="145">
        <f t="shared" si="1"/>
        <v>718</v>
      </c>
      <c r="J15" s="137" t="s">
        <v>51</v>
      </c>
      <c r="K15" s="145">
        <f t="shared" si="1"/>
        <v>593</v>
      </c>
    </row>
    <row r="16" spans="1:12" s="116" customFormat="1" ht="8.1" customHeight="1" x14ac:dyDescent="0.2">
      <c r="B16" s="124"/>
      <c r="C16" s="124"/>
      <c r="D16" s="62"/>
      <c r="E16" s="146"/>
      <c r="F16" s="276"/>
      <c r="G16" s="276"/>
      <c r="H16" s="276"/>
      <c r="I16" s="276"/>
      <c r="J16" s="276"/>
      <c r="K16" s="276"/>
    </row>
    <row r="17" spans="1:11" s="116" customFormat="1" ht="14.1" customHeight="1" x14ac:dyDescent="0.2">
      <c r="A17" s="53"/>
      <c r="B17" s="56" t="s">
        <v>21</v>
      </c>
      <c r="C17" s="82"/>
      <c r="D17" s="141">
        <v>2017</v>
      </c>
      <c r="E17" s="146">
        <f t="shared" ref="E17:E18" si="3">SUM(F17:K17)</f>
        <v>296</v>
      </c>
      <c r="F17" s="276">
        <f>49+26</f>
        <v>75</v>
      </c>
      <c r="G17" s="276">
        <v>8</v>
      </c>
      <c r="H17" s="276">
        <v>12</v>
      </c>
      <c r="I17" s="276">
        <v>162</v>
      </c>
      <c r="J17" s="293" t="s">
        <v>51</v>
      </c>
      <c r="K17" s="276">
        <f>5+4+18+12</f>
        <v>39</v>
      </c>
    </row>
    <row r="18" spans="1:11" s="116" customFormat="1" ht="14.1" customHeight="1" x14ac:dyDescent="0.2">
      <c r="A18" s="53"/>
      <c r="B18" s="56"/>
      <c r="C18" s="82"/>
      <c r="D18" s="141">
        <v>2018</v>
      </c>
      <c r="E18" s="146">
        <f t="shared" si="3"/>
        <v>267</v>
      </c>
      <c r="F18" s="276">
        <f>68</f>
        <v>68</v>
      </c>
      <c r="G18" s="276">
        <f>3</f>
        <v>3</v>
      </c>
      <c r="H18" s="276">
        <f>12</f>
        <v>12</v>
      </c>
      <c r="I18" s="276">
        <f>148</f>
        <v>148</v>
      </c>
      <c r="J18" s="293" t="s">
        <v>51</v>
      </c>
      <c r="K18" s="276">
        <f>36</f>
        <v>36</v>
      </c>
    </row>
    <row r="19" spans="1:11" s="116" customFormat="1" ht="14.1" customHeight="1" x14ac:dyDescent="0.2">
      <c r="B19" s="254"/>
      <c r="C19" s="56"/>
      <c r="D19" s="141">
        <v>2019</v>
      </c>
      <c r="E19" s="146">
        <f t="shared" ref="E19" si="4">SUM(F19:K19)</f>
        <v>277</v>
      </c>
      <c r="F19" s="276">
        <v>67</v>
      </c>
      <c r="G19" s="276">
        <v>2</v>
      </c>
      <c r="H19" s="276">
        <v>16</v>
      </c>
      <c r="I19" s="276">
        <v>134</v>
      </c>
      <c r="J19" s="293" t="s">
        <v>51</v>
      </c>
      <c r="K19" s="276">
        <v>58</v>
      </c>
    </row>
    <row r="20" spans="1:11" s="116" customFormat="1" ht="8.1" customHeight="1" x14ac:dyDescent="0.2">
      <c r="B20" s="254"/>
      <c r="C20" s="56"/>
      <c r="D20" s="141"/>
      <c r="E20" s="146"/>
      <c r="F20" s="276"/>
      <c r="G20" s="276"/>
      <c r="H20" s="276"/>
      <c r="I20" s="276"/>
      <c r="J20" s="276"/>
      <c r="K20" s="276"/>
    </row>
    <row r="21" spans="1:11" s="116" customFormat="1" ht="14.1" customHeight="1" x14ac:dyDescent="0.2">
      <c r="A21" s="53"/>
      <c r="B21" s="56" t="s">
        <v>22</v>
      </c>
      <c r="C21" s="82"/>
      <c r="D21" s="141">
        <v>2017</v>
      </c>
      <c r="E21" s="146">
        <f t="shared" ref="E21:E22" si="5">SUM(F21:K21)</f>
        <v>191</v>
      </c>
      <c r="F21" s="293">
        <f>44+9</f>
        <v>53</v>
      </c>
      <c r="G21" s="293">
        <v>3</v>
      </c>
      <c r="H21" s="276">
        <v>3</v>
      </c>
      <c r="I21" s="293">
        <v>71</v>
      </c>
      <c r="J21" s="293" t="s">
        <v>51</v>
      </c>
      <c r="K21" s="276">
        <f>9+5+21+3+23</f>
        <v>61</v>
      </c>
    </row>
    <row r="22" spans="1:11" s="116" customFormat="1" ht="14.1" customHeight="1" x14ac:dyDescent="0.2">
      <c r="A22" s="53"/>
      <c r="B22" s="56"/>
      <c r="C22" s="82"/>
      <c r="D22" s="141">
        <v>2018</v>
      </c>
      <c r="E22" s="146">
        <f t="shared" si="5"/>
        <v>191</v>
      </c>
      <c r="F22" s="276">
        <f>60</f>
        <v>60</v>
      </c>
      <c r="G22" s="276">
        <f>3</f>
        <v>3</v>
      </c>
      <c r="H22" s="276">
        <f>5</f>
        <v>5</v>
      </c>
      <c r="I22" s="276">
        <f>64</f>
        <v>64</v>
      </c>
      <c r="J22" s="293" t="s">
        <v>51</v>
      </c>
      <c r="K22" s="276">
        <f>59</f>
        <v>59</v>
      </c>
    </row>
    <row r="23" spans="1:11" s="116" customFormat="1" ht="14.1" customHeight="1" x14ac:dyDescent="0.2">
      <c r="B23" s="254"/>
      <c r="C23" s="56"/>
      <c r="D23" s="141">
        <v>2019</v>
      </c>
      <c r="E23" s="146">
        <f t="shared" ref="E23:E27" si="6">SUM(F23:K23)</f>
        <v>198</v>
      </c>
      <c r="F23" s="293">
        <v>57</v>
      </c>
      <c r="G23" s="293">
        <v>2</v>
      </c>
      <c r="H23" s="276">
        <v>5</v>
      </c>
      <c r="I23" s="293">
        <v>59</v>
      </c>
      <c r="J23" s="293" t="s">
        <v>51</v>
      </c>
      <c r="K23" s="276">
        <v>75</v>
      </c>
    </row>
    <row r="24" spans="1:11" s="116" customFormat="1" ht="8.1" customHeight="1" x14ac:dyDescent="0.2">
      <c r="B24" s="254"/>
      <c r="C24" s="56"/>
      <c r="D24" s="141"/>
      <c r="E24" s="146"/>
      <c r="F24" s="276"/>
      <c r="G24" s="276"/>
      <c r="H24" s="276"/>
      <c r="I24" s="276"/>
      <c r="J24" s="276"/>
      <c r="K24" s="276"/>
    </row>
    <row r="25" spans="1:11" s="116" customFormat="1" ht="14.1" customHeight="1" x14ac:dyDescent="0.2">
      <c r="A25" s="53"/>
      <c r="B25" s="56" t="s">
        <v>23</v>
      </c>
      <c r="C25" s="82"/>
      <c r="D25" s="141">
        <v>2017</v>
      </c>
      <c r="E25" s="146">
        <f t="shared" si="6"/>
        <v>1768</v>
      </c>
      <c r="F25" s="276">
        <f>354+85</f>
        <v>439</v>
      </c>
      <c r="G25" s="276">
        <f>1+3+12</f>
        <v>16</v>
      </c>
      <c r="H25" s="276">
        <v>97</v>
      </c>
      <c r="I25" s="276">
        <v>868</v>
      </c>
      <c r="J25" s="276">
        <v>2</v>
      </c>
      <c r="K25" s="276">
        <f>3+59+33+146+5+99+1</f>
        <v>346</v>
      </c>
    </row>
    <row r="26" spans="1:11" s="116" customFormat="1" ht="14.1" customHeight="1" x14ac:dyDescent="0.2">
      <c r="A26" s="53"/>
      <c r="B26" s="56"/>
      <c r="C26" s="82"/>
      <c r="D26" s="141">
        <v>2018</v>
      </c>
      <c r="E26" s="146">
        <f t="shared" si="6"/>
        <v>1721</v>
      </c>
      <c r="F26" s="277">
        <f>463</f>
        <v>463</v>
      </c>
      <c r="G26" s="277">
        <f>14</f>
        <v>14</v>
      </c>
      <c r="H26" s="277">
        <f>87</f>
        <v>87</v>
      </c>
      <c r="I26" s="277">
        <f>818</f>
        <v>818</v>
      </c>
      <c r="J26" s="294" t="s">
        <v>51</v>
      </c>
      <c r="K26" s="277">
        <f>339</f>
        <v>339</v>
      </c>
    </row>
    <row r="27" spans="1:11" s="116" customFormat="1" ht="14.1" customHeight="1" x14ac:dyDescent="0.2">
      <c r="B27" s="254"/>
      <c r="C27" s="56"/>
      <c r="D27" s="141">
        <v>2019</v>
      </c>
      <c r="E27" s="146">
        <f t="shared" si="6"/>
        <v>1626</v>
      </c>
      <c r="F27" s="116">
        <v>557</v>
      </c>
      <c r="G27" s="116">
        <v>14</v>
      </c>
      <c r="H27" s="116">
        <v>70</v>
      </c>
      <c r="I27" s="116">
        <v>525</v>
      </c>
      <c r="J27" s="411" t="s">
        <v>51</v>
      </c>
      <c r="K27" s="116">
        <v>460</v>
      </c>
    </row>
    <row r="28" spans="1:11" s="116" customFormat="1" ht="8.1" customHeight="1" thickBot="1" x14ac:dyDescent="0.25">
      <c r="A28" s="195"/>
      <c r="B28" s="255"/>
      <c r="C28" s="57"/>
      <c r="D28" s="136"/>
      <c r="E28" s="58"/>
      <c r="F28" s="58"/>
      <c r="G28" s="58"/>
      <c r="H28" s="58"/>
      <c r="I28" s="58"/>
      <c r="J28" s="58"/>
      <c r="K28" s="58"/>
    </row>
    <row r="29" spans="1:11" s="116" customFormat="1" ht="8.1" customHeight="1" x14ac:dyDescent="0.2">
      <c r="B29" s="254"/>
      <c r="C29" s="56"/>
      <c r="D29" s="62"/>
      <c r="E29" s="146"/>
      <c r="F29" s="146"/>
      <c r="G29" s="146"/>
      <c r="H29" s="146"/>
      <c r="I29" s="146"/>
      <c r="J29" s="146"/>
      <c r="K29" s="146"/>
    </row>
    <row r="30" spans="1:11" s="102" customFormat="1" ht="14.1" customHeight="1" x14ac:dyDescent="0.2">
      <c r="A30" s="106"/>
      <c r="B30" s="61" t="s">
        <v>31</v>
      </c>
      <c r="C30" s="61"/>
      <c r="D30" s="62">
        <v>2017</v>
      </c>
      <c r="E30" s="145">
        <f>SUM(F30:K30)</f>
        <v>3089</v>
      </c>
      <c r="F30" s="145">
        <f t="shared" ref="F30:K32" si="7">SUM(F34,F38,F42,F46,F50,F54,F58,F62)</f>
        <v>895</v>
      </c>
      <c r="G30" s="145">
        <f t="shared" si="7"/>
        <v>64</v>
      </c>
      <c r="H30" s="145">
        <f t="shared" si="7"/>
        <v>170</v>
      </c>
      <c r="I30" s="145">
        <f t="shared" si="7"/>
        <v>839</v>
      </c>
      <c r="J30" s="137" t="s">
        <v>51</v>
      </c>
      <c r="K30" s="145">
        <f t="shared" si="7"/>
        <v>1121</v>
      </c>
    </row>
    <row r="31" spans="1:11" s="102" customFormat="1" ht="14.1" customHeight="1" x14ac:dyDescent="0.2">
      <c r="A31" s="106"/>
      <c r="B31" s="124"/>
      <c r="C31" s="61"/>
      <c r="D31" s="62">
        <v>2018</v>
      </c>
      <c r="E31" s="145">
        <f>SUM(F31:K31)</f>
        <v>2842</v>
      </c>
      <c r="F31" s="145">
        <f t="shared" si="7"/>
        <v>873</v>
      </c>
      <c r="G31" s="145">
        <f t="shared" si="7"/>
        <v>60</v>
      </c>
      <c r="H31" s="145">
        <f t="shared" si="7"/>
        <v>151</v>
      </c>
      <c r="I31" s="145">
        <f t="shared" si="7"/>
        <v>711</v>
      </c>
      <c r="J31" s="145">
        <f t="shared" si="7"/>
        <v>1</v>
      </c>
      <c r="K31" s="145">
        <f t="shared" si="7"/>
        <v>1046</v>
      </c>
    </row>
    <row r="32" spans="1:11" s="102" customFormat="1" ht="14.1" customHeight="1" x14ac:dyDescent="0.2">
      <c r="A32" s="106"/>
      <c r="B32" s="124"/>
      <c r="C32" s="61"/>
      <c r="D32" s="62">
        <v>2019</v>
      </c>
      <c r="E32" s="145">
        <f>SUM(F32:K32)</f>
        <v>2549</v>
      </c>
      <c r="F32" s="145">
        <f t="shared" si="7"/>
        <v>765</v>
      </c>
      <c r="G32" s="145">
        <f t="shared" si="7"/>
        <v>48</v>
      </c>
      <c r="H32" s="145">
        <f t="shared" si="7"/>
        <v>166</v>
      </c>
      <c r="I32" s="145">
        <f t="shared" si="7"/>
        <v>626</v>
      </c>
      <c r="J32" s="137" t="s">
        <v>51</v>
      </c>
      <c r="K32" s="145">
        <f t="shared" si="7"/>
        <v>944</v>
      </c>
    </row>
    <row r="33" spans="1:11" s="53" customFormat="1" ht="8.1" customHeight="1" x14ac:dyDescent="0.2">
      <c r="A33" s="116"/>
      <c r="B33" s="124"/>
      <c r="C33" s="61"/>
      <c r="D33" s="62"/>
      <c r="E33" s="146"/>
      <c r="F33" s="276"/>
      <c r="G33" s="276"/>
      <c r="H33" s="293"/>
      <c r="I33" s="276"/>
      <c r="J33" s="293"/>
      <c r="K33" s="276"/>
    </row>
    <row r="34" spans="1:11" s="53" customFormat="1" ht="14.1" customHeight="1" x14ac:dyDescent="0.2">
      <c r="B34" s="56" t="s">
        <v>24</v>
      </c>
      <c r="C34" s="82"/>
      <c r="D34" s="141">
        <v>2017</v>
      </c>
      <c r="E34" s="146">
        <f t="shared" ref="E34:E36" si="8">SUM(F34:K34)</f>
        <v>56</v>
      </c>
      <c r="F34" s="276">
        <f>11+6</f>
        <v>17</v>
      </c>
      <c r="G34" s="276">
        <v>1</v>
      </c>
      <c r="H34" s="293" t="s">
        <v>51</v>
      </c>
      <c r="I34" s="276">
        <v>20</v>
      </c>
      <c r="J34" s="293" t="s">
        <v>51</v>
      </c>
      <c r="K34" s="276">
        <f>3+7+8</f>
        <v>18</v>
      </c>
    </row>
    <row r="35" spans="1:11" s="53" customFormat="1" ht="14.1" customHeight="1" x14ac:dyDescent="0.2">
      <c r="B35" s="56"/>
      <c r="C35" s="82"/>
      <c r="D35" s="141">
        <v>2018</v>
      </c>
      <c r="E35" s="146">
        <f t="shared" si="8"/>
        <v>58</v>
      </c>
      <c r="F35" s="337">
        <v>12</v>
      </c>
      <c r="G35" s="338" t="s">
        <v>51</v>
      </c>
      <c r="H35" s="338" t="s">
        <v>51</v>
      </c>
      <c r="I35" s="337">
        <v>24</v>
      </c>
      <c r="J35" s="338" t="s">
        <v>51</v>
      </c>
      <c r="K35" s="337">
        <v>22</v>
      </c>
    </row>
    <row r="36" spans="1:11" s="53" customFormat="1" ht="14.1" customHeight="1" x14ac:dyDescent="0.2">
      <c r="A36" s="116"/>
      <c r="B36" s="254"/>
      <c r="C36" s="56"/>
      <c r="D36" s="141">
        <v>2019</v>
      </c>
      <c r="E36" s="146">
        <f t="shared" si="8"/>
        <v>50</v>
      </c>
      <c r="F36" s="276">
        <v>16</v>
      </c>
      <c r="G36" s="293" t="s">
        <v>51</v>
      </c>
      <c r="H36" s="276">
        <v>1</v>
      </c>
      <c r="I36" s="276">
        <v>14</v>
      </c>
      <c r="J36" s="293" t="s">
        <v>51</v>
      </c>
      <c r="K36" s="276">
        <v>19</v>
      </c>
    </row>
    <row r="37" spans="1:11" s="53" customFormat="1" ht="8.1" customHeight="1" x14ac:dyDescent="0.2">
      <c r="A37" s="116"/>
      <c r="B37" s="254"/>
      <c r="C37" s="56"/>
      <c r="D37" s="141"/>
      <c r="E37" s="146"/>
      <c r="F37" s="276"/>
      <c r="G37" s="276"/>
      <c r="H37" s="276"/>
      <c r="I37" s="276"/>
      <c r="J37" s="276"/>
      <c r="K37" s="276"/>
    </row>
    <row r="38" spans="1:11" s="53" customFormat="1" ht="14.1" customHeight="1" x14ac:dyDescent="0.2">
      <c r="B38" s="56" t="s">
        <v>30</v>
      </c>
      <c r="C38" s="82"/>
      <c r="D38" s="141">
        <v>2017</v>
      </c>
      <c r="E38" s="146">
        <f t="shared" ref="E38:E40" si="9">SUM(F38:K38)</f>
        <v>176</v>
      </c>
      <c r="F38" s="293">
        <f>50+13</f>
        <v>63</v>
      </c>
      <c r="G38" s="293">
        <v>3</v>
      </c>
      <c r="H38" s="276">
        <v>6</v>
      </c>
      <c r="I38" s="293">
        <v>54</v>
      </c>
      <c r="J38" s="293" t="s">
        <v>51</v>
      </c>
      <c r="K38" s="276">
        <f>2+4+18+26</f>
        <v>50</v>
      </c>
    </row>
    <row r="39" spans="1:11" s="53" customFormat="1" ht="14.1" customHeight="1" x14ac:dyDescent="0.25">
      <c r="B39" s="56"/>
      <c r="C39" s="82"/>
      <c r="D39" s="141">
        <v>2018</v>
      </c>
      <c r="E39" s="146">
        <f t="shared" si="9"/>
        <v>189</v>
      </c>
      <c r="F39" s="308">
        <v>57</v>
      </c>
      <c r="G39" s="308">
        <v>3</v>
      </c>
      <c r="H39" s="308">
        <v>7</v>
      </c>
      <c r="I39" s="308">
        <v>68</v>
      </c>
      <c r="J39" s="339" t="s">
        <v>51</v>
      </c>
      <c r="K39" s="308">
        <v>54</v>
      </c>
    </row>
    <row r="40" spans="1:11" s="53" customFormat="1" ht="14.1" customHeight="1" x14ac:dyDescent="0.2">
      <c r="A40" s="116"/>
      <c r="B40" s="254"/>
      <c r="C40" s="56"/>
      <c r="D40" s="141">
        <v>2019</v>
      </c>
      <c r="E40" s="146">
        <f t="shared" si="9"/>
        <v>161</v>
      </c>
      <c r="F40" s="293">
        <v>44</v>
      </c>
      <c r="G40" s="293">
        <v>4</v>
      </c>
      <c r="H40" s="276">
        <v>6</v>
      </c>
      <c r="I40" s="293">
        <v>55</v>
      </c>
      <c r="J40" s="293" t="s">
        <v>51</v>
      </c>
      <c r="K40" s="276">
        <v>52</v>
      </c>
    </row>
    <row r="41" spans="1:11" s="53" customFormat="1" ht="8.1" customHeight="1" x14ac:dyDescent="0.2">
      <c r="A41" s="116"/>
      <c r="B41" s="254"/>
      <c r="C41" s="56"/>
      <c r="D41" s="141"/>
      <c r="E41" s="146"/>
      <c r="F41" s="276"/>
      <c r="G41" s="276"/>
      <c r="H41" s="276"/>
      <c r="I41" s="276"/>
      <c r="J41" s="276"/>
      <c r="K41" s="276"/>
    </row>
    <row r="42" spans="1:11" s="53" customFormat="1" ht="14.1" customHeight="1" x14ac:dyDescent="0.2">
      <c r="B42" s="56" t="s">
        <v>25</v>
      </c>
      <c r="C42" s="82"/>
      <c r="D42" s="141">
        <v>2017</v>
      </c>
      <c r="E42" s="146">
        <f t="shared" ref="E42:E44" si="10">SUM(F42:K42)</f>
        <v>198</v>
      </c>
      <c r="F42" s="276">
        <f>44+8</f>
        <v>52</v>
      </c>
      <c r="G42" s="276">
        <v>1</v>
      </c>
      <c r="H42" s="276">
        <v>4</v>
      </c>
      <c r="I42" s="276">
        <v>37</v>
      </c>
      <c r="J42" s="293" t="s">
        <v>51</v>
      </c>
      <c r="K42" s="276">
        <f>11+18+38+10+27</f>
        <v>104</v>
      </c>
    </row>
    <row r="43" spans="1:11" s="53" customFormat="1" ht="14.1" customHeight="1" x14ac:dyDescent="0.2">
      <c r="B43" s="56"/>
      <c r="C43" s="82"/>
      <c r="D43" s="141">
        <v>2018</v>
      </c>
      <c r="E43" s="146">
        <f t="shared" si="10"/>
        <v>161</v>
      </c>
      <c r="F43" s="336">
        <v>37</v>
      </c>
      <c r="G43" s="336">
        <v>1</v>
      </c>
      <c r="H43" s="336">
        <v>4</v>
      </c>
      <c r="I43" s="336">
        <v>27</v>
      </c>
      <c r="J43" s="336" t="s">
        <v>51</v>
      </c>
      <c r="K43" s="278">
        <v>92</v>
      </c>
    </row>
    <row r="44" spans="1:11" s="53" customFormat="1" ht="14.1" customHeight="1" x14ac:dyDescent="0.25">
      <c r="A44" s="116"/>
      <c r="B44" s="254"/>
      <c r="C44" s="56"/>
      <c r="D44" s="141">
        <v>2019</v>
      </c>
      <c r="E44" s="146">
        <f t="shared" si="10"/>
        <v>161</v>
      </c>
      <c r="F44" s="286">
        <v>53</v>
      </c>
      <c r="G44" s="290" t="s">
        <v>51</v>
      </c>
      <c r="H44" s="286">
        <v>4</v>
      </c>
      <c r="I44" s="286">
        <v>21</v>
      </c>
      <c r="J44" s="290" t="s">
        <v>51</v>
      </c>
      <c r="K44" s="286">
        <v>83</v>
      </c>
    </row>
    <row r="45" spans="1:11" s="53" customFormat="1" ht="8.1" customHeight="1" x14ac:dyDescent="0.25">
      <c r="A45" s="116"/>
      <c r="B45" s="254"/>
      <c r="C45" s="56"/>
      <c r="D45" s="141"/>
      <c r="E45" s="146"/>
      <c r="F45" s="286"/>
      <c r="G45" s="286"/>
      <c r="H45" s="286"/>
      <c r="I45" s="286"/>
      <c r="J45" s="290"/>
      <c r="K45" s="286"/>
    </row>
    <row r="46" spans="1:11" s="53" customFormat="1" ht="14.1" customHeight="1" x14ac:dyDescent="0.25">
      <c r="B46" s="56" t="s">
        <v>68</v>
      </c>
      <c r="C46" s="82"/>
      <c r="D46" s="141">
        <v>2017</v>
      </c>
      <c r="E46" s="146">
        <f t="shared" ref="E46:E47" si="11">SUM(F46:K46)</f>
        <v>893</v>
      </c>
      <c r="F46" s="286">
        <f>204+76</f>
        <v>280</v>
      </c>
      <c r="G46" s="286">
        <f>1+4+11</f>
        <v>16</v>
      </c>
      <c r="H46" s="286">
        <v>31</v>
      </c>
      <c r="I46" s="286">
        <v>203</v>
      </c>
      <c r="J46" s="290" t="s">
        <v>51</v>
      </c>
      <c r="K46" s="286">
        <f>1+28+85+128+1+120</f>
        <v>363</v>
      </c>
    </row>
    <row r="47" spans="1:11" s="53" customFormat="1" ht="14.1" customHeight="1" x14ac:dyDescent="0.2">
      <c r="B47" s="56"/>
      <c r="C47" s="82"/>
      <c r="D47" s="141">
        <v>2018</v>
      </c>
      <c r="E47" s="146">
        <f t="shared" si="11"/>
        <v>722</v>
      </c>
      <c r="F47" s="336">
        <v>249</v>
      </c>
      <c r="G47" s="336">
        <v>18</v>
      </c>
      <c r="H47" s="336">
        <v>27</v>
      </c>
      <c r="I47" s="336">
        <v>120</v>
      </c>
      <c r="J47" s="340" t="s">
        <v>51</v>
      </c>
      <c r="K47" s="278">
        <v>308</v>
      </c>
    </row>
    <row r="48" spans="1:11" s="53" customFormat="1" ht="14.1" customHeight="1" x14ac:dyDescent="0.25">
      <c r="B48" s="254"/>
      <c r="C48" s="56"/>
      <c r="D48" s="141">
        <v>2019</v>
      </c>
      <c r="E48" s="146">
        <f t="shared" ref="E48" si="12">SUM(F48:K48)</f>
        <v>708</v>
      </c>
      <c r="F48" s="286">
        <v>217</v>
      </c>
      <c r="G48" s="286">
        <v>8</v>
      </c>
      <c r="H48" s="286">
        <v>43</v>
      </c>
      <c r="I48" s="286">
        <v>141</v>
      </c>
      <c r="J48" s="290" t="s">
        <v>51</v>
      </c>
      <c r="K48" s="286">
        <v>299</v>
      </c>
    </row>
    <row r="49" spans="1:11" s="53" customFormat="1" ht="8.1" customHeight="1" x14ac:dyDescent="0.25">
      <c r="B49" s="254"/>
      <c r="C49" s="56"/>
      <c r="D49" s="141"/>
      <c r="E49" s="146"/>
      <c r="F49" s="286"/>
      <c r="G49" s="286"/>
      <c r="H49" s="286"/>
      <c r="I49" s="286"/>
      <c r="J49" s="286"/>
      <c r="K49" s="286"/>
    </row>
    <row r="50" spans="1:11" s="53" customFormat="1" ht="14.1" customHeight="1" x14ac:dyDescent="0.25">
      <c r="B50" s="56" t="s">
        <v>26</v>
      </c>
      <c r="C50" s="82"/>
      <c r="D50" s="141">
        <v>2017</v>
      </c>
      <c r="E50" s="146">
        <f t="shared" ref="E50:E51" si="13">SUM(F50:K50)</f>
        <v>258</v>
      </c>
      <c r="F50" s="286">
        <f>58+10</f>
        <v>68</v>
      </c>
      <c r="G50" s="286">
        <v>3</v>
      </c>
      <c r="H50" s="286">
        <v>14</v>
      </c>
      <c r="I50" s="286">
        <v>69</v>
      </c>
      <c r="J50" s="290" t="s">
        <v>51</v>
      </c>
      <c r="K50" s="286">
        <f>4+18+39+1+42</f>
        <v>104</v>
      </c>
    </row>
    <row r="51" spans="1:11" s="53" customFormat="1" ht="14.1" customHeight="1" x14ac:dyDescent="0.2">
      <c r="B51" s="56"/>
      <c r="C51" s="82"/>
      <c r="D51" s="141">
        <v>2018</v>
      </c>
      <c r="E51" s="146">
        <f t="shared" si="13"/>
        <v>290</v>
      </c>
      <c r="F51" s="336">
        <v>104</v>
      </c>
      <c r="G51" s="336">
        <v>2</v>
      </c>
      <c r="H51" s="336">
        <v>18</v>
      </c>
      <c r="I51" s="336">
        <v>57</v>
      </c>
      <c r="J51" s="336" t="s">
        <v>51</v>
      </c>
      <c r="K51" s="278">
        <v>109</v>
      </c>
    </row>
    <row r="52" spans="1:11" s="53" customFormat="1" ht="14.1" customHeight="1" x14ac:dyDescent="0.25">
      <c r="A52" s="116"/>
      <c r="B52" s="254"/>
      <c r="C52" s="56"/>
      <c r="D52" s="141">
        <v>2019</v>
      </c>
      <c r="E52" s="146">
        <f t="shared" ref="E52" si="14">SUM(F52:K52)</f>
        <v>292</v>
      </c>
      <c r="F52" s="286">
        <v>103</v>
      </c>
      <c r="G52" s="286">
        <v>4</v>
      </c>
      <c r="H52" s="286">
        <v>26</v>
      </c>
      <c r="I52" s="286">
        <v>52</v>
      </c>
      <c r="J52" s="290" t="s">
        <v>51</v>
      </c>
      <c r="K52" s="286">
        <v>107</v>
      </c>
    </row>
    <row r="53" spans="1:11" s="53" customFormat="1" ht="8.1" customHeight="1" x14ac:dyDescent="0.25">
      <c r="A53" s="116"/>
      <c r="B53" s="254"/>
      <c r="C53" s="56"/>
      <c r="D53" s="141"/>
      <c r="E53" s="146"/>
      <c r="F53" s="286"/>
      <c r="G53" s="286"/>
      <c r="H53" s="286"/>
      <c r="I53" s="286"/>
      <c r="J53" s="286"/>
      <c r="K53" s="286"/>
    </row>
    <row r="54" spans="1:11" s="53" customFormat="1" ht="14.1" customHeight="1" x14ac:dyDescent="0.25">
      <c r="B54" s="56" t="s">
        <v>27</v>
      </c>
      <c r="C54" s="82"/>
      <c r="D54" s="141">
        <v>2017</v>
      </c>
      <c r="E54" s="146">
        <f t="shared" ref="E54:E55" si="15">SUM(F54:K54)</f>
        <v>138</v>
      </c>
      <c r="F54" s="286">
        <f>21+13</f>
        <v>34</v>
      </c>
      <c r="G54" s="290" t="s">
        <v>51</v>
      </c>
      <c r="H54" s="286">
        <v>1</v>
      </c>
      <c r="I54" s="286">
        <v>19</v>
      </c>
      <c r="J54" s="290" t="s">
        <v>51</v>
      </c>
      <c r="K54" s="286">
        <f>7+14+28+17+18</f>
        <v>84</v>
      </c>
    </row>
    <row r="55" spans="1:11" s="53" customFormat="1" ht="14.1" customHeight="1" x14ac:dyDescent="0.2">
      <c r="B55" s="56"/>
      <c r="C55" s="82"/>
      <c r="D55" s="141">
        <v>2018</v>
      </c>
      <c r="E55" s="146">
        <f t="shared" si="15"/>
        <v>127</v>
      </c>
      <c r="F55" s="336">
        <v>27</v>
      </c>
      <c r="G55" s="336">
        <v>3</v>
      </c>
      <c r="H55" s="336">
        <v>5</v>
      </c>
      <c r="I55" s="336">
        <v>27</v>
      </c>
      <c r="J55" s="336" t="s">
        <v>51</v>
      </c>
      <c r="K55" s="278">
        <v>65</v>
      </c>
    </row>
    <row r="56" spans="1:11" s="53" customFormat="1" ht="14.1" customHeight="1" x14ac:dyDescent="0.25">
      <c r="A56" s="116"/>
      <c r="B56" s="254"/>
      <c r="C56" s="56"/>
      <c r="D56" s="141">
        <v>2019</v>
      </c>
      <c r="E56" s="146">
        <f t="shared" ref="E56" si="16">SUM(F56:K56)</f>
        <v>93</v>
      </c>
      <c r="F56" s="286">
        <v>16</v>
      </c>
      <c r="G56" s="290" t="s">
        <v>51</v>
      </c>
      <c r="H56" s="290" t="s">
        <v>51</v>
      </c>
      <c r="I56" s="286">
        <v>15</v>
      </c>
      <c r="J56" s="290" t="s">
        <v>51</v>
      </c>
      <c r="K56" s="286">
        <v>62</v>
      </c>
    </row>
    <row r="57" spans="1:11" s="53" customFormat="1" ht="8.1" customHeight="1" x14ac:dyDescent="0.25">
      <c r="A57" s="116"/>
      <c r="B57" s="254"/>
      <c r="C57" s="56"/>
      <c r="D57" s="141"/>
      <c r="E57" s="146"/>
      <c r="F57" s="286"/>
      <c r="G57" s="286"/>
      <c r="H57" s="286"/>
      <c r="I57" s="286"/>
      <c r="J57" s="290"/>
      <c r="K57" s="286"/>
    </row>
    <row r="58" spans="1:11" s="53" customFormat="1" ht="14.1" customHeight="1" x14ac:dyDescent="0.25">
      <c r="B58" s="56" t="s">
        <v>28</v>
      </c>
      <c r="C58" s="82"/>
      <c r="D58" s="141">
        <v>2017</v>
      </c>
      <c r="E58" s="146">
        <f t="shared" ref="E58:E59" si="17">SUM(F58:K58)</f>
        <v>1199</v>
      </c>
      <c r="F58" s="286">
        <f>230+103</f>
        <v>333</v>
      </c>
      <c r="G58" s="286">
        <f>1+37</f>
        <v>38</v>
      </c>
      <c r="H58" s="286">
        <v>109</v>
      </c>
      <c r="I58" s="286">
        <v>403</v>
      </c>
      <c r="J58" s="290" t="s">
        <v>51</v>
      </c>
      <c r="K58" s="286">
        <f>1+39+61+146+2+66+1</f>
        <v>316</v>
      </c>
    </row>
    <row r="59" spans="1:11" s="53" customFormat="1" ht="14.1" customHeight="1" x14ac:dyDescent="0.2">
      <c r="B59" s="56"/>
      <c r="C59" s="82"/>
      <c r="D59" s="141">
        <v>2018</v>
      </c>
      <c r="E59" s="146">
        <f t="shared" si="17"/>
        <v>1118</v>
      </c>
      <c r="F59" s="295">
        <v>321</v>
      </c>
      <c r="G59" s="295">
        <v>32</v>
      </c>
      <c r="H59" s="295">
        <v>87</v>
      </c>
      <c r="I59" s="295">
        <v>359</v>
      </c>
      <c r="J59" s="295">
        <v>1</v>
      </c>
      <c r="K59" s="296">
        <v>318</v>
      </c>
    </row>
    <row r="60" spans="1:11" s="53" customFormat="1" ht="14.1" customHeight="1" x14ac:dyDescent="0.25">
      <c r="A60" s="116"/>
      <c r="B60" s="254"/>
      <c r="C60" s="56"/>
      <c r="D60" s="141">
        <v>2019</v>
      </c>
      <c r="E60" s="146">
        <f t="shared" ref="E60" si="18">SUM(F60:K60)</f>
        <v>944</v>
      </c>
      <c r="F60" s="286">
        <v>271</v>
      </c>
      <c r="G60" s="286">
        <v>32</v>
      </c>
      <c r="H60" s="286">
        <v>85</v>
      </c>
      <c r="I60" s="286">
        <v>299</v>
      </c>
      <c r="J60" s="290" t="s">
        <v>51</v>
      </c>
      <c r="K60" s="286">
        <v>257</v>
      </c>
    </row>
    <row r="61" spans="1:11" s="53" customFormat="1" ht="8.1" customHeight="1" x14ac:dyDescent="0.25">
      <c r="A61" s="116"/>
      <c r="B61" s="254"/>
      <c r="C61" s="56"/>
      <c r="D61" s="141"/>
      <c r="E61" s="146"/>
      <c r="F61" s="290"/>
      <c r="G61" s="286"/>
      <c r="H61" s="286"/>
      <c r="I61" s="286"/>
      <c r="J61" s="290"/>
      <c r="K61" s="286"/>
    </row>
    <row r="62" spans="1:11" s="53" customFormat="1" ht="14.1" customHeight="1" x14ac:dyDescent="0.25">
      <c r="B62" s="56" t="s">
        <v>29</v>
      </c>
      <c r="C62" s="82"/>
      <c r="D62" s="141">
        <v>2017</v>
      </c>
      <c r="E62" s="146">
        <f t="shared" ref="E62:E63" si="19">SUM(F62:K62)</f>
        <v>171</v>
      </c>
      <c r="F62" s="297">
        <f>43+5</f>
        <v>48</v>
      </c>
      <c r="G62" s="297">
        <v>2</v>
      </c>
      <c r="H62" s="297">
        <v>5</v>
      </c>
      <c r="I62" s="297">
        <v>34</v>
      </c>
      <c r="J62" s="298" t="s">
        <v>51</v>
      </c>
      <c r="K62" s="297">
        <f>5+4+11+33+29</f>
        <v>82</v>
      </c>
    </row>
    <row r="63" spans="1:11" s="53" customFormat="1" ht="14.1" customHeight="1" x14ac:dyDescent="0.2">
      <c r="B63" s="56"/>
      <c r="C63" s="82"/>
      <c r="D63" s="141">
        <v>2018</v>
      </c>
      <c r="E63" s="146">
        <f t="shared" si="19"/>
        <v>177</v>
      </c>
      <c r="F63" s="295">
        <v>66</v>
      </c>
      <c r="G63" s="295">
        <v>1</v>
      </c>
      <c r="H63" s="295">
        <v>3</v>
      </c>
      <c r="I63" s="295">
        <v>29</v>
      </c>
      <c r="J63" s="295" t="s">
        <v>51</v>
      </c>
      <c r="K63" s="296">
        <v>78</v>
      </c>
    </row>
    <row r="64" spans="1:11" s="53" customFormat="1" ht="14.1" customHeight="1" x14ac:dyDescent="0.2">
      <c r="B64" s="56"/>
      <c r="C64" s="56"/>
      <c r="D64" s="141">
        <v>2019</v>
      </c>
      <c r="E64" s="53">
        <f t="shared" ref="E64" si="20">SUM(F64:K64)</f>
        <v>140</v>
      </c>
      <c r="F64" s="53">
        <v>45</v>
      </c>
      <c r="G64" s="301" t="s">
        <v>51</v>
      </c>
      <c r="H64" s="53">
        <v>1</v>
      </c>
      <c r="I64" s="53">
        <v>29</v>
      </c>
      <c r="J64" s="301" t="s">
        <v>51</v>
      </c>
      <c r="K64" s="53">
        <v>65</v>
      </c>
    </row>
    <row r="65" spans="1:12" ht="8.1" customHeight="1" thickBot="1" x14ac:dyDescent="0.25">
      <c r="A65" s="34"/>
      <c r="B65" s="16"/>
      <c r="C65" s="16"/>
      <c r="D65" s="238"/>
      <c r="E65" s="178"/>
      <c r="F65" s="256"/>
      <c r="G65" s="256"/>
      <c r="H65" s="256"/>
      <c r="I65" s="256"/>
      <c r="J65" s="256"/>
      <c r="K65" s="256"/>
      <c r="L65" s="34"/>
    </row>
    <row r="66" spans="1:12" x14ac:dyDescent="0.25">
      <c r="K66" s="8" t="s">
        <v>99</v>
      </c>
    </row>
    <row r="67" spans="1:12" x14ac:dyDescent="0.25">
      <c r="K67" s="41" t="s">
        <v>1</v>
      </c>
    </row>
    <row r="68" spans="1:12" x14ac:dyDescent="0.25">
      <c r="A68" s="359" t="s">
        <v>254</v>
      </c>
      <c r="B68" s="27"/>
    </row>
    <row r="69" spans="1:12" x14ac:dyDescent="0.25">
      <c r="A69" s="420" t="s">
        <v>252</v>
      </c>
      <c r="B69" s="420"/>
    </row>
    <row r="70" spans="1:12" s="53" customFormat="1" ht="14.25" x14ac:dyDescent="0.2">
      <c r="A70" s="362" t="s">
        <v>253</v>
      </c>
      <c r="B70" s="362"/>
      <c r="C70" s="115"/>
      <c r="D70" s="115"/>
      <c r="E70" s="190"/>
      <c r="F70" s="189"/>
      <c r="G70" s="189"/>
      <c r="H70" s="191"/>
      <c r="I70" s="189"/>
      <c r="L70" s="2"/>
    </row>
  </sheetData>
  <mergeCells count="6">
    <mergeCell ref="K10:K11"/>
    <mergeCell ref="B10:C11"/>
    <mergeCell ref="E10:E11"/>
    <mergeCell ref="F10:F11"/>
    <mergeCell ref="G10:I10"/>
    <mergeCell ref="J10:J11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83" fitToWidth="0" orientation="portrait" r:id="rId1"/>
  <headerFooter>
    <oddHeader xml:space="preserve">&amp;R&amp;"-,Bold"
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65"/>
  <sheetViews>
    <sheetView showGridLines="0" topLeftCell="A35" zoomScaleNormal="100" zoomScaleSheetLayoutView="100" workbookViewId="0">
      <selection activeCell="AA22" sqref="AA22"/>
    </sheetView>
  </sheetViews>
  <sheetFormatPr defaultRowHeight="15" x14ac:dyDescent="0.25"/>
  <cols>
    <col min="1" max="1" width="0.85546875" style="2" customWidth="1"/>
    <col min="2" max="2" width="10.140625" style="3" customWidth="1"/>
    <col min="3" max="3" width="11.28515625" style="3" customWidth="1"/>
    <col min="4" max="4" width="10.7109375" style="3" customWidth="1"/>
    <col min="5" max="5" width="10.140625" style="4" customWidth="1"/>
    <col min="6" max="6" width="11.7109375" style="5" customWidth="1"/>
    <col min="7" max="7" width="10.42578125" style="5" customWidth="1"/>
    <col min="8" max="8" width="11.7109375" style="185" customWidth="1"/>
    <col min="9" max="9" width="12.28515625" style="5" customWidth="1"/>
    <col min="10" max="10" width="10.5703125" style="2" customWidth="1"/>
    <col min="11" max="11" width="11" style="2" customWidth="1"/>
    <col min="12" max="12" width="1.140625" style="2" customWidth="1"/>
    <col min="13" max="16384" width="9.140625" style="2"/>
  </cols>
  <sheetData>
    <row r="1" spans="1:12" s="30" customFormat="1" ht="12.95" customHeight="1" x14ac:dyDescent="0.25">
      <c r="B1" s="27"/>
      <c r="C1" s="27"/>
      <c r="D1" s="29"/>
      <c r="E1" s="28"/>
      <c r="F1" s="29"/>
      <c r="J1" s="29"/>
      <c r="K1" s="160" t="s">
        <v>179</v>
      </c>
    </row>
    <row r="2" spans="1:12" s="30" customFormat="1" ht="12.95" customHeight="1" x14ac:dyDescent="0.25">
      <c r="B2" s="27"/>
      <c r="C2" s="27"/>
      <c r="D2" s="29"/>
      <c r="E2" s="28"/>
      <c r="F2" s="29"/>
      <c r="J2" s="29"/>
      <c r="K2" s="68" t="s">
        <v>180</v>
      </c>
    </row>
    <row r="3" spans="1:12" s="30" customFormat="1" ht="12" customHeight="1" x14ac:dyDescent="0.25">
      <c r="B3" s="27"/>
      <c r="C3" s="27"/>
      <c r="D3" s="29"/>
      <c r="E3" s="28"/>
      <c r="F3" s="29"/>
      <c r="G3" s="68"/>
      <c r="J3" s="29"/>
    </row>
    <row r="4" spans="1:12" s="30" customFormat="1" ht="12" customHeight="1" x14ac:dyDescent="0.25">
      <c r="B4" s="27"/>
      <c r="C4" s="27"/>
      <c r="D4" s="29"/>
      <c r="E4" s="28"/>
      <c r="F4" s="29"/>
      <c r="G4" s="68"/>
      <c r="J4" s="29"/>
    </row>
    <row r="5" spans="1:12" s="53" customFormat="1" ht="9.9499999999999993" customHeight="1" x14ac:dyDescent="0.2">
      <c r="B5" s="115"/>
      <c r="C5" s="115"/>
      <c r="D5" s="189"/>
      <c r="E5" s="190"/>
      <c r="F5" s="189"/>
      <c r="G5" s="189"/>
      <c r="H5" s="191"/>
      <c r="I5" s="189"/>
      <c r="J5" s="114"/>
    </row>
    <row r="6" spans="1:12" s="53" customFormat="1" ht="15" customHeight="1" x14ac:dyDescent="0.2">
      <c r="B6" s="63" t="s">
        <v>208</v>
      </c>
      <c r="C6" s="64" t="s">
        <v>249</v>
      </c>
      <c r="D6" s="189"/>
      <c r="E6" s="190"/>
      <c r="F6" s="64"/>
      <c r="G6" s="64"/>
      <c r="H6" s="64"/>
      <c r="I6" s="64"/>
      <c r="J6" s="79"/>
      <c r="K6" s="64"/>
      <c r="L6" s="179"/>
    </row>
    <row r="7" spans="1:12" s="53" customFormat="1" ht="18" customHeight="1" x14ac:dyDescent="0.2">
      <c r="B7" s="80" t="s">
        <v>209</v>
      </c>
      <c r="C7" s="86" t="s">
        <v>250</v>
      </c>
      <c r="D7" s="189"/>
      <c r="E7" s="190"/>
      <c r="F7" s="86"/>
      <c r="G7" s="86"/>
      <c r="H7" s="86"/>
      <c r="I7" s="86"/>
      <c r="J7" s="235"/>
      <c r="K7" s="86"/>
      <c r="L7" s="180"/>
    </row>
    <row r="8" spans="1:12" s="53" customFormat="1" ht="8.1" customHeight="1" thickBot="1" x14ac:dyDescent="0.25">
      <c r="B8" s="194"/>
      <c r="C8" s="194"/>
      <c r="D8" s="216"/>
      <c r="E8" s="215"/>
      <c r="F8" s="216"/>
      <c r="G8" s="216"/>
      <c r="H8" s="217"/>
      <c r="I8" s="216"/>
      <c r="J8" s="143"/>
      <c r="K8" s="116"/>
    </row>
    <row r="9" spans="1:12" s="53" customFormat="1" ht="8.1" customHeight="1" thickTop="1" x14ac:dyDescent="0.2">
      <c r="A9" s="378"/>
      <c r="B9" s="389"/>
      <c r="C9" s="389"/>
      <c r="D9" s="377"/>
      <c r="E9" s="400"/>
      <c r="F9" s="377"/>
      <c r="G9" s="377"/>
      <c r="H9" s="401"/>
      <c r="I9" s="377"/>
      <c r="J9" s="375"/>
      <c r="K9" s="378"/>
      <c r="L9" s="378"/>
    </row>
    <row r="10" spans="1:12" s="53" customFormat="1" ht="30.75" customHeight="1" x14ac:dyDescent="0.2">
      <c r="A10" s="390"/>
      <c r="B10" s="443" t="s">
        <v>207</v>
      </c>
      <c r="C10" s="443"/>
      <c r="D10" s="405" t="s">
        <v>96</v>
      </c>
      <c r="E10" s="437" t="s">
        <v>92</v>
      </c>
      <c r="F10" s="437" t="s">
        <v>203</v>
      </c>
      <c r="G10" s="440" t="s">
        <v>191</v>
      </c>
      <c r="H10" s="440"/>
      <c r="I10" s="440"/>
      <c r="J10" s="439" t="s">
        <v>251</v>
      </c>
      <c r="K10" s="437" t="s">
        <v>192</v>
      </c>
      <c r="L10" s="390"/>
    </row>
    <row r="11" spans="1:12" s="102" customFormat="1" ht="55.5" customHeight="1" x14ac:dyDescent="0.2">
      <c r="A11" s="398"/>
      <c r="B11" s="444"/>
      <c r="C11" s="444"/>
      <c r="D11" s="404"/>
      <c r="E11" s="442"/>
      <c r="F11" s="442"/>
      <c r="G11" s="403" t="s">
        <v>193</v>
      </c>
      <c r="H11" s="403" t="s">
        <v>194</v>
      </c>
      <c r="I11" s="403" t="s">
        <v>204</v>
      </c>
      <c r="J11" s="441"/>
      <c r="K11" s="442"/>
      <c r="L11" s="398"/>
    </row>
    <row r="12" spans="1:12" s="6" customFormat="1" ht="8.1" customHeight="1" x14ac:dyDescent="0.25">
      <c r="A12" s="24"/>
      <c r="B12" s="257"/>
      <c r="C12" s="257"/>
      <c r="D12" s="258"/>
      <c r="E12" s="259"/>
      <c r="F12" s="260"/>
      <c r="G12" s="259"/>
      <c r="H12" s="259"/>
      <c r="I12" s="259"/>
      <c r="J12" s="260"/>
      <c r="K12" s="259"/>
    </row>
    <row r="13" spans="1:12" s="116" customFormat="1" ht="15" customHeight="1" x14ac:dyDescent="0.2">
      <c r="A13" s="115"/>
      <c r="B13" s="61" t="s">
        <v>98</v>
      </c>
      <c r="C13" s="124"/>
      <c r="D13" s="62">
        <v>2017</v>
      </c>
      <c r="E13" s="145">
        <f t="shared" ref="E13" si="0">SUM(F13:K13)</f>
        <v>2951</v>
      </c>
      <c r="F13" s="145">
        <f t="shared" ref="F13:K15" si="1">SUM(F17,F21,F25,F29,F33,F37,F41,F45,F49,F53,F57)</f>
        <v>794</v>
      </c>
      <c r="G13" s="145">
        <f t="shared" si="1"/>
        <v>58</v>
      </c>
      <c r="H13" s="145">
        <f t="shared" si="1"/>
        <v>214</v>
      </c>
      <c r="I13" s="145">
        <f t="shared" si="1"/>
        <v>1173</v>
      </c>
      <c r="J13" s="145">
        <f t="shared" si="1"/>
        <v>5</v>
      </c>
      <c r="K13" s="145">
        <f t="shared" si="1"/>
        <v>707</v>
      </c>
    </row>
    <row r="14" spans="1:12" s="116" customFormat="1" ht="15" customHeight="1" x14ac:dyDescent="0.2">
      <c r="A14" s="115"/>
      <c r="B14" s="124"/>
      <c r="C14" s="124"/>
      <c r="D14" s="62">
        <v>2018</v>
      </c>
      <c r="E14" s="145">
        <f>SUM(F14:K14)</f>
        <v>3012</v>
      </c>
      <c r="F14" s="145">
        <f t="shared" si="1"/>
        <v>861</v>
      </c>
      <c r="G14" s="145">
        <f t="shared" si="1"/>
        <v>60</v>
      </c>
      <c r="H14" s="145">
        <f t="shared" si="1"/>
        <v>155</v>
      </c>
      <c r="I14" s="145">
        <f t="shared" si="1"/>
        <v>793</v>
      </c>
      <c r="J14" s="145">
        <f t="shared" si="1"/>
        <v>1</v>
      </c>
      <c r="K14" s="145">
        <f t="shared" si="1"/>
        <v>1142</v>
      </c>
    </row>
    <row r="15" spans="1:12" s="116" customFormat="1" ht="15" customHeight="1" x14ac:dyDescent="0.2">
      <c r="A15" s="115"/>
      <c r="B15" s="124"/>
      <c r="C15" s="124"/>
      <c r="D15" s="62">
        <v>2019</v>
      </c>
      <c r="E15" s="145">
        <f t="shared" ref="E15" si="2">SUM(F15:K15)</f>
        <v>2676</v>
      </c>
      <c r="F15" s="145">
        <f t="shared" si="1"/>
        <v>718</v>
      </c>
      <c r="G15" s="145">
        <f t="shared" si="1"/>
        <v>29</v>
      </c>
      <c r="H15" s="145">
        <f t="shared" si="1"/>
        <v>130</v>
      </c>
      <c r="I15" s="145">
        <f t="shared" si="1"/>
        <v>713</v>
      </c>
      <c r="J15" s="137" t="s">
        <v>51</v>
      </c>
      <c r="K15" s="145">
        <f t="shared" si="1"/>
        <v>1086</v>
      </c>
    </row>
    <row r="16" spans="1:12" s="116" customFormat="1" ht="8.1" customHeight="1" x14ac:dyDescent="0.2">
      <c r="A16" s="115"/>
      <c r="B16" s="124"/>
      <c r="C16" s="124"/>
      <c r="D16" s="62"/>
      <c r="E16" s="146"/>
      <c r="F16" s="299"/>
      <c r="G16" s="299"/>
      <c r="H16" s="299"/>
      <c r="I16" s="299"/>
      <c r="J16" s="299"/>
      <c r="K16" s="299"/>
    </row>
    <row r="17" spans="1:11" s="83" customFormat="1" ht="15" customHeight="1" x14ac:dyDescent="0.2">
      <c r="A17" s="53"/>
      <c r="B17" s="56" t="s">
        <v>32</v>
      </c>
      <c r="C17" s="56"/>
      <c r="D17" s="141">
        <v>2017</v>
      </c>
      <c r="E17" s="146">
        <f t="shared" ref="E17" si="3">SUM(F17:K17)</f>
        <v>280</v>
      </c>
      <c r="F17" s="299">
        <f>59+27</f>
        <v>86</v>
      </c>
      <c r="G17" s="299">
        <v>1</v>
      </c>
      <c r="H17" s="299">
        <v>12</v>
      </c>
      <c r="I17" s="299">
        <v>72</v>
      </c>
      <c r="J17" s="300" t="s">
        <v>51</v>
      </c>
      <c r="K17" s="299">
        <f>7+20+33+47+2</f>
        <v>109</v>
      </c>
    </row>
    <row r="18" spans="1:11" s="116" customFormat="1" ht="15" customHeight="1" x14ac:dyDescent="0.2">
      <c r="B18" s="56"/>
      <c r="C18" s="56"/>
      <c r="D18" s="141">
        <v>2018</v>
      </c>
      <c r="E18" s="146">
        <f>SUM(F18:K18)</f>
        <v>481</v>
      </c>
      <c r="F18" s="336">
        <v>61</v>
      </c>
      <c r="G18" s="336">
        <v>4</v>
      </c>
      <c r="H18" s="336">
        <v>19</v>
      </c>
      <c r="I18" s="336">
        <v>63</v>
      </c>
      <c r="J18" s="336" t="s">
        <v>51</v>
      </c>
      <c r="K18" s="278">
        <v>334</v>
      </c>
    </row>
    <row r="19" spans="1:11" s="53" customFormat="1" ht="15" customHeight="1" x14ac:dyDescent="0.2">
      <c r="A19" s="116"/>
      <c r="B19" s="56"/>
      <c r="C19" s="56"/>
      <c r="D19" s="141">
        <v>2019</v>
      </c>
      <c r="E19" s="146">
        <f>SUM(F19:K19)</f>
        <v>455</v>
      </c>
      <c r="F19" s="299">
        <v>63</v>
      </c>
      <c r="G19" s="299">
        <v>1</v>
      </c>
      <c r="H19" s="299">
        <v>16</v>
      </c>
      <c r="I19" s="299">
        <v>42</v>
      </c>
      <c r="J19" s="300" t="s">
        <v>51</v>
      </c>
      <c r="K19" s="299">
        <v>333</v>
      </c>
    </row>
    <row r="20" spans="1:11" s="53" customFormat="1" ht="8.1" customHeight="1" x14ac:dyDescent="0.2">
      <c r="A20" s="116"/>
      <c r="B20" s="56"/>
      <c r="C20" s="56"/>
      <c r="D20" s="141"/>
      <c r="E20" s="146"/>
      <c r="F20" s="299"/>
      <c r="G20" s="299"/>
      <c r="H20" s="299"/>
      <c r="I20" s="299"/>
      <c r="J20" s="299"/>
      <c r="K20" s="299"/>
    </row>
    <row r="21" spans="1:11" s="53" customFormat="1" ht="15" customHeight="1" x14ac:dyDescent="0.2">
      <c r="B21" s="56" t="s">
        <v>42</v>
      </c>
      <c r="C21" s="56"/>
      <c r="D21" s="141">
        <v>2017</v>
      </c>
      <c r="E21" s="146">
        <f t="shared" ref="E21" si="4">SUM(F21:K21)</f>
        <v>100</v>
      </c>
      <c r="F21" s="299">
        <f>27+5</f>
        <v>32</v>
      </c>
      <c r="G21" s="299">
        <v>2</v>
      </c>
      <c r="H21" s="299">
        <v>3</v>
      </c>
      <c r="I21" s="299">
        <v>36</v>
      </c>
      <c r="J21" s="300" t="s">
        <v>51</v>
      </c>
      <c r="K21" s="299">
        <f>1+1+4+1+20</f>
        <v>27</v>
      </c>
    </row>
    <row r="22" spans="1:11" s="53" customFormat="1" ht="15" customHeight="1" x14ac:dyDescent="0.2">
      <c r="B22" s="56"/>
      <c r="C22" s="56"/>
      <c r="D22" s="141">
        <v>2018</v>
      </c>
      <c r="E22" s="146">
        <f>SUM(F22:K22)</f>
        <v>109</v>
      </c>
      <c r="F22" s="336">
        <v>38</v>
      </c>
      <c r="G22" s="336">
        <v>2</v>
      </c>
      <c r="H22" s="336">
        <v>1</v>
      </c>
      <c r="I22" s="336">
        <v>28</v>
      </c>
      <c r="J22" s="336" t="s">
        <v>51</v>
      </c>
      <c r="K22" s="278">
        <v>40</v>
      </c>
    </row>
    <row r="23" spans="1:11" s="53" customFormat="1" ht="15" customHeight="1" x14ac:dyDescent="0.2">
      <c r="A23" s="116"/>
      <c r="B23" s="56"/>
      <c r="C23" s="56"/>
      <c r="D23" s="141">
        <v>2019</v>
      </c>
      <c r="E23" s="146">
        <f>SUM(F23:K23)</f>
        <v>93</v>
      </c>
      <c r="F23" s="299">
        <v>32</v>
      </c>
      <c r="G23" s="300" t="s">
        <v>51</v>
      </c>
      <c r="H23" s="299">
        <v>3</v>
      </c>
      <c r="I23" s="299">
        <v>29</v>
      </c>
      <c r="J23" s="300" t="s">
        <v>51</v>
      </c>
      <c r="K23" s="299">
        <v>29</v>
      </c>
    </row>
    <row r="24" spans="1:11" s="53" customFormat="1" ht="8.1" customHeight="1" x14ac:dyDescent="0.2">
      <c r="A24" s="116"/>
      <c r="B24" s="56"/>
      <c r="C24" s="56"/>
      <c r="D24" s="141"/>
      <c r="E24" s="146"/>
      <c r="F24" s="299"/>
      <c r="G24" s="299"/>
      <c r="H24" s="299"/>
      <c r="I24" s="299"/>
      <c r="J24" s="300"/>
      <c r="K24" s="299"/>
    </row>
    <row r="25" spans="1:11" s="53" customFormat="1" ht="15" customHeight="1" x14ac:dyDescent="0.2">
      <c r="B25" s="56" t="s">
        <v>33</v>
      </c>
      <c r="C25" s="56"/>
      <c r="D25" s="141">
        <v>2017</v>
      </c>
      <c r="E25" s="146">
        <f t="shared" ref="E25" si="5">SUM(F25:K25)</f>
        <v>63</v>
      </c>
      <c r="F25" s="299">
        <f>5+7</f>
        <v>12</v>
      </c>
      <c r="G25" s="299">
        <v>1</v>
      </c>
      <c r="H25" s="299">
        <v>10</v>
      </c>
      <c r="I25" s="299">
        <v>23</v>
      </c>
      <c r="J25" s="300" t="s">
        <v>51</v>
      </c>
      <c r="K25" s="299">
        <f>1+4+6+6</f>
        <v>17</v>
      </c>
    </row>
    <row r="26" spans="1:11" s="53" customFormat="1" ht="15" customHeight="1" x14ac:dyDescent="0.2">
      <c r="B26" s="56"/>
      <c r="C26" s="56"/>
      <c r="D26" s="141">
        <v>2018</v>
      </c>
      <c r="E26" s="146">
        <f>SUM(F26:K26)</f>
        <v>43</v>
      </c>
      <c r="F26" s="336">
        <v>12</v>
      </c>
      <c r="G26" s="336">
        <v>1</v>
      </c>
      <c r="H26" s="336">
        <v>6</v>
      </c>
      <c r="I26" s="336">
        <v>16</v>
      </c>
      <c r="J26" s="336" t="s">
        <v>51</v>
      </c>
      <c r="K26" s="278">
        <v>8</v>
      </c>
    </row>
    <row r="27" spans="1:11" s="53" customFormat="1" ht="15" customHeight="1" x14ac:dyDescent="0.2">
      <c r="A27" s="116"/>
      <c r="B27" s="56"/>
      <c r="C27" s="56"/>
      <c r="D27" s="141">
        <v>2019</v>
      </c>
      <c r="E27" s="146">
        <f>SUM(F27:K27)</f>
        <v>39</v>
      </c>
      <c r="F27" s="299">
        <v>10</v>
      </c>
      <c r="G27" s="299">
        <v>1</v>
      </c>
      <c r="H27" s="299">
        <v>4</v>
      </c>
      <c r="I27" s="299">
        <v>13</v>
      </c>
      <c r="J27" s="300" t="s">
        <v>51</v>
      </c>
      <c r="K27" s="299">
        <v>11</v>
      </c>
    </row>
    <row r="28" spans="1:11" s="53" customFormat="1" ht="8.1" customHeight="1" x14ac:dyDescent="0.2">
      <c r="A28" s="116"/>
      <c r="B28" s="56"/>
      <c r="C28" s="56"/>
      <c r="D28" s="141"/>
      <c r="E28" s="146"/>
      <c r="F28" s="299"/>
      <c r="G28" s="300"/>
      <c r="H28" s="299"/>
      <c r="I28" s="299"/>
      <c r="J28" s="299"/>
      <c r="K28" s="299"/>
    </row>
    <row r="29" spans="1:11" s="53" customFormat="1" ht="15" customHeight="1" x14ac:dyDescent="0.2">
      <c r="B29" s="56" t="s">
        <v>34</v>
      </c>
      <c r="C29" s="56"/>
      <c r="D29" s="141">
        <v>2017</v>
      </c>
      <c r="E29" s="146">
        <f t="shared" ref="E29" si="6">SUM(F29:K29)</f>
        <v>162</v>
      </c>
      <c r="F29" s="299">
        <f>50+11</f>
        <v>61</v>
      </c>
      <c r="G29" s="299">
        <v>4</v>
      </c>
      <c r="H29" s="299">
        <v>11</v>
      </c>
      <c r="I29" s="299">
        <v>32</v>
      </c>
      <c r="J29" s="300" t="s">
        <v>51</v>
      </c>
      <c r="K29" s="299">
        <f>2+4+9+17+2+20</f>
        <v>54</v>
      </c>
    </row>
    <row r="30" spans="1:11" s="53" customFormat="1" ht="15" customHeight="1" x14ac:dyDescent="0.2">
      <c r="B30" s="56"/>
      <c r="C30" s="56"/>
      <c r="D30" s="141">
        <v>2018</v>
      </c>
      <c r="E30" s="146">
        <f>SUM(F30:K30)</f>
        <v>156</v>
      </c>
      <c r="F30" s="336">
        <v>46</v>
      </c>
      <c r="G30" s="336">
        <v>6</v>
      </c>
      <c r="H30" s="336">
        <v>4</v>
      </c>
      <c r="I30" s="336">
        <v>54</v>
      </c>
      <c r="J30" s="336" t="s">
        <v>51</v>
      </c>
      <c r="K30" s="278">
        <v>46</v>
      </c>
    </row>
    <row r="31" spans="1:11" s="53" customFormat="1" ht="15" customHeight="1" x14ac:dyDescent="0.2">
      <c r="A31" s="116"/>
      <c r="B31" s="56"/>
      <c r="C31" s="56"/>
      <c r="D31" s="141">
        <v>2019</v>
      </c>
      <c r="E31" s="146">
        <f>SUM(F31:K31)</f>
        <v>150</v>
      </c>
      <c r="F31" s="299">
        <v>49</v>
      </c>
      <c r="G31" s="299">
        <v>3</v>
      </c>
      <c r="H31" s="299">
        <v>3</v>
      </c>
      <c r="I31" s="299">
        <v>34</v>
      </c>
      <c r="J31" s="300" t="s">
        <v>51</v>
      </c>
      <c r="K31" s="299">
        <v>61</v>
      </c>
    </row>
    <row r="32" spans="1:11" s="53" customFormat="1" ht="8.1" customHeight="1" x14ac:dyDescent="0.2">
      <c r="A32" s="116"/>
      <c r="B32" s="56"/>
      <c r="C32" s="56"/>
      <c r="D32" s="141"/>
      <c r="E32" s="146"/>
      <c r="F32" s="299"/>
      <c r="G32" s="299"/>
      <c r="H32" s="299"/>
      <c r="I32" s="299"/>
      <c r="J32" s="299"/>
      <c r="K32" s="299"/>
    </row>
    <row r="33" spans="1:14" s="115" customFormat="1" ht="15" customHeight="1" x14ac:dyDescent="0.2">
      <c r="A33" s="53"/>
      <c r="B33" s="56" t="s">
        <v>36</v>
      </c>
      <c r="C33" s="56"/>
      <c r="D33" s="141">
        <v>2017</v>
      </c>
      <c r="E33" s="146">
        <f t="shared" ref="E33" si="7">SUM(F33:K33)</f>
        <v>112</v>
      </c>
      <c r="F33" s="300">
        <f>26+3</f>
        <v>29</v>
      </c>
      <c r="G33" s="300">
        <f>1+5</f>
        <v>6</v>
      </c>
      <c r="H33" s="299">
        <v>2</v>
      </c>
      <c r="I33" s="300">
        <v>32</v>
      </c>
      <c r="J33" s="299">
        <v>1</v>
      </c>
      <c r="K33" s="299">
        <f>4+4+17+1+16</f>
        <v>42</v>
      </c>
      <c r="L33" s="53"/>
      <c r="M33" s="53"/>
      <c r="N33" s="53"/>
    </row>
    <row r="34" spans="1:14" s="53" customFormat="1" ht="15" customHeight="1" x14ac:dyDescent="0.2">
      <c r="B34" s="56"/>
      <c r="C34" s="56"/>
      <c r="D34" s="141">
        <v>2018</v>
      </c>
      <c r="E34" s="146">
        <f>SUM(F34:K34)</f>
        <v>104</v>
      </c>
      <c r="F34" s="336">
        <v>18</v>
      </c>
      <c r="G34" s="336">
        <v>6</v>
      </c>
      <c r="H34" s="336">
        <v>5</v>
      </c>
      <c r="I34" s="336">
        <v>23</v>
      </c>
      <c r="J34" s="336" t="s">
        <v>51</v>
      </c>
      <c r="K34" s="278">
        <v>52</v>
      </c>
    </row>
    <row r="35" spans="1:14" s="53" customFormat="1" ht="15" customHeight="1" x14ac:dyDescent="0.2">
      <c r="A35" s="116"/>
      <c r="B35" s="56"/>
      <c r="C35" s="56"/>
      <c r="D35" s="141">
        <v>2019</v>
      </c>
      <c r="E35" s="146">
        <f>SUM(F35:K35)</f>
        <v>89</v>
      </c>
      <c r="F35" s="300">
        <v>24</v>
      </c>
      <c r="G35" s="300">
        <v>1</v>
      </c>
      <c r="H35" s="299">
        <v>1</v>
      </c>
      <c r="I35" s="300">
        <v>11</v>
      </c>
      <c r="J35" s="300" t="s">
        <v>51</v>
      </c>
      <c r="K35" s="299">
        <v>52</v>
      </c>
    </row>
    <row r="36" spans="1:14" s="53" customFormat="1" ht="8.1" customHeight="1" x14ac:dyDescent="0.2">
      <c r="A36" s="116"/>
      <c r="B36" s="56"/>
      <c r="C36" s="56"/>
      <c r="D36" s="141"/>
      <c r="E36" s="146"/>
      <c r="F36" s="299"/>
      <c r="G36" s="299"/>
      <c r="H36" s="299"/>
      <c r="I36" s="299"/>
      <c r="J36" s="299"/>
      <c r="K36" s="299"/>
    </row>
    <row r="37" spans="1:14" s="53" customFormat="1" ht="15" customHeight="1" x14ac:dyDescent="0.2">
      <c r="B37" s="56" t="s">
        <v>35</v>
      </c>
      <c r="C37" s="56"/>
      <c r="D37" s="141">
        <v>2017</v>
      </c>
      <c r="E37" s="146">
        <f t="shared" ref="E37" si="8">SUM(F37:K37)</f>
        <v>1320</v>
      </c>
      <c r="F37" s="299">
        <f>258+86</f>
        <v>344</v>
      </c>
      <c r="G37" s="299">
        <f>5+24</f>
        <v>29</v>
      </c>
      <c r="H37" s="299">
        <v>125</v>
      </c>
      <c r="I37" s="299">
        <v>573</v>
      </c>
      <c r="J37" s="299">
        <v>1</v>
      </c>
      <c r="K37" s="299">
        <f>2+38+34+92+1+81</f>
        <v>248</v>
      </c>
    </row>
    <row r="38" spans="1:14" s="53" customFormat="1" ht="15" customHeight="1" x14ac:dyDescent="0.2">
      <c r="B38" s="56"/>
      <c r="C38" s="56"/>
      <c r="D38" s="141">
        <v>2018</v>
      </c>
      <c r="E38" s="146">
        <f>SUM(F38:K38)</f>
        <v>1313</v>
      </c>
      <c r="F38" s="336">
        <v>487</v>
      </c>
      <c r="G38" s="336">
        <v>24</v>
      </c>
      <c r="H38" s="336">
        <v>66</v>
      </c>
      <c r="I38" s="336">
        <v>308</v>
      </c>
      <c r="J38" s="336">
        <v>1</v>
      </c>
      <c r="K38" s="278">
        <v>427</v>
      </c>
    </row>
    <row r="39" spans="1:14" s="53" customFormat="1" ht="15" customHeight="1" x14ac:dyDescent="0.2">
      <c r="A39" s="116"/>
      <c r="B39" s="56"/>
      <c r="C39" s="56"/>
      <c r="D39" s="141">
        <v>2019</v>
      </c>
      <c r="E39" s="146">
        <f>SUM(F39:K39)</f>
        <v>1017</v>
      </c>
      <c r="F39" s="299">
        <v>341</v>
      </c>
      <c r="G39" s="299">
        <v>16</v>
      </c>
      <c r="H39" s="299">
        <v>68</v>
      </c>
      <c r="I39" s="299">
        <v>282</v>
      </c>
      <c r="J39" s="300" t="s">
        <v>51</v>
      </c>
      <c r="K39" s="299">
        <v>310</v>
      </c>
    </row>
    <row r="40" spans="1:14" s="53" customFormat="1" ht="8.1" customHeight="1" x14ac:dyDescent="0.2">
      <c r="A40" s="116"/>
      <c r="B40" s="56"/>
      <c r="C40" s="56"/>
      <c r="D40" s="141"/>
      <c r="E40" s="146"/>
      <c r="F40" s="299"/>
      <c r="G40" s="299"/>
      <c r="H40" s="299"/>
      <c r="I40" s="299"/>
      <c r="J40" s="299"/>
      <c r="K40" s="299"/>
    </row>
    <row r="41" spans="1:14" s="53" customFormat="1" ht="15" customHeight="1" x14ac:dyDescent="0.2">
      <c r="B41" s="56" t="s">
        <v>41</v>
      </c>
      <c r="C41" s="56"/>
      <c r="D41" s="141">
        <v>2017</v>
      </c>
      <c r="E41" s="146">
        <f t="shared" ref="E41" si="9">SUM(F41:K41)</f>
        <v>218</v>
      </c>
      <c r="F41" s="299">
        <f>59+10</f>
        <v>69</v>
      </c>
      <c r="G41" s="299">
        <f>1+3</f>
        <v>4</v>
      </c>
      <c r="H41" s="299">
        <v>5</v>
      </c>
      <c r="I41" s="299">
        <v>77</v>
      </c>
      <c r="J41" s="300" t="s">
        <v>51</v>
      </c>
      <c r="K41" s="299">
        <v>63</v>
      </c>
    </row>
    <row r="42" spans="1:14" s="53" customFormat="1" ht="15" customHeight="1" x14ac:dyDescent="0.2">
      <c r="B42" s="56"/>
      <c r="C42" s="56"/>
      <c r="D42" s="141">
        <v>2018</v>
      </c>
      <c r="E42" s="146">
        <f>SUM(F42:K42)</f>
        <v>217</v>
      </c>
      <c r="F42" s="336">
        <v>73</v>
      </c>
      <c r="G42" s="336">
        <v>4</v>
      </c>
      <c r="H42" s="336">
        <v>9</v>
      </c>
      <c r="I42" s="336">
        <v>70</v>
      </c>
      <c r="J42" s="336" t="s">
        <v>51</v>
      </c>
      <c r="K42" s="278">
        <v>61</v>
      </c>
    </row>
    <row r="43" spans="1:14" s="53" customFormat="1" ht="15" customHeight="1" x14ac:dyDescent="0.2">
      <c r="A43" s="116"/>
      <c r="B43" s="56"/>
      <c r="C43" s="56"/>
      <c r="D43" s="141">
        <v>2019</v>
      </c>
      <c r="E43" s="146">
        <f>SUM(F43:K43)</f>
        <v>212</v>
      </c>
      <c r="F43" s="299">
        <v>42</v>
      </c>
      <c r="G43" s="299">
        <v>1</v>
      </c>
      <c r="H43" s="299">
        <v>10</v>
      </c>
      <c r="I43" s="299">
        <v>84</v>
      </c>
      <c r="J43" s="300" t="s">
        <v>51</v>
      </c>
      <c r="K43" s="299">
        <v>75</v>
      </c>
    </row>
    <row r="44" spans="1:14" s="53" customFormat="1" ht="8.1" customHeight="1" x14ac:dyDescent="0.2">
      <c r="A44" s="116"/>
      <c r="B44" s="56"/>
      <c r="C44" s="56"/>
      <c r="D44" s="141"/>
      <c r="E44" s="146"/>
      <c r="F44" s="299"/>
      <c r="G44" s="299"/>
      <c r="H44" s="299"/>
      <c r="I44" s="299"/>
      <c r="J44" s="299"/>
      <c r="K44" s="299"/>
    </row>
    <row r="45" spans="1:14" s="53" customFormat="1" ht="15" customHeight="1" x14ac:dyDescent="0.2">
      <c r="B45" s="56" t="s">
        <v>37</v>
      </c>
      <c r="C45" s="56"/>
      <c r="D45" s="141">
        <v>2017</v>
      </c>
      <c r="E45" s="146">
        <f t="shared" ref="E45" si="10">SUM(F45:K45)</f>
        <v>138</v>
      </c>
      <c r="F45" s="299">
        <f>36+6</f>
        <v>42</v>
      </c>
      <c r="G45" s="300" t="s">
        <v>51</v>
      </c>
      <c r="H45" s="299">
        <v>4</v>
      </c>
      <c r="I45" s="299">
        <v>63</v>
      </c>
      <c r="J45" s="299">
        <v>1</v>
      </c>
      <c r="K45" s="299">
        <f>2+2+7+17</f>
        <v>28</v>
      </c>
    </row>
    <row r="46" spans="1:14" s="53" customFormat="1" ht="15" customHeight="1" x14ac:dyDescent="0.2">
      <c r="B46" s="56"/>
      <c r="C46" s="56"/>
      <c r="D46" s="141">
        <v>2018</v>
      </c>
      <c r="E46" s="146">
        <f>SUM(F46:K46)</f>
        <v>115</v>
      </c>
      <c r="F46" s="336">
        <v>26</v>
      </c>
      <c r="G46" s="336">
        <v>1</v>
      </c>
      <c r="H46" s="336">
        <v>5</v>
      </c>
      <c r="I46" s="336">
        <v>54</v>
      </c>
      <c r="J46" s="336" t="s">
        <v>51</v>
      </c>
      <c r="K46" s="278">
        <v>29</v>
      </c>
    </row>
    <row r="47" spans="1:14" s="53" customFormat="1" ht="15" customHeight="1" x14ac:dyDescent="0.2">
      <c r="A47" s="116"/>
      <c r="B47" s="56"/>
      <c r="C47" s="56"/>
      <c r="D47" s="141">
        <v>2019</v>
      </c>
      <c r="E47" s="146">
        <f>SUM(F47:K47)</f>
        <v>177</v>
      </c>
      <c r="F47" s="299">
        <v>57</v>
      </c>
      <c r="G47" s="300" t="s">
        <v>51</v>
      </c>
      <c r="H47" s="299">
        <v>3</v>
      </c>
      <c r="I47" s="299">
        <v>55</v>
      </c>
      <c r="J47" s="300" t="s">
        <v>51</v>
      </c>
      <c r="K47" s="299">
        <v>62</v>
      </c>
    </row>
    <row r="48" spans="1:14" s="53" customFormat="1" ht="8.1" customHeight="1" x14ac:dyDescent="0.2">
      <c r="A48" s="116"/>
      <c r="B48" s="56"/>
      <c r="C48" s="56"/>
      <c r="D48" s="141"/>
      <c r="E48" s="146"/>
      <c r="F48" s="299"/>
      <c r="G48" s="299"/>
      <c r="H48" s="299"/>
      <c r="I48" s="299"/>
      <c r="J48" s="300"/>
      <c r="K48" s="299"/>
    </row>
    <row r="49" spans="1:12" s="116" customFormat="1" ht="15" customHeight="1" x14ac:dyDescent="0.2">
      <c r="A49" s="53"/>
      <c r="B49" s="56" t="s">
        <v>38</v>
      </c>
      <c r="C49" s="56"/>
      <c r="D49" s="141">
        <v>2017</v>
      </c>
      <c r="E49" s="146">
        <f t="shared" ref="E49" si="11">SUM(F49:K49)</f>
        <v>103</v>
      </c>
      <c r="F49" s="299">
        <f>19+7</f>
        <v>26</v>
      </c>
      <c r="G49" s="299">
        <v>4</v>
      </c>
      <c r="H49" s="299">
        <v>5</v>
      </c>
      <c r="I49" s="299">
        <v>45</v>
      </c>
      <c r="J49" s="299">
        <v>1</v>
      </c>
      <c r="K49" s="299">
        <f>2+2+6+12</f>
        <v>22</v>
      </c>
    </row>
    <row r="50" spans="1:12" s="116" customFormat="1" ht="15" customHeight="1" x14ac:dyDescent="0.2">
      <c r="A50" s="53"/>
      <c r="B50" s="56"/>
      <c r="C50" s="56"/>
      <c r="D50" s="141">
        <v>2018</v>
      </c>
      <c r="E50" s="146">
        <f>SUM(F50:K50)</f>
        <v>87</v>
      </c>
      <c r="F50" s="336">
        <v>20</v>
      </c>
      <c r="G50" s="336">
        <v>7</v>
      </c>
      <c r="H50" s="336">
        <v>8</v>
      </c>
      <c r="I50" s="336">
        <v>26</v>
      </c>
      <c r="J50" s="336" t="s">
        <v>51</v>
      </c>
      <c r="K50" s="278">
        <v>26</v>
      </c>
    </row>
    <row r="51" spans="1:12" s="116" customFormat="1" ht="15" customHeight="1" x14ac:dyDescent="0.2">
      <c r="B51" s="56"/>
      <c r="C51" s="56"/>
      <c r="D51" s="141">
        <v>2019</v>
      </c>
      <c r="E51" s="146">
        <f>SUM(F51:K51)</f>
        <v>83</v>
      </c>
      <c r="F51" s="299">
        <v>22</v>
      </c>
      <c r="G51" s="299">
        <v>2</v>
      </c>
      <c r="H51" s="299">
        <v>2</v>
      </c>
      <c r="I51" s="299">
        <v>27</v>
      </c>
      <c r="J51" s="300" t="s">
        <v>51</v>
      </c>
      <c r="K51" s="299">
        <v>30</v>
      </c>
    </row>
    <row r="52" spans="1:12" s="116" customFormat="1" ht="8.1" customHeight="1" x14ac:dyDescent="0.2">
      <c r="A52" s="53"/>
      <c r="B52" s="56"/>
      <c r="C52" s="56"/>
      <c r="D52" s="141"/>
      <c r="E52" s="146"/>
      <c r="F52" s="299"/>
      <c r="G52" s="299"/>
      <c r="H52" s="299"/>
      <c r="I52" s="299"/>
      <c r="J52" s="299"/>
      <c r="K52" s="299"/>
    </row>
    <row r="53" spans="1:12" s="116" customFormat="1" ht="15" customHeight="1" x14ac:dyDescent="0.2">
      <c r="A53" s="53"/>
      <c r="B53" s="56" t="s">
        <v>40</v>
      </c>
      <c r="C53" s="56"/>
      <c r="D53" s="141">
        <v>2017</v>
      </c>
      <c r="E53" s="146">
        <f t="shared" ref="E53" si="12">SUM(F53:K53)</f>
        <v>182</v>
      </c>
      <c r="F53" s="299">
        <f>40+2</f>
        <v>42</v>
      </c>
      <c r="G53" s="299">
        <v>2</v>
      </c>
      <c r="H53" s="299">
        <v>11</v>
      </c>
      <c r="I53" s="299">
        <v>77</v>
      </c>
      <c r="J53" s="299">
        <v>1</v>
      </c>
      <c r="K53" s="299">
        <f>4+3+17+1+24</f>
        <v>49</v>
      </c>
    </row>
    <row r="54" spans="1:12" s="116" customFormat="1" ht="15" customHeight="1" x14ac:dyDescent="0.2">
      <c r="A54" s="53"/>
      <c r="B54" s="56"/>
      <c r="C54" s="56"/>
      <c r="D54" s="141">
        <v>2018</v>
      </c>
      <c r="E54" s="146">
        <f>SUM(F54:K54)</f>
        <v>142</v>
      </c>
      <c r="F54" s="336">
        <v>43</v>
      </c>
      <c r="G54" s="336">
        <v>2</v>
      </c>
      <c r="H54" s="336">
        <v>3</v>
      </c>
      <c r="I54" s="336">
        <v>57</v>
      </c>
      <c r="J54" s="336" t="s">
        <v>51</v>
      </c>
      <c r="K54" s="278">
        <v>37</v>
      </c>
    </row>
    <row r="55" spans="1:12" s="116" customFormat="1" ht="15" customHeight="1" x14ac:dyDescent="0.2">
      <c r="B55" s="56"/>
      <c r="C55" s="56"/>
      <c r="D55" s="141">
        <v>2019</v>
      </c>
      <c r="E55" s="146">
        <f>SUM(F55:K55)</f>
        <v>133</v>
      </c>
      <c r="F55" s="299">
        <v>37</v>
      </c>
      <c r="G55" s="299">
        <v>1</v>
      </c>
      <c r="H55" s="299">
        <v>5</v>
      </c>
      <c r="I55" s="299">
        <v>54</v>
      </c>
      <c r="J55" s="300" t="s">
        <v>51</v>
      </c>
      <c r="K55" s="299">
        <v>36</v>
      </c>
    </row>
    <row r="56" spans="1:12" s="116" customFormat="1" ht="8.1" customHeight="1" x14ac:dyDescent="0.2">
      <c r="B56" s="56"/>
      <c r="C56" s="56"/>
      <c r="D56" s="141"/>
      <c r="E56" s="146"/>
      <c r="F56" s="300"/>
      <c r="G56" s="299"/>
      <c r="H56" s="299"/>
      <c r="I56" s="299"/>
      <c r="J56" s="299"/>
      <c r="K56" s="299"/>
    </row>
    <row r="57" spans="1:12" s="116" customFormat="1" ht="15" customHeight="1" x14ac:dyDescent="0.2">
      <c r="A57" s="53"/>
      <c r="B57" s="56" t="s">
        <v>39</v>
      </c>
      <c r="C57" s="56"/>
      <c r="D57" s="141">
        <v>2017</v>
      </c>
      <c r="E57" s="146">
        <f t="shared" ref="E57" si="13">SUM(F57:K57)</f>
        <v>273</v>
      </c>
      <c r="F57" s="299">
        <f>38+13</f>
        <v>51</v>
      </c>
      <c r="G57" s="299">
        <f>1+4</f>
        <v>5</v>
      </c>
      <c r="H57" s="299">
        <v>26</v>
      </c>
      <c r="I57" s="299">
        <v>143</v>
      </c>
      <c r="J57" s="300" t="s">
        <v>51</v>
      </c>
      <c r="K57" s="299">
        <f>8+12+12+2+14</f>
        <v>48</v>
      </c>
    </row>
    <row r="58" spans="1:12" s="116" customFormat="1" ht="15" customHeight="1" x14ac:dyDescent="0.2">
      <c r="B58" s="56"/>
      <c r="C58" s="56"/>
      <c r="D58" s="141">
        <v>2018</v>
      </c>
      <c r="E58" s="146">
        <f>SUM(F58:K58)</f>
        <v>245</v>
      </c>
      <c r="F58" s="295">
        <v>37</v>
      </c>
      <c r="G58" s="295">
        <v>3</v>
      </c>
      <c r="H58" s="295">
        <v>29</v>
      </c>
      <c r="I58" s="295">
        <v>94</v>
      </c>
      <c r="J58" s="415" t="s">
        <v>51</v>
      </c>
      <c r="K58" s="296">
        <v>82</v>
      </c>
    </row>
    <row r="59" spans="1:12" s="116" customFormat="1" ht="15" customHeight="1" x14ac:dyDescent="0.2">
      <c r="B59" s="56"/>
      <c r="C59" s="56"/>
      <c r="D59" s="141">
        <v>2019</v>
      </c>
      <c r="E59" s="146">
        <f>SUM(F59:K59)</f>
        <v>228</v>
      </c>
      <c r="F59" s="116">
        <v>41</v>
      </c>
      <c r="G59" s="116">
        <v>3</v>
      </c>
      <c r="H59" s="116">
        <v>15</v>
      </c>
      <c r="I59" s="116">
        <v>82</v>
      </c>
      <c r="J59" s="411" t="s">
        <v>51</v>
      </c>
      <c r="K59" s="116">
        <v>87</v>
      </c>
    </row>
    <row r="60" spans="1:12" s="7" customFormat="1" ht="8.1" customHeight="1" thickBot="1" x14ac:dyDescent="0.25">
      <c r="A60" s="34"/>
      <c r="B60" s="16"/>
      <c r="C60" s="16"/>
      <c r="D60" s="131"/>
      <c r="E60" s="178"/>
      <c r="F60" s="178"/>
      <c r="G60" s="178"/>
      <c r="H60" s="178"/>
      <c r="I60" s="178"/>
      <c r="J60" s="178"/>
      <c r="K60" s="178"/>
      <c r="L60" s="34"/>
    </row>
    <row r="61" spans="1:12" x14ac:dyDescent="0.25">
      <c r="B61" s="239"/>
      <c r="C61" s="239"/>
      <c r="D61" s="239"/>
      <c r="E61" s="182"/>
      <c r="F61" s="183"/>
      <c r="G61" s="7"/>
      <c r="H61" s="7"/>
      <c r="I61" s="241"/>
      <c r="J61" s="184"/>
      <c r="K61" s="8" t="s">
        <v>99</v>
      </c>
    </row>
    <row r="62" spans="1:12" x14ac:dyDescent="0.25">
      <c r="B62" s="7"/>
      <c r="C62" s="7"/>
      <c r="D62" s="7"/>
      <c r="E62" s="242"/>
      <c r="F62" s="240"/>
      <c r="G62" s="239"/>
      <c r="H62" s="239"/>
      <c r="I62" s="240"/>
      <c r="J62" s="183"/>
      <c r="K62" s="41" t="s">
        <v>1</v>
      </c>
    </row>
    <row r="63" spans="1:12" x14ac:dyDescent="0.25">
      <c r="A63" s="359" t="s">
        <v>254</v>
      </c>
      <c r="B63" s="27"/>
    </row>
    <row r="64" spans="1:12" x14ac:dyDescent="0.25">
      <c r="A64" s="420" t="s">
        <v>252</v>
      </c>
      <c r="B64" s="420"/>
    </row>
    <row r="65" spans="1:12" s="53" customFormat="1" ht="14.25" x14ac:dyDescent="0.2">
      <c r="A65" s="362" t="s">
        <v>253</v>
      </c>
      <c r="B65" s="362"/>
      <c r="C65" s="115"/>
      <c r="D65" s="115"/>
      <c r="E65" s="190"/>
      <c r="F65" s="189"/>
      <c r="G65" s="189"/>
      <c r="H65" s="191"/>
      <c r="I65" s="189"/>
      <c r="L65" s="2"/>
    </row>
  </sheetData>
  <mergeCells count="6">
    <mergeCell ref="K10:K11"/>
    <mergeCell ref="B10:C11"/>
    <mergeCell ref="E10:E11"/>
    <mergeCell ref="F10:F11"/>
    <mergeCell ref="G10:I10"/>
    <mergeCell ref="J10:J11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85" fitToWidth="0" orientation="portrait" r:id="rId1"/>
  <headerFooter>
    <oddHeader xml:space="preserve">&amp;R&amp;"-,Bold"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showGridLines="0" zoomScaleNormal="100" zoomScaleSheetLayoutView="100" workbookViewId="0">
      <selection activeCell="AA22" sqref="AA22"/>
    </sheetView>
  </sheetViews>
  <sheetFormatPr defaultColWidth="9.140625" defaultRowHeight="15" x14ac:dyDescent="0.25"/>
  <cols>
    <col min="1" max="1" width="1.7109375" style="2" customWidth="1"/>
    <col min="2" max="2" width="11.42578125" style="3" customWidth="1"/>
    <col min="3" max="3" width="13" style="3" customWidth="1"/>
    <col min="4" max="4" width="10.85546875" style="3" customWidth="1"/>
    <col min="5" max="5" width="15.7109375" style="21" customWidth="1"/>
    <col min="6" max="6" width="23.7109375" style="22" customWidth="1"/>
    <col min="7" max="7" width="23.7109375" style="153" customWidth="1"/>
    <col min="8" max="8" width="0.85546875" style="2" customWidth="1"/>
    <col min="9" max="16384" width="9.140625" style="2"/>
  </cols>
  <sheetData>
    <row r="1" spans="1:13" s="30" customFormat="1" ht="12" customHeight="1" x14ac:dyDescent="0.25">
      <c r="B1" s="27"/>
      <c r="C1" s="27"/>
      <c r="D1" s="27"/>
      <c r="E1" s="28"/>
      <c r="F1" s="29"/>
      <c r="G1" s="150" t="s">
        <v>179</v>
      </c>
    </row>
    <row r="2" spans="1:13" s="30" customFormat="1" ht="12" customHeight="1" x14ac:dyDescent="0.25">
      <c r="B2" s="27"/>
      <c r="C2" s="27"/>
      <c r="D2" s="27"/>
      <c r="E2" s="28"/>
      <c r="F2" s="29"/>
      <c r="G2" s="151" t="s">
        <v>180</v>
      </c>
    </row>
    <row r="3" spans="1:13" s="30" customFormat="1" ht="12" customHeight="1" x14ac:dyDescent="0.25">
      <c r="B3" s="27"/>
      <c r="C3" s="27"/>
      <c r="D3" s="27"/>
      <c r="E3" s="28"/>
      <c r="F3" s="29"/>
      <c r="G3" s="151"/>
    </row>
    <row r="4" spans="1:13" s="30" customFormat="1" ht="12" customHeight="1" x14ac:dyDescent="0.25">
      <c r="B4" s="27"/>
      <c r="C4" s="27"/>
      <c r="D4" s="27"/>
      <c r="E4" s="28"/>
      <c r="F4" s="29"/>
      <c r="G4" s="151"/>
    </row>
    <row r="5" spans="1:13" s="53" customFormat="1" ht="15" customHeight="1" x14ac:dyDescent="0.2">
      <c r="B5" s="63" t="s">
        <v>184</v>
      </c>
      <c r="C5" s="64" t="s">
        <v>243</v>
      </c>
      <c r="D5" s="64"/>
      <c r="E5" s="63"/>
      <c r="F5" s="64"/>
      <c r="G5" s="152"/>
      <c r="H5" s="64"/>
    </row>
    <row r="6" spans="1:13" s="65" customFormat="1" ht="15" customHeight="1" x14ac:dyDescent="0.2">
      <c r="B6" s="66" t="s">
        <v>185</v>
      </c>
      <c r="C6" s="422" t="s">
        <v>244</v>
      </c>
      <c r="D6" s="422"/>
      <c r="E6" s="422"/>
      <c r="F6" s="422"/>
      <c r="G6" s="422"/>
      <c r="H6" s="67"/>
    </row>
    <row r="7" spans="1:13" ht="9.9499999999999993" customHeight="1" thickBot="1" x14ac:dyDescent="0.3"/>
    <row r="8" spans="1:13" s="53" customFormat="1" ht="20.100000000000001" customHeight="1" thickTop="1" x14ac:dyDescent="0.2">
      <c r="A8" s="371"/>
      <c r="B8" s="429" t="s">
        <v>207</v>
      </c>
      <c r="C8" s="429"/>
      <c r="D8" s="423" t="s">
        <v>96</v>
      </c>
      <c r="E8" s="423" t="s">
        <v>92</v>
      </c>
      <c r="F8" s="425" t="s">
        <v>93</v>
      </c>
      <c r="G8" s="427" t="s">
        <v>94</v>
      </c>
      <c r="H8" s="372"/>
    </row>
    <row r="9" spans="1:13" s="53" customFormat="1" ht="33" customHeight="1" thickBot="1" x14ac:dyDescent="0.25">
      <c r="A9" s="373"/>
      <c r="B9" s="430"/>
      <c r="C9" s="430"/>
      <c r="D9" s="424"/>
      <c r="E9" s="424"/>
      <c r="F9" s="426"/>
      <c r="G9" s="428"/>
      <c r="H9" s="369"/>
    </row>
    <row r="10" spans="1:13" ht="8.1" customHeight="1" x14ac:dyDescent="0.2">
      <c r="A10" s="45"/>
      <c r="B10" s="46"/>
      <c r="C10" s="46"/>
      <c r="D10" s="46"/>
      <c r="E10" s="431"/>
      <c r="F10" s="431"/>
      <c r="G10" s="431"/>
      <c r="H10" s="45"/>
    </row>
    <row r="11" spans="1:13" s="24" customFormat="1" ht="15" customHeight="1" x14ac:dyDescent="0.25">
      <c r="B11" s="61" t="s">
        <v>97</v>
      </c>
      <c r="C11" s="61"/>
      <c r="D11" s="62">
        <v>2017</v>
      </c>
      <c r="E11" s="145">
        <f>SUM(E15,E19,E23,E27,E31,E35,E39,E43,E47,E51,E55)</f>
        <v>6759</v>
      </c>
      <c r="F11" s="138">
        <f>SUM(F15,F19,F23,F27,F31,F35,F39,F43,F47,F51,F55)</f>
        <v>996</v>
      </c>
      <c r="G11" s="145">
        <f>SUM(G15,G19,G23,G27,G31,G35,G39,G43,G47,G51,G55)</f>
        <v>5763</v>
      </c>
      <c r="M11" s="6"/>
    </row>
    <row r="12" spans="1:13" s="24" customFormat="1" ht="15" customHeight="1" x14ac:dyDescent="0.25">
      <c r="B12" s="61"/>
      <c r="C12" s="61"/>
      <c r="D12" s="62">
        <v>2018</v>
      </c>
      <c r="E12" s="145">
        <f t="shared" ref="E12:E13" si="0">SUM(E16,E20,E24,E28,E32,E36,E40,E44,E48,E52,E56)</f>
        <v>6221</v>
      </c>
      <c r="F12" s="145">
        <f t="shared" ref="F12:G13" si="1">SUM(F16,F20,F24,F28,F32,F36,F40,F44,F48,F52,F56)</f>
        <v>989</v>
      </c>
      <c r="G12" s="145">
        <f t="shared" si="1"/>
        <v>5232</v>
      </c>
      <c r="M12" s="6"/>
    </row>
    <row r="13" spans="1:13" s="24" customFormat="1" ht="15" customHeight="1" x14ac:dyDescent="0.25">
      <c r="B13" s="61"/>
      <c r="C13" s="61"/>
      <c r="D13" s="62">
        <v>2019</v>
      </c>
      <c r="E13" s="145">
        <f t="shared" si="0"/>
        <v>5615</v>
      </c>
      <c r="F13" s="145">
        <f t="shared" si="1"/>
        <v>937</v>
      </c>
      <c r="G13" s="145">
        <f t="shared" si="1"/>
        <v>4678</v>
      </c>
      <c r="M13" s="6"/>
    </row>
    <row r="14" spans="1:13" s="24" customFormat="1" ht="8.1" customHeight="1" x14ac:dyDescent="0.25">
      <c r="B14" s="61"/>
      <c r="C14" s="61"/>
      <c r="D14" s="62"/>
      <c r="E14" s="54"/>
      <c r="F14" s="54"/>
      <c r="G14" s="54"/>
      <c r="M14" s="6"/>
    </row>
    <row r="15" spans="1:13" s="7" customFormat="1" ht="15" customHeight="1" x14ac:dyDescent="0.2">
      <c r="B15" s="56" t="s">
        <v>57</v>
      </c>
      <c r="C15" s="56"/>
      <c r="D15" s="141">
        <v>2017</v>
      </c>
      <c r="E15" s="139">
        <f>SUM(F15:G15)</f>
        <v>320</v>
      </c>
      <c r="F15" s="146">
        <f>'1.5Kedah'!E19</f>
        <v>65</v>
      </c>
      <c r="G15" s="146">
        <f>'1.7Kedah'!E17</f>
        <v>255</v>
      </c>
      <c r="M15" s="2"/>
    </row>
    <row r="16" spans="1:13" s="7" customFormat="1" ht="15" customHeight="1" x14ac:dyDescent="0.2">
      <c r="B16" s="56"/>
      <c r="C16" s="56"/>
      <c r="D16" s="141">
        <v>2018</v>
      </c>
      <c r="E16" s="146">
        <f>SUM(F16:G16)</f>
        <v>336</v>
      </c>
      <c r="F16" s="146">
        <f>'1.5Kedah'!E20</f>
        <v>55</v>
      </c>
      <c r="G16" s="146">
        <f>'1.7Kedah'!E18</f>
        <v>281</v>
      </c>
      <c r="M16" s="2"/>
    </row>
    <row r="17" spans="2:13" s="7" customFormat="1" ht="15" customHeight="1" x14ac:dyDescent="0.2">
      <c r="B17" s="56"/>
      <c r="C17" s="56"/>
      <c r="D17" s="141">
        <v>2019</v>
      </c>
      <c r="E17" s="146">
        <f>SUM(F17:G17)</f>
        <v>306</v>
      </c>
      <c r="F17" s="146">
        <f>'1.5Kedah'!E21</f>
        <v>36</v>
      </c>
      <c r="G17" s="146">
        <f>'1.7Kedah'!E19</f>
        <v>270</v>
      </c>
      <c r="M17" s="2"/>
    </row>
    <row r="18" spans="2:13" s="7" customFormat="1" ht="8.1" customHeight="1" x14ac:dyDescent="0.2">
      <c r="B18" s="56"/>
      <c r="C18" s="56"/>
      <c r="D18" s="141"/>
      <c r="E18" s="139"/>
      <c r="F18" s="146"/>
      <c r="G18" s="146"/>
      <c r="M18" s="2"/>
    </row>
    <row r="19" spans="2:13" s="7" customFormat="1" ht="15" customHeight="1" x14ac:dyDescent="0.2">
      <c r="B19" s="55" t="s">
        <v>58</v>
      </c>
      <c r="C19" s="56"/>
      <c r="D19" s="141">
        <v>2017</v>
      </c>
      <c r="E19" s="139">
        <f>SUM(F19:G19)</f>
        <v>68</v>
      </c>
      <c r="F19" s="146">
        <f>'1.5Kedah'!E23</f>
        <v>11</v>
      </c>
      <c r="G19" s="146">
        <f>'1.7Kedah'!E21</f>
        <v>57</v>
      </c>
      <c r="M19" s="2"/>
    </row>
    <row r="20" spans="2:13" s="7" customFormat="1" ht="15" customHeight="1" x14ac:dyDescent="0.2">
      <c r="B20" s="56"/>
      <c r="C20" s="56"/>
      <c r="D20" s="141">
        <v>2018</v>
      </c>
      <c r="E20" s="139">
        <f>SUM(F20:G20)</f>
        <v>66</v>
      </c>
      <c r="F20" s="146">
        <f>'1.5Kedah'!E24</f>
        <v>15</v>
      </c>
      <c r="G20" s="146">
        <f>'1.7Kedah'!E22</f>
        <v>51</v>
      </c>
    </row>
    <row r="21" spans="2:13" ht="15" customHeight="1" x14ac:dyDescent="0.2">
      <c r="B21" s="55"/>
      <c r="C21" s="56"/>
      <c r="D21" s="141">
        <v>2019</v>
      </c>
      <c r="E21" s="139">
        <f>SUM(F21:G21)</f>
        <v>58</v>
      </c>
      <c r="F21" s="146">
        <f>'1.5Kedah'!E25</f>
        <v>14</v>
      </c>
      <c r="G21" s="146">
        <f>'1.7Kedah'!E23</f>
        <v>44</v>
      </c>
    </row>
    <row r="22" spans="2:13" ht="8.1" customHeight="1" x14ac:dyDescent="0.2">
      <c r="B22" s="55"/>
      <c r="C22" s="56"/>
      <c r="D22" s="141"/>
      <c r="E22" s="139"/>
      <c r="F22" s="146"/>
      <c r="G22" s="146"/>
    </row>
    <row r="23" spans="2:13" ht="15" customHeight="1" x14ac:dyDescent="0.2">
      <c r="B23" s="56" t="s">
        <v>59</v>
      </c>
      <c r="C23" s="55"/>
      <c r="D23" s="141">
        <v>2017</v>
      </c>
      <c r="E23" s="139">
        <f>SUM(F23:G23)</f>
        <v>1552</v>
      </c>
      <c r="F23" s="146">
        <f>'1.5Kedah'!E27</f>
        <v>165</v>
      </c>
      <c r="G23" s="146">
        <f>'1.7Kedah'!E25</f>
        <v>1387</v>
      </c>
    </row>
    <row r="24" spans="2:13" ht="15" customHeight="1" x14ac:dyDescent="0.2">
      <c r="B24" s="56"/>
      <c r="C24" s="56"/>
      <c r="D24" s="141">
        <v>2018</v>
      </c>
      <c r="E24" s="139">
        <f>SUM(F24:G24)</f>
        <v>1407</v>
      </c>
      <c r="F24" s="146">
        <f>'1.5Kedah'!E28</f>
        <v>196</v>
      </c>
      <c r="G24" s="146">
        <f>'1.7Kedah'!E26</f>
        <v>1211</v>
      </c>
    </row>
    <row r="25" spans="2:13" ht="15" customHeight="1" x14ac:dyDescent="0.2">
      <c r="B25" s="56"/>
      <c r="C25" s="56"/>
      <c r="D25" s="141">
        <v>2019</v>
      </c>
      <c r="E25" s="139">
        <f>SUM(F25:G25)</f>
        <v>1288</v>
      </c>
      <c r="F25" s="146">
        <f>'1.5Kedah'!E29</f>
        <v>181</v>
      </c>
      <c r="G25" s="146">
        <f>'1.7Kedah'!E27</f>
        <v>1107</v>
      </c>
    </row>
    <row r="26" spans="2:13" ht="8.1" customHeight="1" x14ac:dyDescent="0.2">
      <c r="B26" s="56"/>
      <c r="C26" s="56"/>
      <c r="D26" s="141"/>
      <c r="E26" s="139"/>
      <c r="F26" s="146"/>
      <c r="G26" s="146"/>
    </row>
    <row r="27" spans="2:13" ht="15" customHeight="1" x14ac:dyDescent="0.2">
      <c r="B27" s="56" t="s">
        <v>60</v>
      </c>
      <c r="C27" s="56"/>
      <c r="D27" s="141">
        <v>2017</v>
      </c>
      <c r="E27" s="139">
        <f>SUM(F27:G27)</f>
        <v>2077</v>
      </c>
      <c r="F27" s="146">
        <f>'1.5Kedah'!E31</f>
        <v>372</v>
      </c>
      <c r="G27" s="146">
        <f>'1.7Kedah'!E29</f>
        <v>1705</v>
      </c>
    </row>
    <row r="28" spans="2:13" s="3" customFormat="1" ht="15" customHeight="1" x14ac:dyDescent="0.2">
      <c r="B28" s="56"/>
      <c r="C28" s="56"/>
      <c r="D28" s="141">
        <v>2018</v>
      </c>
      <c r="E28" s="139">
        <f>SUM(F28:G28)</f>
        <v>1973</v>
      </c>
      <c r="F28" s="146">
        <f>'1.5Kedah'!E32</f>
        <v>371</v>
      </c>
      <c r="G28" s="146">
        <f>'1.7Kedah'!E30</f>
        <v>1602</v>
      </c>
      <c r="H28" s="2"/>
      <c r="I28" s="2"/>
      <c r="J28" s="2"/>
    </row>
    <row r="29" spans="2:13" ht="15" customHeight="1" x14ac:dyDescent="0.2">
      <c r="B29" s="56"/>
      <c r="C29" s="56"/>
      <c r="D29" s="141">
        <v>2019</v>
      </c>
      <c r="E29" s="139">
        <f>SUM(F29:G29)</f>
        <v>1809</v>
      </c>
      <c r="F29" s="146">
        <f>'1.5Kedah'!E33</f>
        <v>324</v>
      </c>
      <c r="G29" s="146">
        <f>'1.7Kedah'!E31</f>
        <v>1485</v>
      </c>
    </row>
    <row r="30" spans="2:13" ht="8.1" customHeight="1" x14ac:dyDescent="0.2">
      <c r="B30" s="56"/>
      <c r="C30" s="56"/>
      <c r="D30" s="141"/>
      <c r="E30" s="139"/>
      <c r="F30" s="146"/>
      <c r="G30" s="146"/>
    </row>
    <row r="31" spans="2:13" ht="15" customHeight="1" x14ac:dyDescent="0.2">
      <c r="B31" s="56" t="s">
        <v>61</v>
      </c>
      <c r="C31" s="56"/>
      <c r="D31" s="141">
        <v>2017</v>
      </c>
      <c r="E31" s="139">
        <f>SUM(F31:G31)</f>
        <v>765</v>
      </c>
      <c r="F31" s="146">
        <f>'1.5Kedah'!E35</f>
        <v>92</v>
      </c>
      <c r="G31" s="146">
        <f>'1.7Kedah'!E33</f>
        <v>673</v>
      </c>
    </row>
    <row r="32" spans="2:13" ht="15" customHeight="1" x14ac:dyDescent="0.2">
      <c r="B32" s="56"/>
      <c r="C32" s="56"/>
      <c r="D32" s="141">
        <v>2018</v>
      </c>
      <c r="E32" s="139">
        <f>SUM(F32:G32)</f>
        <v>594</v>
      </c>
      <c r="F32" s="146">
        <f>'1.5Kedah'!E36</f>
        <v>93</v>
      </c>
      <c r="G32" s="146">
        <f>'1.7Kedah'!E34</f>
        <v>501</v>
      </c>
    </row>
    <row r="33" spans="2:7" ht="15" customHeight="1" x14ac:dyDescent="0.2">
      <c r="B33" s="56"/>
      <c r="C33" s="56"/>
      <c r="D33" s="141">
        <v>2019</v>
      </c>
      <c r="E33" s="139">
        <f>SUM(F33:G33)</f>
        <v>501</v>
      </c>
      <c r="F33" s="146">
        <f>'1.5Kedah'!E37</f>
        <v>96</v>
      </c>
      <c r="G33" s="146">
        <f>'1.7Kedah'!E35</f>
        <v>405</v>
      </c>
    </row>
    <row r="34" spans="2:7" ht="8.1" customHeight="1" x14ac:dyDescent="0.2">
      <c r="B34" s="56"/>
      <c r="C34" s="56"/>
      <c r="D34" s="141"/>
      <c r="E34" s="139"/>
      <c r="F34" s="146"/>
      <c r="G34" s="146"/>
    </row>
    <row r="35" spans="2:7" ht="15" customHeight="1" x14ac:dyDescent="0.2">
      <c r="B35" s="56" t="s">
        <v>62</v>
      </c>
      <c r="C35" s="56"/>
      <c r="D35" s="141">
        <v>2017</v>
      </c>
      <c r="E35" s="139">
        <f>SUM(F35:G35)</f>
        <v>1018</v>
      </c>
      <c r="F35" s="146">
        <f>'1.5Kedah'!E39</f>
        <v>171</v>
      </c>
      <c r="G35" s="146">
        <f>'1.7Kedah'!E37</f>
        <v>847</v>
      </c>
    </row>
    <row r="36" spans="2:7" ht="15" customHeight="1" x14ac:dyDescent="0.2">
      <c r="B36" s="56"/>
      <c r="C36" s="56"/>
      <c r="D36" s="141">
        <v>2018</v>
      </c>
      <c r="E36" s="139">
        <f>SUM(F36:G36)</f>
        <v>858</v>
      </c>
      <c r="F36" s="146">
        <f>'1.5Kedah'!E40</f>
        <v>131</v>
      </c>
      <c r="G36" s="146">
        <f>'1.7Kedah'!E38</f>
        <v>727</v>
      </c>
    </row>
    <row r="37" spans="2:7" ht="15" customHeight="1" x14ac:dyDescent="0.2">
      <c r="B37" s="56"/>
      <c r="C37" s="55"/>
      <c r="D37" s="141">
        <v>2019</v>
      </c>
      <c r="E37" s="139">
        <f>SUM(F37:G37)</f>
        <v>726</v>
      </c>
      <c r="F37" s="146">
        <f>'1.5Kedah'!E41</f>
        <v>128</v>
      </c>
      <c r="G37" s="146">
        <f>'1.7Kedah'!E39</f>
        <v>598</v>
      </c>
    </row>
    <row r="38" spans="2:7" ht="8.1" customHeight="1" x14ac:dyDescent="0.2">
      <c r="B38" s="56"/>
      <c r="C38" s="55"/>
      <c r="D38" s="141"/>
      <c r="E38" s="139"/>
      <c r="F38" s="146"/>
      <c r="G38" s="146"/>
    </row>
    <row r="39" spans="2:7" ht="15" customHeight="1" x14ac:dyDescent="0.2">
      <c r="B39" s="56" t="s">
        <v>63</v>
      </c>
      <c r="C39" s="56"/>
      <c r="D39" s="141">
        <v>2017</v>
      </c>
      <c r="E39" s="139">
        <f>SUM(F39:G39)</f>
        <v>395</v>
      </c>
      <c r="F39" s="146">
        <f>'1.5Kedah'!E43</f>
        <v>42</v>
      </c>
      <c r="G39" s="146">
        <f>'1.7Kedah'!E41</f>
        <v>353</v>
      </c>
    </row>
    <row r="40" spans="2:7" ht="15" customHeight="1" x14ac:dyDescent="0.2">
      <c r="B40" s="56"/>
      <c r="C40" s="56"/>
      <c r="D40" s="141">
        <v>2018</v>
      </c>
      <c r="E40" s="139">
        <f>SUM(F40:G40)</f>
        <v>409</v>
      </c>
      <c r="F40" s="146">
        <f>'1.5Kedah'!E44</f>
        <v>54</v>
      </c>
      <c r="G40" s="146">
        <f>'1.7Kedah'!E42</f>
        <v>355</v>
      </c>
    </row>
    <row r="41" spans="2:7" ht="15" customHeight="1" x14ac:dyDescent="0.2">
      <c r="B41" s="56"/>
      <c r="C41" s="56"/>
      <c r="D41" s="141">
        <v>2019</v>
      </c>
      <c r="E41" s="139">
        <f>SUM(F41:G41)</f>
        <v>410</v>
      </c>
      <c r="F41" s="146">
        <f>'1.5Kedah'!E45</f>
        <v>72</v>
      </c>
      <c r="G41" s="146">
        <f>'1.7Kedah'!E43</f>
        <v>338</v>
      </c>
    </row>
    <row r="42" spans="2:7" ht="8.1" customHeight="1" x14ac:dyDescent="0.2">
      <c r="B42" s="56"/>
      <c r="C42" s="56"/>
      <c r="D42" s="141"/>
      <c r="E42" s="139"/>
      <c r="F42" s="146"/>
      <c r="G42" s="146"/>
    </row>
    <row r="43" spans="2:7" ht="15" customHeight="1" x14ac:dyDescent="0.2">
      <c r="B43" s="56" t="s">
        <v>64</v>
      </c>
      <c r="C43" s="56"/>
      <c r="D43" s="141">
        <v>2017</v>
      </c>
      <c r="E43" s="139">
        <f>SUM(F43:G43)</f>
        <v>121</v>
      </c>
      <c r="F43" s="146">
        <f>'1.5Kedah'!E47</f>
        <v>21</v>
      </c>
      <c r="G43" s="146">
        <f>'1.7Kedah'!E45</f>
        <v>100</v>
      </c>
    </row>
    <row r="44" spans="2:7" ht="15" customHeight="1" x14ac:dyDescent="0.2">
      <c r="B44" s="56"/>
      <c r="C44" s="56"/>
      <c r="D44" s="141">
        <v>2018</v>
      </c>
      <c r="E44" s="139">
        <f>SUM(F44:G44)</f>
        <v>116</v>
      </c>
      <c r="F44" s="146">
        <f>'1.5Kedah'!E48</f>
        <v>26</v>
      </c>
      <c r="G44" s="146">
        <f>'1.7Kedah'!E46</f>
        <v>90</v>
      </c>
    </row>
    <row r="45" spans="2:7" ht="15" customHeight="1" x14ac:dyDescent="0.2">
      <c r="B45" s="56"/>
      <c r="C45" s="56"/>
      <c r="D45" s="141">
        <v>2019</v>
      </c>
      <c r="E45" s="139">
        <f>SUM(F45:G45)</f>
        <v>97</v>
      </c>
      <c r="F45" s="146">
        <f>'1.5Kedah'!E49</f>
        <v>28</v>
      </c>
      <c r="G45" s="146">
        <f>'1.7Kedah'!E47</f>
        <v>69</v>
      </c>
    </row>
    <row r="46" spans="2:7" ht="8.1" customHeight="1" x14ac:dyDescent="0.2">
      <c r="B46" s="56"/>
      <c r="C46" s="56"/>
      <c r="D46" s="141"/>
      <c r="E46" s="139"/>
      <c r="F46" s="146"/>
      <c r="G46" s="146"/>
    </row>
    <row r="47" spans="2:7" ht="15" customHeight="1" x14ac:dyDescent="0.2">
      <c r="B47" s="56" t="s">
        <v>65</v>
      </c>
      <c r="C47" s="56"/>
      <c r="D47" s="141">
        <v>2017</v>
      </c>
      <c r="E47" s="139">
        <f>SUM(F47:G47)</f>
        <v>237</v>
      </c>
      <c r="F47" s="146">
        <f>'1.5Kedah'!E51</f>
        <v>29</v>
      </c>
      <c r="G47" s="146">
        <f>'1.7Kedah'!E49</f>
        <v>208</v>
      </c>
    </row>
    <row r="48" spans="2:7" ht="15" customHeight="1" x14ac:dyDescent="0.2">
      <c r="B48" s="56"/>
      <c r="C48" s="56"/>
      <c r="D48" s="141">
        <v>2018</v>
      </c>
      <c r="E48" s="139">
        <f>SUM(F48:G48)</f>
        <v>237</v>
      </c>
      <c r="F48" s="146">
        <f>'1.5Kedah'!E52</f>
        <v>29</v>
      </c>
      <c r="G48" s="146">
        <f>'1.7Kedah'!E50</f>
        <v>208</v>
      </c>
    </row>
    <row r="49" spans="1:13" ht="15" customHeight="1" x14ac:dyDescent="0.2">
      <c r="B49" s="56"/>
      <c r="C49" s="56"/>
      <c r="D49" s="141">
        <v>2019</v>
      </c>
      <c r="E49" s="139">
        <f>SUM(F49:G49)</f>
        <v>232</v>
      </c>
      <c r="F49" s="146">
        <f>'1.5Kedah'!E53</f>
        <v>40</v>
      </c>
      <c r="G49" s="146">
        <f>'1.7Kedah'!E51</f>
        <v>192</v>
      </c>
    </row>
    <row r="50" spans="1:13" ht="8.1" customHeight="1" x14ac:dyDescent="0.2">
      <c r="B50" s="56"/>
      <c r="C50" s="56"/>
      <c r="D50" s="141"/>
      <c r="E50" s="139"/>
      <c r="F50" s="146"/>
      <c r="G50" s="146"/>
    </row>
    <row r="51" spans="1:13" s="7" customFormat="1" ht="15" customHeight="1" x14ac:dyDescent="0.2">
      <c r="B51" s="56" t="s">
        <v>66</v>
      </c>
      <c r="C51" s="56"/>
      <c r="D51" s="141">
        <v>2017</v>
      </c>
      <c r="E51" s="139">
        <f>SUM(F51:G51)</f>
        <v>66</v>
      </c>
      <c r="F51" s="146">
        <f>'1.5Kedah'!E55</f>
        <v>11</v>
      </c>
      <c r="G51" s="146">
        <f>'1.7Kedah'!E53</f>
        <v>55</v>
      </c>
      <c r="M51" s="2"/>
    </row>
    <row r="52" spans="1:13" s="7" customFormat="1" ht="15" customHeight="1" x14ac:dyDescent="0.2">
      <c r="B52" s="56"/>
      <c r="C52" s="56"/>
      <c r="D52" s="141">
        <v>2018</v>
      </c>
      <c r="E52" s="139">
        <f>SUM(F52:G52)</f>
        <v>70</v>
      </c>
      <c r="F52" s="146">
        <f>'1.5Kedah'!E56</f>
        <v>6</v>
      </c>
      <c r="G52" s="146">
        <f>'1.7Kedah'!E54</f>
        <v>64</v>
      </c>
      <c r="M52" s="2"/>
    </row>
    <row r="53" spans="1:13" s="7" customFormat="1" ht="15" customHeight="1" x14ac:dyDescent="0.2">
      <c r="B53" s="56"/>
      <c r="C53" s="56"/>
      <c r="D53" s="141">
        <v>2019</v>
      </c>
      <c r="E53" s="139">
        <f>SUM(F53:G53)</f>
        <v>60</v>
      </c>
      <c r="F53" s="146">
        <f>'1.5Kedah'!E57</f>
        <v>5</v>
      </c>
      <c r="G53" s="146">
        <f>'1.7Kedah'!E55</f>
        <v>55</v>
      </c>
      <c r="M53" s="2"/>
    </row>
    <row r="54" spans="1:13" s="7" customFormat="1" ht="8.1" customHeight="1" x14ac:dyDescent="0.2">
      <c r="B54" s="56"/>
      <c r="C54" s="56"/>
      <c r="D54" s="141"/>
      <c r="E54" s="139"/>
      <c r="F54" s="146"/>
      <c r="G54" s="146"/>
      <c r="M54" s="2"/>
    </row>
    <row r="55" spans="1:13" s="7" customFormat="1" ht="15" customHeight="1" x14ac:dyDescent="0.2">
      <c r="B55" s="56" t="s">
        <v>67</v>
      </c>
      <c r="C55" s="56"/>
      <c r="D55" s="141">
        <v>2017</v>
      </c>
      <c r="E55" s="139">
        <f>SUM(F55:G55)</f>
        <v>140</v>
      </c>
      <c r="F55" s="146">
        <f>'1.5Kedah'!E59</f>
        <v>17</v>
      </c>
      <c r="G55" s="146">
        <f>'1.7Kedah'!E57</f>
        <v>123</v>
      </c>
      <c r="M55" s="2"/>
    </row>
    <row r="56" spans="1:13" s="7" customFormat="1" ht="15" customHeight="1" x14ac:dyDescent="0.2">
      <c r="B56" s="56"/>
      <c r="C56" s="56"/>
      <c r="D56" s="141">
        <v>2018</v>
      </c>
      <c r="E56" s="139">
        <f>SUM(F56:G56)</f>
        <v>155</v>
      </c>
      <c r="F56" s="146">
        <f>'1.5Kedah'!E60</f>
        <v>13</v>
      </c>
      <c r="G56" s="146">
        <f>'1.7Kedah'!E58</f>
        <v>142</v>
      </c>
      <c r="M56" s="2"/>
    </row>
    <row r="57" spans="1:13" s="7" customFormat="1" ht="15" customHeight="1" x14ac:dyDescent="0.2">
      <c r="B57" s="56"/>
      <c r="C57" s="56"/>
      <c r="D57" s="141">
        <v>2019</v>
      </c>
      <c r="E57" s="139">
        <f>SUM(F57:G57)</f>
        <v>128</v>
      </c>
      <c r="F57" s="146">
        <f>'1.5Kedah'!E61</f>
        <v>13</v>
      </c>
      <c r="G57" s="146">
        <f>'1.7Kedah'!E59</f>
        <v>115</v>
      </c>
      <c r="M57" s="2"/>
    </row>
    <row r="58" spans="1:13" s="7" customFormat="1" ht="8.1" customHeight="1" thickBot="1" x14ac:dyDescent="0.25">
      <c r="A58" s="34"/>
      <c r="B58" s="57"/>
      <c r="C58" s="57"/>
      <c r="D58" s="136"/>
      <c r="E58" s="70"/>
      <c r="F58" s="69"/>
      <c r="G58" s="58"/>
      <c r="H58" s="34"/>
      <c r="M58" s="2"/>
    </row>
    <row r="59" spans="1:13" x14ac:dyDescent="0.25">
      <c r="D59" s="130"/>
      <c r="G59" s="154" t="s">
        <v>99</v>
      </c>
    </row>
    <row r="60" spans="1:13" x14ac:dyDescent="0.25">
      <c r="D60" s="130"/>
      <c r="G60" s="155" t="s">
        <v>1</v>
      </c>
    </row>
    <row r="61" spans="1:13" x14ac:dyDescent="0.25">
      <c r="D61" s="130"/>
    </row>
    <row r="62" spans="1:13" x14ac:dyDescent="0.25">
      <c r="D62" s="130"/>
    </row>
    <row r="63" spans="1:13" x14ac:dyDescent="0.25">
      <c r="D63" s="130"/>
    </row>
    <row r="64" spans="1:13" x14ac:dyDescent="0.25">
      <c r="D64" s="130"/>
    </row>
    <row r="65" spans="4:4" x14ac:dyDescent="0.25">
      <c r="D65" s="130"/>
    </row>
    <row r="66" spans="4:4" x14ac:dyDescent="0.25">
      <c r="D66" s="130"/>
    </row>
    <row r="67" spans="4:4" x14ac:dyDescent="0.25">
      <c r="D67" s="130"/>
    </row>
    <row r="68" spans="4:4" x14ac:dyDescent="0.25">
      <c r="D68" s="130"/>
    </row>
    <row r="69" spans="4:4" x14ac:dyDescent="0.25">
      <c r="D69" s="130"/>
    </row>
  </sheetData>
  <mergeCells count="7">
    <mergeCell ref="C6:G6"/>
    <mergeCell ref="E10:G10"/>
    <mergeCell ref="E8:E9"/>
    <mergeCell ref="F8:F9"/>
    <mergeCell ref="G8:G9"/>
    <mergeCell ref="B8:C9"/>
    <mergeCell ref="D8:D9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90" fitToWidth="0" orientation="portrait" r:id="rId1"/>
  <headerFooter>
    <oddHeader xml:space="preserve">&amp;R&amp;"-,Bold"
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81"/>
  <sheetViews>
    <sheetView showGridLines="0" topLeftCell="A47" zoomScaleNormal="100" zoomScaleSheetLayoutView="100" workbookViewId="0">
      <selection activeCell="AA22" sqref="AA22"/>
    </sheetView>
  </sheetViews>
  <sheetFormatPr defaultRowHeight="15" x14ac:dyDescent="0.25"/>
  <cols>
    <col min="1" max="1" width="1.7109375" style="2" customWidth="1"/>
    <col min="2" max="2" width="10.42578125" style="3" customWidth="1"/>
    <col min="3" max="3" width="6.7109375" style="3" customWidth="1"/>
    <col min="4" max="4" width="10.140625" style="3" customWidth="1"/>
    <col min="5" max="5" width="10.85546875" style="4" customWidth="1"/>
    <col min="6" max="7" width="11.7109375" style="5" customWidth="1"/>
    <col min="8" max="8" width="11.7109375" style="185" customWidth="1"/>
    <col min="9" max="9" width="12.28515625" style="5" customWidth="1"/>
    <col min="10" max="11" width="11.7109375" style="2" customWidth="1"/>
    <col min="12" max="12" width="1.5703125" style="2" customWidth="1"/>
    <col min="13" max="16384" width="9.140625" style="2"/>
  </cols>
  <sheetData>
    <row r="1" spans="1:12" s="30" customFormat="1" ht="12.95" customHeight="1" x14ac:dyDescent="0.25">
      <c r="B1" s="27"/>
      <c r="C1" s="27"/>
      <c r="D1" s="29"/>
      <c r="E1" s="28"/>
      <c r="F1" s="29"/>
      <c r="J1" s="29"/>
      <c r="K1" s="160" t="s">
        <v>179</v>
      </c>
    </row>
    <row r="2" spans="1:12" s="30" customFormat="1" ht="12.95" customHeight="1" x14ac:dyDescent="0.25">
      <c r="B2" s="27"/>
      <c r="C2" s="27"/>
      <c r="D2" s="29"/>
      <c r="E2" s="28"/>
      <c r="F2" s="29"/>
      <c r="J2" s="29"/>
      <c r="K2" s="68" t="s">
        <v>180</v>
      </c>
    </row>
    <row r="3" spans="1:12" s="30" customFormat="1" ht="12" customHeight="1" x14ac:dyDescent="0.25">
      <c r="B3" s="27"/>
      <c r="C3" s="27"/>
      <c r="D3" s="29"/>
      <c r="E3" s="28"/>
      <c r="F3" s="29"/>
      <c r="G3" s="68"/>
      <c r="J3" s="29"/>
    </row>
    <row r="4" spans="1:12" s="30" customFormat="1" ht="12" customHeight="1" x14ac:dyDescent="0.25">
      <c r="B4" s="27"/>
      <c r="C4" s="27"/>
      <c r="D4" s="29"/>
      <c r="E4" s="28"/>
      <c r="F4" s="29"/>
      <c r="G4" s="68"/>
      <c r="J4" s="29"/>
    </row>
    <row r="5" spans="1:12" s="53" customFormat="1" ht="9.9499999999999993" customHeight="1" x14ac:dyDescent="0.2">
      <c r="B5" s="115"/>
      <c r="C5" s="115"/>
      <c r="D5" s="189"/>
      <c r="E5" s="190"/>
      <c r="F5" s="189"/>
      <c r="G5" s="189"/>
      <c r="H5" s="191"/>
      <c r="I5" s="189"/>
      <c r="J5" s="114"/>
    </row>
    <row r="6" spans="1:12" s="53" customFormat="1" ht="15" customHeight="1" x14ac:dyDescent="0.2">
      <c r="B6" s="63" t="s">
        <v>208</v>
      </c>
      <c r="C6" s="64" t="s">
        <v>249</v>
      </c>
      <c r="D6" s="189"/>
      <c r="E6" s="190"/>
      <c r="F6" s="64"/>
      <c r="G6" s="64"/>
      <c r="H6" s="64"/>
      <c r="I6" s="64"/>
      <c r="J6" s="79"/>
      <c r="K6" s="64"/>
      <c r="L6" s="179"/>
    </row>
    <row r="7" spans="1:12" s="53" customFormat="1" ht="18" customHeight="1" x14ac:dyDescent="0.2">
      <c r="B7" s="80" t="s">
        <v>209</v>
      </c>
      <c r="C7" s="86" t="s">
        <v>250</v>
      </c>
      <c r="D7" s="189"/>
      <c r="E7" s="190"/>
      <c r="F7" s="86"/>
      <c r="G7" s="86"/>
      <c r="H7" s="86"/>
      <c r="I7" s="86"/>
      <c r="J7" s="235"/>
      <c r="K7" s="86"/>
      <c r="L7" s="180"/>
    </row>
    <row r="8" spans="1:12" s="53" customFormat="1" ht="8.1" customHeight="1" thickBot="1" x14ac:dyDescent="0.25">
      <c r="B8" s="194"/>
      <c r="C8" s="194"/>
      <c r="D8" s="216"/>
      <c r="E8" s="215"/>
      <c r="F8" s="216"/>
      <c r="G8" s="216"/>
      <c r="H8" s="217"/>
      <c r="I8" s="216"/>
      <c r="J8" s="143"/>
      <c r="K8" s="116"/>
    </row>
    <row r="9" spans="1:12" s="53" customFormat="1" ht="8.1" customHeight="1" thickTop="1" x14ac:dyDescent="0.2">
      <c r="A9" s="378"/>
      <c r="B9" s="389"/>
      <c r="C9" s="389"/>
      <c r="D9" s="377"/>
      <c r="E9" s="400"/>
      <c r="F9" s="377"/>
      <c r="G9" s="377"/>
      <c r="H9" s="401"/>
      <c r="I9" s="377"/>
      <c r="J9" s="375"/>
      <c r="K9" s="378"/>
      <c r="L9" s="378"/>
    </row>
    <row r="10" spans="1:12" s="53" customFormat="1" ht="30.75" customHeight="1" x14ac:dyDescent="0.2">
      <c r="A10" s="390"/>
      <c r="B10" s="443" t="s">
        <v>207</v>
      </c>
      <c r="C10" s="443"/>
      <c r="D10" s="405" t="s">
        <v>96</v>
      </c>
      <c r="E10" s="437" t="s">
        <v>92</v>
      </c>
      <c r="F10" s="437" t="s">
        <v>203</v>
      </c>
      <c r="G10" s="440" t="s">
        <v>191</v>
      </c>
      <c r="H10" s="440"/>
      <c r="I10" s="440"/>
      <c r="J10" s="439" t="s">
        <v>251</v>
      </c>
      <c r="K10" s="437" t="s">
        <v>192</v>
      </c>
      <c r="L10" s="390"/>
    </row>
    <row r="11" spans="1:12" s="102" customFormat="1" ht="55.5" customHeight="1" x14ac:dyDescent="0.2">
      <c r="A11" s="398"/>
      <c r="B11" s="444"/>
      <c r="C11" s="444"/>
      <c r="D11" s="404"/>
      <c r="E11" s="442"/>
      <c r="F11" s="442"/>
      <c r="G11" s="403" t="s">
        <v>193</v>
      </c>
      <c r="H11" s="403" t="s">
        <v>194</v>
      </c>
      <c r="I11" s="403" t="s">
        <v>204</v>
      </c>
      <c r="J11" s="441"/>
      <c r="K11" s="442"/>
      <c r="L11" s="398"/>
    </row>
    <row r="12" spans="1:12" s="6" customFormat="1" ht="8.1" customHeight="1" x14ac:dyDescent="0.25">
      <c r="A12" s="24"/>
      <c r="B12" s="257"/>
      <c r="C12" s="257"/>
      <c r="D12" s="258"/>
      <c r="E12" s="259"/>
      <c r="F12" s="260"/>
      <c r="G12" s="259"/>
      <c r="H12" s="259"/>
      <c r="I12" s="259"/>
      <c r="J12" s="260"/>
      <c r="K12" s="259"/>
    </row>
    <row r="13" spans="1:12" s="261" customFormat="1" ht="12.95" customHeight="1" x14ac:dyDescent="0.2">
      <c r="A13" s="102"/>
      <c r="B13" s="61" t="s">
        <v>174</v>
      </c>
      <c r="C13" s="124"/>
      <c r="D13" s="62">
        <v>2017</v>
      </c>
      <c r="E13" s="145">
        <f>SUM(F13:K13)</f>
        <v>4186</v>
      </c>
      <c r="F13" s="145">
        <f>SUM(F17,F21,F25,F29,F33,F37,F41,F45,F49,F53,F57,F61,F65,F69,F73)</f>
        <v>859</v>
      </c>
      <c r="G13" s="145">
        <f t="shared" ref="G13:K13" si="0">SUM(G17,G21,G25,G29,G33,G37,G41,G45,G49,G53,G57,G61,G65,G69,G73)</f>
        <v>81</v>
      </c>
      <c r="H13" s="145">
        <f t="shared" si="0"/>
        <v>321</v>
      </c>
      <c r="I13" s="145">
        <f t="shared" si="0"/>
        <v>1912</v>
      </c>
      <c r="J13" s="145">
        <f t="shared" si="0"/>
        <v>10</v>
      </c>
      <c r="K13" s="145">
        <f t="shared" si="0"/>
        <v>1003</v>
      </c>
    </row>
    <row r="14" spans="1:12" s="261" customFormat="1" ht="12.95" customHeight="1" x14ac:dyDescent="0.2">
      <c r="A14" s="102"/>
      <c r="B14" s="124"/>
      <c r="C14" s="124"/>
      <c r="D14" s="62">
        <v>2018</v>
      </c>
      <c r="E14" s="145">
        <f>SUM(F14:K14)</f>
        <v>4123</v>
      </c>
      <c r="F14" s="145">
        <f t="shared" ref="F14:K15" si="1">SUM(F18,F22,F26,F30,F34,F38,F42,F46,F50,F54,F58,F62,F66,F70,F74)</f>
        <v>1023</v>
      </c>
      <c r="G14" s="145">
        <f t="shared" si="1"/>
        <v>101</v>
      </c>
      <c r="H14" s="145">
        <f t="shared" si="1"/>
        <v>286</v>
      </c>
      <c r="I14" s="145">
        <f t="shared" si="1"/>
        <v>1672</v>
      </c>
      <c r="J14" s="145">
        <f t="shared" si="1"/>
        <v>9</v>
      </c>
      <c r="K14" s="145">
        <f t="shared" si="1"/>
        <v>1032</v>
      </c>
    </row>
    <row r="15" spans="1:12" s="261" customFormat="1" ht="12.95" customHeight="1" x14ac:dyDescent="0.2">
      <c r="A15" s="102"/>
      <c r="B15" s="124"/>
      <c r="C15" s="124"/>
      <c r="D15" s="62">
        <v>2019</v>
      </c>
      <c r="E15" s="145">
        <f>SUM(F15:K15)</f>
        <v>3809</v>
      </c>
      <c r="F15" s="145">
        <f t="shared" si="1"/>
        <v>1064</v>
      </c>
      <c r="G15" s="145">
        <f t="shared" si="1"/>
        <v>58</v>
      </c>
      <c r="H15" s="145">
        <f t="shared" si="1"/>
        <v>237</v>
      </c>
      <c r="I15" s="145">
        <f t="shared" si="1"/>
        <v>1359</v>
      </c>
      <c r="J15" s="145">
        <f t="shared" si="1"/>
        <v>4</v>
      </c>
      <c r="K15" s="145">
        <f t="shared" si="1"/>
        <v>1087</v>
      </c>
    </row>
    <row r="16" spans="1:12" s="18" customFormat="1" ht="8.1" customHeight="1" x14ac:dyDescent="0.2">
      <c r="A16" s="53"/>
      <c r="B16" s="124"/>
      <c r="C16" s="124"/>
      <c r="D16" s="62"/>
      <c r="E16" s="145"/>
      <c r="F16" s="145"/>
      <c r="G16" s="145"/>
      <c r="H16" s="145"/>
      <c r="I16" s="145"/>
      <c r="J16" s="145"/>
      <c r="K16" s="145"/>
    </row>
    <row r="17" spans="1:14" s="19" customFormat="1" ht="12.95" customHeight="1" x14ac:dyDescent="0.2">
      <c r="A17" s="53"/>
      <c r="B17" s="56" t="s">
        <v>69</v>
      </c>
      <c r="C17" s="82"/>
      <c r="D17" s="141">
        <v>2017</v>
      </c>
      <c r="E17" s="146">
        <f>SUM(F17:K17)</f>
        <v>68</v>
      </c>
      <c r="F17" s="146">
        <v>17</v>
      </c>
      <c r="G17" s="146">
        <v>4</v>
      </c>
      <c r="H17" s="146">
        <v>4</v>
      </c>
      <c r="I17" s="146">
        <v>23</v>
      </c>
      <c r="J17" s="146">
        <v>1</v>
      </c>
      <c r="K17" s="146">
        <v>19</v>
      </c>
    </row>
    <row r="18" spans="1:14" s="19" customFormat="1" ht="12.95" customHeight="1" x14ac:dyDescent="0.2">
      <c r="A18" s="116"/>
      <c r="B18" s="56"/>
      <c r="C18" s="82"/>
      <c r="D18" s="141">
        <v>2018</v>
      </c>
      <c r="E18" s="146">
        <f>SUM(F18:K18)</f>
        <v>75</v>
      </c>
      <c r="F18" s="146">
        <v>18</v>
      </c>
      <c r="G18" s="146">
        <v>3</v>
      </c>
      <c r="H18" s="146">
        <v>3</v>
      </c>
      <c r="I18" s="146">
        <v>34</v>
      </c>
      <c r="J18" s="146" t="s">
        <v>51</v>
      </c>
      <c r="K18" s="146">
        <v>17</v>
      </c>
    </row>
    <row r="19" spans="1:14" s="19" customFormat="1" ht="12.95" customHeight="1" x14ac:dyDescent="0.2">
      <c r="A19" s="116"/>
      <c r="B19" s="56"/>
      <c r="C19" s="82"/>
      <c r="D19" s="141">
        <v>2019</v>
      </c>
      <c r="E19" s="146">
        <f>SUM(F19:K19)</f>
        <v>80</v>
      </c>
      <c r="F19" s="146">
        <v>28</v>
      </c>
      <c r="G19" s="144" t="s">
        <v>51</v>
      </c>
      <c r="H19" s="146">
        <v>2</v>
      </c>
      <c r="I19" s="146">
        <v>22</v>
      </c>
      <c r="J19" s="144" t="s">
        <v>51</v>
      </c>
      <c r="K19" s="146">
        <v>28</v>
      </c>
    </row>
    <row r="20" spans="1:14" s="19" customFormat="1" ht="8.1" customHeight="1" x14ac:dyDescent="0.2">
      <c r="A20" s="116"/>
      <c r="B20" s="56"/>
      <c r="C20" s="82"/>
      <c r="D20" s="141"/>
      <c r="E20" s="146"/>
      <c r="F20" s="146"/>
      <c r="G20" s="144"/>
      <c r="H20" s="146"/>
      <c r="I20" s="146"/>
      <c r="J20" s="144"/>
      <c r="K20" s="146"/>
    </row>
    <row r="21" spans="1:14" s="19" customFormat="1" ht="12.95" customHeight="1" x14ac:dyDescent="0.2">
      <c r="A21" s="53"/>
      <c r="B21" s="56" t="s">
        <v>70</v>
      </c>
      <c r="C21" s="82"/>
      <c r="D21" s="141">
        <v>2017</v>
      </c>
      <c r="E21" s="146">
        <f>SUM(F21:K21)</f>
        <v>62</v>
      </c>
      <c r="F21" s="146">
        <v>12</v>
      </c>
      <c r="G21" s="146">
        <v>1</v>
      </c>
      <c r="H21" s="146">
        <v>6</v>
      </c>
      <c r="I21" s="146">
        <v>27</v>
      </c>
      <c r="J21" s="146" t="s">
        <v>51</v>
      </c>
      <c r="K21" s="146">
        <v>16</v>
      </c>
    </row>
    <row r="22" spans="1:14" s="19" customFormat="1" ht="12.95" customHeight="1" x14ac:dyDescent="0.2">
      <c r="A22" s="53"/>
      <c r="B22" s="56"/>
      <c r="C22" s="82"/>
      <c r="D22" s="141">
        <v>2018</v>
      </c>
      <c r="E22" s="146">
        <f>SUM(F22:K22)</f>
        <v>54</v>
      </c>
      <c r="F22" s="146">
        <v>18</v>
      </c>
      <c r="G22" s="146">
        <v>1</v>
      </c>
      <c r="H22" s="146">
        <v>1</v>
      </c>
      <c r="I22" s="146">
        <v>19</v>
      </c>
      <c r="J22" s="146" t="s">
        <v>51</v>
      </c>
      <c r="K22" s="146">
        <v>15</v>
      </c>
    </row>
    <row r="23" spans="1:14" s="96" customFormat="1" ht="12.95" customHeight="1" x14ac:dyDescent="0.2">
      <c r="A23" s="116"/>
      <c r="B23" s="56"/>
      <c r="C23" s="82"/>
      <c r="D23" s="141">
        <v>2019</v>
      </c>
      <c r="E23" s="146">
        <f>SUM(F23:K23)</f>
        <v>66</v>
      </c>
      <c r="F23" s="146">
        <v>22</v>
      </c>
      <c r="G23" s="146">
        <v>1</v>
      </c>
      <c r="H23" s="146">
        <v>1</v>
      </c>
      <c r="I23" s="146">
        <v>22</v>
      </c>
      <c r="J23" s="144" t="s">
        <v>51</v>
      </c>
      <c r="K23" s="146">
        <v>20</v>
      </c>
      <c r="L23" s="19"/>
      <c r="M23" s="19"/>
      <c r="N23" s="19"/>
    </row>
    <row r="24" spans="1:14" s="96" customFormat="1" ht="8.1" customHeight="1" x14ac:dyDescent="0.2">
      <c r="A24" s="116"/>
      <c r="B24" s="56"/>
      <c r="C24" s="82"/>
      <c r="D24" s="141"/>
      <c r="E24" s="146"/>
      <c r="F24" s="146"/>
      <c r="G24" s="146"/>
      <c r="H24" s="146"/>
      <c r="I24" s="146"/>
      <c r="J24" s="146"/>
      <c r="K24" s="146"/>
      <c r="L24" s="19"/>
      <c r="M24" s="19"/>
      <c r="N24" s="19"/>
    </row>
    <row r="25" spans="1:14" s="19" customFormat="1" ht="12.95" customHeight="1" x14ac:dyDescent="0.2">
      <c r="A25" s="116"/>
      <c r="B25" s="56" t="s">
        <v>46</v>
      </c>
      <c r="C25" s="82"/>
      <c r="D25" s="141">
        <v>2017</v>
      </c>
      <c r="E25" s="146">
        <f>SUM(F25:K25)</f>
        <v>432</v>
      </c>
      <c r="F25" s="146">
        <v>133</v>
      </c>
      <c r="G25" s="146">
        <v>4</v>
      </c>
      <c r="H25" s="146">
        <v>18</v>
      </c>
      <c r="I25" s="146">
        <v>112</v>
      </c>
      <c r="J25" s="146">
        <v>2</v>
      </c>
      <c r="K25" s="146">
        <v>163</v>
      </c>
    </row>
    <row r="26" spans="1:14" s="19" customFormat="1" ht="12.95" customHeight="1" x14ac:dyDescent="0.2">
      <c r="A26" s="53"/>
      <c r="B26" s="56"/>
      <c r="C26" s="82"/>
      <c r="D26" s="141">
        <v>2018</v>
      </c>
      <c r="E26" s="146">
        <f>SUM(F26:K26)</f>
        <v>447</v>
      </c>
      <c r="F26" s="146">
        <v>153</v>
      </c>
      <c r="G26" s="146">
        <v>4</v>
      </c>
      <c r="H26" s="146">
        <v>19</v>
      </c>
      <c r="I26" s="146">
        <v>108</v>
      </c>
      <c r="J26" s="146" t="s">
        <v>51</v>
      </c>
      <c r="K26" s="146">
        <v>163</v>
      </c>
    </row>
    <row r="27" spans="1:14" s="19" customFormat="1" ht="12.95" customHeight="1" x14ac:dyDescent="0.2">
      <c r="A27" s="53"/>
      <c r="B27" s="56"/>
      <c r="C27" s="82"/>
      <c r="D27" s="141">
        <v>2019</v>
      </c>
      <c r="E27" s="146">
        <f>SUM(F27:K27)</f>
        <v>441</v>
      </c>
      <c r="F27" s="344">
        <v>136</v>
      </c>
      <c r="G27" s="344">
        <v>2</v>
      </c>
      <c r="H27" s="344">
        <v>13</v>
      </c>
      <c r="I27" s="344">
        <v>107</v>
      </c>
      <c r="J27" s="416" t="s">
        <v>51</v>
      </c>
      <c r="K27" s="344">
        <v>183</v>
      </c>
    </row>
    <row r="28" spans="1:14" s="19" customFormat="1" ht="8.1" customHeight="1" x14ac:dyDescent="0.2">
      <c r="A28" s="53"/>
      <c r="B28" s="56"/>
      <c r="C28" s="82"/>
      <c r="D28" s="141"/>
      <c r="E28" s="146"/>
      <c r="F28" s="146"/>
      <c r="G28" s="146"/>
      <c r="H28" s="146"/>
      <c r="I28" s="146"/>
      <c r="J28" s="146"/>
      <c r="K28" s="146"/>
    </row>
    <row r="29" spans="1:14" s="19" customFormat="1" ht="12.95" customHeight="1" x14ac:dyDescent="0.2">
      <c r="A29" s="53"/>
      <c r="B29" s="56" t="s">
        <v>71</v>
      </c>
      <c r="C29" s="82"/>
      <c r="D29" s="141">
        <v>2017</v>
      </c>
      <c r="E29" s="146">
        <f>SUM(F29:K29)</f>
        <v>1631</v>
      </c>
      <c r="F29" s="146">
        <v>294</v>
      </c>
      <c r="G29" s="146">
        <v>48</v>
      </c>
      <c r="H29" s="146">
        <v>182</v>
      </c>
      <c r="I29" s="146">
        <v>786</v>
      </c>
      <c r="J29" s="146">
        <v>1</v>
      </c>
      <c r="K29" s="146">
        <v>320</v>
      </c>
    </row>
    <row r="30" spans="1:14" s="19" customFormat="1" ht="12.95" customHeight="1" x14ac:dyDescent="0.2">
      <c r="A30" s="53"/>
      <c r="B30" s="56"/>
      <c r="C30" s="82"/>
      <c r="D30" s="141">
        <v>2018</v>
      </c>
      <c r="E30" s="146">
        <f>SUM(F30:K30)</f>
        <v>1587</v>
      </c>
      <c r="F30" s="146">
        <v>389</v>
      </c>
      <c r="G30" s="146">
        <v>59</v>
      </c>
      <c r="H30" s="146">
        <v>163</v>
      </c>
      <c r="I30" s="146">
        <v>596</v>
      </c>
      <c r="J30" s="146">
        <v>1</v>
      </c>
      <c r="K30" s="146">
        <v>379</v>
      </c>
    </row>
    <row r="31" spans="1:14" s="19" customFormat="1" ht="12.95" customHeight="1" x14ac:dyDescent="0.2">
      <c r="A31" s="116"/>
      <c r="B31" s="56"/>
      <c r="C31" s="82"/>
      <c r="D31" s="141">
        <v>2019</v>
      </c>
      <c r="E31" s="146">
        <f>SUM(F31:K31)</f>
        <v>1420</v>
      </c>
      <c r="F31" s="146">
        <v>409</v>
      </c>
      <c r="G31" s="146">
        <v>28</v>
      </c>
      <c r="H31" s="146">
        <v>127</v>
      </c>
      <c r="I31" s="146">
        <v>505</v>
      </c>
      <c r="J31" s="144" t="s">
        <v>51</v>
      </c>
      <c r="K31" s="146">
        <v>351</v>
      </c>
    </row>
    <row r="32" spans="1:14" s="19" customFormat="1" ht="8.1" customHeight="1" x14ac:dyDescent="0.2">
      <c r="A32" s="116"/>
      <c r="B32" s="56"/>
      <c r="C32" s="82"/>
      <c r="D32" s="141"/>
      <c r="E32" s="146"/>
      <c r="F32" s="144"/>
      <c r="G32" s="144"/>
      <c r="H32" s="146"/>
      <c r="I32" s="144"/>
      <c r="J32" s="146"/>
      <c r="K32" s="146"/>
    </row>
    <row r="33" spans="1:11" s="19" customFormat="1" ht="12.95" customHeight="1" x14ac:dyDescent="0.2">
      <c r="A33" s="53"/>
      <c r="B33" s="56" t="s">
        <v>48</v>
      </c>
      <c r="C33" s="82"/>
      <c r="D33" s="141">
        <v>2017</v>
      </c>
      <c r="E33" s="146">
        <f>SUM(F33:K33)</f>
        <v>146</v>
      </c>
      <c r="F33" s="146">
        <v>32</v>
      </c>
      <c r="G33" s="146">
        <v>1</v>
      </c>
      <c r="H33" s="146">
        <v>13</v>
      </c>
      <c r="I33" s="146">
        <v>58</v>
      </c>
      <c r="J33" s="146">
        <v>1</v>
      </c>
      <c r="K33" s="146">
        <v>41</v>
      </c>
    </row>
    <row r="34" spans="1:11" s="19" customFormat="1" ht="12.95" customHeight="1" x14ac:dyDescent="0.2">
      <c r="A34" s="53"/>
      <c r="B34" s="56"/>
      <c r="C34" s="82"/>
      <c r="D34" s="141">
        <v>2018</v>
      </c>
      <c r="E34" s="146">
        <f>SUM(F34:K34)</f>
        <v>160</v>
      </c>
      <c r="F34" s="144">
        <v>35</v>
      </c>
      <c r="G34" s="144">
        <v>2</v>
      </c>
      <c r="H34" s="146">
        <v>3</v>
      </c>
      <c r="I34" s="144">
        <v>68</v>
      </c>
      <c r="J34" s="146" t="s">
        <v>51</v>
      </c>
      <c r="K34" s="146">
        <v>52</v>
      </c>
    </row>
    <row r="35" spans="1:11" s="19" customFormat="1" ht="12.95" customHeight="1" x14ac:dyDescent="0.2">
      <c r="A35" s="116"/>
      <c r="B35" s="56"/>
      <c r="C35" s="82"/>
      <c r="D35" s="141">
        <v>2019</v>
      </c>
      <c r="E35" s="146">
        <f>SUM(F35:K35)</f>
        <v>167</v>
      </c>
      <c r="F35" s="144">
        <v>46</v>
      </c>
      <c r="G35" s="144">
        <v>2</v>
      </c>
      <c r="H35" s="146">
        <v>6</v>
      </c>
      <c r="I35" s="144">
        <v>50</v>
      </c>
      <c r="J35" s="146">
        <v>1</v>
      </c>
      <c r="K35" s="146">
        <v>62</v>
      </c>
    </row>
    <row r="36" spans="1:11" s="19" customFormat="1" ht="8.1" customHeight="1" x14ac:dyDescent="0.2">
      <c r="A36" s="116"/>
      <c r="B36" s="56"/>
      <c r="C36" s="82"/>
      <c r="D36" s="141"/>
      <c r="E36" s="146"/>
      <c r="F36" s="146"/>
      <c r="G36" s="146"/>
      <c r="H36" s="146"/>
      <c r="I36" s="146"/>
      <c r="J36" s="146"/>
      <c r="K36" s="146"/>
    </row>
    <row r="37" spans="1:11" s="19" customFormat="1" ht="12.95" customHeight="1" x14ac:dyDescent="0.2">
      <c r="A37" s="53"/>
      <c r="B37" s="56" t="s">
        <v>44</v>
      </c>
      <c r="C37" s="82"/>
      <c r="D37" s="141">
        <v>2017</v>
      </c>
      <c r="E37" s="146">
        <f>SUM(F37:K37)</f>
        <v>156</v>
      </c>
      <c r="F37" s="146">
        <v>38</v>
      </c>
      <c r="G37" s="146">
        <v>2</v>
      </c>
      <c r="H37" s="146">
        <v>9</v>
      </c>
      <c r="I37" s="146">
        <v>86</v>
      </c>
      <c r="J37" s="146">
        <v>2</v>
      </c>
      <c r="K37" s="146">
        <v>19</v>
      </c>
    </row>
    <row r="38" spans="1:11" s="19" customFormat="1" ht="12.95" customHeight="1" x14ac:dyDescent="0.2">
      <c r="A38" s="53"/>
      <c r="B38" s="56"/>
      <c r="C38" s="82"/>
      <c r="D38" s="141">
        <v>2018</v>
      </c>
      <c r="E38" s="146">
        <f>SUM(F38:K38)</f>
        <v>155</v>
      </c>
      <c r="F38" s="146">
        <v>25</v>
      </c>
      <c r="G38" s="146">
        <v>5</v>
      </c>
      <c r="H38" s="146">
        <v>6</v>
      </c>
      <c r="I38" s="146">
        <v>98</v>
      </c>
      <c r="J38" s="146" t="s">
        <v>51</v>
      </c>
      <c r="K38" s="146">
        <v>21</v>
      </c>
    </row>
    <row r="39" spans="1:11" s="19" customFormat="1" ht="12.95" customHeight="1" x14ac:dyDescent="0.2">
      <c r="A39" s="116"/>
      <c r="B39" s="56"/>
      <c r="C39" s="82"/>
      <c r="D39" s="141">
        <v>2019</v>
      </c>
      <c r="E39" s="146">
        <f>SUM(F39:K39)</f>
        <v>161</v>
      </c>
      <c r="F39" s="146">
        <v>31</v>
      </c>
      <c r="G39" s="146">
        <v>1</v>
      </c>
      <c r="H39" s="146">
        <v>9</v>
      </c>
      <c r="I39" s="146">
        <v>88</v>
      </c>
      <c r="J39" s="144" t="s">
        <v>51</v>
      </c>
      <c r="K39" s="146">
        <v>32</v>
      </c>
    </row>
    <row r="40" spans="1:11" s="19" customFormat="1" ht="8.1" customHeight="1" x14ac:dyDescent="0.2">
      <c r="A40" s="116"/>
      <c r="B40" s="56"/>
      <c r="C40" s="82"/>
      <c r="D40" s="141"/>
      <c r="E40" s="146"/>
      <c r="F40" s="146"/>
      <c r="G40" s="146"/>
      <c r="H40" s="146"/>
      <c r="I40" s="146"/>
      <c r="J40" s="146"/>
      <c r="K40" s="146"/>
    </row>
    <row r="41" spans="1:11" s="19" customFormat="1" ht="12.95" customHeight="1" x14ac:dyDescent="0.2">
      <c r="A41" s="53"/>
      <c r="B41" s="56" t="s">
        <v>45</v>
      </c>
      <c r="C41" s="82"/>
      <c r="D41" s="141">
        <v>2017</v>
      </c>
      <c r="E41" s="146">
        <f>SUM(F41:K41)</f>
        <v>118</v>
      </c>
      <c r="F41" s="146">
        <v>22</v>
      </c>
      <c r="G41" s="146" t="s">
        <v>51</v>
      </c>
      <c r="H41" s="146">
        <v>5</v>
      </c>
      <c r="I41" s="146">
        <v>66</v>
      </c>
      <c r="J41" s="146">
        <v>2</v>
      </c>
      <c r="K41" s="146">
        <v>23</v>
      </c>
    </row>
    <row r="42" spans="1:11" s="19" customFormat="1" ht="12.95" customHeight="1" x14ac:dyDescent="0.2">
      <c r="A42" s="53"/>
      <c r="B42" s="56"/>
      <c r="C42" s="82"/>
      <c r="D42" s="141">
        <v>2018</v>
      </c>
      <c r="E42" s="146">
        <f>SUM(F42:K42)</f>
        <v>96</v>
      </c>
      <c r="F42" s="146">
        <v>17</v>
      </c>
      <c r="G42" s="146" t="s">
        <v>51</v>
      </c>
      <c r="H42" s="146">
        <v>2</v>
      </c>
      <c r="I42" s="146">
        <v>49</v>
      </c>
      <c r="J42" s="146">
        <v>2</v>
      </c>
      <c r="K42" s="146">
        <v>26</v>
      </c>
    </row>
    <row r="43" spans="1:11" s="19" customFormat="1" ht="12.95" customHeight="1" x14ac:dyDescent="0.2">
      <c r="A43" s="116"/>
      <c r="B43" s="56"/>
      <c r="C43" s="82"/>
      <c r="D43" s="141">
        <v>2019</v>
      </c>
      <c r="E43" s="146">
        <f>SUM(F43:K43)</f>
        <v>95</v>
      </c>
      <c r="F43" s="146">
        <v>34</v>
      </c>
      <c r="G43" s="146">
        <v>1</v>
      </c>
      <c r="H43" s="146">
        <v>6</v>
      </c>
      <c r="I43" s="146">
        <v>39</v>
      </c>
      <c r="J43" s="144" t="s">
        <v>51</v>
      </c>
      <c r="K43" s="146">
        <v>15</v>
      </c>
    </row>
    <row r="44" spans="1:11" s="19" customFormat="1" ht="8.1" customHeight="1" x14ac:dyDescent="0.2">
      <c r="A44" s="116"/>
      <c r="B44" s="56"/>
      <c r="C44" s="82"/>
      <c r="D44" s="141"/>
      <c r="E44" s="146"/>
      <c r="F44" s="146"/>
      <c r="G44" s="146"/>
      <c r="H44" s="146"/>
      <c r="I44" s="146"/>
      <c r="J44" s="144"/>
      <c r="K44" s="146"/>
    </row>
    <row r="45" spans="1:11" s="19" customFormat="1" ht="12.95" customHeight="1" x14ac:dyDescent="0.2">
      <c r="A45" s="53"/>
      <c r="B45" s="56" t="s">
        <v>43</v>
      </c>
      <c r="C45" s="82"/>
      <c r="D45" s="141">
        <v>2017</v>
      </c>
      <c r="E45" s="146">
        <f>SUM(F45:K45)</f>
        <v>506</v>
      </c>
      <c r="F45" s="146">
        <v>82</v>
      </c>
      <c r="G45" s="146">
        <v>4</v>
      </c>
      <c r="H45" s="146">
        <v>31</v>
      </c>
      <c r="I45" s="146">
        <v>301</v>
      </c>
      <c r="J45" s="146">
        <v>1</v>
      </c>
      <c r="K45" s="146">
        <v>87</v>
      </c>
    </row>
    <row r="46" spans="1:11" s="19" customFormat="1" ht="12.95" customHeight="1" x14ac:dyDescent="0.2">
      <c r="A46" s="53"/>
      <c r="B46" s="56"/>
      <c r="C46" s="82"/>
      <c r="D46" s="141">
        <v>2018</v>
      </c>
      <c r="E46" s="146">
        <f>SUM(F46:K46)</f>
        <v>515</v>
      </c>
      <c r="F46" s="146">
        <v>100</v>
      </c>
      <c r="G46" s="146">
        <v>8</v>
      </c>
      <c r="H46" s="146">
        <v>32</v>
      </c>
      <c r="I46" s="146">
        <v>254</v>
      </c>
      <c r="J46" s="146">
        <v>2</v>
      </c>
      <c r="K46" s="146">
        <v>119</v>
      </c>
    </row>
    <row r="47" spans="1:11" s="19" customFormat="1" ht="12.95" customHeight="1" x14ac:dyDescent="0.2">
      <c r="A47" s="116"/>
      <c r="B47" s="56"/>
      <c r="C47" s="82"/>
      <c r="D47" s="141">
        <v>2019</v>
      </c>
      <c r="E47" s="146">
        <f>SUM(F47:K47)</f>
        <v>397</v>
      </c>
      <c r="F47" s="146">
        <v>92</v>
      </c>
      <c r="G47" s="146">
        <v>9</v>
      </c>
      <c r="H47" s="146">
        <v>30</v>
      </c>
      <c r="I47" s="146">
        <v>172</v>
      </c>
      <c r="J47" s="144" t="s">
        <v>51</v>
      </c>
      <c r="K47" s="146">
        <v>94</v>
      </c>
    </row>
    <row r="48" spans="1:11" s="19" customFormat="1" ht="8.1" customHeight="1" x14ac:dyDescent="0.2">
      <c r="A48" s="116"/>
      <c r="B48" s="56"/>
      <c r="C48" s="82"/>
      <c r="D48" s="141"/>
      <c r="E48" s="146"/>
      <c r="F48" s="146"/>
      <c r="G48" s="144"/>
      <c r="H48" s="144"/>
      <c r="I48" s="146"/>
      <c r="J48" s="146"/>
      <c r="K48" s="146"/>
    </row>
    <row r="49" spans="1:11" s="18" customFormat="1" ht="12.95" customHeight="1" x14ac:dyDescent="0.2">
      <c r="A49" s="53"/>
      <c r="B49" s="56" t="s">
        <v>72</v>
      </c>
      <c r="C49" s="82"/>
      <c r="D49" s="141">
        <v>2017</v>
      </c>
      <c r="E49" s="146">
        <f>SUM(F49:K49)</f>
        <v>13</v>
      </c>
      <c r="F49" s="146" t="s">
        <v>51</v>
      </c>
      <c r="G49" s="144" t="s">
        <v>51</v>
      </c>
      <c r="H49" s="144" t="s">
        <v>51</v>
      </c>
      <c r="I49" s="146">
        <v>10</v>
      </c>
      <c r="J49" s="144" t="s">
        <v>51</v>
      </c>
      <c r="K49" s="146">
        <v>3</v>
      </c>
    </row>
    <row r="50" spans="1:11" s="18" customFormat="1" ht="12.95" customHeight="1" x14ac:dyDescent="0.2">
      <c r="A50" s="53"/>
      <c r="B50" s="56"/>
      <c r="C50" s="82"/>
      <c r="D50" s="141">
        <v>2018</v>
      </c>
      <c r="E50" s="146">
        <f>SUM(F50:K50)</f>
        <v>10</v>
      </c>
      <c r="F50" s="144">
        <v>2</v>
      </c>
      <c r="G50" s="144">
        <v>1</v>
      </c>
      <c r="H50" s="146" t="s">
        <v>51</v>
      </c>
      <c r="I50" s="146">
        <v>2</v>
      </c>
      <c r="J50" s="146" t="s">
        <v>51</v>
      </c>
      <c r="K50" s="146">
        <v>5</v>
      </c>
    </row>
    <row r="51" spans="1:11" s="18" customFormat="1" ht="12.95" customHeight="1" x14ac:dyDescent="0.2">
      <c r="A51" s="116"/>
      <c r="B51" s="56"/>
      <c r="C51" s="82"/>
      <c r="D51" s="141">
        <v>2019</v>
      </c>
      <c r="E51" s="146">
        <f>SUM(F51:K51)</f>
        <v>12</v>
      </c>
      <c r="F51" s="146">
        <v>3</v>
      </c>
      <c r="G51" s="144" t="s">
        <v>51</v>
      </c>
      <c r="H51" s="144" t="s">
        <v>51</v>
      </c>
      <c r="I51" s="146">
        <v>2</v>
      </c>
      <c r="J51" s="144" t="s">
        <v>51</v>
      </c>
      <c r="K51" s="146">
        <v>7</v>
      </c>
    </row>
    <row r="52" spans="1:11" s="18" customFormat="1" ht="8.1" customHeight="1" x14ac:dyDescent="0.2">
      <c r="A52" s="116"/>
      <c r="B52" s="56"/>
      <c r="C52" s="82"/>
      <c r="D52" s="141"/>
      <c r="E52" s="146"/>
      <c r="F52" s="146"/>
      <c r="G52" s="146"/>
      <c r="H52" s="146"/>
      <c r="I52" s="146"/>
      <c r="J52" s="146"/>
      <c r="K52" s="146"/>
    </row>
    <row r="53" spans="1:11" s="18" customFormat="1" ht="12.95" customHeight="1" x14ac:dyDescent="0.2">
      <c r="A53" s="53"/>
      <c r="B53" s="56" t="s">
        <v>47</v>
      </c>
      <c r="C53" s="82"/>
      <c r="D53" s="141">
        <v>2017</v>
      </c>
      <c r="E53" s="146">
        <f>SUM(F53:K53)</f>
        <v>116</v>
      </c>
      <c r="F53" s="146">
        <v>35</v>
      </c>
      <c r="G53" s="144">
        <v>1</v>
      </c>
      <c r="H53" s="146">
        <v>2</v>
      </c>
      <c r="I53" s="146">
        <v>45</v>
      </c>
      <c r="J53" s="146" t="s">
        <v>51</v>
      </c>
      <c r="K53" s="146">
        <v>33</v>
      </c>
    </row>
    <row r="54" spans="1:11" s="18" customFormat="1" ht="12.95" customHeight="1" x14ac:dyDescent="0.2">
      <c r="A54" s="53"/>
      <c r="B54" s="56"/>
      <c r="C54" s="82"/>
      <c r="D54" s="141">
        <v>2018</v>
      </c>
      <c r="E54" s="146">
        <f>SUM(F54:K54)</f>
        <v>81</v>
      </c>
      <c r="F54" s="146">
        <v>30</v>
      </c>
      <c r="G54" s="146" t="s">
        <v>51</v>
      </c>
      <c r="H54" s="146">
        <v>1</v>
      </c>
      <c r="I54" s="146">
        <v>32</v>
      </c>
      <c r="J54" s="146" t="s">
        <v>51</v>
      </c>
      <c r="K54" s="146">
        <v>18</v>
      </c>
    </row>
    <row r="55" spans="1:11" s="18" customFormat="1" ht="12.95" customHeight="1" x14ac:dyDescent="0.2">
      <c r="A55" s="116"/>
      <c r="B55" s="56"/>
      <c r="C55" s="82"/>
      <c r="D55" s="141">
        <v>2019</v>
      </c>
      <c r="E55" s="146">
        <f>SUM(F55:K55)</f>
        <v>98</v>
      </c>
      <c r="F55" s="146">
        <v>24</v>
      </c>
      <c r="G55" s="146">
        <v>1</v>
      </c>
      <c r="H55" s="146">
        <v>2</v>
      </c>
      <c r="I55" s="146">
        <v>27</v>
      </c>
      <c r="J55" s="146">
        <v>1</v>
      </c>
      <c r="K55" s="146">
        <v>43</v>
      </c>
    </row>
    <row r="56" spans="1:11" s="18" customFormat="1" ht="8.1" customHeight="1" x14ac:dyDescent="0.2">
      <c r="A56" s="116"/>
      <c r="B56" s="56"/>
      <c r="C56" s="82"/>
      <c r="D56" s="141"/>
      <c r="E56" s="146"/>
      <c r="F56" s="146"/>
      <c r="G56" s="144"/>
      <c r="H56" s="146"/>
      <c r="I56" s="146"/>
      <c r="J56" s="146"/>
      <c r="K56" s="146"/>
    </row>
    <row r="57" spans="1:11" s="18" customFormat="1" ht="12.95" customHeight="1" x14ac:dyDescent="0.2">
      <c r="A57" s="53"/>
      <c r="B57" s="56" t="s">
        <v>73</v>
      </c>
      <c r="C57" s="82"/>
      <c r="D57" s="141">
        <v>2017</v>
      </c>
      <c r="E57" s="146">
        <f>SUM(F57:K57)</f>
        <v>23</v>
      </c>
      <c r="F57" s="146">
        <v>5</v>
      </c>
      <c r="G57" s="146">
        <v>1</v>
      </c>
      <c r="H57" s="146">
        <v>1</v>
      </c>
      <c r="I57" s="146">
        <v>12</v>
      </c>
      <c r="J57" s="146" t="s">
        <v>51</v>
      </c>
      <c r="K57" s="146">
        <v>4</v>
      </c>
    </row>
    <row r="58" spans="1:11" s="18" customFormat="1" ht="12.95" customHeight="1" x14ac:dyDescent="0.2">
      <c r="A58" s="53"/>
      <c r="B58" s="56"/>
      <c r="C58" s="82"/>
      <c r="D58" s="141">
        <v>2018</v>
      </c>
      <c r="E58" s="146">
        <f>SUM(F58:K58)</f>
        <v>25</v>
      </c>
      <c r="F58" s="146">
        <v>4</v>
      </c>
      <c r="G58" s="146" t="s">
        <v>51</v>
      </c>
      <c r="H58" s="146">
        <v>2</v>
      </c>
      <c r="I58" s="146">
        <v>16</v>
      </c>
      <c r="J58" s="144">
        <v>1</v>
      </c>
      <c r="K58" s="146">
        <v>2</v>
      </c>
    </row>
    <row r="59" spans="1:11" s="18" customFormat="1" ht="12.95" customHeight="1" x14ac:dyDescent="0.2">
      <c r="A59" s="116"/>
      <c r="B59" s="56"/>
      <c r="C59" s="82"/>
      <c r="D59" s="141">
        <v>2019</v>
      </c>
      <c r="E59" s="146">
        <f>SUM(F59:K59)</f>
        <v>33</v>
      </c>
      <c r="F59" s="146">
        <v>4</v>
      </c>
      <c r="G59" s="144" t="s">
        <v>51</v>
      </c>
      <c r="H59" s="146">
        <v>2</v>
      </c>
      <c r="I59" s="146">
        <v>15</v>
      </c>
      <c r="J59" s="144" t="s">
        <v>51</v>
      </c>
      <c r="K59" s="146">
        <v>12</v>
      </c>
    </row>
    <row r="60" spans="1:11" s="18" customFormat="1" ht="8.1" customHeight="1" x14ac:dyDescent="0.2">
      <c r="A60" s="116"/>
      <c r="B60" s="56"/>
      <c r="C60" s="82"/>
      <c r="D60" s="141"/>
      <c r="E60" s="146"/>
      <c r="F60" s="146"/>
      <c r="G60" s="146"/>
      <c r="H60" s="146"/>
      <c r="I60" s="146"/>
      <c r="J60" s="144"/>
      <c r="K60" s="146"/>
    </row>
    <row r="61" spans="1:11" s="18" customFormat="1" ht="12.95" customHeight="1" x14ac:dyDescent="0.2">
      <c r="A61" s="53"/>
      <c r="B61" s="56" t="s">
        <v>74</v>
      </c>
      <c r="C61" s="82"/>
      <c r="D61" s="141">
        <v>2017</v>
      </c>
      <c r="E61" s="146">
        <f>SUM(F61:K61)</f>
        <v>104</v>
      </c>
      <c r="F61" s="146">
        <v>16</v>
      </c>
      <c r="G61" s="146">
        <v>2</v>
      </c>
      <c r="H61" s="146">
        <v>3</v>
      </c>
      <c r="I61" s="146">
        <v>62</v>
      </c>
      <c r="J61" s="146" t="s">
        <v>51</v>
      </c>
      <c r="K61" s="146">
        <v>21</v>
      </c>
    </row>
    <row r="62" spans="1:11" s="18" customFormat="1" ht="12.95" customHeight="1" x14ac:dyDescent="0.2">
      <c r="A62" s="53"/>
      <c r="B62" s="56"/>
      <c r="C62" s="82"/>
      <c r="D62" s="141">
        <v>2018</v>
      </c>
      <c r="E62" s="146">
        <f>SUM(F62:K62)</f>
        <v>84</v>
      </c>
      <c r="F62" s="146">
        <v>14</v>
      </c>
      <c r="G62" s="146">
        <v>4</v>
      </c>
      <c r="H62" s="146">
        <v>4</v>
      </c>
      <c r="I62" s="146">
        <v>45</v>
      </c>
      <c r="J62" s="144">
        <v>2</v>
      </c>
      <c r="K62" s="146">
        <v>15</v>
      </c>
    </row>
    <row r="63" spans="1:11" s="18" customFormat="1" ht="12.95" customHeight="1" x14ac:dyDescent="0.2">
      <c r="A63" s="116"/>
      <c r="B63" s="56"/>
      <c r="C63" s="82"/>
      <c r="D63" s="141">
        <v>2019</v>
      </c>
      <c r="E63" s="146">
        <f>SUM(F63:K63)</f>
        <v>85</v>
      </c>
      <c r="F63" s="146">
        <v>30</v>
      </c>
      <c r="G63" s="144" t="s">
        <v>51</v>
      </c>
      <c r="H63" s="144" t="s">
        <v>51</v>
      </c>
      <c r="I63" s="146">
        <v>23</v>
      </c>
      <c r="J63" s="146">
        <v>1</v>
      </c>
      <c r="K63" s="146">
        <v>31</v>
      </c>
    </row>
    <row r="64" spans="1:11" s="18" customFormat="1" ht="8.1" customHeight="1" x14ac:dyDescent="0.2">
      <c r="A64" s="116"/>
      <c r="B64" s="56"/>
      <c r="C64" s="82"/>
      <c r="D64" s="141"/>
      <c r="E64" s="146"/>
      <c r="F64" s="146"/>
      <c r="G64" s="146"/>
      <c r="H64" s="146"/>
      <c r="I64" s="146"/>
      <c r="J64" s="146"/>
      <c r="K64" s="146"/>
    </row>
    <row r="65" spans="1:12" s="18" customFormat="1" ht="12.95" customHeight="1" x14ac:dyDescent="0.2">
      <c r="A65" s="116"/>
      <c r="B65" s="56" t="s">
        <v>75</v>
      </c>
      <c r="C65" s="82"/>
      <c r="D65" s="141">
        <v>2017</v>
      </c>
      <c r="E65" s="146">
        <f>SUM(F65:K65)</f>
        <v>561</v>
      </c>
      <c r="F65" s="146">
        <v>129</v>
      </c>
      <c r="G65" s="146">
        <v>4</v>
      </c>
      <c r="H65" s="146">
        <v>28</v>
      </c>
      <c r="I65" s="146">
        <v>214</v>
      </c>
      <c r="J65" s="146" t="s">
        <v>51</v>
      </c>
      <c r="K65" s="146">
        <v>186</v>
      </c>
    </row>
    <row r="66" spans="1:12" s="93" customFormat="1" ht="12.95" customHeight="1" x14ac:dyDescent="0.2">
      <c r="A66" s="115"/>
      <c r="B66" s="56"/>
      <c r="C66" s="82"/>
      <c r="D66" s="141">
        <v>2018</v>
      </c>
      <c r="E66" s="146">
        <f>SUM(F66:K66)</f>
        <v>574</v>
      </c>
      <c r="F66" s="146">
        <v>160</v>
      </c>
      <c r="G66" s="146">
        <v>5</v>
      </c>
      <c r="H66" s="146">
        <v>31</v>
      </c>
      <c r="I66" s="146">
        <v>246</v>
      </c>
      <c r="J66" s="144">
        <v>1</v>
      </c>
      <c r="K66" s="146">
        <v>131</v>
      </c>
    </row>
    <row r="67" spans="1:12" s="18" customFormat="1" ht="12.95" customHeight="1" x14ac:dyDescent="0.2">
      <c r="A67" s="116"/>
      <c r="B67" s="56"/>
      <c r="C67" s="82"/>
      <c r="D67" s="141">
        <v>2019</v>
      </c>
      <c r="E67" s="146">
        <f>SUM(F67:K67)</f>
        <v>501</v>
      </c>
      <c r="F67" s="146">
        <v>120</v>
      </c>
      <c r="G67" s="146">
        <v>12</v>
      </c>
      <c r="H67" s="146">
        <v>30</v>
      </c>
      <c r="I67" s="146">
        <v>188</v>
      </c>
      <c r="J67" s="144" t="s">
        <v>51</v>
      </c>
      <c r="K67" s="146">
        <v>151</v>
      </c>
    </row>
    <row r="68" spans="1:12" s="18" customFormat="1" ht="8.1" customHeight="1" x14ac:dyDescent="0.2">
      <c r="A68" s="116"/>
      <c r="B68" s="56"/>
      <c r="C68" s="82"/>
      <c r="D68" s="141"/>
      <c r="E68" s="146"/>
      <c r="F68" s="146"/>
      <c r="G68" s="146"/>
      <c r="H68" s="146"/>
      <c r="I68" s="146"/>
      <c r="J68" s="144"/>
      <c r="K68" s="146"/>
    </row>
    <row r="69" spans="1:12" s="19" customFormat="1" ht="12.95" customHeight="1" x14ac:dyDescent="0.2">
      <c r="A69" s="53"/>
      <c r="B69" s="56" t="s">
        <v>76</v>
      </c>
      <c r="C69" s="82"/>
      <c r="D69" s="141">
        <v>2017</v>
      </c>
      <c r="E69" s="146">
        <f>SUM(F69:K69)</f>
        <v>117</v>
      </c>
      <c r="F69" s="146">
        <v>23</v>
      </c>
      <c r="G69" s="146">
        <v>2</v>
      </c>
      <c r="H69" s="146">
        <v>12</v>
      </c>
      <c r="I69" s="146">
        <v>47</v>
      </c>
      <c r="J69" s="146" t="s">
        <v>51</v>
      </c>
      <c r="K69" s="146">
        <v>33</v>
      </c>
    </row>
    <row r="70" spans="1:12" s="19" customFormat="1" ht="12.95" customHeight="1" x14ac:dyDescent="0.2">
      <c r="A70" s="53"/>
      <c r="B70" s="56"/>
      <c r="C70" s="82"/>
      <c r="D70" s="141">
        <v>2018</v>
      </c>
      <c r="E70" s="146">
        <f>SUM(F70:K70)</f>
        <v>122</v>
      </c>
      <c r="F70" s="146">
        <v>23</v>
      </c>
      <c r="G70" s="146">
        <v>1</v>
      </c>
      <c r="H70" s="146">
        <v>6</v>
      </c>
      <c r="I70" s="146">
        <v>49</v>
      </c>
      <c r="J70" s="146" t="s">
        <v>51</v>
      </c>
      <c r="K70" s="146">
        <v>43</v>
      </c>
    </row>
    <row r="71" spans="1:12" s="19" customFormat="1" ht="12.95" customHeight="1" x14ac:dyDescent="0.2">
      <c r="A71" s="116"/>
      <c r="B71" s="56"/>
      <c r="C71" s="82"/>
      <c r="D71" s="141">
        <v>2019</v>
      </c>
      <c r="E71" s="146">
        <f>SUM(F71:K71)</f>
        <v>117</v>
      </c>
      <c r="F71" s="146">
        <v>40</v>
      </c>
      <c r="G71" s="144" t="s">
        <v>51</v>
      </c>
      <c r="H71" s="146">
        <v>4</v>
      </c>
      <c r="I71" s="146">
        <v>42</v>
      </c>
      <c r="J71" s="144" t="s">
        <v>51</v>
      </c>
      <c r="K71" s="146">
        <v>31</v>
      </c>
    </row>
    <row r="72" spans="1:12" s="19" customFormat="1" ht="8.1" customHeight="1" x14ac:dyDescent="0.2">
      <c r="A72" s="116"/>
      <c r="B72" s="56"/>
      <c r="C72" s="82"/>
      <c r="D72" s="141"/>
      <c r="E72" s="146"/>
      <c r="F72" s="146"/>
      <c r="G72" s="146"/>
      <c r="H72" s="146"/>
      <c r="I72" s="146"/>
      <c r="J72" s="144"/>
      <c r="K72" s="146"/>
    </row>
    <row r="73" spans="1:12" s="19" customFormat="1" ht="12.95" customHeight="1" x14ac:dyDescent="0.2">
      <c r="A73" s="53"/>
      <c r="B73" s="56" t="s">
        <v>77</v>
      </c>
      <c r="C73" s="82"/>
      <c r="D73" s="141">
        <v>2017</v>
      </c>
      <c r="E73" s="146">
        <f>SUM(F73:K73)</f>
        <v>133</v>
      </c>
      <c r="F73" s="144">
        <v>21</v>
      </c>
      <c r="G73" s="146">
        <v>7</v>
      </c>
      <c r="H73" s="146">
        <v>7</v>
      </c>
      <c r="I73" s="146">
        <v>63</v>
      </c>
      <c r="J73" s="146" t="s">
        <v>51</v>
      </c>
      <c r="K73" s="146">
        <v>35</v>
      </c>
    </row>
    <row r="74" spans="1:12" s="19" customFormat="1" ht="12.95" customHeight="1" x14ac:dyDescent="0.2">
      <c r="A74" s="53"/>
      <c r="B74" s="56"/>
      <c r="C74" s="82"/>
      <c r="D74" s="141">
        <v>2018</v>
      </c>
      <c r="E74" s="146">
        <f>SUM(F74:K74)</f>
        <v>138</v>
      </c>
      <c r="F74" s="146">
        <v>35</v>
      </c>
      <c r="G74" s="146">
        <v>8</v>
      </c>
      <c r="H74" s="146">
        <v>13</v>
      </c>
      <c r="I74" s="146">
        <v>56</v>
      </c>
      <c r="J74" s="146" t="s">
        <v>51</v>
      </c>
      <c r="K74" s="146">
        <v>26</v>
      </c>
    </row>
    <row r="75" spans="1:12" s="19" customFormat="1" ht="12.95" customHeight="1" x14ac:dyDescent="0.2">
      <c r="A75" s="116"/>
      <c r="B75" s="56"/>
      <c r="C75" s="82"/>
      <c r="D75" s="141">
        <v>2019</v>
      </c>
      <c r="E75" s="146">
        <f>SUM(F75:K75)</f>
        <v>136</v>
      </c>
      <c r="F75" s="19">
        <v>45</v>
      </c>
      <c r="G75" s="19">
        <v>1</v>
      </c>
      <c r="H75" s="19">
        <v>5</v>
      </c>
      <c r="I75" s="19">
        <v>57</v>
      </c>
      <c r="J75" s="19">
        <v>1</v>
      </c>
      <c r="K75" s="19">
        <v>27</v>
      </c>
    </row>
    <row r="76" spans="1:12" s="53" customFormat="1" ht="8.1" customHeight="1" thickBot="1" x14ac:dyDescent="0.25">
      <c r="A76" s="195"/>
      <c r="B76" s="57"/>
      <c r="C76" s="247"/>
      <c r="D76" s="262"/>
      <c r="E76" s="188"/>
      <c r="F76" s="188"/>
      <c r="G76" s="188"/>
      <c r="H76" s="188"/>
      <c r="I76" s="188"/>
      <c r="J76" s="263"/>
      <c r="K76" s="188"/>
      <c r="L76" s="195"/>
    </row>
    <row r="77" spans="1:12" x14ac:dyDescent="0.25">
      <c r="B77" s="239"/>
      <c r="C77" s="239"/>
      <c r="D77" s="239"/>
      <c r="E77" s="182"/>
      <c r="F77" s="183"/>
      <c r="G77" s="7"/>
      <c r="H77" s="7"/>
      <c r="I77" s="241"/>
      <c r="J77" s="184"/>
      <c r="K77" s="8" t="s">
        <v>99</v>
      </c>
    </row>
    <row r="78" spans="1:12" x14ac:dyDescent="0.25">
      <c r="B78" s="7"/>
      <c r="C78" s="7"/>
      <c r="D78" s="7"/>
      <c r="E78" s="242"/>
      <c r="F78" s="240"/>
      <c r="G78" s="239"/>
      <c r="H78" s="239"/>
      <c r="I78" s="240"/>
      <c r="J78" s="183"/>
      <c r="K78" s="41" t="s">
        <v>1</v>
      </c>
    </row>
    <row r="79" spans="1:12" x14ac:dyDescent="0.25">
      <c r="A79" s="359" t="s">
        <v>254</v>
      </c>
      <c r="B79" s="27"/>
    </row>
    <row r="80" spans="1:12" x14ac:dyDescent="0.25">
      <c r="A80" s="420" t="s">
        <v>252</v>
      </c>
      <c r="B80" s="420"/>
    </row>
    <row r="81" spans="1:12" s="53" customFormat="1" ht="14.25" x14ac:dyDescent="0.2">
      <c r="A81" s="362" t="s">
        <v>253</v>
      </c>
      <c r="B81" s="362"/>
      <c r="C81" s="115"/>
      <c r="D81" s="115"/>
      <c r="E81" s="190"/>
      <c r="F81" s="189"/>
      <c r="G81" s="189"/>
      <c r="H81" s="191"/>
      <c r="I81" s="189"/>
      <c r="L81" s="2"/>
    </row>
  </sheetData>
  <mergeCells count="6">
    <mergeCell ref="K10:K11"/>
    <mergeCell ref="B10:C11"/>
    <mergeCell ref="E10:E11"/>
    <mergeCell ref="F10:F11"/>
    <mergeCell ref="G10:I10"/>
    <mergeCell ref="J10:J11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76" fitToWidth="0" orientation="portrait" r:id="rId1"/>
  <headerFooter>
    <oddHeader xml:space="preserve">&amp;R&amp;"-,Bold"
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73"/>
  <sheetViews>
    <sheetView showGridLines="0" topLeftCell="A16" zoomScale="98" zoomScaleNormal="98" zoomScaleSheetLayoutView="100" workbookViewId="0">
      <selection activeCell="E25" sqref="E25"/>
    </sheetView>
  </sheetViews>
  <sheetFormatPr defaultRowHeight="15" x14ac:dyDescent="0.25"/>
  <cols>
    <col min="1" max="1" width="0.85546875" style="2" customWidth="1"/>
    <col min="2" max="2" width="10" style="3" customWidth="1"/>
    <col min="3" max="3" width="13" style="3" customWidth="1"/>
    <col min="4" max="4" width="9.7109375" style="3" customWidth="1"/>
    <col min="5" max="5" width="10.85546875" style="4" customWidth="1"/>
    <col min="6" max="6" width="11" style="5" customWidth="1"/>
    <col min="7" max="7" width="10.42578125" style="5" customWidth="1"/>
    <col min="8" max="8" width="11.7109375" style="185" customWidth="1"/>
    <col min="9" max="9" width="12.28515625" style="5" customWidth="1"/>
    <col min="10" max="10" width="10.5703125" style="2" customWidth="1"/>
    <col min="11" max="11" width="10.85546875" style="2" customWidth="1"/>
    <col min="12" max="12" width="0.7109375" style="2" customWidth="1"/>
    <col min="13" max="16384" width="9.140625" style="2"/>
  </cols>
  <sheetData>
    <row r="1" spans="1:12" s="30" customFormat="1" ht="12.95" customHeight="1" x14ac:dyDescent="0.25">
      <c r="B1" s="27"/>
      <c r="C1" s="27"/>
      <c r="D1" s="29"/>
      <c r="E1" s="28"/>
      <c r="F1" s="29"/>
      <c r="J1" s="29"/>
      <c r="K1" s="160" t="s">
        <v>179</v>
      </c>
    </row>
    <row r="2" spans="1:12" s="30" customFormat="1" ht="12.95" customHeight="1" x14ac:dyDescent="0.25">
      <c r="B2" s="27"/>
      <c r="C2" s="27"/>
      <c r="D2" s="29"/>
      <c r="E2" s="28"/>
      <c r="F2" s="29"/>
      <c r="J2" s="29"/>
      <c r="K2" s="68" t="s">
        <v>180</v>
      </c>
    </row>
    <row r="3" spans="1:12" s="30" customFormat="1" ht="12" customHeight="1" x14ac:dyDescent="0.25">
      <c r="B3" s="27"/>
      <c r="C3" s="27"/>
      <c r="D3" s="29"/>
      <c r="E3" s="28"/>
      <c r="F3" s="29"/>
      <c r="G3" s="68"/>
      <c r="J3" s="29"/>
    </row>
    <row r="4" spans="1:12" s="30" customFormat="1" ht="12" customHeight="1" x14ac:dyDescent="0.25">
      <c r="B4" s="27"/>
      <c r="C4" s="27"/>
      <c r="D4" s="29"/>
      <c r="E4" s="28"/>
      <c r="F4" s="29"/>
      <c r="G4" s="68"/>
      <c r="J4" s="29"/>
    </row>
    <row r="5" spans="1:12" s="53" customFormat="1" ht="9.9499999999999993" customHeight="1" x14ac:dyDescent="0.2">
      <c r="B5" s="115"/>
      <c r="C5" s="115"/>
      <c r="D5" s="189"/>
      <c r="E5" s="190"/>
      <c r="F5" s="189"/>
      <c r="G5" s="189"/>
      <c r="H5" s="191"/>
      <c r="I5" s="189"/>
      <c r="J5" s="114"/>
    </row>
    <row r="6" spans="1:12" s="53" customFormat="1" ht="15" customHeight="1" x14ac:dyDescent="0.2">
      <c r="B6" s="63" t="s">
        <v>208</v>
      </c>
      <c r="C6" s="64" t="s">
        <v>249</v>
      </c>
      <c r="D6" s="189"/>
      <c r="E6" s="190"/>
      <c r="F6" s="64"/>
      <c r="G6" s="64"/>
      <c r="H6" s="64"/>
      <c r="I6" s="64"/>
      <c r="J6" s="79"/>
      <c r="K6" s="64"/>
      <c r="L6" s="179"/>
    </row>
    <row r="7" spans="1:12" s="53" customFormat="1" ht="18" customHeight="1" x14ac:dyDescent="0.2">
      <c r="B7" s="80" t="s">
        <v>209</v>
      </c>
      <c r="C7" s="86" t="s">
        <v>250</v>
      </c>
      <c r="D7" s="189"/>
      <c r="E7" s="190"/>
      <c r="F7" s="86"/>
      <c r="G7" s="86"/>
      <c r="H7" s="86"/>
      <c r="I7" s="86"/>
      <c r="J7" s="235"/>
      <c r="K7" s="86"/>
      <c r="L7" s="180"/>
    </row>
    <row r="8" spans="1:12" s="53" customFormat="1" ht="8.1" customHeight="1" thickBot="1" x14ac:dyDescent="0.25">
      <c r="B8" s="194"/>
      <c r="C8" s="194"/>
      <c r="D8" s="216"/>
      <c r="E8" s="215"/>
      <c r="F8" s="216"/>
      <c r="G8" s="216"/>
      <c r="H8" s="217"/>
      <c r="I8" s="216"/>
      <c r="J8" s="143"/>
      <c r="K8" s="116"/>
    </row>
    <row r="9" spans="1:12" s="53" customFormat="1" ht="8.1" customHeight="1" thickTop="1" x14ac:dyDescent="0.2">
      <c r="A9" s="378"/>
      <c r="B9" s="389"/>
      <c r="C9" s="389"/>
      <c r="D9" s="377"/>
      <c r="E9" s="400"/>
      <c r="F9" s="377"/>
      <c r="G9" s="377"/>
      <c r="H9" s="401"/>
      <c r="I9" s="377"/>
      <c r="J9" s="375"/>
      <c r="K9" s="378"/>
      <c r="L9" s="378"/>
    </row>
    <row r="10" spans="1:12" s="53" customFormat="1" ht="30.75" customHeight="1" x14ac:dyDescent="0.2">
      <c r="A10" s="390"/>
      <c r="B10" s="443" t="s">
        <v>207</v>
      </c>
      <c r="C10" s="443"/>
      <c r="D10" s="405" t="s">
        <v>96</v>
      </c>
      <c r="E10" s="437" t="s">
        <v>92</v>
      </c>
      <c r="F10" s="437" t="s">
        <v>203</v>
      </c>
      <c r="G10" s="440" t="s">
        <v>191</v>
      </c>
      <c r="H10" s="440"/>
      <c r="I10" s="440"/>
      <c r="J10" s="439" t="s">
        <v>251</v>
      </c>
      <c r="K10" s="437" t="s">
        <v>192</v>
      </c>
      <c r="L10" s="390"/>
    </row>
    <row r="11" spans="1:12" s="102" customFormat="1" ht="55.5" customHeight="1" x14ac:dyDescent="0.2">
      <c r="A11" s="398"/>
      <c r="B11" s="444"/>
      <c r="C11" s="444"/>
      <c r="D11" s="404"/>
      <c r="E11" s="442"/>
      <c r="F11" s="442"/>
      <c r="G11" s="403" t="s">
        <v>193</v>
      </c>
      <c r="H11" s="403" t="s">
        <v>194</v>
      </c>
      <c r="I11" s="403" t="s">
        <v>204</v>
      </c>
      <c r="J11" s="441"/>
      <c r="K11" s="442"/>
      <c r="L11" s="398"/>
    </row>
    <row r="12" spans="1:12" s="6" customFormat="1" ht="8.1" customHeight="1" x14ac:dyDescent="0.25">
      <c r="A12" s="24"/>
      <c r="B12" s="257"/>
      <c r="C12" s="257"/>
      <c r="D12" s="258"/>
      <c r="E12" s="259"/>
      <c r="F12" s="260"/>
      <c r="G12" s="259"/>
      <c r="H12" s="259"/>
      <c r="I12" s="259"/>
      <c r="J12" s="260"/>
      <c r="K12" s="259"/>
    </row>
    <row r="13" spans="1:12" s="116" customFormat="1" ht="15" customHeight="1" x14ac:dyDescent="0.2">
      <c r="B13" s="61" t="s">
        <v>49</v>
      </c>
      <c r="C13" s="124"/>
      <c r="D13" s="62">
        <v>2017</v>
      </c>
      <c r="E13" s="145">
        <f>SUM(F13:K13)</f>
        <v>472</v>
      </c>
      <c r="F13" s="145">
        <f>F17+F21+F25</f>
        <v>88</v>
      </c>
      <c r="G13" s="145">
        <f t="shared" ref="G13:K15" si="0">G17+G21+G25</f>
        <v>5</v>
      </c>
      <c r="H13" s="145">
        <f t="shared" si="0"/>
        <v>11</v>
      </c>
      <c r="I13" s="145">
        <f t="shared" si="0"/>
        <v>186</v>
      </c>
      <c r="J13" s="145">
        <f>J21</f>
        <v>1</v>
      </c>
      <c r="K13" s="145">
        <f t="shared" si="0"/>
        <v>181</v>
      </c>
    </row>
    <row r="14" spans="1:12" s="116" customFormat="1" ht="15" customHeight="1" x14ac:dyDescent="0.2">
      <c r="B14" s="124"/>
      <c r="C14" s="124"/>
      <c r="D14" s="62">
        <v>2018</v>
      </c>
      <c r="E14" s="145">
        <f>SUM(F14:K14)</f>
        <v>437</v>
      </c>
      <c r="F14" s="145">
        <f>SUM(F18,F22,F26)</f>
        <v>54</v>
      </c>
      <c r="G14" s="145">
        <f t="shared" ref="G14:K15" si="1">SUM(G18,G22,G26)</f>
        <v>2</v>
      </c>
      <c r="H14" s="145">
        <f t="shared" si="1"/>
        <v>14</v>
      </c>
      <c r="I14" s="145">
        <f t="shared" si="1"/>
        <v>175</v>
      </c>
      <c r="J14" s="137" t="s">
        <v>51</v>
      </c>
      <c r="K14" s="145">
        <f t="shared" si="1"/>
        <v>192</v>
      </c>
    </row>
    <row r="15" spans="1:12" s="116" customFormat="1" ht="15" customHeight="1" x14ac:dyDescent="0.2">
      <c r="B15" s="124"/>
      <c r="C15" s="124"/>
      <c r="D15" s="62">
        <v>2019</v>
      </c>
      <c r="E15" s="145">
        <f>SUM(F15:K15)</f>
        <v>406</v>
      </c>
      <c r="F15" s="145">
        <f>F19+F23+F27</f>
        <v>111</v>
      </c>
      <c r="G15" s="145">
        <f t="shared" si="1"/>
        <v>2</v>
      </c>
      <c r="H15" s="145">
        <f t="shared" si="0"/>
        <v>17</v>
      </c>
      <c r="I15" s="145">
        <f t="shared" si="0"/>
        <v>89</v>
      </c>
      <c r="J15" s="145" t="str">
        <f>J23</f>
        <v>-</v>
      </c>
      <c r="K15" s="145">
        <f t="shared" si="0"/>
        <v>187</v>
      </c>
    </row>
    <row r="16" spans="1:12" s="116" customFormat="1" ht="15" customHeight="1" x14ac:dyDescent="0.2">
      <c r="B16" s="124"/>
      <c r="C16" s="124"/>
      <c r="D16" s="141"/>
      <c r="E16" s="146"/>
      <c r="F16" s="146"/>
      <c r="G16" s="144"/>
      <c r="H16" s="146"/>
      <c r="I16" s="146"/>
      <c r="J16" s="146"/>
      <c r="K16" s="146"/>
    </row>
    <row r="17" spans="1:12" s="116" customFormat="1" ht="15" customHeight="1" x14ac:dyDescent="0.2">
      <c r="A17" s="53"/>
      <c r="B17" s="56" t="s">
        <v>78</v>
      </c>
      <c r="C17" s="82"/>
      <c r="D17" s="141">
        <v>2017</v>
      </c>
      <c r="E17" s="146">
        <f t="shared" ref="E17:E27" si="2">SUM(F17:K17)</f>
        <v>98</v>
      </c>
      <c r="F17" s="146">
        <f>7+11</f>
        <v>18</v>
      </c>
      <c r="G17" s="146">
        <v>1</v>
      </c>
      <c r="H17" s="146">
        <v>4</v>
      </c>
      <c r="I17" s="146">
        <v>44</v>
      </c>
      <c r="J17" s="144" t="s">
        <v>51</v>
      </c>
      <c r="K17" s="146">
        <f>2+1+9+1+18</f>
        <v>31</v>
      </c>
    </row>
    <row r="18" spans="1:12" s="116" customFormat="1" ht="15" customHeight="1" x14ac:dyDescent="0.2">
      <c r="B18" s="56"/>
      <c r="C18" s="82"/>
      <c r="D18" s="141">
        <v>2018</v>
      </c>
      <c r="E18" s="146">
        <f t="shared" si="2"/>
        <v>108</v>
      </c>
      <c r="F18" s="146">
        <v>12</v>
      </c>
      <c r="G18" s="146">
        <v>1</v>
      </c>
      <c r="H18" s="146">
        <v>2</v>
      </c>
      <c r="I18" s="146">
        <v>54</v>
      </c>
      <c r="J18" s="144" t="s">
        <v>51</v>
      </c>
      <c r="K18" s="146">
        <v>39</v>
      </c>
    </row>
    <row r="19" spans="1:12" s="116" customFormat="1" ht="15" customHeight="1" x14ac:dyDescent="0.2">
      <c r="B19" s="56"/>
      <c r="C19" s="82"/>
      <c r="D19" s="141">
        <v>2019</v>
      </c>
      <c r="E19" s="146">
        <f t="shared" si="2"/>
        <v>107</v>
      </c>
      <c r="F19" s="146">
        <v>37</v>
      </c>
      <c r="G19" s="144" t="s">
        <v>51</v>
      </c>
      <c r="H19" s="146">
        <v>2</v>
      </c>
      <c r="I19" s="146">
        <v>20</v>
      </c>
      <c r="J19" s="144" t="s">
        <v>51</v>
      </c>
      <c r="K19" s="146">
        <v>48</v>
      </c>
    </row>
    <row r="20" spans="1:12" s="116" customFormat="1" ht="15" customHeight="1" x14ac:dyDescent="0.2">
      <c r="B20" s="56"/>
      <c r="C20" s="82"/>
      <c r="D20" s="141"/>
      <c r="E20" s="146"/>
      <c r="F20" s="146"/>
      <c r="G20" s="146"/>
      <c r="H20" s="146"/>
      <c r="I20" s="146"/>
      <c r="J20" s="146"/>
      <c r="K20" s="146"/>
    </row>
    <row r="21" spans="1:12" s="116" customFormat="1" ht="15" customHeight="1" x14ac:dyDescent="0.2">
      <c r="B21" s="56" t="s">
        <v>79</v>
      </c>
      <c r="C21" s="82"/>
      <c r="D21" s="141">
        <v>2017</v>
      </c>
      <c r="E21" s="146">
        <f t="shared" si="2"/>
        <v>297</v>
      </c>
      <c r="F21" s="146">
        <f>47+4</f>
        <v>51</v>
      </c>
      <c r="G21" s="146">
        <v>3</v>
      </c>
      <c r="H21" s="146">
        <v>5</v>
      </c>
      <c r="I21" s="146">
        <v>106</v>
      </c>
      <c r="J21" s="146">
        <v>1</v>
      </c>
      <c r="K21" s="146">
        <f>9+5+73+44</f>
        <v>131</v>
      </c>
    </row>
    <row r="22" spans="1:12" s="116" customFormat="1" ht="15" customHeight="1" x14ac:dyDescent="0.2">
      <c r="A22" s="53"/>
      <c r="B22" s="56"/>
      <c r="C22" s="82"/>
      <c r="D22" s="141">
        <v>2018</v>
      </c>
      <c r="E22" s="146">
        <f t="shared" si="2"/>
        <v>267</v>
      </c>
      <c r="F22" s="146">
        <v>32</v>
      </c>
      <c r="G22" s="146">
        <v>1</v>
      </c>
      <c r="H22" s="146">
        <v>9</v>
      </c>
      <c r="I22" s="146">
        <v>91</v>
      </c>
      <c r="J22" s="144" t="s">
        <v>51</v>
      </c>
      <c r="K22" s="146">
        <v>134</v>
      </c>
    </row>
    <row r="23" spans="1:12" s="116" customFormat="1" ht="15" customHeight="1" x14ac:dyDescent="0.2">
      <c r="B23" s="56"/>
      <c r="C23" s="82"/>
      <c r="D23" s="141">
        <v>2019</v>
      </c>
      <c r="E23" s="146">
        <f t="shared" si="2"/>
        <v>247</v>
      </c>
      <c r="F23" s="146">
        <v>63</v>
      </c>
      <c r="G23" s="144">
        <v>2</v>
      </c>
      <c r="H23" s="146">
        <v>13</v>
      </c>
      <c r="I23" s="146">
        <v>57</v>
      </c>
      <c r="J23" s="144" t="s">
        <v>51</v>
      </c>
      <c r="K23" s="146">
        <v>112</v>
      </c>
    </row>
    <row r="24" spans="1:12" s="116" customFormat="1" ht="15" customHeight="1" x14ac:dyDescent="0.2">
      <c r="B24" s="56"/>
      <c r="C24" s="82"/>
      <c r="D24" s="141"/>
      <c r="E24" s="146"/>
      <c r="F24" s="146"/>
      <c r="G24" s="144"/>
      <c r="H24" s="146"/>
      <c r="I24" s="146"/>
      <c r="J24" s="146"/>
      <c r="K24" s="146"/>
    </row>
    <row r="25" spans="1:12" s="116" customFormat="1" ht="15" customHeight="1" x14ac:dyDescent="0.2">
      <c r="A25" s="53"/>
      <c r="B25" s="56" t="s">
        <v>80</v>
      </c>
      <c r="C25" s="82"/>
      <c r="D25" s="141">
        <v>2017</v>
      </c>
      <c r="E25" s="146">
        <f t="shared" si="2"/>
        <v>77</v>
      </c>
      <c r="F25" s="146">
        <v>19</v>
      </c>
      <c r="G25" s="146">
        <v>1</v>
      </c>
      <c r="H25" s="146">
        <v>2</v>
      </c>
      <c r="I25" s="146">
        <v>36</v>
      </c>
      <c r="J25" s="144" t="s">
        <v>51</v>
      </c>
      <c r="K25" s="146">
        <f>1+13+5</f>
        <v>19</v>
      </c>
    </row>
    <row r="26" spans="1:12" s="116" customFormat="1" ht="15" customHeight="1" x14ac:dyDescent="0.2">
      <c r="B26" s="56"/>
      <c r="C26" s="82"/>
      <c r="D26" s="141">
        <v>2018</v>
      </c>
      <c r="E26" s="146">
        <f t="shared" si="2"/>
        <v>62</v>
      </c>
      <c r="F26" s="142">
        <v>10</v>
      </c>
      <c r="G26" s="144" t="s">
        <v>51</v>
      </c>
      <c r="H26" s="142">
        <v>3</v>
      </c>
      <c r="I26" s="142">
        <v>30</v>
      </c>
      <c r="J26" s="144" t="s">
        <v>51</v>
      </c>
      <c r="K26" s="142">
        <v>19</v>
      </c>
    </row>
    <row r="27" spans="1:12" s="116" customFormat="1" ht="15" customHeight="1" x14ac:dyDescent="0.2">
      <c r="B27" s="56"/>
      <c r="C27" s="82"/>
      <c r="D27" s="141">
        <v>2019</v>
      </c>
      <c r="E27" s="146">
        <f t="shared" si="2"/>
        <v>52</v>
      </c>
      <c r="F27" s="116">
        <v>11</v>
      </c>
      <c r="G27" s="411" t="s">
        <v>51</v>
      </c>
      <c r="H27" s="116">
        <v>2</v>
      </c>
      <c r="I27" s="116">
        <v>12</v>
      </c>
      <c r="J27" s="411" t="s">
        <v>51</v>
      </c>
      <c r="K27" s="116">
        <v>27</v>
      </c>
    </row>
    <row r="28" spans="1:12" s="116" customFormat="1" ht="8.1" customHeight="1" thickBot="1" x14ac:dyDescent="0.25">
      <c r="A28" s="195"/>
      <c r="B28" s="57"/>
      <c r="C28" s="247"/>
      <c r="D28" s="136"/>
      <c r="E28" s="58"/>
      <c r="F28" s="58"/>
      <c r="G28" s="58"/>
      <c r="H28" s="58"/>
      <c r="I28" s="58"/>
      <c r="J28" s="58"/>
      <c r="K28" s="58"/>
    </row>
    <row r="29" spans="1:12" s="116" customFormat="1" ht="8.1" customHeight="1" x14ac:dyDescent="0.2">
      <c r="C29" s="124"/>
      <c r="D29" s="62"/>
      <c r="E29" s="145"/>
      <c r="F29" s="145"/>
      <c r="G29" s="145"/>
      <c r="H29" s="145"/>
      <c r="I29" s="145"/>
      <c r="J29" s="145"/>
      <c r="K29" s="145"/>
      <c r="L29" s="264"/>
    </row>
    <row r="30" spans="1:12" s="116" customFormat="1" ht="15" customHeight="1" x14ac:dyDescent="0.2">
      <c r="B30" s="265" t="s">
        <v>50</v>
      </c>
      <c r="C30" s="124"/>
      <c r="D30" s="62">
        <v>2017</v>
      </c>
      <c r="E30" s="145">
        <f>SUM(F30:K30)</f>
        <v>4474</v>
      </c>
      <c r="F30" s="145">
        <f t="shared" ref="F30:K32" si="3">SUM(F34,F38,F42,F46,F50)</f>
        <v>868</v>
      </c>
      <c r="G30" s="145">
        <f t="shared" si="3"/>
        <v>66</v>
      </c>
      <c r="H30" s="145">
        <f t="shared" si="3"/>
        <v>357</v>
      </c>
      <c r="I30" s="145">
        <f t="shared" si="3"/>
        <v>2322</v>
      </c>
      <c r="J30" s="145">
        <f t="shared" si="3"/>
        <v>11</v>
      </c>
      <c r="K30" s="145">
        <f t="shared" si="3"/>
        <v>850</v>
      </c>
    </row>
    <row r="31" spans="1:12" s="116" customFormat="1" ht="15" customHeight="1" x14ac:dyDescent="0.2">
      <c r="B31" s="124"/>
      <c r="C31" s="124"/>
      <c r="D31" s="62">
        <v>2018</v>
      </c>
      <c r="E31" s="145">
        <f>F31+G31+H31+I31+J31+K31</f>
        <v>4127</v>
      </c>
      <c r="F31" s="145">
        <f t="shared" si="3"/>
        <v>855</v>
      </c>
      <c r="G31" s="145">
        <f t="shared" si="3"/>
        <v>76</v>
      </c>
      <c r="H31" s="145">
        <f t="shared" si="3"/>
        <v>350</v>
      </c>
      <c r="I31" s="145">
        <f t="shared" si="3"/>
        <v>1986</v>
      </c>
      <c r="J31" s="145">
        <f t="shared" si="3"/>
        <v>12</v>
      </c>
      <c r="K31" s="145">
        <f t="shared" si="3"/>
        <v>848</v>
      </c>
    </row>
    <row r="32" spans="1:12" s="116" customFormat="1" ht="15" customHeight="1" x14ac:dyDescent="0.2">
      <c r="B32" s="124"/>
      <c r="C32" s="124"/>
      <c r="D32" s="62">
        <v>2019</v>
      </c>
      <c r="E32" s="145">
        <f>SUM(F32:K32)</f>
        <v>4162</v>
      </c>
      <c r="F32" s="145">
        <f t="shared" si="3"/>
        <v>1036</v>
      </c>
      <c r="G32" s="145">
        <f t="shared" si="3"/>
        <v>73</v>
      </c>
      <c r="H32" s="145">
        <f t="shared" si="3"/>
        <v>314</v>
      </c>
      <c r="I32" s="145">
        <f t="shared" si="3"/>
        <v>1704</v>
      </c>
      <c r="J32" s="145">
        <f t="shared" si="3"/>
        <v>2</v>
      </c>
      <c r="K32" s="145">
        <f t="shared" si="3"/>
        <v>1033</v>
      </c>
      <c r="L32" s="266">
        <f t="shared" ref="L32" si="4">L36+L40+L44+L48+L52</f>
        <v>0</v>
      </c>
    </row>
    <row r="33" spans="1:12" s="116" customFormat="1" ht="15" customHeight="1" x14ac:dyDescent="0.2">
      <c r="B33" s="124"/>
      <c r="C33" s="124"/>
      <c r="D33" s="62"/>
      <c r="E33" s="146"/>
      <c r="F33" s="293"/>
      <c r="G33" s="293"/>
      <c r="H33" s="276"/>
      <c r="I33" s="293"/>
      <c r="J33" s="293"/>
      <c r="K33" s="293"/>
    </row>
    <row r="34" spans="1:12" s="53" customFormat="1" ht="15" customHeight="1" x14ac:dyDescent="0.2">
      <c r="B34" s="194" t="s">
        <v>87</v>
      </c>
      <c r="C34" s="208"/>
      <c r="D34" s="141">
        <v>2017</v>
      </c>
      <c r="E34" s="146">
        <f t="shared" ref="E34:E52" si="5">SUM(F34:K34)</f>
        <v>432</v>
      </c>
      <c r="F34" s="293">
        <v>81</v>
      </c>
      <c r="G34" s="293">
        <v>6</v>
      </c>
      <c r="H34" s="276">
        <v>43</v>
      </c>
      <c r="I34" s="293">
        <v>225</v>
      </c>
      <c r="J34" s="293">
        <v>3</v>
      </c>
      <c r="K34" s="293">
        <v>74</v>
      </c>
      <c r="L34" s="116"/>
    </row>
    <row r="35" spans="1:12" s="53" customFormat="1" ht="15" customHeight="1" x14ac:dyDescent="0.25">
      <c r="B35" s="267"/>
      <c r="C35" s="208"/>
      <c r="D35" s="141">
        <v>2018</v>
      </c>
      <c r="E35" s="146">
        <f t="shared" si="5"/>
        <v>427</v>
      </c>
      <c r="F35" s="308">
        <v>70</v>
      </c>
      <c r="G35" s="308">
        <v>7</v>
      </c>
      <c r="H35" s="308">
        <v>53</v>
      </c>
      <c r="I35" s="308">
        <v>189</v>
      </c>
      <c r="J35" s="308">
        <v>3</v>
      </c>
      <c r="K35" s="308">
        <v>105</v>
      </c>
      <c r="L35" s="116"/>
    </row>
    <row r="36" spans="1:12" s="53" customFormat="1" ht="15" customHeight="1" x14ac:dyDescent="0.25">
      <c r="A36" s="116"/>
      <c r="B36" s="194"/>
      <c r="C36" s="208"/>
      <c r="D36" s="141">
        <v>2019</v>
      </c>
      <c r="E36" s="146">
        <f t="shared" si="5"/>
        <v>434</v>
      </c>
      <c r="F36" s="308">
        <v>75</v>
      </c>
      <c r="G36" s="308">
        <v>4</v>
      </c>
      <c r="H36" s="308">
        <v>30</v>
      </c>
      <c r="I36" s="308">
        <v>198</v>
      </c>
      <c r="J36" s="308">
        <v>1</v>
      </c>
      <c r="K36" s="308">
        <v>126</v>
      </c>
      <c r="L36" s="116"/>
    </row>
    <row r="37" spans="1:12" s="53" customFormat="1" ht="15" customHeight="1" x14ac:dyDescent="0.2">
      <c r="C37" s="224"/>
      <c r="D37" s="141"/>
      <c r="E37" s="146"/>
      <c r="F37" s="293"/>
      <c r="G37" s="293"/>
      <c r="H37" s="276"/>
      <c r="I37" s="293"/>
      <c r="J37" s="293"/>
      <c r="K37" s="293"/>
      <c r="L37" s="116"/>
    </row>
    <row r="38" spans="1:12" s="53" customFormat="1" ht="15" customHeight="1" x14ac:dyDescent="0.25">
      <c r="B38" s="194" t="s">
        <v>88</v>
      </c>
      <c r="C38" s="208"/>
      <c r="D38" s="141">
        <v>2017</v>
      </c>
      <c r="E38" s="146">
        <f t="shared" si="5"/>
        <v>335</v>
      </c>
      <c r="F38" s="308">
        <v>123</v>
      </c>
      <c r="G38" s="308">
        <v>6</v>
      </c>
      <c r="H38" s="308">
        <v>17</v>
      </c>
      <c r="I38" s="308">
        <v>107</v>
      </c>
      <c r="J38" s="308">
        <v>1</v>
      </c>
      <c r="K38" s="308">
        <v>81</v>
      </c>
      <c r="L38" s="116"/>
    </row>
    <row r="39" spans="1:12" s="53" customFormat="1" ht="15" customHeight="1" x14ac:dyDescent="0.25">
      <c r="B39" s="267"/>
      <c r="C39" s="208"/>
      <c r="D39" s="141">
        <v>2018</v>
      </c>
      <c r="E39" s="146">
        <f t="shared" si="5"/>
        <v>291</v>
      </c>
      <c r="F39" s="308">
        <v>126</v>
      </c>
      <c r="G39" s="308">
        <v>9</v>
      </c>
      <c r="H39" s="308">
        <v>7</v>
      </c>
      <c r="I39" s="308">
        <v>70</v>
      </c>
      <c r="J39" s="308" t="s">
        <v>51</v>
      </c>
      <c r="K39" s="308">
        <v>79</v>
      </c>
      <c r="L39" s="116"/>
    </row>
    <row r="40" spans="1:12" s="53" customFormat="1" ht="15" customHeight="1" x14ac:dyDescent="0.25">
      <c r="A40" s="116"/>
      <c r="B40" s="194"/>
      <c r="C40" s="208"/>
      <c r="D40" s="141">
        <v>2019</v>
      </c>
      <c r="E40" s="146">
        <f t="shared" si="5"/>
        <v>340</v>
      </c>
      <c r="F40" s="308">
        <v>151</v>
      </c>
      <c r="G40" s="308">
        <v>9</v>
      </c>
      <c r="H40" s="308">
        <v>18</v>
      </c>
      <c r="I40" s="308">
        <v>68</v>
      </c>
      <c r="J40" s="406" t="s">
        <v>51</v>
      </c>
      <c r="K40" s="308">
        <v>94</v>
      </c>
      <c r="L40" s="116"/>
    </row>
    <row r="41" spans="1:12" s="53" customFormat="1" ht="15" customHeight="1" x14ac:dyDescent="0.25">
      <c r="C41" s="224"/>
      <c r="D41" s="141"/>
      <c r="E41" s="146"/>
      <c r="F41" s="308"/>
      <c r="G41" s="308"/>
      <c r="H41" s="308"/>
      <c r="I41" s="308"/>
      <c r="J41" s="308"/>
      <c r="K41" s="308"/>
      <c r="L41" s="116"/>
    </row>
    <row r="42" spans="1:12" s="53" customFormat="1" ht="15" customHeight="1" x14ac:dyDescent="0.25">
      <c r="B42" s="194" t="s">
        <v>89</v>
      </c>
      <c r="C42" s="208"/>
      <c r="D42" s="141">
        <v>2017</v>
      </c>
      <c r="E42" s="146">
        <f t="shared" si="5"/>
        <v>1581</v>
      </c>
      <c r="F42" s="308">
        <v>305</v>
      </c>
      <c r="G42" s="308">
        <v>22</v>
      </c>
      <c r="H42" s="308">
        <v>149</v>
      </c>
      <c r="I42" s="308">
        <v>817</v>
      </c>
      <c r="J42" s="308">
        <v>3</v>
      </c>
      <c r="K42" s="308">
        <v>285</v>
      </c>
      <c r="L42" s="116"/>
    </row>
    <row r="43" spans="1:12" s="53" customFormat="1" ht="15" customHeight="1" x14ac:dyDescent="0.25">
      <c r="B43" s="267"/>
      <c r="C43" s="208"/>
      <c r="D43" s="141">
        <v>2018</v>
      </c>
      <c r="E43" s="146">
        <f t="shared" si="5"/>
        <v>1476</v>
      </c>
      <c r="F43" s="308">
        <v>306</v>
      </c>
      <c r="G43" s="308">
        <v>20</v>
      </c>
      <c r="H43" s="308">
        <v>140</v>
      </c>
      <c r="I43" s="308">
        <v>754</v>
      </c>
      <c r="J43" s="308">
        <v>1</v>
      </c>
      <c r="K43" s="308">
        <v>255</v>
      </c>
      <c r="L43" s="116"/>
    </row>
    <row r="44" spans="1:12" s="53" customFormat="1" ht="15" customHeight="1" x14ac:dyDescent="0.25">
      <c r="A44" s="116"/>
      <c r="B44" s="194"/>
      <c r="C44" s="208"/>
      <c r="D44" s="141">
        <v>2019</v>
      </c>
      <c r="E44" s="146">
        <f t="shared" si="5"/>
        <v>1529</v>
      </c>
      <c r="F44" s="308">
        <v>406</v>
      </c>
      <c r="G44" s="308">
        <v>25</v>
      </c>
      <c r="H44" s="308">
        <v>146</v>
      </c>
      <c r="I44" s="308">
        <v>589</v>
      </c>
      <c r="J44" s="406" t="s">
        <v>51</v>
      </c>
      <c r="K44" s="308">
        <v>363</v>
      </c>
      <c r="L44" s="116"/>
    </row>
    <row r="45" spans="1:12" s="53" customFormat="1" ht="15" customHeight="1" x14ac:dyDescent="0.25">
      <c r="C45" s="224"/>
      <c r="D45" s="141"/>
      <c r="E45" s="146"/>
      <c r="F45" s="308"/>
      <c r="G45" s="308"/>
      <c r="H45" s="308"/>
      <c r="I45" s="308"/>
      <c r="J45" s="308"/>
      <c r="K45" s="308"/>
      <c r="L45" s="116"/>
    </row>
    <row r="46" spans="1:12" s="53" customFormat="1" ht="15" customHeight="1" x14ac:dyDescent="0.25">
      <c r="B46" s="194" t="s">
        <v>90</v>
      </c>
      <c r="C46" s="208"/>
      <c r="D46" s="141">
        <v>2017</v>
      </c>
      <c r="E46" s="146">
        <f t="shared" si="5"/>
        <v>948</v>
      </c>
      <c r="F46" s="308">
        <v>165</v>
      </c>
      <c r="G46" s="308">
        <v>15</v>
      </c>
      <c r="H46" s="308">
        <v>81</v>
      </c>
      <c r="I46" s="308">
        <v>544</v>
      </c>
      <c r="J46" s="308">
        <v>4</v>
      </c>
      <c r="K46" s="308">
        <v>139</v>
      </c>
      <c r="L46" s="116"/>
    </row>
    <row r="47" spans="1:12" s="53" customFormat="1" ht="15" customHeight="1" x14ac:dyDescent="0.25">
      <c r="A47" s="115"/>
      <c r="B47" s="267"/>
      <c r="C47" s="208"/>
      <c r="D47" s="141">
        <v>2018</v>
      </c>
      <c r="E47" s="146">
        <f t="shared" si="5"/>
        <v>853</v>
      </c>
      <c r="F47" s="308">
        <v>160</v>
      </c>
      <c r="G47" s="308">
        <v>15</v>
      </c>
      <c r="H47" s="308">
        <v>58</v>
      </c>
      <c r="I47" s="308">
        <v>488</v>
      </c>
      <c r="J47" s="308">
        <v>7</v>
      </c>
      <c r="K47" s="308">
        <v>125</v>
      </c>
      <c r="L47" s="116"/>
    </row>
    <row r="48" spans="1:12" s="53" customFormat="1" ht="15" customHeight="1" x14ac:dyDescent="0.25">
      <c r="A48" s="116"/>
      <c r="B48" s="194"/>
      <c r="C48" s="208"/>
      <c r="D48" s="141">
        <v>2019</v>
      </c>
      <c r="E48" s="146">
        <f t="shared" si="5"/>
        <v>814</v>
      </c>
      <c r="F48" s="308">
        <v>201</v>
      </c>
      <c r="G48" s="308">
        <v>15</v>
      </c>
      <c r="H48" s="308">
        <v>47</v>
      </c>
      <c r="I48" s="308">
        <v>411</v>
      </c>
      <c r="J48" s="308">
        <v>1</v>
      </c>
      <c r="K48" s="308">
        <v>139</v>
      </c>
      <c r="L48" s="116"/>
    </row>
    <row r="49" spans="1:12" s="53" customFormat="1" ht="15" customHeight="1" x14ac:dyDescent="0.25">
      <c r="C49" s="224"/>
      <c r="D49" s="141"/>
      <c r="E49" s="146"/>
      <c r="F49" s="308"/>
      <c r="G49" s="308"/>
      <c r="H49" s="308"/>
      <c r="I49" s="308"/>
      <c r="J49" s="308"/>
      <c r="K49" s="308"/>
      <c r="L49" s="116"/>
    </row>
    <row r="50" spans="1:12" s="83" customFormat="1" ht="15" customHeight="1" x14ac:dyDescent="0.25">
      <c r="A50" s="53"/>
      <c r="B50" s="194" t="s">
        <v>91</v>
      </c>
      <c r="C50" s="208"/>
      <c r="D50" s="141">
        <v>2017</v>
      </c>
      <c r="E50" s="146">
        <f t="shared" si="5"/>
        <v>1178</v>
      </c>
      <c r="F50" s="308">
        <v>194</v>
      </c>
      <c r="G50" s="308">
        <v>17</v>
      </c>
      <c r="H50" s="308">
        <v>67</v>
      </c>
      <c r="I50" s="308">
        <v>629</v>
      </c>
      <c r="J50" s="308" t="s">
        <v>51</v>
      </c>
      <c r="K50" s="308">
        <v>271</v>
      </c>
    </row>
    <row r="51" spans="1:12" s="116" customFormat="1" ht="15" customHeight="1" x14ac:dyDescent="0.25">
      <c r="A51" s="53"/>
      <c r="B51" s="267"/>
      <c r="C51" s="208"/>
      <c r="D51" s="141">
        <v>2018</v>
      </c>
      <c r="E51" s="146">
        <f t="shared" si="5"/>
        <v>1080</v>
      </c>
      <c r="F51" s="308">
        <v>193</v>
      </c>
      <c r="G51" s="308">
        <v>25</v>
      </c>
      <c r="H51" s="308">
        <v>92</v>
      </c>
      <c r="I51" s="308">
        <v>485</v>
      </c>
      <c r="J51" s="308">
        <v>1</v>
      </c>
      <c r="K51" s="308">
        <v>284</v>
      </c>
    </row>
    <row r="52" spans="1:12" s="53" customFormat="1" ht="15" customHeight="1" x14ac:dyDescent="0.25">
      <c r="A52" s="116"/>
      <c r="B52" s="194"/>
      <c r="C52" s="208"/>
      <c r="D52" s="141">
        <v>2019</v>
      </c>
      <c r="E52" s="146">
        <f t="shared" si="5"/>
        <v>1045</v>
      </c>
      <c r="F52" s="308">
        <v>203</v>
      </c>
      <c r="G52" s="308">
        <v>20</v>
      </c>
      <c r="H52" s="308">
        <v>73</v>
      </c>
      <c r="I52" s="308">
        <v>438</v>
      </c>
      <c r="J52" s="406" t="s">
        <v>51</v>
      </c>
      <c r="K52" s="308">
        <v>311</v>
      </c>
      <c r="L52" s="116"/>
    </row>
    <row r="53" spans="1:12" ht="8.1" customHeight="1" thickBot="1" x14ac:dyDescent="0.25">
      <c r="A53" s="34"/>
      <c r="B53" s="71"/>
      <c r="C53" s="268"/>
      <c r="D53" s="131"/>
      <c r="E53" s="12"/>
      <c r="F53" s="33"/>
      <c r="G53" s="33"/>
      <c r="H53" s="12"/>
      <c r="I53" s="33"/>
      <c r="J53" s="12"/>
      <c r="K53" s="33"/>
      <c r="L53" s="34"/>
    </row>
    <row r="54" spans="1:12" x14ac:dyDescent="0.25">
      <c r="B54" s="239"/>
      <c r="C54" s="239"/>
      <c r="D54" s="239"/>
      <c r="E54" s="242"/>
      <c r="F54" s="332"/>
      <c r="G54" s="332"/>
      <c r="H54" s="332"/>
      <c r="I54" s="342"/>
      <c r="J54" s="332"/>
      <c r="K54" s="154" t="s">
        <v>99</v>
      </c>
    </row>
    <row r="55" spans="1:12" x14ac:dyDescent="0.25">
      <c r="B55" s="7"/>
      <c r="C55" s="7"/>
      <c r="D55" s="7"/>
      <c r="E55" s="242"/>
      <c r="F55" s="332"/>
      <c r="G55" s="332"/>
      <c r="H55" s="332"/>
      <c r="I55" s="332"/>
      <c r="J55" s="332"/>
      <c r="K55" s="155" t="s">
        <v>1</v>
      </c>
    </row>
    <row r="56" spans="1:12" x14ac:dyDescent="0.25">
      <c r="A56" s="359" t="s">
        <v>254</v>
      </c>
      <c r="B56" s="27"/>
    </row>
    <row r="57" spans="1:12" x14ac:dyDescent="0.25">
      <c r="A57" s="420" t="s">
        <v>252</v>
      </c>
      <c r="B57" s="420"/>
    </row>
    <row r="58" spans="1:12" s="53" customFormat="1" ht="14.25" x14ac:dyDescent="0.2">
      <c r="A58" s="362" t="s">
        <v>253</v>
      </c>
      <c r="B58" s="362"/>
      <c r="C58" s="115"/>
      <c r="D58" s="115"/>
      <c r="E58" s="190"/>
      <c r="F58" s="189"/>
      <c r="G58" s="189"/>
      <c r="H58" s="191"/>
      <c r="I58" s="189"/>
      <c r="L58" s="2"/>
    </row>
    <row r="59" spans="1:12" x14ac:dyDescent="0.25">
      <c r="B59" s="2"/>
      <c r="C59" s="2"/>
      <c r="F59" s="334"/>
      <c r="G59" s="334"/>
      <c r="H59" s="335"/>
      <c r="I59" s="334"/>
      <c r="J59" s="15"/>
      <c r="K59" s="15"/>
    </row>
    <row r="60" spans="1:12" x14ac:dyDescent="0.25">
      <c r="B60" s="2"/>
      <c r="C60" s="2"/>
      <c r="F60" s="334"/>
      <c r="G60" s="334"/>
      <c r="H60" s="335"/>
      <c r="I60" s="334"/>
      <c r="J60" s="15"/>
      <c r="K60" s="15"/>
    </row>
    <row r="61" spans="1:12" x14ac:dyDescent="0.25">
      <c r="B61" s="2"/>
      <c r="C61" s="2"/>
    </row>
    <row r="62" spans="1:12" x14ac:dyDescent="0.25">
      <c r="B62" s="2"/>
      <c r="C62" s="2"/>
    </row>
    <row r="63" spans="1:12" x14ac:dyDescent="0.25">
      <c r="B63" s="2"/>
      <c r="C63" s="2"/>
    </row>
    <row r="64" spans="1:12" x14ac:dyDescent="0.25">
      <c r="B64" s="2"/>
      <c r="C64" s="2"/>
    </row>
    <row r="65" spans="2:3" x14ac:dyDescent="0.25">
      <c r="B65" s="2"/>
      <c r="C65" s="2"/>
    </row>
    <row r="66" spans="2:3" x14ac:dyDescent="0.25">
      <c r="B66" s="2"/>
      <c r="C66" s="2"/>
    </row>
    <row r="67" spans="2:3" x14ac:dyDescent="0.25">
      <c r="B67" s="2"/>
      <c r="C67" s="2"/>
    </row>
    <row r="68" spans="2:3" x14ac:dyDescent="0.25">
      <c r="B68" s="2"/>
      <c r="C68" s="2"/>
    </row>
    <row r="69" spans="2:3" x14ac:dyDescent="0.25">
      <c r="B69" s="2"/>
      <c r="C69" s="2"/>
    </row>
    <row r="70" spans="2:3" x14ac:dyDescent="0.25">
      <c r="B70" s="2"/>
      <c r="C70" s="2"/>
    </row>
    <row r="71" spans="2:3" x14ac:dyDescent="0.25">
      <c r="B71" s="2"/>
      <c r="C71" s="2"/>
    </row>
    <row r="72" spans="2:3" x14ac:dyDescent="0.25">
      <c r="B72" s="2"/>
      <c r="C72" s="2"/>
    </row>
    <row r="73" spans="2:3" x14ac:dyDescent="0.25">
      <c r="B73" s="2"/>
      <c r="C73" s="2"/>
    </row>
  </sheetData>
  <mergeCells count="6">
    <mergeCell ref="K10:K11"/>
    <mergeCell ref="B10:C11"/>
    <mergeCell ref="E10:E11"/>
    <mergeCell ref="F10:F11"/>
    <mergeCell ref="G10:I10"/>
    <mergeCell ref="J10:J11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85" fitToWidth="0" orientation="portrait" r:id="rId1"/>
  <headerFooter>
    <oddHeader xml:space="preserve">&amp;R&amp;"-,Bold"
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60"/>
  <sheetViews>
    <sheetView showGridLines="0" topLeftCell="A31" zoomScale="80" zoomScaleNormal="80" zoomScaleSheetLayoutView="100" workbookViewId="0">
      <selection activeCell="AA22" sqref="AA22"/>
    </sheetView>
  </sheetViews>
  <sheetFormatPr defaultRowHeight="15" x14ac:dyDescent="0.25"/>
  <cols>
    <col min="1" max="1" width="1" style="2" customWidth="1"/>
    <col min="2" max="2" width="10.28515625" style="3" customWidth="1"/>
    <col min="3" max="3" width="12" style="3" customWidth="1"/>
    <col min="4" max="4" width="10" style="3" customWidth="1"/>
    <col min="5" max="5" width="10.42578125" style="4" customWidth="1"/>
    <col min="6" max="6" width="11.7109375" style="5" customWidth="1"/>
    <col min="7" max="7" width="10.5703125" style="5" customWidth="1"/>
    <col min="8" max="8" width="10.85546875" style="185" customWidth="1"/>
    <col min="9" max="9" width="12.28515625" style="5" customWidth="1"/>
    <col min="10" max="10" width="10.42578125" style="2" customWidth="1"/>
    <col min="11" max="11" width="11.7109375" style="2" customWidth="1"/>
    <col min="12" max="12" width="0.85546875" style="2" customWidth="1"/>
    <col min="13" max="16384" width="9.140625" style="2"/>
  </cols>
  <sheetData>
    <row r="1" spans="1:12" s="30" customFormat="1" ht="12.95" customHeight="1" x14ac:dyDescent="0.25">
      <c r="B1" s="27"/>
      <c r="C1" s="27"/>
      <c r="D1" s="29"/>
      <c r="E1" s="28"/>
      <c r="F1" s="29"/>
      <c r="J1" s="29"/>
      <c r="K1" s="160" t="s">
        <v>179</v>
      </c>
    </row>
    <row r="2" spans="1:12" s="30" customFormat="1" ht="12.95" customHeight="1" x14ac:dyDescent="0.25">
      <c r="B2" s="27"/>
      <c r="C2" s="27"/>
      <c r="D2" s="29"/>
      <c r="E2" s="28"/>
      <c r="F2" s="29"/>
      <c r="J2" s="29"/>
      <c r="K2" s="68" t="s">
        <v>180</v>
      </c>
    </row>
    <row r="3" spans="1:12" s="30" customFormat="1" ht="12" customHeight="1" x14ac:dyDescent="0.25">
      <c r="B3" s="27"/>
      <c r="C3" s="27"/>
      <c r="D3" s="29"/>
      <c r="E3" s="28"/>
      <c r="F3" s="29"/>
      <c r="G3" s="68"/>
      <c r="J3" s="29"/>
    </row>
    <row r="4" spans="1:12" s="30" customFormat="1" ht="12" customHeight="1" x14ac:dyDescent="0.25">
      <c r="B4" s="27"/>
      <c r="C4" s="27"/>
      <c r="D4" s="29"/>
      <c r="E4" s="28"/>
      <c r="F4" s="29"/>
      <c r="G4" s="68"/>
      <c r="J4" s="29"/>
    </row>
    <row r="5" spans="1:12" s="53" customFormat="1" ht="9.9499999999999993" customHeight="1" x14ac:dyDescent="0.2">
      <c r="B5" s="115"/>
      <c r="C5" s="115"/>
      <c r="D5" s="189"/>
      <c r="E5" s="190"/>
      <c r="F5" s="189"/>
      <c r="G5" s="189"/>
      <c r="H5" s="191"/>
      <c r="I5" s="189"/>
      <c r="J5" s="114"/>
    </row>
    <row r="6" spans="1:12" s="53" customFormat="1" ht="15" customHeight="1" x14ac:dyDescent="0.2">
      <c r="B6" s="63" t="s">
        <v>208</v>
      </c>
      <c r="C6" s="64" t="s">
        <v>249</v>
      </c>
      <c r="D6" s="189"/>
      <c r="E6" s="190"/>
      <c r="F6" s="64"/>
      <c r="G6" s="64"/>
      <c r="H6" s="64"/>
      <c r="I6" s="64"/>
      <c r="J6" s="79"/>
      <c r="K6" s="64"/>
      <c r="L6" s="179"/>
    </row>
    <row r="7" spans="1:12" s="53" customFormat="1" ht="18" customHeight="1" x14ac:dyDescent="0.2">
      <c r="B7" s="80" t="s">
        <v>209</v>
      </c>
      <c r="C7" s="86" t="s">
        <v>250</v>
      </c>
      <c r="D7" s="189"/>
      <c r="E7" s="190"/>
      <c r="F7" s="86"/>
      <c r="G7" s="86"/>
      <c r="H7" s="86"/>
      <c r="I7" s="86"/>
      <c r="J7" s="235"/>
      <c r="K7" s="86"/>
      <c r="L7" s="180"/>
    </row>
    <row r="8" spans="1:12" s="53" customFormat="1" ht="8.1" customHeight="1" thickBot="1" x14ac:dyDescent="0.25">
      <c r="B8" s="194"/>
      <c r="C8" s="194"/>
      <c r="D8" s="216"/>
      <c r="E8" s="215"/>
      <c r="F8" s="216"/>
      <c r="G8" s="216"/>
      <c r="H8" s="217"/>
      <c r="I8" s="216"/>
      <c r="J8" s="143"/>
      <c r="K8" s="116"/>
    </row>
    <row r="9" spans="1:12" s="53" customFormat="1" ht="8.1" customHeight="1" thickTop="1" x14ac:dyDescent="0.2">
      <c r="A9" s="378"/>
      <c r="B9" s="389"/>
      <c r="C9" s="389"/>
      <c r="D9" s="377"/>
      <c r="E9" s="400"/>
      <c r="F9" s="377"/>
      <c r="G9" s="377"/>
      <c r="H9" s="401"/>
      <c r="I9" s="377"/>
      <c r="J9" s="375"/>
      <c r="K9" s="378"/>
      <c r="L9" s="378"/>
    </row>
    <row r="10" spans="1:12" s="53" customFormat="1" ht="30.75" customHeight="1" x14ac:dyDescent="0.2">
      <c r="A10" s="390"/>
      <c r="B10" s="443" t="s">
        <v>207</v>
      </c>
      <c r="C10" s="443"/>
      <c r="D10" s="405" t="s">
        <v>96</v>
      </c>
      <c r="E10" s="437" t="s">
        <v>92</v>
      </c>
      <c r="F10" s="437" t="s">
        <v>203</v>
      </c>
      <c r="G10" s="440" t="s">
        <v>191</v>
      </c>
      <c r="H10" s="440"/>
      <c r="I10" s="440"/>
      <c r="J10" s="439" t="s">
        <v>251</v>
      </c>
      <c r="K10" s="437" t="s">
        <v>192</v>
      </c>
      <c r="L10" s="390"/>
    </row>
    <row r="11" spans="1:12" s="102" customFormat="1" ht="55.5" customHeight="1" x14ac:dyDescent="0.2">
      <c r="A11" s="398"/>
      <c r="B11" s="444"/>
      <c r="C11" s="444"/>
      <c r="D11" s="404"/>
      <c r="E11" s="442"/>
      <c r="F11" s="442"/>
      <c r="G11" s="403" t="s">
        <v>193</v>
      </c>
      <c r="H11" s="403" t="s">
        <v>194</v>
      </c>
      <c r="I11" s="403" t="s">
        <v>204</v>
      </c>
      <c r="J11" s="441"/>
      <c r="K11" s="442"/>
      <c r="L11" s="398"/>
    </row>
    <row r="12" spans="1:12" s="6" customFormat="1" ht="8.1" customHeight="1" x14ac:dyDescent="0.25">
      <c r="A12" s="24"/>
      <c r="B12" s="257"/>
      <c r="C12" s="257"/>
      <c r="D12" s="269"/>
      <c r="E12" s="259"/>
      <c r="F12" s="260"/>
      <c r="G12" s="259"/>
      <c r="H12" s="259"/>
      <c r="I12" s="259"/>
      <c r="J12" s="260"/>
      <c r="K12" s="259"/>
    </row>
    <row r="13" spans="1:12" s="53" customFormat="1" ht="15" customHeight="1" x14ac:dyDescent="0.2">
      <c r="B13" s="61" t="s">
        <v>153</v>
      </c>
      <c r="C13" s="124"/>
      <c r="D13" s="62">
        <v>2017</v>
      </c>
      <c r="E13" s="145">
        <f>SUM(F13:K13)</f>
        <v>5475</v>
      </c>
      <c r="F13" s="145">
        <f>SUM(F17,F21,F25,F29,F33,F37,F41,F45,F49,'1.7Sabah (2)'!F15,'1.7Sabah (2)'!F19,'1.7Sabah (2)'!F23,'1.7Sabah (2)'!F27,'1.7Sabah (2)'!F31,'1.7Sabah (2)'!F35,'1.7Sabah (2)'!F39,'1.7Sabah (2)'!F43,'1.7Sabah (2)'!F47,'1.7Sabah (2)'!F51,'1.7Sabah (2)'!F55)</f>
        <v>1908</v>
      </c>
      <c r="G13" s="145">
        <f>SUM(G17,G21,G25,G29,G33,G37,G41,G45,G49,'1.7Sabah (2)'!G15,'1.7Sabah (2)'!G19,'1.7Sabah (2)'!G23,'1.7Sabah (2)'!G27,'1.7Sabah (2)'!G31,'1.7Sabah (2)'!G35,'1.7Sabah (2)'!G39,'1.7Sabah (2)'!G43,'1.7Sabah (2)'!G47,'1.7Sabah (2)'!G51,'1.7Sabah (2)'!G55)</f>
        <v>116</v>
      </c>
      <c r="H13" s="145">
        <f>SUM(H17,H21,H25,H29,H33,H37,H41,H45,H49,'1.7Sabah (2)'!H15,'1.7Sabah (2)'!H19,'1.7Sabah (2)'!H23,'1.7Sabah (2)'!H27,'1.7Sabah (2)'!H31,'1.7Sabah (2)'!H35,'1.7Sabah (2)'!H39,'1.7Sabah (2)'!H43,'1.7Sabah (2)'!H47,'1.7Sabah (2)'!H51,'1.7Sabah (2)'!H55)</f>
        <v>244</v>
      </c>
      <c r="I13" s="145">
        <f>SUM(I17,I21,I25,I29,I33,I37,I41,I45,I49,'1.7Sabah (2)'!I15,'1.7Sabah (2)'!I19,'1.7Sabah (2)'!I23,'1.7Sabah (2)'!I27,'1.7Sabah (2)'!I31,'1.7Sabah (2)'!I35,'1.7Sabah (2)'!I39,'1.7Sabah (2)'!I43,'1.7Sabah (2)'!I47,'1.7Sabah (2)'!I51,'1.7Sabah (2)'!I55)</f>
        <v>666</v>
      </c>
      <c r="J13" s="145">
        <f>SUM(J17,J21,J25,J29,J33,J37,J41,J45,J49,'1.7Sabah (2)'!J15,'1.7Sabah (2)'!J19,'1.7Sabah (2)'!J23,'1.7Sabah (2)'!J27,'1.7Sabah (2)'!J31,'1.7Sabah (2)'!J35,'1.7Sabah (2)'!J39,'1.7Sabah (2)'!J43,'1.7Sabah (2)'!J47,'1.7Sabah (2)'!J51,'1.7Sabah (2)'!J55)</f>
        <v>23</v>
      </c>
      <c r="K13" s="145">
        <f>SUM(K17,K21,K25,K29,K33,K37,K41,K45,K49,'1.7Sabah (2)'!K15,'1.7Sabah (2)'!K19,'1.7Sabah (2)'!K23,'1.7Sabah (2)'!K27,'1.7Sabah (2)'!K31,'1.7Sabah (2)'!K35,'1.7Sabah (2)'!K39,'1.7Sabah (2)'!K43,'1.7Sabah (2)'!K47,'1.7Sabah (2)'!K51,'1.7Sabah (2)'!K55)</f>
        <v>2518</v>
      </c>
    </row>
    <row r="14" spans="1:12" s="53" customFormat="1" ht="15" customHeight="1" x14ac:dyDescent="0.2">
      <c r="B14" s="124"/>
      <c r="C14" s="124"/>
      <c r="D14" s="62">
        <v>2018</v>
      </c>
      <c r="E14" s="145">
        <f t="shared" ref="E14:E15" si="0">SUM(F14:K14)</f>
        <v>5571</v>
      </c>
      <c r="F14" s="145">
        <f>SUM(F18,F22,F26,F30,F34,F38,F42,F46,F50,'1.7Sabah (2)'!F16,'1.7Sabah (2)'!F20,'1.7Sabah (2)'!F24,'1.7Sabah (2)'!F28,'1.7Sabah (2)'!F32,'1.7Sabah (2)'!F36,'1.7Sabah (2)'!F40,'1.7Sabah (2)'!F44,'1.7Sabah (2)'!F48,'1.7Sabah (2)'!F52,'1.7Sabah (2)'!F56)</f>
        <v>1881</v>
      </c>
      <c r="G14" s="145">
        <f>SUM(G18,G22,G26,G30,G34,G38,G42,G46,G50,'1.7Sabah (2)'!G16,'1.7Sabah (2)'!G20,'1.7Sabah (2)'!G24,'1.7Sabah (2)'!G28,'1.7Sabah (2)'!G32,'1.7Sabah (2)'!G36,'1.7Sabah (2)'!G40,'1.7Sabah (2)'!G44,'1.7Sabah (2)'!G48,'1.7Sabah (2)'!G52,'1.7Sabah (2)'!G56)</f>
        <v>74</v>
      </c>
      <c r="H14" s="145">
        <f>SUM(H18,H22,H26,H30,H34,H38,H42,H46,H50,'1.7Sabah (2)'!H16,'1.7Sabah (2)'!H20,'1.7Sabah (2)'!H24,'1.7Sabah (2)'!H28,'1.7Sabah (2)'!H32,'1.7Sabah (2)'!H36,'1.7Sabah (2)'!H40,'1.7Sabah (2)'!H44,'1.7Sabah (2)'!H48,'1.7Sabah (2)'!H52,'1.7Sabah (2)'!H56)</f>
        <v>160</v>
      </c>
      <c r="I14" s="145">
        <f>SUM(I18,I22,I26,I30,I34,I38,I42,I46,I50,'1.7Sabah (2)'!I16,'1.7Sabah (2)'!I20,'1.7Sabah (2)'!I24,'1.7Sabah (2)'!I28,'1.7Sabah (2)'!I32,'1.7Sabah (2)'!I36,'1.7Sabah (2)'!I40,'1.7Sabah (2)'!I44,'1.7Sabah (2)'!I48,'1.7Sabah (2)'!I52,'1.7Sabah (2)'!I56)</f>
        <v>504</v>
      </c>
      <c r="J14" s="145">
        <f>SUM(J18,J22,J26,J30,J34,J38,J42,J46,J50,'1.7Sabah (2)'!J16,'1.7Sabah (2)'!J20,'1.7Sabah (2)'!J24,'1.7Sabah (2)'!J28,'1.7Sabah (2)'!J32,'1.7Sabah (2)'!J36,'1.7Sabah (2)'!J40,'1.7Sabah (2)'!J44,'1.7Sabah (2)'!J48,'1.7Sabah (2)'!J52,'1.7Sabah (2)'!J56)</f>
        <v>6</v>
      </c>
      <c r="K14" s="145">
        <f>SUM(K18,K22,K26,K30,K34,K38,K42,K46,K50,'1.7Sabah (2)'!K16,'1.7Sabah (2)'!K20,'1.7Sabah (2)'!K24,'1.7Sabah (2)'!K28,'1.7Sabah (2)'!K32,'1.7Sabah (2)'!K36,'1.7Sabah (2)'!K40,'1.7Sabah (2)'!K44,'1.7Sabah (2)'!K48,'1.7Sabah (2)'!K52,'1.7Sabah (2)'!K56)</f>
        <v>2946</v>
      </c>
    </row>
    <row r="15" spans="1:12" s="53" customFormat="1" ht="15" customHeight="1" x14ac:dyDescent="0.2">
      <c r="B15" s="124"/>
      <c r="C15" s="124"/>
      <c r="D15" s="62">
        <v>2019</v>
      </c>
      <c r="E15" s="145">
        <f t="shared" si="0"/>
        <v>5106</v>
      </c>
      <c r="F15" s="145">
        <f>SUM(F19,F23,F27,F31,F35,F39,F43,F47,F51,'1.7Sabah (2)'!F17,'1.7Sabah (2)'!F21,'1.7Sabah (2)'!F25,'1.7Sabah (2)'!F29,'1.7Sabah (2)'!F33,'1.7Sabah (2)'!F37,'1.7Sabah (2)'!F41,'1.7Sabah (2)'!F45,'1.7Sabah (2)'!F49,'1.7Sabah (2)'!F53,'1.7Sabah (2)'!F57)</f>
        <v>1806</v>
      </c>
      <c r="G15" s="145">
        <f>SUM(G19,G23,G27,G31,G35,G39,G43,G47,G51,'1.7Sabah (2)'!G17,'1.7Sabah (2)'!G21,'1.7Sabah (2)'!G25,'1.7Sabah (2)'!G29,'1.7Sabah (2)'!G33,'1.7Sabah (2)'!G37,'1.7Sabah (2)'!G41,'1.7Sabah (2)'!G45,'1.7Sabah (2)'!G49,'1.7Sabah (2)'!G53,'1.7Sabah (2)'!G57)</f>
        <v>81</v>
      </c>
      <c r="H15" s="145">
        <f>SUM(H19,H23,H27,H31,H35,H39,H43,H47,H51,'1.7Sabah (2)'!H17,'1.7Sabah (2)'!H21,'1.7Sabah (2)'!H25,'1.7Sabah (2)'!H29,'1.7Sabah (2)'!H33,'1.7Sabah (2)'!H37,'1.7Sabah (2)'!H41,'1.7Sabah (2)'!H45,'1.7Sabah (2)'!H49,'1.7Sabah (2)'!H53,'1.7Sabah (2)'!H57)</f>
        <v>157</v>
      </c>
      <c r="I15" s="145">
        <f>SUM(I19,I23,I27,I31,I35,I39,I43,I47,I51,'1.7Sabah (2)'!I17,'1.7Sabah (2)'!I21,'1.7Sabah (2)'!I25,'1.7Sabah (2)'!I29,'1.7Sabah (2)'!I33,'1.7Sabah (2)'!I37,'1.7Sabah (2)'!I41,'1.7Sabah (2)'!I45,'1.7Sabah (2)'!I49,'1.7Sabah (2)'!I53,'1.7Sabah (2)'!I57)</f>
        <v>435</v>
      </c>
      <c r="J15" s="145">
        <f>SUM(J19,J23,J27,J31,J35,J39,J43,J47,J51,'1.7Sabah (2)'!J17,'1.7Sabah (2)'!J21,'1.7Sabah (2)'!J25,'1.7Sabah (2)'!J29,'1.7Sabah (2)'!J33,'1.7Sabah (2)'!J37,'1.7Sabah (2)'!J41,'1.7Sabah (2)'!J45,'1.7Sabah (2)'!J49,'1.7Sabah (2)'!J53,'1.7Sabah (2)'!J57)</f>
        <v>0</v>
      </c>
      <c r="K15" s="145">
        <f>SUM(K19,K23,K27,K31,K35,K39,K43,K47,K51,'1.7Sabah (2)'!K17,'1.7Sabah (2)'!K21,'1.7Sabah (2)'!K25,'1.7Sabah (2)'!K29,'1.7Sabah (2)'!K33,'1.7Sabah (2)'!K37,'1.7Sabah (2)'!K41,'1.7Sabah (2)'!K45,'1.7Sabah (2)'!K49,'1.7Sabah (2)'!K53,'1.7Sabah (2)'!K57)</f>
        <v>2627</v>
      </c>
    </row>
    <row r="16" spans="1:12" s="53" customFormat="1" ht="15" customHeight="1" x14ac:dyDescent="0.2">
      <c r="B16" s="124"/>
      <c r="C16" s="124"/>
      <c r="D16" s="62"/>
      <c r="E16" s="146"/>
      <c r="F16" s="306"/>
      <c r="G16" s="306"/>
      <c r="H16" s="306"/>
      <c r="I16" s="306"/>
      <c r="J16" s="307"/>
      <c r="K16" s="306"/>
    </row>
    <row r="17" spans="1:14" s="53" customFormat="1" ht="15" customHeight="1" x14ac:dyDescent="0.2">
      <c r="B17" s="56" t="s">
        <v>154</v>
      </c>
      <c r="C17" s="56"/>
      <c r="D17" s="141">
        <v>2017</v>
      </c>
      <c r="E17" s="146">
        <f t="shared" ref="E17:E51" si="1">SUM(F17:K17)</f>
        <v>136</v>
      </c>
      <c r="F17" s="306">
        <f>50+1</f>
        <v>51</v>
      </c>
      <c r="G17" s="306">
        <v>1</v>
      </c>
      <c r="H17" s="306">
        <v>5</v>
      </c>
      <c r="I17" s="306">
        <v>20</v>
      </c>
      <c r="J17" s="307" t="s">
        <v>51</v>
      </c>
      <c r="K17" s="306">
        <f>1+1+2+30+25</f>
        <v>59</v>
      </c>
    </row>
    <row r="18" spans="1:14" s="53" customFormat="1" ht="15" customHeight="1" x14ac:dyDescent="0.2">
      <c r="A18" s="116"/>
      <c r="B18" s="254"/>
      <c r="C18" s="254"/>
      <c r="D18" s="141">
        <v>2018</v>
      </c>
      <c r="E18" s="146">
        <f t="shared" si="1"/>
        <v>176</v>
      </c>
      <c r="F18" s="324">
        <v>69</v>
      </c>
      <c r="G18" s="323" t="s">
        <v>51</v>
      </c>
      <c r="H18" s="324">
        <v>1</v>
      </c>
      <c r="I18" s="324">
        <v>14</v>
      </c>
      <c r="J18" s="323" t="s">
        <v>51</v>
      </c>
      <c r="K18" s="324">
        <v>92</v>
      </c>
    </row>
    <row r="19" spans="1:14" s="115" customFormat="1" ht="15" customHeight="1" x14ac:dyDescent="0.2">
      <c r="A19" s="53"/>
      <c r="B19" s="254"/>
      <c r="C19" s="254"/>
      <c r="D19" s="141">
        <v>2019</v>
      </c>
      <c r="E19" s="146">
        <f t="shared" si="1"/>
        <v>137</v>
      </c>
      <c r="F19" s="306">
        <v>71</v>
      </c>
      <c r="G19" s="307" t="s">
        <v>51</v>
      </c>
      <c r="H19" s="306">
        <v>1</v>
      </c>
      <c r="I19" s="306">
        <v>16</v>
      </c>
      <c r="J19" s="307" t="s">
        <v>51</v>
      </c>
      <c r="K19" s="306">
        <v>49</v>
      </c>
      <c r="L19" s="53"/>
      <c r="M19" s="53"/>
      <c r="N19" s="53"/>
    </row>
    <row r="20" spans="1:14" s="115" customFormat="1" ht="15" customHeight="1" x14ac:dyDescent="0.2">
      <c r="A20" s="53"/>
      <c r="B20" s="254"/>
      <c r="C20" s="254"/>
      <c r="D20" s="141"/>
      <c r="E20" s="146"/>
      <c r="F20" s="306"/>
      <c r="G20" s="307"/>
      <c r="H20" s="307"/>
      <c r="I20" s="306"/>
      <c r="J20" s="306"/>
      <c r="K20" s="306"/>
      <c r="L20" s="53"/>
      <c r="M20" s="53"/>
      <c r="N20" s="53"/>
    </row>
    <row r="21" spans="1:14" s="53" customFormat="1" ht="15" customHeight="1" x14ac:dyDescent="0.2">
      <c r="B21" s="56" t="s">
        <v>155</v>
      </c>
      <c r="C21" s="56"/>
      <c r="D21" s="141">
        <v>2017</v>
      </c>
      <c r="E21" s="146">
        <f t="shared" si="1"/>
        <v>56</v>
      </c>
      <c r="F21" s="306">
        <f>20+1</f>
        <v>21</v>
      </c>
      <c r="G21" s="306">
        <v>1</v>
      </c>
      <c r="H21" s="307" t="s">
        <v>51</v>
      </c>
      <c r="I21" s="306">
        <v>19</v>
      </c>
      <c r="J21" s="307" t="s">
        <v>51</v>
      </c>
      <c r="K21" s="306">
        <f>2+2+1+10</f>
        <v>15</v>
      </c>
    </row>
    <row r="22" spans="1:14" s="53" customFormat="1" ht="15" customHeight="1" x14ac:dyDescent="0.2">
      <c r="B22" s="254"/>
      <c r="C22" s="254"/>
      <c r="D22" s="141">
        <v>2018</v>
      </c>
      <c r="E22" s="146">
        <f t="shared" si="1"/>
        <v>61</v>
      </c>
      <c r="F22" s="324">
        <v>21</v>
      </c>
      <c r="G22" s="324">
        <v>3</v>
      </c>
      <c r="H22" s="324">
        <v>2</v>
      </c>
      <c r="I22" s="324">
        <v>12</v>
      </c>
      <c r="J22" s="323" t="s">
        <v>51</v>
      </c>
      <c r="K22" s="324">
        <v>23</v>
      </c>
    </row>
    <row r="23" spans="1:14" s="53" customFormat="1" ht="15" customHeight="1" x14ac:dyDescent="0.2">
      <c r="B23" s="254"/>
      <c r="C23" s="254"/>
      <c r="D23" s="141">
        <v>2019</v>
      </c>
      <c r="E23" s="146">
        <f t="shared" si="1"/>
        <v>47</v>
      </c>
      <c r="F23" s="306">
        <v>22</v>
      </c>
      <c r="G23" s="307" t="s">
        <v>51</v>
      </c>
      <c r="H23" s="307" t="s">
        <v>51</v>
      </c>
      <c r="I23" s="306">
        <v>12</v>
      </c>
      <c r="J23" s="307" t="s">
        <v>51</v>
      </c>
      <c r="K23" s="306">
        <v>13</v>
      </c>
    </row>
    <row r="24" spans="1:14" s="53" customFormat="1" ht="15" customHeight="1" x14ac:dyDescent="0.2">
      <c r="B24" s="254"/>
      <c r="C24" s="254"/>
      <c r="D24" s="141"/>
      <c r="E24" s="146"/>
      <c r="F24" s="306"/>
      <c r="G24" s="306"/>
      <c r="H24" s="306"/>
      <c r="I24" s="306"/>
      <c r="J24" s="306"/>
      <c r="K24" s="306"/>
    </row>
    <row r="25" spans="1:14" s="53" customFormat="1" ht="15" customHeight="1" x14ac:dyDescent="0.2">
      <c r="B25" s="56" t="s">
        <v>156</v>
      </c>
      <c r="C25" s="56"/>
      <c r="D25" s="141">
        <v>2017</v>
      </c>
      <c r="E25" s="146">
        <f t="shared" si="1"/>
        <v>161</v>
      </c>
      <c r="F25" s="306">
        <f>37+10</f>
        <v>47</v>
      </c>
      <c r="G25" s="306">
        <f>3+3</f>
        <v>6</v>
      </c>
      <c r="H25" s="306">
        <v>8</v>
      </c>
      <c r="I25" s="306">
        <v>29</v>
      </c>
      <c r="J25" s="306">
        <v>4</v>
      </c>
      <c r="K25" s="306">
        <f>7+13+29+18</f>
        <v>67</v>
      </c>
    </row>
    <row r="26" spans="1:14" s="53" customFormat="1" ht="15" customHeight="1" x14ac:dyDescent="0.2">
      <c r="B26" s="254"/>
      <c r="C26" s="254"/>
      <c r="D26" s="141">
        <v>2018</v>
      </c>
      <c r="E26" s="146">
        <f t="shared" si="1"/>
        <v>148</v>
      </c>
      <c r="F26" s="324">
        <v>41</v>
      </c>
      <c r="G26" s="324">
        <v>9</v>
      </c>
      <c r="H26" s="324">
        <v>6</v>
      </c>
      <c r="I26" s="324">
        <v>21</v>
      </c>
      <c r="J26" s="324">
        <v>1</v>
      </c>
      <c r="K26" s="324">
        <v>70</v>
      </c>
    </row>
    <row r="27" spans="1:14" s="53" customFormat="1" ht="15" customHeight="1" x14ac:dyDescent="0.2">
      <c r="B27" s="254"/>
      <c r="C27" s="254"/>
      <c r="D27" s="141">
        <v>2019</v>
      </c>
      <c r="E27" s="146">
        <f t="shared" si="1"/>
        <v>143</v>
      </c>
      <c r="F27" s="306">
        <v>50</v>
      </c>
      <c r="G27" s="306">
        <v>7</v>
      </c>
      <c r="H27" s="306">
        <v>2</v>
      </c>
      <c r="I27" s="306">
        <v>10</v>
      </c>
      <c r="J27" s="307" t="s">
        <v>51</v>
      </c>
      <c r="K27" s="306">
        <v>74</v>
      </c>
    </row>
    <row r="28" spans="1:14" s="53" customFormat="1" ht="15" customHeight="1" x14ac:dyDescent="0.2">
      <c r="B28" s="254"/>
      <c r="C28" s="254"/>
      <c r="D28" s="141"/>
      <c r="E28" s="146"/>
      <c r="F28" s="306"/>
      <c r="G28" s="307"/>
      <c r="H28" s="306"/>
      <c r="I28" s="306"/>
      <c r="J28" s="307"/>
      <c r="K28" s="306"/>
    </row>
    <row r="29" spans="1:14" s="53" customFormat="1" ht="15" customHeight="1" x14ac:dyDescent="0.2">
      <c r="B29" s="56" t="s">
        <v>157</v>
      </c>
      <c r="C29" s="56"/>
      <c r="D29" s="141">
        <v>2017</v>
      </c>
      <c r="E29" s="146">
        <f t="shared" si="1"/>
        <v>184</v>
      </c>
      <c r="F29" s="306">
        <f>44+5</f>
        <v>49</v>
      </c>
      <c r="G29" s="307" t="s">
        <v>51</v>
      </c>
      <c r="H29" s="306">
        <v>1</v>
      </c>
      <c r="I29" s="306">
        <v>14</v>
      </c>
      <c r="J29" s="306">
        <v>1</v>
      </c>
      <c r="K29" s="306">
        <f>1+7+5+35+70+1</f>
        <v>119</v>
      </c>
    </row>
    <row r="30" spans="1:14" s="53" customFormat="1" ht="15" customHeight="1" x14ac:dyDescent="0.2">
      <c r="B30" s="254"/>
      <c r="C30" s="254"/>
      <c r="D30" s="141">
        <v>2018</v>
      </c>
      <c r="E30" s="146">
        <f t="shared" si="1"/>
        <v>161</v>
      </c>
      <c r="F30" s="324">
        <v>40</v>
      </c>
      <c r="G30" s="323" t="s">
        <v>51</v>
      </c>
      <c r="H30" s="324">
        <v>1</v>
      </c>
      <c r="I30" s="324">
        <v>10</v>
      </c>
      <c r="J30" s="323" t="s">
        <v>51</v>
      </c>
      <c r="K30" s="324">
        <v>110</v>
      </c>
    </row>
    <row r="31" spans="1:14" s="53" customFormat="1" ht="15" customHeight="1" x14ac:dyDescent="0.2">
      <c r="B31" s="254"/>
      <c r="C31" s="254"/>
      <c r="D31" s="141">
        <v>2019</v>
      </c>
      <c r="E31" s="146">
        <f t="shared" si="1"/>
        <v>121</v>
      </c>
      <c r="F31" s="306">
        <v>33</v>
      </c>
      <c r="G31" s="307" t="s">
        <v>51</v>
      </c>
      <c r="H31" s="307" t="s">
        <v>51</v>
      </c>
      <c r="I31" s="306">
        <v>6</v>
      </c>
      <c r="J31" s="307" t="s">
        <v>51</v>
      </c>
      <c r="K31" s="306">
        <v>82</v>
      </c>
    </row>
    <row r="32" spans="1:14" s="53" customFormat="1" ht="15" customHeight="1" x14ac:dyDescent="0.2">
      <c r="B32" s="254"/>
      <c r="C32" s="254"/>
      <c r="D32" s="141"/>
      <c r="E32" s="146"/>
      <c r="F32" s="306"/>
      <c r="G32" s="306"/>
      <c r="H32" s="306"/>
      <c r="I32" s="306"/>
      <c r="J32" s="306"/>
      <c r="K32" s="306"/>
    </row>
    <row r="33" spans="2:11" s="53" customFormat="1" ht="15" customHeight="1" x14ac:dyDescent="0.2">
      <c r="B33" s="56" t="s">
        <v>158</v>
      </c>
      <c r="C33" s="56"/>
      <c r="D33" s="141">
        <v>2017</v>
      </c>
      <c r="E33" s="146">
        <f t="shared" si="1"/>
        <v>1387</v>
      </c>
      <c r="F33" s="306">
        <f>351+97</f>
        <v>448</v>
      </c>
      <c r="G33" s="306">
        <f>1+45</f>
        <v>46</v>
      </c>
      <c r="H33" s="306">
        <v>76</v>
      </c>
      <c r="I33" s="306">
        <v>178</v>
      </c>
      <c r="J33" s="306">
        <v>2</v>
      </c>
      <c r="K33" s="306">
        <f>4+74+75+264+15+202+3</f>
        <v>637</v>
      </c>
    </row>
    <row r="34" spans="2:11" s="53" customFormat="1" ht="15" customHeight="1" x14ac:dyDescent="0.2">
      <c r="B34" s="254"/>
      <c r="C34" s="254"/>
      <c r="D34" s="141">
        <v>2018</v>
      </c>
      <c r="E34" s="146">
        <f t="shared" si="1"/>
        <v>1333</v>
      </c>
      <c r="F34" s="324">
        <v>331</v>
      </c>
      <c r="G34" s="324">
        <v>34</v>
      </c>
      <c r="H34" s="324">
        <v>51</v>
      </c>
      <c r="I34" s="324">
        <v>144</v>
      </c>
      <c r="J34" s="324">
        <v>1</v>
      </c>
      <c r="K34" s="324">
        <v>772</v>
      </c>
    </row>
    <row r="35" spans="2:11" s="53" customFormat="1" ht="15" customHeight="1" x14ac:dyDescent="0.2">
      <c r="B35" s="254"/>
      <c r="C35" s="254"/>
      <c r="D35" s="141">
        <v>2019</v>
      </c>
      <c r="E35" s="146">
        <f t="shared" si="1"/>
        <v>1122</v>
      </c>
      <c r="F35" s="306">
        <v>357</v>
      </c>
      <c r="G35" s="306">
        <v>40</v>
      </c>
      <c r="H35" s="306">
        <v>62</v>
      </c>
      <c r="I35" s="306">
        <v>135</v>
      </c>
      <c r="J35" s="307" t="s">
        <v>51</v>
      </c>
      <c r="K35" s="306">
        <v>528</v>
      </c>
    </row>
    <row r="36" spans="2:11" s="53" customFormat="1" ht="15" customHeight="1" x14ac:dyDescent="0.2">
      <c r="B36" s="254"/>
      <c r="C36" s="254"/>
      <c r="D36" s="141"/>
      <c r="E36" s="146"/>
      <c r="F36" s="306"/>
      <c r="G36" s="307"/>
      <c r="H36" s="306"/>
      <c r="I36" s="306"/>
      <c r="J36" s="307"/>
      <c r="K36" s="306"/>
    </row>
    <row r="37" spans="2:11" s="53" customFormat="1" ht="15" customHeight="1" x14ac:dyDescent="0.2">
      <c r="B37" s="56" t="s">
        <v>159</v>
      </c>
      <c r="C37" s="56"/>
      <c r="D37" s="141">
        <v>2017</v>
      </c>
      <c r="E37" s="146">
        <f t="shared" si="1"/>
        <v>47</v>
      </c>
      <c r="F37" s="306">
        <f>7+4</f>
        <v>11</v>
      </c>
      <c r="G37" s="307" t="s">
        <v>51</v>
      </c>
      <c r="H37" s="306">
        <v>4</v>
      </c>
      <c r="I37" s="306">
        <v>12</v>
      </c>
      <c r="J37" s="307" t="s">
        <v>51</v>
      </c>
      <c r="K37" s="306">
        <f>5+2+13</f>
        <v>20</v>
      </c>
    </row>
    <row r="38" spans="2:11" s="53" customFormat="1" ht="15" customHeight="1" x14ac:dyDescent="0.2">
      <c r="B38" s="254"/>
      <c r="C38" s="254"/>
      <c r="D38" s="141">
        <v>2018</v>
      </c>
      <c r="E38" s="146">
        <f t="shared" si="1"/>
        <v>64</v>
      </c>
      <c r="F38" s="324">
        <v>22</v>
      </c>
      <c r="G38" s="323" t="s">
        <v>51</v>
      </c>
      <c r="H38" s="324">
        <v>1</v>
      </c>
      <c r="I38" s="324">
        <v>17</v>
      </c>
      <c r="J38" s="323" t="s">
        <v>51</v>
      </c>
      <c r="K38" s="324">
        <v>24</v>
      </c>
    </row>
    <row r="39" spans="2:11" s="53" customFormat="1" ht="15" customHeight="1" x14ac:dyDescent="0.2">
      <c r="B39" s="254"/>
      <c r="C39" s="254"/>
      <c r="D39" s="141">
        <v>2019</v>
      </c>
      <c r="E39" s="146">
        <f t="shared" si="1"/>
        <v>65</v>
      </c>
      <c r="F39" s="306">
        <v>28</v>
      </c>
      <c r="G39" s="306">
        <v>2</v>
      </c>
      <c r="H39" s="307" t="s">
        <v>51</v>
      </c>
      <c r="I39" s="306">
        <v>11</v>
      </c>
      <c r="J39" s="307" t="s">
        <v>51</v>
      </c>
      <c r="K39" s="306">
        <v>24</v>
      </c>
    </row>
    <row r="40" spans="2:11" s="53" customFormat="1" ht="15" customHeight="1" x14ac:dyDescent="0.2">
      <c r="B40" s="254"/>
      <c r="C40" s="254"/>
      <c r="D40" s="141"/>
      <c r="E40" s="146"/>
      <c r="F40" s="306"/>
      <c r="G40" s="307"/>
      <c r="H40" s="306"/>
      <c r="I40" s="306"/>
      <c r="J40" s="307"/>
      <c r="K40" s="306"/>
    </row>
    <row r="41" spans="2:11" s="53" customFormat="1" ht="15" customHeight="1" x14ac:dyDescent="0.2">
      <c r="B41" s="56" t="s">
        <v>160</v>
      </c>
      <c r="C41" s="56"/>
      <c r="D41" s="141">
        <v>2017</v>
      </c>
      <c r="E41" s="146">
        <f t="shared" si="1"/>
        <v>86</v>
      </c>
      <c r="F41" s="306">
        <f>22+4</f>
        <v>26</v>
      </c>
      <c r="G41" s="306">
        <v>1</v>
      </c>
      <c r="H41" s="306">
        <v>2</v>
      </c>
      <c r="I41" s="306">
        <v>15</v>
      </c>
      <c r="J41" s="306">
        <v>1</v>
      </c>
      <c r="K41" s="306">
        <f>1+4+5+8+23</f>
        <v>41</v>
      </c>
    </row>
    <row r="42" spans="2:11" s="53" customFormat="1" ht="15" customHeight="1" x14ac:dyDescent="0.2">
      <c r="B42" s="254"/>
      <c r="C42" s="254"/>
      <c r="D42" s="141">
        <v>2018</v>
      </c>
      <c r="E42" s="146">
        <f t="shared" si="1"/>
        <v>107</v>
      </c>
      <c r="F42" s="324">
        <v>39</v>
      </c>
      <c r="G42" s="324">
        <v>1</v>
      </c>
      <c r="H42" s="323" t="s">
        <v>51</v>
      </c>
      <c r="I42" s="324">
        <v>22</v>
      </c>
      <c r="J42" s="323" t="s">
        <v>51</v>
      </c>
      <c r="K42" s="324">
        <v>45</v>
      </c>
    </row>
    <row r="43" spans="2:11" s="53" customFormat="1" ht="15" customHeight="1" x14ac:dyDescent="0.2">
      <c r="B43" s="254"/>
      <c r="C43" s="254"/>
      <c r="D43" s="141">
        <v>2019</v>
      </c>
      <c r="E43" s="146">
        <f t="shared" si="1"/>
        <v>97</v>
      </c>
      <c r="F43" s="306">
        <v>35</v>
      </c>
      <c r="G43" s="306">
        <v>1</v>
      </c>
      <c r="H43" s="306">
        <v>2</v>
      </c>
      <c r="I43" s="306">
        <v>7</v>
      </c>
      <c r="J43" s="307" t="s">
        <v>51</v>
      </c>
      <c r="K43" s="306">
        <v>52</v>
      </c>
    </row>
    <row r="44" spans="2:11" s="53" customFormat="1" ht="15" customHeight="1" x14ac:dyDescent="0.2">
      <c r="B44" s="254"/>
      <c r="C44" s="254"/>
      <c r="D44" s="141"/>
      <c r="E44" s="146"/>
      <c r="F44" s="306"/>
      <c r="G44" s="307"/>
      <c r="H44" s="306"/>
      <c r="I44" s="306"/>
      <c r="J44" s="306"/>
      <c r="K44" s="306"/>
    </row>
    <row r="45" spans="2:11" s="53" customFormat="1" ht="15" customHeight="1" x14ac:dyDescent="0.2">
      <c r="B45" s="56" t="s">
        <v>161</v>
      </c>
      <c r="C45" s="56"/>
      <c r="D45" s="141">
        <v>2017</v>
      </c>
      <c r="E45" s="146">
        <f t="shared" si="1"/>
        <v>42</v>
      </c>
      <c r="F45" s="306">
        <f>13+2</f>
        <v>15</v>
      </c>
      <c r="G45" s="307" t="s">
        <v>51</v>
      </c>
      <c r="H45" s="306">
        <v>1</v>
      </c>
      <c r="I45" s="306">
        <v>6</v>
      </c>
      <c r="J45" s="307" t="s">
        <v>51</v>
      </c>
      <c r="K45" s="306">
        <f>6+2+3+9</f>
        <v>20</v>
      </c>
    </row>
    <row r="46" spans="2:11" s="53" customFormat="1" ht="15" customHeight="1" x14ac:dyDescent="0.2">
      <c r="B46" s="254"/>
      <c r="C46" s="254"/>
      <c r="D46" s="141">
        <v>2018</v>
      </c>
      <c r="E46" s="146">
        <f t="shared" si="1"/>
        <v>42</v>
      </c>
      <c r="F46" s="324">
        <v>17</v>
      </c>
      <c r="G46" s="323" t="s">
        <v>51</v>
      </c>
      <c r="H46" s="323" t="s">
        <v>51</v>
      </c>
      <c r="I46" s="324">
        <v>3</v>
      </c>
      <c r="J46" s="323" t="s">
        <v>51</v>
      </c>
      <c r="K46" s="324">
        <v>22</v>
      </c>
    </row>
    <row r="47" spans="2:11" s="53" customFormat="1" ht="15" customHeight="1" x14ac:dyDescent="0.2">
      <c r="B47" s="254"/>
      <c r="C47" s="254"/>
      <c r="D47" s="141">
        <v>2019</v>
      </c>
      <c r="E47" s="146">
        <f t="shared" si="1"/>
        <v>42</v>
      </c>
      <c r="F47" s="306">
        <v>18</v>
      </c>
      <c r="G47" s="307" t="s">
        <v>51</v>
      </c>
      <c r="H47" s="306">
        <v>1</v>
      </c>
      <c r="I47" s="306">
        <v>2</v>
      </c>
      <c r="J47" s="307" t="s">
        <v>51</v>
      </c>
      <c r="K47" s="306">
        <v>21</v>
      </c>
    </row>
    <row r="48" spans="2:11" s="53" customFormat="1" ht="15" customHeight="1" x14ac:dyDescent="0.2">
      <c r="B48" s="254"/>
      <c r="C48" s="254"/>
      <c r="D48" s="141"/>
      <c r="E48" s="146"/>
      <c r="F48" s="306"/>
      <c r="G48" s="306"/>
      <c r="H48" s="306"/>
      <c r="I48" s="306"/>
      <c r="J48" s="307"/>
      <c r="K48" s="306"/>
    </row>
    <row r="49" spans="1:12" s="53" customFormat="1" ht="15" customHeight="1" x14ac:dyDescent="0.2">
      <c r="B49" s="56" t="s">
        <v>162</v>
      </c>
      <c r="C49" s="56"/>
      <c r="D49" s="141">
        <v>2017</v>
      </c>
      <c r="E49" s="146">
        <f t="shared" si="1"/>
        <v>87</v>
      </c>
      <c r="F49" s="306">
        <f>52+2</f>
        <v>54</v>
      </c>
      <c r="G49" s="307" t="s">
        <v>51</v>
      </c>
      <c r="H49" s="306">
        <v>1</v>
      </c>
      <c r="I49" s="306">
        <v>8</v>
      </c>
      <c r="J49" s="306">
        <v>1</v>
      </c>
      <c r="K49" s="306">
        <f>3+11+1+8</f>
        <v>23</v>
      </c>
    </row>
    <row r="50" spans="1:12" s="53" customFormat="1" ht="15" customHeight="1" x14ac:dyDescent="0.2">
      <c r="B50" s="254"/>
      <c r="C50" s="254"/>
      <c r="D50" s="141">
        <v>2018</v>
      </c>
      <c r="E50" s="146">
        <f t="shared" si="1"/>
        <v>42</v>
      </c>
      <c r="F50" s="324">
        <v>13</v>
      </c>
      <c r="G50" s="323" t="s">
        <v>51</v>
      </c>
      <c r="H50" s="323" t="s">
        <v>51</v>
      </c>
      <c r="I50" s="324">
        <v>7</v>
      </c>
      <c r="J50" s="323" t="s">
        <v>51</v>
      </c>
      <c r="K50" s="324">
        <v>22</v>
      </c>
    </row>
    <row r="51" spans="1:12" s="53" customFormat="1" ht="15" customHeight="1" x14ac:dyDescent="0.2">
      <c r="B51" s="254"/>
      <c r="C51" s="254"/>
      <c r="D51" s="141">
        <v>2019</v>
      </c>
      <c r="E51" s="146">
        <f t="shared" si="1"/>
        <v>66</v>
      </c>
      <c r="F51" s="53">
        <v>30</v>
      </c>
      <c r="G51" s="53">
        <v>1</v>
      </c>
      <c r="H51" s="53">
        <v>2</v>
      </c>
      <c r="I51" s="53">
        <v>5</v>
      </c>
      <c r="J51" s="301" t="s">
        <v>51</v>
      </c>
      <c r="K51" s="53">
        <v>28</v>
      </c>
    </row>
    <row r="52" spans="1:12" ht="8.1" customHeight="1" thickBot="1" x14ac:dyDescent="0.25">
      <c r="A52" s="34"/>
      <c r="B52" s="270"/>
      <c r="C52" s="270"/>
      <c r="D52" s="238"/>
      <c r="E52" s="12"/>
      <c r="F52" s="12"/>
      <c r="G52" s="12"/>
      <c r="H52" s="12"/>
      <c r="I52" s="12"/>
      <c r="J52" s="12"/>
      <c r="K52" s="12"/>
      <c r="L52" s="34"/>
    </row>
    <row r="53" spans="1:12" x14ac:dyDescent="0.25">
      <c r="E53" s="21"/>
      <c r="F53" s="153"/>
      <c r="G53" s="153"/>
      <c r="H53" s="153"/>
      <c r="I53" s="342"/>
      <c r="J53" s="332"/>
      <c r="K53" s="154" t="s">
        <v>99</v>
      </c>
    </row>
    <row r="54" spans="1:12" x14ac:dyDescent="0.25">
      <c r="E54" s="21"/>
      <c r="F54" s="153"/>
      <c r="G54" s="153"/>
      <c r="H54" s="153"/>
      <c r="I54" s="332"/>
      <c r="J54" s="332"/>
      <c r="K54" s="155" t="s">
        <v>1</v>
      </c>
    </row>
    <row r="55" spans="1:12" x14ac:dyDescent="0.25">
      <c r="A55" s="359" t="s">
        <v>254</v>
      </c>
      <c r="B55" s="27"/>
    </row>
    <row r="56" spans="1:12" x14ac:dyDescent="0.25">
      <c r="A56" s="420" t="s">
        <v>252</v>
      </c>
      <c r="B56" s="420"/>
    </row>
    <row r="57" spans="1:12" s="53" customFormat="1" ht="14.25" x14ac:dyDescent="0.2">
      <c r="A57" s="362" t="s">
        <v>253</v>
      </c>
      <c r="B57" s="362"/>
      <c r="C57" s="115"/>
      <c r="D57" s="115"/>
      <c r="E57" s="190"/>
      <c r="F57" s="189"/>
      <c r="G57" s="189"/>
      <c r="H57" s="191"/>
      <c r="I57" s="189"/>
      <c r="L57" s="2"/>
    </row>
    <row r="58" spans="1:12" x14ac:dyDescent="0.25">
      <c r="E58" s="21"/>
      <c r="F58" s="153"/>
      <c r="G58" s="153"/>
      <c r="H58" s="153"/>
      <c r="I58" s="153"/>
      <c r="J58" s="153"/>
      <c r="K58" s="153"/>
    </row>
    <row r="59" spans="1:12" x14ac:dyDescent="0.25">
      <c r="F59" s="334"/>
      <c r="G59" s="334"/>
      <c r="H59" s="335"/>
      <c r="I59" s="334"/>
      <c r="J59" s="15"/>
      <c r="K59" s="15"/>
    </row>
    <row r="60" spans="1:12" x14ac:dyDescent="0.25">
      <c r="F60" s="334"/>
      <c r="G60" s="334"/>
      <c r="H60" s="335"/>
      <c r="I60" s="334"/>
      <c r="J60" s="15"/>
      <c r="K60" s="15"/>
    </row>
  </sheetData>
  <mergeCells count="6">
    <mergeCell ref="K10:K11"/>
    <mergeCell ref="B10:C11"/>
    <mergeCell ref="E10:E11"/>
    <mergeCell ref="F10:F11"/>
    <mergeCell ref="G10:I10"/>
    <mergeCell ref="J10:J11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85" fitToWidth="0" orientation="portrait" r:id="rId1"/>
  <headerFooter>
    <oddHeader xml:space="preserve">&amp;R&amp;"-,Bold"
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63"/>
  <sheetViews>
    <sheetView showGridLines="0" topLeftCell="A34" zoomScale="80" zoomScaleNormal="80" zoomScaleSheetLayoutView="100" workbookViewId="0">
      <selection activeCell="AA22" sqref="AA22"/>
    </sheetView>
  </sheetViews>
  <sheetFormatPr defaultRowHeight="15" x14ac:dyDescent="0.25"/>
  <cols>
    <col min="1" max="1" width="1.7109375" style="2" customWidth="1"/>
    <col min="2" max="2" width="10.42578125" style="3" customWidth="1"/>
    <col min="3" max="3" width="9.140625" style="3" customWidth="1"/>
    <col min="4" max="4" width="9.28515625" style="3" customWidth="1"/>
    <col min="5" max="5" width="10.42578125" style="4" customWidth="1"/>
    <col min="6" max="7" width="11.7109375" style="5" customWidth="1"/>
    <col min="8" max="8" width="11.7109375" style="185" customWidth="1"/>
    <col min="9" max="9" width="12.28515625" style="5" customWidth="1"/>
    <col min="10" max="10" width="10.42578125" style="2" customWidth="1"/>
    <col min="11" max="11" width="11.7109375" style="2" customWidth="1"/>
    <col min="12" max="12" width="0.85546875" style="2" customWidth="1"/>
    <col min="13" max="16384" width="9.140625" style="2"/>
  </cols>
  <sheetData>
    <row r="1" spans="1:12" s="30" customFormat="1" ht="12.95" customHeight="1" x14ac:dyDescent="0.25">
      <c r="B1" s="27"/>
      <c r="C1" s="27"/>
      <c r="D1" s="29"/>
      <c r="E1" s="28"/>
      <c r="F1" s="29"/>
      <c r="J1" s="29"/>
      <c r="K1" s="160" t="s">
        <v>179</v>
      </c>
    </row>
    <row r="2" spans="1:12" s="30" customFormat="1" ht="12.95" customHeight="1" x14ac:dyDescent="0.25">
      <c r="B2" s="27"/>
      <c r="C2" s="27"/>
      <c r="D2" s="29"/>
      <c r="E2" s="28"/>
      <c r="F2" s="29"/>
      <c r="J2" s="29"/>
      <c r="K2" s="68" t="s">
        <v>180</v>
      </c>
    </row>
    <row r="3" spans="1:12" s="30" customFormat="1" ht="12" customHeight="1" x14ac:dyDescent="0.25">
      <c r="B3" s="27"/>
      <c r="C3" s="27"/>
      <c r="D3" s="29"/>
      <c r="E3" s="28"/>
      <c r="F3" s="29"/>
      <c r="G3" s="68"/>
      <c r="J3" s="29"/>
    </row>
    <row r="4" spans="1:12" s="30" customFormat="1" ht="12" customHeight="1" x14ac:dyDescent="0.25">
      <c r="B4" s="27"/>
      <c r="C4" s="27"/>
      <c r="D4" s="29"/>
      <c r="E4" s="28"/>
      <c r="F4" s="29"/>
      <c r="G4" s="68"/>
      <c r="J4" s="29"/>
    </row>
    <row r="5" spans="1:12" s="53" customFormat="1" ht="9.9499999999999993" customHeight="1" x14ac:dyDescent="0.2">
      <c r="B5" s="115"/>
      <c r="C5" s="115"/>
      <c r="D5" s="189"/>
      <c r="E5" s="190"/>
      <c r="F5" s="189"/>
      <c r="G5" s="189"/>
      <c r="H5" s="191"/>
      <c r="I5" s="189"/>
      <c r="J5" s="114"/>
    </row>
    <row r="6" spans="1:12" s="53" customFormat="1" ht="15" customHeight="1" x14ac:dyDescent="0.2">
      <c r="B6" s="63" t="s">
        <v>208</v>
      </c>
      <c r="C6" s="64" t="s">
        <v>249</v>
      </c>
      <c r="D6" s="189"/>
      <c r="E6" s="190"/>
      <c r="F6" s="64"/>
      <c r="G6" s="64"/>
      <c r="H6" s="64"/>
      <c r="I6" s="64"/>
      <c r="J6" s="79"/>
      <c r="K6" s="64"/>
      <c r="L6" s="179"/>
    </row>
    <row r="7" spans="1:12" s="53" customFormat="1" ht="18" customHeight="1" x14ac:dyDescent="0.2">
      <c r="B7" s="80" t="s">
        <v>209</v>
      </c>
      <c r="C7" s="86" t="s">
        <v>250</v>
      </c>
      <c r="D7" s="189"/>
      <c r="E7" s="190"/>
      <c r="F7" s="86"/>
      <c r="G7" s="86"/>
      <c r="H7" s="86"/>
      <c r="I7" s="86"/>
      <c r="J7" s="235"/>
      <c r="K7" s="86"/>
      <c r="L7" s="180"/>
    </row>
    <row r="8" spans="1:12" s="53" customFormat="1" ht="8.1" customHeight="1" thickBot="1" x14ac:dyDescent="0.25">
      <c r="B8" s="194"/>
      <c r="C8" s="194"/>
      <c r="D8" s="216"/>
      <c r="E8" s="215"/>
      <c r="F8" s="216"/>
      <c r="G8" s="216"/>
      <c r="H8" s="217"/>
      <c r="I8" s="216"/>
      <c r="J8" s="143"/>
      <c r="K8" s="116"/>
    </row>
    <row r="9" spans="1:12" s="53" customFormat="1" ht="8.1" customHeight="1" thickTop="1" x14ac:dyDescent="0.2">
      <c r="A9" s="378"/>
      <c r="B9" s="389"/>
      <c r="C9" s="389"/>
      <c r="D9" s="377"/>
      <c r="E9" s="400"/>
      <c r="F9" s="377"/>
      <c r="G9" s="377"/>
      <c r="H9" s="401"/>
      <c r="I9" s="377"/>
      <c r="J9" s="375"/>
      <c r="K9" s="378"/>
      <c r="L9" s="378"/>
    </row>
    <row r="10" spans="1:12" s="53" customFormat="1" ht="30.75" customHeight="1" x14ac:dyDescent="0.2">
      <c r="A10" s="390"/>
      <c r="B10" s="443" t="s">
        <v>207</v>
      </c>
      <c r="C10" s="443"/>
      <c r="D10" s="405" t="s">
        <v>96</v>
      </c>
      <c r="E10" s="437" t="s">
        <v>92</v>
      </c>
      <c r="F10" s="437" t="s">
        <v>203</v>
      </c>
      <c r="G10" s="440" t="s">
        <v>191</v>
      </c>
      <c r="H10" s="440"/>
      <c r="I10" s="440"/>
      <c r="J10" s="439" t="s">
        <v>251</v>
      </c>
      <c r="K10" s="437" t="s">
        <v>192</v>
      </c>
      <c r="L10" s="390"/>
    </row>
    <row r="11" spans="1:12" s="102" customFormat="1" ht="55.5" customHeight="1" x14ac:dyDescent="0.2">
      <c r="A11" s="398"/>
      <c r="B11" s="444"/>
      <c r="C11" s="444"/>
      <c r="D11" s="404"/>
      <c r="E11" s="442"/>
      <c r="F11" s="442"/>
      <c r="G11" s="403" t="s">
        <v>193</v>
      </c>
      <c r="H11" s="403" t="s">
        <v>194</v>
      </c>
      <c r="I11" s="403" t="s">
        <v>204</v>
      </c>
      <c r="J11" s="441"/>
      <c r="K11" s="442"/>
      <c r="L11" s="398"/>
    </row>
    <row r="12" spans="1:12" s="6" customFormat="1" ht="8.1" customHeight="1" x14ac:dyDescent="0.25">
      <c r="A12" s="24"/>
      <c r="B12" s="257"/>
      <c r="C12" s="257"/>
      <c r="D12" s="269"/>
      <c r="E12" s="259"/>
      <c r="F12" s="260"/>
      <c r="G12" s="259"/>
      <c r="H12" s="259"/>
      <c r="I12" s="259"/>
      <c r="J12" s="260"/>
      <c r="K12" s="259"/>
    </row>
    <row r="13" spans="1:12" s="53" customFormat="1" ht="15" customHeight="1" x14ac:dyDescent="0.2">
      <c r="B13" s="61" t="s">
        <v>205</v>
      </c>
      <c r="C13" s="124"/>
      <c r="D13" s="121"/>
      <c r="E13" s="146"/>
      <c r="F13" s="145"/>
      <c r="G13" s="145"/>
      <c r="H13" s="145"/>
      <c r="I13" s="145"/>
      <c r="J13" s="145"/>
      <c r="K13" s="145"/>
    </row>
    <row r="14" spans="1:12" s="53" customFormat="1" ht="8.1" customHeight="1" x14ac:dyDescent="0.2">
      <c r="B14" s="124"/>
      <c r="C14" s="124"/>
      <c r="D14" s="121"/>
      <c r="E14" s="146"/>
      <c r="F14" s="145"/>
      <c r="G14" s="145"/>
      <c r="H14" s="145"/>
      <c r="I14" s="145"/>
      <c r="J14" s="145"/>
      <c r="K14" s="145"/>
    </row>
    <row r="15" spans="1:12" s="53" customFormat="1" ht="15" customHeight="1" x14ac:dyDescent="0.2">
      <c r="B15" s="56" t="s">
        <v>163</v>
      </c>
      <c r="C15" s="56"/>
      <c r="D15" s="148">
        <v>2017</v>
      </c>
      <c r="E15" s="146">
        <f>SUM(F15:K15)</f>
        <v>236</v>
      </c>
      <c r="F15" s="324">
        <v>85</v>
      </c>
      <c r="G15" s="323">
        <v>3</v>
      </c>
      <c r="H15" s="323">
        <v>8</v>
      </c>
      <c r="I15" s="324">
        <v>37</v>
      </c>
      <c r="J15" s="322" t="s">
        <v>51</v>
      </c>
      <c r="K15" s="324">
        <v>103</v>
      </c>
    </row>
    <row r="16" spans="1:12" s="53" customFormat="1" ht="15" customHeight="1" x14ac:dyDescent="0.2">
      <c r="B16" s="254"/>
      <c r="C16" s="254"/>
      <c r="D16" s="148">
        <v>2018</v>
      </c>
      <c r="E16" s="146">
        <f t="shared" ref="E16:E17" si="0">SUM(F16:K16)</f>
        <v>249</v>
      </c>
      <c r="F16" s="324">
        <v>77</v>
      </c>
      <c r="G16" s="323" t="s">
        <v>51</v>
      </c>
      <c r="H16" s="323">
        <v>5</v>
      </c>
      <c r="I16" s="324">
        <v>31</v>
      </c>
      <c r="J16" s="323" t="s">
        <v>51</v>
      </c>
      <c r="K16" s="324">
        <v>136</v>
      </c>
    </row>
    <row r="17" spans="1:11" s="53" customFormat="1" ht="15" customHeight="1" x14ac:dyDescent="0.2">
      <c r="B17" s="254"/>
      <c r="C17" s="254"/>
      <c r="D17" s="148">
        <v>2019</v>
      </c>
      <c r="E17" s="146">
        <f t="shared" si="0"/>
        <v>267</v>
      </c>
      <c r="F17" s="146">
        <v>100</v>
      </c>
      <c r="G17" s="144" t="s">
        <v>51</v>
      </c>
      <c r="H17" s="146">
        <v>3</v>
      </c>
      <c r="I17" s="146">
        <v>35</v>
      </c>
      <c r="J17" s="144" t="s">
        <v>51</v>
      </c>
      <c r="K17" s="146">
        <v>129</v>
      </c>
    </row>
    <row r="18" spans="1:11" s="53" customFormat="1" ht="8.1" customHeight="1" x14ac:dyDescent="0.2">
      <c r="B18" s="254"/>
      <c r="C18" s="254"/>
      <c r="D18" s="148"/>
      <c r="E18" s="146"/>
      <c r="F18" s="306"/>
      <c r="G18" s="306"/>
      <c r="H18" s="306"/>
      <c r="I18" s="306"/>
      <c r="J18" s="307"/>
      <c r="K18" s="306"/>
    </row>
    <row r="19" spans="1:11" s="53" customFormat="1" ht="15" customHeight="1" x14ac:dyDescent="0.2">
      <c r="B19" s="104" t="s">
        <v>164</v>
      </c>
      <c r="C19" s="104"/>
      <c r="D19" s="148">
        <v>2017</v>
      </c>
      <c r="E19" s="146">
        <f t="shared" ref="E19:E21" si="1">SUM(F19:K19)</f>
        <v>262</v>
      </c>
      <c r="F19" s="306">
        <f>65+36</f>
        <v>101</v>
      </c>
      <c r="G19" s="306">
        <v>1</v>
      </c>
      <c r="H19" s="306">
        <v>11</v>
      </c>
      <c r="I19" s="306">
        <v>19</v>
      </c>
      <c r="J19" s="307" t="s">
        <v>51</v>
      </c>
      <c r="K19" s="306">
        <f>9+2+29+2+86+2</f>
        <v>130</v>
      </c>
    </row>
    <row r="20" spans="1:11" s="53" customFormat="1" ht="15" customHeight="1" x14ac:dyDescent="0.25">
      <c r="B20" s="271"/>
      <c r="C20" s="271"/>
      <c r="D20" s="148">
        <v>2018</v>
      </c>
      <c r="E20" s="146">
        <f t="shared" si="1"/>
        <v>294</v>
      </c>
      <c r="F20" s="325">
        <v>143</v>
      </c>
      <c r="G20" s="325">
        <v>4</v>
      </c>
      <c r="H20" s="325">
        <v>8</v>
      </c>
      <c r="I20" s="325">
        <v>9</v>
      </c>
      <c r="J20" s="326" t="s">
        <v>51</v>
      </c>
      <c r="K20" s="325">
        <v>130</v>
      </c>
    </row>
    <row r="21" spans="1:11" s="53" customFormat="1" ht="15" customHeight="1" x14ac:dyDescent="0.2">
      <c r="B21" s="271"/>
      <c r="C21" s="271"/>
      <c r="D21" s="148">
        <v>2019</v>
      </c>
      <c r="E21" s="146">
        <f t="shared" si="1"/>
        <v>301</v>
      </c>
      <c r="F21" s="306">
        <v>111</v>
      </c>
      <c r="G21" s="307" t="s">
        <v>51</v>
      </c>
      <c r="H21" s="306">
        <v>3</v>
      </c>
      <c r="I21" s="306">
        <v>16</v>
      </c>
      <c r="J21" s="307" t="s">
        <v>51</v>
      </c>
      <c r="K21" s="306">
        <v>171</v>
      </c>
    </row>
    <row r="22" spans="1:11" s="53" customFormat="1" ht="8.1" customHeight="1" x14ac:dyDescent="0.2">
      <c r="B22" s="271"/>
      <c r="C22" s="271"/>
      <c r="D22" s="148"/>
      <c r="E22" s="146"/>
      <c r="F22" s="306"/>
      <c r="G22" s="306"/>
      <c r="H22" s="306"/>
      <c r="I22" s="306"/>
      <c r="J22" s="306"/>
      <c r="K22" s="306"/>
    </row>
    <row r="23" spans="1:11" s="53" customFormat="1" ht="15" customHeight="1" x14ac:dyDescent="0.2">
      <c r="B23" s="56" t="s">
        <v>165</v>
      </c>
      <c r="C23" s="56"/>
      <c r="D23" s="148">
        <v>2017</v>
      </c>
      <c r="E23" s="146">
        <f t="shared" ref="E23:E25" si="2">SUM(F23:K23)</f>
        <v>538</v>
      </c>
      <c r="F23" s="306">
        <f>135+52</f>
        <v>187</v>
      </c>
      <c r="G23" s="306">
        <v>30</v>
      </c>
      <c r="H23" s="306">
        <v>32</v>
      </c>
      <c r="I23" s="306">
        <v>60</v>
      </c>
      <c r="J23" s="307" t="s">
        <v>51</v>
      </c>
      <c r="K23" s="306">
        <f>2+33+35+70+1+88</f>
        <v>229</v>
      </c>
    </row>
    <row r="24" spans="1:11" s="116" customFormat="1" ht="15" customHeight="1" x14ac:dyDescent="0.25">
      <c r="A24" s="115"/>
      <c r="B24" s="254"/>
      <c r="C24" s="254"/>
      <c r="D24" s="148">
        <v>2018</v>
      </c>
      <c r="E24" s="146">
        <f t="shared" si="2"/>
        <v>526</v>
      </c>
      <c r="F24" s="305">
        <v>201</v>
      </c>
      <c r="G24" s="305">
        <v>14</v>
      </c>
      <c r="H24" s="305">
        <v>15</v>
      </c>
      <c r="I24" s="305">
        <v>65</v>
      </c>
      <c r="J24" s="305">
        <v>1</v>
      </c>
      <c r="K24" s="305">
        <v>230</v>
      </c>
    </row>
    <row r="25" spans="1:11" s="116" customFormat="1" ht="15" customHeight="1" x14ac:dyDescent="0.2">
      <c r="A25" s="53"/>
      <c r="B25" s="254"/>
      <c r="C25" s="254"/>
      <c r="D25" s="148">
        <v>2019</v>
      </c>
      <c r="E25" s="146">
        <f t="shared" si="2"/>
        <v>496</v>
      </c>
      <c r="F25" s="306">
        <v>185</v>
      </c>
      <c r="G25" s="306">
        <v>15</v>
      </c>
      <c r="H25" s="306">
        <v>21</v>
      </c>
      <c r="I25" s="306">
        <v>44</v>
      </c>
      <c r="J25" s="307" t="s">
        <v>51</v>
      </c>
      <c r="K25" s="306">
        <v>231</v>
      </c>
    </row>
    <row r="26" spans="1:11" s="116" customFormat="1" ht="8.1" customHeight="1" x14ac:dyDescent="0.2">
      <c r="A26" s="53"/>
      <c r="B26" s="254"/>
      <c r="C26" s="254"/>
      <c r="D26" s="148"/>
      <c r="E26" s="146"/>
      <c r="F26" s="306"/>
      <c r="G26" s="306"/>
      <c r="H26" s="306"/>
      <c r="I26" s="306"/>
      <c r="J26" s="307"/>
      <c r="K26" s="306"/>
    </row>
    <row r="27" spans="1:11" s="106" customFormat="1" ht="15" customHeight="1" x14ac:dyDescent="0.2">
      <c r="A27" s="53"/>
      <c r="B27" s="56" t="s">
        <v>166</v>
      </c>
      <c r="C27" s="56"/>
      <c r="D27" s="148">
        <v>2017</v>
      </c>
      <c r="E27" s="146">
        <f t="shared" ref="E27:E29" si="3">SUM(F27:K27)</f>
        <v>57</v>
      </c>
      <c r="F27" s="306">
        <f>18+3</f>
        <v>21</v>
      </c>
      <c r="G27" s="306">
        <v>1</v>
      </c>
      <c r="H27" s="306">
        <v>5</v>
      </c>
      <c r="I27" s="306">
        <v>4</v>
      </c>
      <c r="J27" s="307" t="s">
        <v>51</v>
      </c>
      <c r="K27" s="306">
        <f>7+3+6+10</f>
        <v>26</v>
      </c>
    </row>
    <row r="28" spans="1:11" s="116" customFormat="1" ht="15" customHeight="1" x14ac:dyDescent="0.25">
      <c r="A28" s="53"/>
      <c r="B28" s="254"/>
      <c r="C28" s="254"/>
      <c r="D28" s="148">
        <v>2018</v>
      </c>
      <c r="E28" s="146">
        <f t="shared" si="3"/>
        <v>56</v>
      </c>
      <c r="F28" s="305">
        <v>26</v>
      </c>
      <c r="G28" s="327" t="s">
        <v>51</v>
      </c>
      <c r="H28" s="305">
        <v>3</v>
      </c>
      <c r="I28" s="305">
        <v>6</v>
      </c>
      <c r="J28" s="327" t="s">
        <v>51</v>
      </c>
      <c r="K28" s="305">
        <v>21</v>
      </c>
    </row>
    <row r="29" spans="1:11" s="116" customFormat="1" ht="15" customHeight="1" x14ac:dyDescent="0.2">
      <c r="A29" s="53"/>
      <c r="B29" s="254"/>
      <c r="C29" s="254"/>
      <c r="D29" s="148">
        <v>2019</v>
      </c>
      <c r="E29" s="146">
        <f t="shared" si="3"/>
        <v>79</v>
      </c>
      <c r="F29" s="306">
        <v>33</v>
      </c>
      <c r="G29" s="306">
        <v>2</v>
      </c>
      <c r="H29" s="306">
        <v>5</v>
      </c>
      <c r="I29" s="306">
        <v>6</v>
      </c>
      <c r="J29" s="307" t="s">
        <v>51</v>
      </c>
      <c r="K29" s="306">
        <v>33</v>
      </c>
    </row>
    <row r="30" spans="1:11" s="116" customFormat="1" ht="8.1" customHeight="1" x14ac:dyDescent="0.2">
      <c r="A30" s="53"/>
      <c r="B30" s="254"/>
      <c r="C30" s="254"/>
      <c r="D30" s="148"/>
      <c r="E30" s="146"/>
      <c r="F30" s="306"/>
      <c r="G30" s="306"/>
      <c r="H30" s="306"/>
      <c r="I30" s="306"/>
      <c r="J30" s="306"/>
      <c r="K30" s="306"/>
    </row>
    <row r="31" spans="1:11" s="116" customFormat="1" ht="15" customHeight="1" x14ac:dyDescent="0.2">
      <c r="B31" s="56" t="s">
        <v>167</v>
      </c>
      <c r="C31" s="56"/>
      <c r="D31" s="148">
        <v>2017</v>
      </c>
      <c r="E31" s="146">
        <f t="shared" ref="E31:E33" si="4">SUM(F31:K31)</f>
        <v>547</v>
      </c>
      <c r="F31" s="306">
        <f>201+37</f>
        <v>238</v>
      </c>
      <c r="G31" s="306">
        <v>9</v>
      </c>
      <c r="H31" s="306">
        <v>27</v>
      </c>
      <c r="I31" s="306">
        <v>67</v>
      </c>
      <c r="J31" s="307" t="s">
        <v>51</v>
      </c>
      <c r="K31" s="306">
        <f>1+15+45+67+78</f>
        <v>206</v>
      </c>
    </row>
    <row r="32" spans="1:11" s="83" customFormat="1" ht="15" customHeight="1" x14ac:dyDescent="0.25">
      <c r="A32" s="53"/>
      <c r="B32" s="254"/>
      <c r="C32" s="254"/>
      <c r="D32" s="148">
        <v>2018</v>
      </c>
      <c r="E32" s="146">
        <f t="shared" si="4"/>
        <v>587</v>
      </c>
      <c r="F32" s="305">
        <v>285</v>
      </c>
      <c r="G32" s="305">
        <v>6</v>
      </c>
      <c r="H32" s="305">
        <v>21</v>
      </c>
      <c r="I32" s="305">
        <v>32</v>
      </c>
      <c r="J32" s="327" t="s">
        <v>51</v>
      </c>
      <c r="K32" s="305">
        <v>243</v>
      </c>
    </row>
    <row r="33" spans="1:11" s="116" customFormat="1" ht="15" customHeight="1" x14ac:dyDescent="0.2">
      <c r="A33" s="53"/>
      <c r="B33" s="254"/>
      <c r="C33" s="254"/>
      <c r="D33" s="148">
        <v>2019</v>
      </c>
      <c r="E33" s="146">
        <f t="shared" si="4"/>
        <v>533</v>
      </c>
      <c r="F33" s="306">
        <v>215</v>
      </c>
      <c r="G33" s="306">
        <v>6</v>
      </c>
      <c r="H33" s="306">
        <v>16</v>
      </c>
      <c r="I33" s="306">
        <v>20</v>
      </c>
      <c r="J33" s="307" t="s">
        <v>51</v>
      </c>
      <c r="K33" s="306">
        <v>276</v>
      </c>
    </row>
    <row r="34" spans="1:11" s="116" customFormat="1" ht="8.1" customHeight="1" x14ac:dyDescent="0.2">
      <c r="A34" s="53"/>
      <c r="B34" s="254"/>
      <c r="C34" s="254"/>
      <c r="D34" s="148"/>
      <c r="E34" s="146"/>
      <c r="F34" s="306"/>
      <c r="G34" s="307"/>
      <c r="H34" s="306"/>
      <c r="I34" s="306"/>
      <c r="J34" s="306"/>
      <c r="K34" s="306"/>
    </row>
    <row r="35" spans="1:11" s="53" customFormat="1" ht="15" customHeight="1" x14ac:dyDescent="0.2">
      <c r="B35" s="56" t="s">
        <v>168</v>
      </c>
      <c r="C35" s="56"/>
      <c r="D35" s="148">
        <v>2017</v>
      </c>
      <c r="E35" s="146">
        <f t="shared" ref="E35:E37" si="5">SUM(F35:K35)</f>
        <v>321</v>
      </c>
      <c r="F35" s="306">
        <f>83+8</f>
        <v>91</v>
      </c>
      <c r="G35" s="307" t="s">
        <v>51</v>
      </c>
      <c r="H35" s="306">
        <v>11</v>
      </c>
      <c r="I35" s="306">
        <v>26</v>
      </c>
      <c r="J35" s="306">
        <v>7</v>
      </c>
      <c r="K35" s="306">
        <f>1+16+4+79+1+85</f>
        <v>186</v>
      </c>
    </row>
    <row r="36" spans="1:11" s="53" customFormat="1" ht="15" customHeight="1" x14ac:dyDescent="0.25">
      <c r="B36" s="254"/>
      <c r="C36" s="254"/>
      <c r="D36" s="148">
        <v>2018</v>
      </c>
      <c r="E36" s="146">
        <f t="shared" si="5"/>
        <v>378</v>
      </c>
      <c r="F36" s="325">
        <v>101</v>
      </c>
      <c r="G36" s="325">
        <v>1</v>
      </c>
      <c r="H36" s="325">
        <v>11</v>
      </c>
      <c r="I36" s="325">
        <v>19</v>
      </c>
      <c r="J36" s="325">
        <v>2</v>
      </c>
      <c r="K36" s="325">
        <v>244</v>
      </c>
    </row>
    <row r="37" spans="1:11" s="53" customFormat="1" ht="15" customHeight="1" x14ac:dyDescent="0.2">
      <c r="A37" s="116"/>
      <c r="B37" s="254"/>
      <c r="C37" s="254"/>
      <c r="D37" s="148">
        <v>2019</v>
      </c>
      <c r="E37" s="146">
        <f t="shared" si="5"/>
        <v>312</v>
      </c>
      <c r="F37" s="306">
        <v>94</v>
      </c>
      <c r="G37" s="306">
        <v>1</v>
      </c>
      <c r="H37" s="306">
        <v>7</v>
      </c>
      <c r="I37" s="306">
        <v>17</v>
      </c>
      <c r="J37" s="307" t="s">
        <v>51</v>
      </c>
      <c r="K37" s="306">
        <v>193</v>
      </c>
    </row>
    <row r="38" spans="1:11" s="53" customFormat="1" ht="8.1" customHeight="1" x14ac:dyDescent="0.2">
      <c r="A38" s="116"/>
      <c r="B38" s="254"/>
      <c r="C38" s="254"/>
      <c r="D38" s="148"/>
      <c r="E38" s="146"/>
      <c r="F38" s="306"/>
      <c r="G38" s="307"/>
      <c r="H38" s="306"/>
      <c r="I38" s="306"/>
      <c r="J38" s="307"/>
      <c r="K38" s="306"/>
    </row>
    <row r="39" spans="1:11" s="53" customFormat="1" ht="15" customHeight="1" x14ac:dyDescent="0.2">
      <c r="B39" s="56" t="s">
        <v>169</v>
      </c>
      <c r="C39" s="56"/>
      <c r="D39" s="148">
        <v>2017</v>
      </c>
      <c r="E39" s="146">
        <f t="shared" ref="E39:E41" si="6">SUM(F39:K39)</f>
        <v>96</v>
      </c>
      <c r="F39" s="306">
        <f>17+9</f>
        <v>26</v>
      </c>
      <c r="G39" s="306">
        <v>2</v>
      </c>
      <c r="H39" s="306">
        <v>5</v>
      </c>
      <c r="I39" s="306">
        <v>11</v>
      </c>
      <c r="J39" s="307" t="s">
        <v>51</v>
      </c>
      <c r="K39" s="306">
        <f>4+1+6+1+40</f>
        <v>52</v>
      </c>
    </row>
    <row r="40" spans="1:11" s="53" customFormat="1" ht="15" customHeight="1" x14ac:dyDescent="0.25">
      <c r="B40" s="254"/>
      <c r="C40" s="254"/>
      <c r="D40" s="148">
        <v>2018</v>
      </c>
      <c r="E40" s="146">
        <f t="shared" si="6"/>
        <v>91</v>
      </c>
      <c r="F40" s="325">
        <v>35</v>
      </c>
      <c r="G40" s="326" t="s">
        <v>51</v>
      </c>
      <c r="H40" s="325">
        <v>2</v>
      </c>
      <c r="I40" s="325">
        <v>2</v>
      </c>
      <c r="J40" s="326" t="s">
        <v>51</v>
      </c>
      <c r="K40" s="325">
        <v>52</v>
      </c>
    </row>
    <row r="41" spans="1:11" s="53" customFormat="1" ht="15" customHeight="1" x14ac:dyDescent="0.2">
      <c r="A41" s="116"/>
      <c r="B41" s="254"/>
      <c r="C41" s="254"/>
      <c r="D41" s="148">
        <v>2019</v>
      </c>
      <c r="E41" s="146">
        <f t="shared" si="6"/>
        <v>92</v>
      </c>
      <c r="F41" s="306">
        <v>30</v>
      </c>
      <c r="G41" s="307" t="s">
        <v>51</v>
      </c>
      <c r="H41" s="307" t="s">
        <v>51</v>
      </c>
      <c r="I41" s="306">
        <v>10</v>
      </c>
      <c r="J41" s="307" t="s">
        <v>51</v>
      </c>
      <c r="K41" s="306">
        <v>52</v>
      </c>
    </row>
    <row r="42" spans="1:11" s="53" customFormat="1" ht="8.1" customHeight="1" x14ac:dyDescent="0.2">
      <c r="A42" s="116"/>
      <c r="B42" s="254"/>
      <c r="C42" s="254"/>
      <c r="D42" s="148"/>
      <c r="E42" s="146"/>
      <c r="F42" s="306"/>
      <c r="G42" s="306"/>
      <c r="H42" s="306"/>
      <c r="I42" s="306"/>
      <c r="J42" s="306"/>
      <c r="K42" s="306"/>
    </row>
    <row r="43" spans="1:11" s="53" customFormat="1" ht="15" customHeight="1" x14ac:dyDescent="0.2">
      <c r="B43" s="56" t="s">
        <v>170</v>
      </c>
      <c r="C43" s="56"/>
      <c r="D43" s="148">
        <v>2017</v>
      </c>
      <c r="E43" s="146">
        <f t="shared" ref="E43:E45" si="7">SUM(F43:K43)</f>
        <v>910</v>
      </c>
      <c r="F43" s="306">
        <f>269+59</f>
        <v>328</v>
      </c>
      <c r="G43" s="306">
        <v>14</v>
      </c>
      <c r="H43" s="306">
        <v>39</v>
      </c>
      <c r="I43" s="306">
        <v>93</v>
      </c>
      <c r="J43" s="306">
        <v>7</v>
      </c>
      <c r="K43" s="306">
        <f>31+24+177+7+190</f>
        <v>429</v>
      </c>
    </row>
    <row r="44" spans="1:11" s="53" customFormat="1" ht="15" customHeight="1" x14ac:dyDescent="0.25">
      <c r="B44" s="254"/>
      <c r="C44" s="254"/>
      <c r="D44" s="148">
        <v>2018</v>
      </c>
      <c r="E44" s="146">
        <f t="shared" si="7"/>
        <v>871</v>
      </c>
      <c r="F44" s="325">
        <v>280</v>
      </c>
      <c r="G44" s="325">
        <v>1</v>
      </c>
      <c r="H44" s="325">
        <v>25</v>
      </c>
      <c r="I44" s="325">
        <v>57</v>
      </c>
      <c r="J44" s="326" t="s">
        <v>51</v>
      </c>
      <c r="K44" s="325">
        <v>508</v>
      </c>
    </row>
    <row r="45" spans="1:11" s="53" customFormat="1" ht="15" customHeight="1" x14ac:dyDescent="0.2">
      <c r="A45" s="106"/>
      <c r="B45" s="254"/>
      <c r="C45" s="254"/>
      <c r="D45" s="148">
        <v>2019</v>
      </c>
      <c r="E45" s="146">
        <f t="shared" si="7"/>
        <v>840</v>
      </c>
      <c r="F45" s="306">
        <v>295</v>
      </c>
      <c r="G45" s="306">
        <v>3</v>
      </c>
      <c r="H45" s="306">
        <v>21</v>
      </c>
      <c r="I45" s="306">
        <v>52</v>
      </c>
      <c r="J45" s="307" t="s">
        <v>51</v>
      </c>
      <c r="K45" s="306">
        <v>469</v>
      </c>
    </row>
    <row r="46" spans="1:11" s="53" customFormat="1" ht="8.1" customHeight="1" x14ac:dyDescent="0.2">
      <c r="A46" s="106"/>
      <c r="B46" s="254"/>
      <c r="C46" s="254"/>
      <c r="D46" s="148"/>
      <c r="E46" s="146"/>
      <c r="F46" s="306"/>
      <c r="G46" s="306"/>
      <c r="H46" s="306"/>
      <c r="I46" s="306"/>
      <c r="J46" s="307"/>
      <c r="K46" s="306"/>
    </row>
    <row r="47" spans="1:11" s="53" customFormat="1" ht="15" customHeight="1" x14ac:dyDescent="0.2">
      <c r="B47" s="56" t="s">
        <v>171</v>
      </c>
      <c r="C47" s="56"/>
      <c r="D47" s="148">
        <v>2017</v>
      </c>
      <c r="E47" s="146">
        <f t="shared" ref="E47:E49" si="8">SUM(F47:K47)</f>
        <v>35</v>
      </c>
      <c r="F47" s="306">
        <f>12+7</f>
        <v>19</v>
      </c>
      <c r="G47" s="306">
        <v>1</v>
      </c>
      <c r="H47" s="306">
        <v>1</v>
      </c>
      <c r="I47" s="306">
        <v>4</v>
      </c>
      <c r="J47" s="307" t="s">
        <v>51</v>
      </c>
      <c r="K47" s="306">
        <f>3+1+6</f>
        <v>10</v>
      </c>
    </row>
    <row r="48" spans="1:11" s="53" customFormat="1" ht="15" customHeight="1" x14ac:dyDescent="0.25">
      <c r="B48" s="254"/>
      <c r="C48" s="254"/>
      <c r="D48" s="148">
        <v>2018</v>
      </c>
      <c r="E48" s="146">
        <f t="shared" si="8"/>
        <v>36</v>
      </c>
      <c r="F48" s="325">
        <v>20</v>
      </c>
      <c r="G48" s="325">
        <v>1</v>
      </c>
      <c r="H48" s="325">
        <v>1</v>
      </c>
      <c r="I48" s="325">
        <v>3</v>
      </c>
      <c r="J48" s="326" t="s">
        <v>51</v>
      </c>
      <c r="K48" s="325">
        <v>11</v>
      </c>
    </row>
    <row r="49" spans="1:12" s="53" customFormat="1" ht="15" customHeight="1" x14ac:dyDescent="0.2">
      <c r="A49" s="116"/>
      <c r="B49" s="254"/>
      <c r="C49" s="254"/>
      <c r="D49" s="148">
        <v>2019</v>
      </c>
      <c r="E49" s="146">
        <f t="shared" si="8"/>
        <v>30</v>
      </c>
      <c r="F49" s="306">
        <v>10</v>
      </c>
      <c r="G49" s="307" t="s">
        <v>51</v>
      </c>
      <c r="H49" s="306">
        <v>1</v>
      </c>
      <c r="I49" s="306">
        <v>9</v>
      </c>
      <c r="J49" s="307" t="s">
        <v>51</v>
      </c>
      <c r="K49" s="306">
        <v>10</v>
      </c>
    </row>
    <row r="50" spans="1:12" s="53" customFormat="1" ht="8.1" customHeight="1" x14ac:dyDescent="0.2">
      <c r="A50" s="116"/>
      <c r="B50" s="254"/>
      <c r="C50" s="254"/>
      <c r="D50" s="148"/>
      <c r="E50" s="146"/>
      <c r="F50" s="306"/>
      <c r="G50" s="306"/>
      <c r="H50" s="306"/>
      <c r="I50" s="306"/>
      <c r="J50" s="306"/>
      <c r="K50" s="306"/>
    </row>
    <row r="51" spans="1:12" s="53" customFormat="1" ht="15" customHeight="1" x14ac:dyDescent="0.2">
      <c r="B51" s="56" t="s">
        <v>172</v>
      </c>
      <c r="C51" s="56"/>
      <c r="D51" s="148">
        <v>2017</v>
      </c>
      <c r="E51" s="146">
        <f t="shared" ref="E51:E53" si="9">SUM(F51:K51)</f>
        <v>103</v>
      </c>
      <c r="F51" s="306">
        <f>35+3</f>
        <v>38</v>
      </c>
      <c r="G51" s="307" t="s">
        <v>51</v>
      </c>
      <c r="H51" s="306">
        <v>5</v>
      </c>
      <c r="I51" s="306">
        <v>29</v>
      </c>
      <c r="J51" s="307" t="s">
        <v>51</v>
      </c>
      <c r="K51" s="306">
        <f>2+3+10+3+13</f>
        <v>31</v>
      </c>
    </row>
    <row r="52" spans="1:12" s="53" customFormat="1" ht="15" customHeight="1" x14ac:dyDescent="0.25">
      <c r="B52" s="254"/>
      <c r="C52" s="254"/>
      <c r="D52" s="148">
        <v>2018</v>
      </c>
      <c r="E52" s="146">
        <f t="shared" si="9"/>
        <v>108</v>
      </c>
      <c r="F52" s="325">
        <v>43</v>
      </c>
      <c r="G52" s="326" t="s">
        <v>51</v>
      </c>
      <c r="H52" s="325">
        <v>7</v>
      </c>
      <c r="I52" s="325">
        <v>17</v>
      </c>
      <c r="J52" s="325">
        <v>1</v>
      </c>
      <c r="K52" s="325">
        <v>40</v>
      </c>
    </row>
    <row r="53" spans="1:12" s="53" customFormat="1" ht="15" customHeight="1" x14ac:dyDescent="0.2">
      <c r="A53" s="116"/>
      <c r="B53" s="254"/>
      <c r="C53" s="254"/>
      <c r="D53" s="148">
        <v>2019</v>
      </c>
      <c r="E53" s="146">
        <f t="shared" si="9"/>
        <v>84</v>
      </c>
      <c r="F53" s="306">
        <v>33</v>
      </c>
      <c r="G53" s="306">
        <v>3</v>
      </c>
      <c r="H53" s="306">
        <v>9</v>
      </c>
      <c r="I53" s="306">
        <v>13</v>
      </c>
      <c r="J53" s="307" t="s">
        <v>51</v>
      </c>
      <c r="K53" s="306">
        <v>26</v>
      </c>
    </row>
    <row r="54" spans="1:12" s="53" customFormat="1" ht="8.1" customHeight="1" x14ac:dyDescent="0.2">
      <c r="A54" s="116"/>
      <c r="B54" s="254"/>
      <c r="C54" s="254"/>
      <c r="D54" s="148"/>
      <c r="E54" s="146"/>
      <c r="F54" s="306"/>
      <c r="G54" s="307"/>
      <c r="H54" s="306"/>
      <c r="I54" s="306"/>
      <c r="J54" s="306"/>
      <c r="K54" s="306"/>
    </row>
    <row r="55" spans="1:12" s="53" customFormat="1" ht="15" customHeight="1" x14ac:dyDescent="0.2">
      <c r="B55" s="56" t="s">
        <v>173</v>
      </c>
      <c r="C55" s="56"/>
      <c r="D55" s="148">
        <v>2017</v>
      </c>
      <c r="E55" s="146">
        <f t="shared" ref="E55:E57" si="10">SUM(F55:K55)</f>
        <v>184</v>
      </c>
      <c r="F55" s="306">
        <f>49+3</f>
        <v>52</v>
      </c>
      <c r="G55" s="307" t="s">
        <v>51</v>
      </c>
      <c r="H55" s="306">
        <v>2</v>
      </c>
      <c r="I55" s="306">
        <v>15</v>
      </c>
      <c r="J55" s="307" t="s">
        <v>51</v>
      </c>
      <c r="K55" s="306">
        <f>2+9+41+9+54</f>
        <v>115</v>
      </c>
    </row>
    <row r="56" spans="1:12" s="53" customFormat="1" ht="15" customHeight="1" x14ac:dyDescent="0.25">
      <c r="A56" s="116"/>
      <c r="B56" s="254"/>
      <c r="C56" s="254"/>
      <c r="D56" s="148">
        <v>2018</v>
      </c>
      <c r="E56" s="146">
        <f t="shared" si="10"/>
        <v>241</v>
      </c>
      <c r="F56" s="325">
        <v>77</v>
      </c>
      <c r="G56" s="326" t="s">
        <v>51</v>
      </c>
      <c r="H56" s="326" t="s">
        <v>51</v>
      </c>
      <c r="I56" s="325">
        <v>13</v>
      </c>
      <c r="J56" s="326" t="s">
        <v>51</v>
      </c>
      <c r="K56" s="325">
        <v>151</v>
      </c>
    </row>
    <row r="57" spans="1:12" s="53" customFormat="1" ht="15" customHeight="1" x14ac:dyDescent="0.2">
      <c r="A57" s="116"/>
      <c r="B57" s="254"/>
      <c r="C57" s="254"/>
      <c r="D57" s="148">
        <v>2019</v>
      </c>
      <c r="E57" s="146">
        <f t="shared" si="10"/>
        <v>232</v>
      </c>
      <c r="F57" s="53">
        <v>56</v>
      </c>
      <c r="G57" s="301" t="s">
        <v>51</v>
      </c>
      <c r="H57" s="114">
        <v>1</v>
      </c>
      <c r="I57" s="114">
        <v>9</v>
      </c>
      <c r="J57" s="301" t="s">
        <v>51</v>
      </c>
      <c r="K57" s="53">
        <v>166</v>
      </c>
    </row>
    <row r="58" spans="1:12" ht="8.1" customHeight="1" thickBot="1" x14ac:dyDescent="0.25">
      <c r="A58" s="34"/>
      <c r="B58" s="270"/>
      <c r="C58" s="270"/>
      <c r="D58" s="238"/>
      <c r="E58" s="178"/>
      <c r="F58" s="178"/>
      <c r="G58" s="178"/>
      <c r="H58" s="178"/>
      <c r="I58" s="178"/>
      <c r="J58" s="178"/>
      <c r="K58" s="178"/>
      <c r="L58" s="34"/>
    </row>
    <row r="59" spans="1:12" x14ac:dyDescent="0.25">
      <c r="I59" s="241"/>
      <c r="J59" s="184"/>
      <c r="K59" s="8" t="s">
        <v>99</v>
      </c>
    </row>
    <row r="60" spans="1:12" x14ac:dyDescent="0.25">
      <c r="I60" s="240"/>
      <c r="J60" s="183"/>
      <c r="K60" s="41" t="s">
        <v>1</v>
      </c>
    </row>
    <row r="61" spans="1:12" x14ac:dyDescent="0.25">
      <c r="A61" s="359" t="s">
        <v>254</v>
      </c>
      <c r="B61" s="27"/>
    </row>
    <row r="62" spans="1:12" x14ac:dyDescent="0.25">
      <c r="A62" s="420" t="s">
        <v>252</v>
      </c>
      <c r="B62" s="420"/>
    </row>
    <row r="63" spans="1:12" s="53" customFormat="1" ht="14.25" x14ac:dyDescent="0.2">
      <c r="A63" s="362" t="s">
        <v>253</v>
      </c>
      <c r="B63" s="362"/>
      <c r="C63" s="115"/>
      <c r="D63" s="115"/>
      <c r="E63" s="190"/>
      <c r="F63" s="189"/>
      <c r="G63" s="189"/>
      <c r="H63" s="191"/>
      <c r="I63" s="189"/>
      <c r="L63" s="2"/>
    </row>
  </sheetData>
  <mergeCells count="6">
    <mergeCell ref="K10:K11"/>
    <mergeCell ref="B10:C11"/>
    <mergeCell ref="E10:E11"/>
    <mergeCell ref="F10:F11"/>
    <mergeCell ref="G10:I10"/>
    <mergeCell ref="J10:J11"/>
  </mergeCells>
  <pageMargins left="0.39370078740157483" right="0.39370078740157483" top="0.59055118110236227" bottom="0.59055118110236227" header="0.31496062992125984" footer="0.31496062992125984"/>
  <pageSetup paperSize="9" scale="85" fitToWidth="0" orientation="portrait" r:id="rId1"/>
  <headerFooter>
    <oddHeader xml:space="preserve">&amp;R&amp;"-,Bold"
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60"/>
  <sheetViews>
    <sheetView showGridLines="0" view="pageBreakPreview" topLeftCell="A25" zoomScaleNormal="100" zoomScaleSheetLayoutView="100" workbookViewId="0">
      <selection activeCell="AA22" sqref="AA22"/>
    </sheetView>
  </sheetViews>
  <sheetFormatPr defaultRowHeight="15" x14ac:dyDescent="0.25"/>
  <cols>
    <col min="1" max="1" width="1.7109375" style="2" customWidth="1"/>
    <col min="2" max="2" width="10.42578125" style="3" customWidth="1"/>
    <col min="3" max="3" width="8.140625" style="3" customWidth="1"/>
    <col min="4" max="4" width="9.28515625" style="3" customWidth="1"/>
    <col min="5" max="5" width="10.28515625" style="4" customWidth="1"/>
    <col min="6" max="6" width="11.7109375" style="5" customWidth="1"/>
    <col min="7" max="7" width="10.5703125" style="5" customWidth="1"/>
    <col min="8" max="8" width="11.7109375" style="185" customWidth="1"/>
    <col min="9" max="9" width="12.28515625" style="5" customWidth="1"/>
    <col min="10" max="11" width="11.7109375" style="2" customWidth="1"/>
    <col min="12" max="12" width="1.5703125" style="2" customWidth="1"/>
    <col min="13" max="16384" width="9.140625" style="2"/>
  </cols>
  <sheetData>
    <row r="1" spans="1:12" s="30" customFormat="1" ht="12.95" customHeight="1" x14ac:dyDescent="0.25">
      <c r="B1" s="27"/>
      <c r="C1" s="27"/>
      <c r="D1" s="29"/>
      <c r="E1" s="28"/>
      <c r="F1" s="29"/>
      <c r="J1" s="29"/>
      <c r="K1" s="160" t="s">
        <v>179</v>
      </c>
    </row>
    <row r="2" spans="1:12" s="30" customFormat="1" ht="12.95" customHeight="1" x14ac:dyDescent="0.25">
      <c r="B2" s="27"/>
      <c r="C2" s="27"/>
      <c r="D2" s="29"/>
      <c r="E2" s="28"/>
      <c r="F2" s="29"/>
      <c r="J2" s="29"/>
      <c r="K2" s="68" t="s">
        <v>180</v>
      </c>
    </row>
    <row r="3" spans="1:12" s="30" customFormat="1" ht="12" customHeight="1" x14ac:dyDescent="0.25">
      <c r="B3" s="27"/>
      <c r="C3" s="27"/>
      <c r="D3" s="29"/>
      <c r="E3" s="28"/>
      <c r="F3" s="29"/>
      <c r="G3" s="68"/>
      <c r="J3" s="29"/>
    </row>
    <row r="4" spans="1:12" s="30" customFormat="1" ht="12" customHeight="1" x14ac:dyDescent="0.25">
      <c r="B4" s="27"/>
      <c r="C4" s="27"/>
      <c r="D4" s="29"/>
      <c r="E4" s="28"/>
      <c r="F4" s="29"/>
      <c r="G4" s="68"/>
      <c r="J4" s="29"/>
    </row>
    <row r="5" spans="1:12" s="53" customFormat="1" ht="9.9499999999999993" customHeight="1" x14ac:dyDescent="0.2">
      <c r="B5" s="115"/>
      <c r="C5" s="115"/>
      <c r="D5" s="189"/>
      <c r="E5" s="190"/>
      <c r="F5" s="189"/>
      <c r="G5" s="189"/>
      <c r="H5" s="191"/>
      <c r="I5" s="189"/>
      <c r="J5" s="114"/>
    </row>
    <row r="6" spans="1:12" s="53" customFormat="1" ht="15" customHeight="1" x14ac:dyDescent="0.2">
      <c r="B6" s="63" t="s">
        <v>208</v>
      </c>
      <c r="C6" s="64" t="s">
        <v>249</v>
      </c>
      <c r="D6" s="189"/>
      <c r="E6" s="190"/>
      <c r="F6" s="64"/>
      <c r="G6" s="64"/>
      <c r="H6" s="64"/>
      <c r="I6" s="64"/>
      <c r="J6" s="79"/>
      <c r="K6" s="64"/>
      <c r="L6" s="179"/>
    </row>
    <row r="7" spans="1:12" s="53" customFormat="1" ht="18" customHeight="1" x14ac:dyDescent="0.2">
      <c r="B7" s="80" t="s">
        <v>209</v>
      </c>
      <c r="C7" s="86" t="s">
        <v>250</v>
      </c>
      <c r="D7" s="189"/>
      <c r="E7" s="190"/>
      <c r="F7" s="86"/>
      <c r="G7" s="86"/>
      <c r="H7" s="86"/>
      <c r="I7" s="86"/>
      <c r="J7" s="235"/>
      <c r="K7" s="86"/>
      <c r="L7" s="180"/>
    </row>
    <row r="8" spans="1:12" s="53" customFormat="1" ht="8.1" customHeight="1" thickBot="1" x14ac:dyDescent="0.25">
      <c r="B8" s="194"/>
      <c r="C8" s="194"/>
      <c r="D8" s="216"/>
      <c r="E8" s="215"/>
      <c r="F8" s="216"/>
      <c r="G8" s="216"/>
      <c r="H8" s="217"/>
      <c r="I8" s="216"/>
      <c r="J8" s="143"/>
      <c r="K8" s="116"/>
    </row>
    <row r="9" spans="1:12" s="53" customFormat="1" ht="8.1" customHeight="1" thickTop="1" x14ac:dyDescent="0.2">
      <c r="A9" s="378"/>
      <c r="B9" s="389"/>
      <c r="C9" s="389"/>
      <c r="D9" s="377"/>
      <c r="E9" s="400"/>
      <c r="F9" s="377"/>
      <c r="G9" s="377"/>
      <c r="H9" s="401"/>
      <c r="I9" s="377"/>
      <c r="J9" s="375"/>
      <c r="K9" s="378"/>
      <c r="L9" s="378"/>
    </row>
    <row r="10" spans="1:12" s="53" customFormat="1" ht="30.75" customHeight="1" x14ac:dyDescent="0.2">
      <c r="A10" s="390"/>
      <c r="B10" s="443" t="s">
        <v>207</v>
      </c>
      <c r="C10" s="443"/>
      <c r="D10" s="405" t="s">
        <v>96</v>
      </c>
      <c r="E10" s="437" t="s">
        <v>92</v>
      </c>
      <c r="F10" s="437" t="s">
        <v>203</v>
      </c>
      <c r="G10" s="440" t="s">
        <v>191</v>
      </c>
      <c r="H10" s="440"/>
      <c r="I10" s="440"/>
      <c r="J10" s="439" t="s">
        <v>251</v>
      </c>
      <c r="K10" s="437" t="s">
        <v>192</v>
      </c>
      <c r="L10" s="390"/>
    </row>
    <row r="11" spans="1:12" s="102" customFormat="1" ht="55.5" customHeight="1" x14ac:dyDescent="0.2">
      <c r="A11" s="398"/>
      <c r="B11" s="444"/>
      <c r="C11" s="444"/>
      <c r="D11" s="404"/>
      <c r="E11" s="442"/>
      <c r="F11" s="442"/>
      <c r="G11" s="403" t="s">
        <v>193</v>
      </c>
      <c r="H11" s="403" t="s">
        <v>194</v>
      </c>
      <c r="I11" s="403" t="s">
        <v>204</v>
      </c>
      <c r="J11" s="441"/>
      <c r="K11" s="442"/>
      <c r="L11" s="398"/>
    </row>
    <row r="12" spans="1:12" s="6" customFormat="1" ht="8.1" customHeight="1" x14ac:dyDescent="0.25">
      <c r="A12" s="24"/>
      <c r="B12" s="257"/>
      <c r="C12" s="257"/>
      <c r="D12" s="269"/>
      <c r="E12" s="259"/>
      <c r="F12" s="260"/>
      <c r="G12" s="259"/>
      <c r="H12" s="259"/>
      <c r="I12" s="259"/>
      <c r="J12" s="260"/>
      <c r="K12" s="259"/>
    </row>
    <row r="13" spans="1:12" s="102" customFormat="1" ht="15.95" customHeight="1" x14ac:dyDescent="0.2">
      <c r="A13" s="53"/>
      <c r="B13" s="61" t="s">
        <v>206</v>
      </c>
      <c r="C13" s="61"/>
      <c r="D13" s="62">
        <v>2017</v>
      </c>
      <c r="E13" s="145">
        <f>SUM(F13:K13)</f>
        <v>5505</v>
      </c>
      <c r="F13" s="145">
        <f>SUM(F17,F21,F25,F29,F33,F37,F41,F45,'1.7Sarawak (2)'!F15,'1.7Sarawak (2)'!F19,'1.7Sarawak (2)'!F23,'1.7Sarawak (2)'!F27,'1.7Sarawak (2)'!F31,'1.7Sarawak (2)'!F35,'1.7Sarawak (2)'!F39,'1.7Sarawak (2)'!F43,'1.7Sarawak (2)'!F47,'1.7Sarawak (2)'!F51,'1.7Sarawak (3)'!F16,'1.7Sarawak (3)'!F20,'1.7Sarawak (3)'!F24,'1.7Sarawak (3)'!F28,'1.7Sarawak (3)'!F32,'1.7Sarawak (3)'!F36,'1.7Sarawak (3)'!F40,'1.7Sarawak (3)'!F44,'1.7Sarawak (3)'!F48,'1.7Sarawak (3)'!F52)</f>
        <v>1314</v>
      </c>
      <c r="G13" s="145">
        <f>SUM(G17,G21,G25,G29,G33,G37,G41,G45,'1.7Sarawak (2)'!G15,'1.7Sarawak (2)'!G19,'1.7Sarawak (2)'!G23,'1.7Sarawak (2)'!G27,'1.7Sarawak (2)'!G31,'1.7Sarawak (2)'!G35,'1.7Sarawak (2)'!G39,'1.7Sarawak (2)'!G43,'1.7Sarawak (2)'!G47,'1.7Sarawak (2)'!G51,'1.7Sarawak (3)'!G16,'1.7Sarawak (3)'!G20,'1.7Sarawak (3)'!G24,'1.7Sarawak (3)'!G28,'1.7Sarawak (3)'!G32,'1.7Sarawak (3)'!G36,'1.7Sarawak (3)'!G40,'1.7Sarawak (3)'!G44,'1.7Sarawak (3)'!G48,'1.7Sarawak (3)'!G52)</f>
        <v>75</v>
      </c>
      <c r="H13" s="145">
        <f>SUM(H17,H21,H25,H29,H33,H37,H41,H45,'1.7Sarawak (2)'!H15,'1.7Sarawak (2)'!H19,'1.7Sarawak (2)'!H23,'1.7Sarawak (2)'!H27,'1.7Sarawak (2)'!H31,'1.7Sarawak (2)'!H35,'1.7Sarawak (2)'!H39,'1.7Sarawak (2)'!H43,'1.7Sarawak (2)'!H47,'1.7Sarawak (2)'!H51,'1.7Sarawak (3)'!H16,'1.7Sarawak (3)'!H20,'1.7Sarawak (3)'!H24,'1.7Sarawak (3)'!H28,'1.7Sarawak (3)'!H32,'1.7Sarawak (3)'!H36,'1.7Sarawak (3)'!H40,'1.7Sarawak (3)'!H44,'1.7Sarawak (3)'!H48,'1.7Sarawak (3)'!H52)</f>
        <v>574</v>
      </c>
      <c r="I13" s="145">
        <f>SUM(I17,I21,I25,I29,I33,I37,I41,I45,'1.7Sarawak (2)'!I15,'1.7Sarawak (2)'!I19,'1.7Sarawak (2)'!I23,'1.7Sarawak (2)'!I27,'1.7Sarawak (2)'!I31,'1.7Sarawak (2)'!I35,'1.7Sarawak (2)'!I39,'1.7Sarawak (2)'!I43,'1.7Sarawak (2)'!I47,'1.7Sarawak (2)'!I51,'1.7Sarawak (3)'!I16,'1.7Sarawak (3)'!I20,'1.7Sarawak (3)'!I24,'1.7Sarawak (3)'!I28,'1.7Sarawak (3)'!I32,'1.7Sarawak (3)'!I36,'1.7Sarawak (3)'!I40,'1.7Sarawak (3)'!I44,'1.7Sarawak (3)'!I48,'1.7Sarawak (3)'!I52)</f>
        <v>2258</v>
      </c>
      <c r="J13" s="145">
        <f>SUM(J17,J21,J25,J29,J33,J37,J41,J45,'1.7Sarawak (2)'!J15,'1.7Sarawak (2)'!J19,'1.7Sarawak (2)'!J23,'1.7Sarawak (2)'!J27,'1.7Sarawak (2)'!J31,'1.7Sarawak (2)'!J35,'1.7Sarawak (2)'!J39,'1.7Sarawak (2)'!J43,'1.7Sarawak (2)'!J47,'1.7Sarawak (2)'!J51,'1.7Sarawak (3)'!J16,'1.7Sarawak (3)'!J20,'1.7Sarawak (3)'!J24,'1.7Sarawak (3)'!J28,'1.7Sarawak (3)'!J32,'1.7Sarawak (3)'!J36,'1.7Sarawak (3)'!J40,'1.7Sarawak (3)'!J44,'1.7Sarawak (3)'!J48,'1.7Sarawak (3)'!J52)</f>
        <v>1</v>
      </c>
      <c r="K13" s="145">
        <f>SUM(K17,K21,K25,K29,K33,K37,K41,K45,'1.7Sarawak (2)'!K15,'1.7Sarawak (2)'!K19,'1.7Sarawak (2)'!K23,'1.7Sarawak (2)'!K27,'1.7Sarawak (2)'!K31,'1.7Sarawak (2)'!K35,'1.7Sarawak (2)'!K39,'1.7Sarawak (2)'!K43,'1.7Sarawak (2)'!K47,'1.7Sarawak (2)'!K51,'1.7Sarawak (3)'!K16,'1.7Sarawak (3)'!K20,'1.7Sarawak (3)'!K24,'1.7Sarawak (3)'!K28,'1.7Sarawak (3)'!K32,'1.7Sarawak (3)'!K36,'1.7Sarawak (3)'!K40,'1.7Sarawak (3)'!K44,'1.7Sarawak (3)'!K48,'1.7Sarawak (3)'!K52)</f>
        <v>1283</v>
      </c>
    </row>
    <row r="14" spans="1:12" s="102" customFormat="1" ht="15.95" customHeight="1" x14ac:dyDescent="0.2">
      <c r="A14" s="53"/>
      <c r="B14" s="61"/>
      <c r="C14" s="61"/>
      <c r="D14" s="62">
        <v>2018</v>
      </c>
      <c r="E14" s="145">
        <f>SUM(F14:K14)</f>
        <v>5019</v>
      </c>
      <c r="F14" s="145">
        <f>SUM(F18,F22,F26,F30,F34,F38,F42,F46,'1.7Sarawak (2)'!F16,'1.7Sarawak (2)'!F20,'1.7Sarawak (2)'!F24,'1.7Sarawak (2)'!F28,'1.7Sarawak (2)'!F32,'1.7Sarawak (2)'!F36,'1.7Sarawak (2)'!F40,'1.7Sarawak (2)'!F44,'1.7Sarawak (2)'!F48,'1.7Sarawak (2)'!F52,'1.7Sarawak (3)'!F17,'1.7Sarawak (3)'!F21,'1.7Sarawak (3)'!F25,'1.7Sarawak (3)'!F29,'1.7Sarawak (3)'!F33,'1.7Sarawak (3)'!F37,'1.7Sarawak (3)'!F41,'1.7Sarawak (3)'!F45,'1.7Sarawak (3)'!F49,'1.7Sarawak (3)'!F53)</f>
        <v>1497</v>
      </c>
      <c r="G14" s="145">
        <f>SUM(G18,G22,G26,G30,G34,G38,G42,G46,'1.7Sarawak (2)'!G16,'1.7Sarawak (2)'!G20,'1.7Sarawak (2)'!G24,'1.7Sarawak (2)'!G28,'1.7Sarawak (2)'!G32,'1.7Sarawak (2)'!G36,'1.7Sarawak (2)'!G40,'1.7Sarawak (2)'!G44,'1.7Sarawak (2)'!G48,'1.7Sarawak (2)'!G52,'1.7Sarawak (3)'!G17,'1.7Sarawak (3)'!G21,'1.7Sarawak (3)'!G25,'1.7Sarawak (3)'!G29,'1.7Sarawak (3)'!G33,'1.7Sarawak (3)'!G37,'1.7Sarawak (3)'!G41,'1.7Sarawak (3)'!G45,'1.7Sarawak (3)'!G49,'1.7Sarawak (3)'!G53)</f>
        <v>53</v>
      </c>
      <c r="H14" s="145">
        <f>SUM(H18,H22,H26,H30,H34,H38,H42,H46,'1.7Sarawak (2)'!H16,'1.7Sarawak (2)'!H20,'1.7Sarawak (2)'!H24,'1.7Sarawak (2)'!H28,'1.7Sarawak (2)'!H32,'1.7Sarawak (2)'!H36,'1.7Sarawak (2)'!H40,'1.7Sarawak (2)'!H44,'1.7Sarawak (2)'!H48,'1.7Sarawak (2)'!H52,'1.7Sarawak (3)'!H17,'1.7Sarawak (3)'!H21,'1.7Sarawak (3)'!H25,'1.7Sarawak (3)'!H29,'1.7Sarawak (3)'!H33,'1.7Sarawak (3)'!H37,'1.7Sarawak (3)'!H41,'1.7Sarawak (3)'!H45,'1.7Sarawak (3)'!H49,'1.7Sarawak (3)'!H53)</f>
        <v>386</v>
      </c>
      <c r="I14" s="145">
        <f>SUM(I18,I22,I26,I30,I34,I38,I42,I46,'1.7Sarawak (2)'!I16,'1.7Sarawak (2)'!I20,'1.7Sarawak (2)'!I24,'1.7Sarawak (2)'!I28,'1.7Sarawak (2)'!I32,'1.7Sarawak (2)'!I36,'1.7Sarawak (2)'!I40,'1.7Sarawak (2)'!I44,'1.7Sarawak (2)'!I48,'1.7Sarawak (2)'!I52,'1.7Sarawak (3)'!I17,'1.7Sarawak (3)'!I21,'1.7Sarawak (3)'!I25,'1.7Sarawak (3)'!I29,'1.7Sarawak (3)'!I33,'1.7Sarawak (3)'!I37,'1.7Sarawak (3)'!I41,'1.7Sarawak (3)'!I45,'1.7Sarawak (3)'!I49,'1.7Sarawak (3)'!I53)</f>
        <v>1692</v>
      </c>
      <c r="J14" s="145">
        <f>SUM(J18,J22,J26,J30,J34,J38,J42,J46,'1.7Sarawak (2)'!J16,'1.7Sarawak (2)'!J20,'1.7Sarawak (2)'!J24,'1.7Sarawak (2)'!J28,'1.7Sarawak (2)'!J32,'1.7Sarawak (2)'!J36,'1.7Sarawak (2)'!J40,'1.7Sarawak (2)'!J44,'1.7Sarawak (2)'!J48,'1.7Sarawak (2)'!J52,'1.7Sarawak (3)'!J17,'1.7Sarawak (3)'!J21,'1.7Sarawak (3)'!J25,'1.7Sarawak (3)'!J29,'1.7Sarawak (3)'!J33,'1.7Sarawak (3)'!J37,'1.7Sarawak (3)'!J41,'1.7Sarawak (3)'!J45,'1.7Sarawak (3)'!J49,'1.7Sarawak (3)'!J53)</f>
        <v>2</v>
      </c>
      <c r="K14" s="145">
        <f>SUM(K18,K22,K26,K30,K34,K38,K42,K46,'1.7Sarawak (2)'!K16,'1.7Sarawak (2)'!K20,'1.7Sarawak (2)'!K24,'1.7Sarawak (2)'!K28,'1.7Sarawak (2)'!K32,'1.7Sarawak (2)'!K36,'1.7Sarawak (2)'!K40,'1.7Sarawak (2)'!K44,'1.7Sarawak (2)'!K48,'1.7Sarawak (2)'!K52,'1.7Sarawak (3)'!K17,'1.7Sarawak (3)'!K21,'1.7Sarawak (3)'!K25,'1.7Sarawak (3)'!K29,'1.7Sarawak (3)'!K33,'1.7Sarawak (3)'!K37,'1.7Sarawak (3)'!K41,'1.7Sarawak (3)'!K45,'1.7Sarawak (3)'!K49,'1.7Sarawak (3)'!K53)</f>
        <v>1389</v>
      </c>
    </row>
    <row r="15" spans="1:12" s="102" customFormat="1" ht="15.95" customHeight="1" x14ac:dyDescent="0.2">
      <c r="A15" s="53"/>
      <c r="B15" s="61"/>
      <c r="C15" s="61"/>
      <c r="D15" s="62">
        <v>2019</v>
      </c>
      <c r="E15" s="145">
        <f>SUM(F15:K15)</f>
        <v>5125</v>
      </c>
      <c r="F15" s="145">
        <f>SUM(F19,F23,F27,F31,F35,F39,F43,F47,'1.7Sarawak (2)'!F17,'1.7Sarawak (2)'!F21,'1.7Sarawak (2)'!F25,'1.7Sarawak (2)'!F29,'1.7Sarawak (2)'!F33,'1.7Sarawak (2)'!F37,'1.7Sarawak (2)'!F41,'1.7Sarawak (2)'!F45,'1.7Sarawak (2)'!F49,'1.7Sarawak (2)'!F53,'1.7Sarawak (3)'!F18,'1.7Sarawak (3)'!F22,'1.7Sarawak (3)'!F26,'1.7Sarawak (3)'!F30,'1.7Sarawak (3)'!F34,'1.7Sarawak (3)'!F38,'1.7Sarawak (3)'!F42,'1.7Sarawak (3)'!F46,'1.7Sarawak (3)'!F50,'1.7Sarawak (3)'!F54)</f>
        <v>1623</v>
      </c>
      <c r="G15" s="145">
        <f>SUM(G19,G23,G27,G31,G35,G39,G43,G47,'1.7Sarawak (2)'!G17,'1.7Sarawak (2)'!G21,'1.7Sarawak (2)'!G25,'1.7Sarawak (2)'!G29,'1.7Sarawak (2)'!G33,'1.7Sarawak (2)'!G37,'1.7Sarawak (2)'!G41,'1.7Sarawak (2)'!G45,'1.7Sarawak (2)'!G49,'1.7Sarawak (2)'!G53,'1.7Sarawak (3)'!G18,'1.7Sarawak (3)'!G22,'1.7Sarawak (3)'!G26,'1.7Sarawak (3)'!G30,'1.7Sarawak (3)'!G34,'1.7Sarawak (3)'!G38,'1.7Sarawak (3)'!G42,'1.7Sarawak (3)'!G46,'1.7Sarawak (3)'!G50,'1.7Sarawak (3)'!G54)</f>
        <v>61</v>
      </c>
      <c r="H15" s="145">
        <f>SUM(H19,H23,H27,H31,H35,H39,H43,H47,'1.7Sarawak (2)'!H17,'1.7Sarawak (2)'!H21,'1.7Sarawak (2)'!H25,'1.7Sarawak (2)'!H29,'1.7Sarawak (2)'!H33,'1.7Sarawak (2)'!H37,'1.7Sarawak (2)'!H41,'1.7Sarawak (2)'!H45,'1.7Sarawak (2)'!H49,'1.7Sarawak (2)'!H53,'1.7Sarawak (3)'!H18,'1.7Sarawak (3)'!H22,'1.7Sarawak (3)'!H26,'1.7Sarawak (3)'!H30,'1.7Sarawak (3)'!H34,'1.7Sarawak (3)'!H38,'1.7Sarawak (3)'!H42,'1.7Sarawak (3)'!H46,'1.7Sarawak (3)'!H50,'1.7Sarawak (3)'!H54)</f>
        <v>404</v>
      </c>
      <c r="I15" s="145">
        <f>SUM(I19,I23,I27,I31,I35,I39,I43,I47,'1.7Sarawak (2)'!I17,'1.7Sarawak (2)'!I21,'1.7Sarawak (2)'!I25,'1.7Sarawak (2)'!I29,'1.7Sarawak (2)'!I33,'1.7Sarawak (2)'!I37,'1.7Sarawak (2)'!I41,'1.7Sarawak (2)'!I45,'1.7Sarawak (2)'!I49,'1.7Sarawak (2)'!I53,'1.7Sarawak (3)'!I18,'1.7Sarawak (3)'!I22,'1.7Sarawak (3)'!I26,'1.7Sarawak (3)'!I30,'1.7Sarawak (3)'!I34,'1.7Sarawak (3)'!I38,'1.7Sarawak (3)'!I42,'1.7Sarawak (3)'!I46,'1.7Sarawak (3)'!I50,'1.7Sarawak (3)'!I54)</f>
        <v>1393</v>
      </c>
      <c r="J15" s="137" t="s">
        <v>51</v>
      </c>
      <c r="K15" s="145">
        <f>SUM(K19,K23,K27,K31,K35,K39,K43,K47,'1.7Sarawak (2)'!K17,'1.7Sarawak (2)'!K21,'1.7Sarawak (2)'!K25,'1.7Sarawak (2)'!K29,'1.7Sarawak (2)'!K33,'1.7Sarawak (2)'!K37,'1.7Sarawak (2)'!K41,'1.7Sarawak (2)'!K45,'1.7Sarawak (2)'!K49,'1.7Sarawak (2)'!K53,'1.7Sarawak (3)'!K18,'1.7Sarawak (3)'!K22,'1.7Sarawak (3)'!K26,'1.7Sarawak (3)'!K30,'1.7Sarawak (3)'!K34,'1.7Sarawak (3)'!K38,'1.7Sarawak (3)'!K42,'1.7Sarawak (3)'!K46,'1.7Sarawak (3)'!K50,'1.7Sarawak (3)'!K54)</f>
        <v>1644</v>
      </c>
    </row>
    <row r="16" spans="1:12" s="102" customFormat="1" ht="15" customHeight="1" x14ac:dyDescent="0.2">
      <c r="A16" s="53"/>
      <c r="B16" s="61"/>
      <c r="C16" s="61"/>
      <c r="D16" s="62"/>
      <c r="E16" s="146"/>
      <c r="F16" s="146"/>
      <c r="G16" s="146"/>
      <c r="H16" s="146"/>
      <c r="I16" s="146"/>
      <c r="J16" s="144"/>
      <c r="K16" s="146"/>
    </row>
    <row r="17" spans="1:11" s="53" customFormat="1" ht="15.95" customHeight="1" x14ac:dyDescent="0.2">
      <c r="B17" s="254" t="s">
        <v>125</v>
      </c>
      <c r="C17" s="56"/>
      <c r="D17" s="141">
        <v>2017</v>
      </c>
      <c r="E17" s="146">
        <f t="shared" ref="E17:E18" si="0">SUM(F17:K17)</f>
        <v>39</v>
      </c>
      <c r="F17" s="146">
        <v>9</v>
      </c>
      <c r="G17" s="146">
        <v>2</v>
      </c>
      <c r="H17" s="146">
        <v>1</v>
      </c>
      <c r="I17" s="146">
        <v>23</v>
      </c>
      <c r="J17" s="144" t="s">
        <v>51</v>
      </c>
      <c r="K17" s="146">
        <v>4</v>
      </c>
    </row>
    <row r="18" spans="1:11" s="53" customFormat="1" ht="15.95" customHeight="1" x14ac:dyDescent="0.2">
      <c r="A18" s="83"/>
      <c r="B18" s="254"/>
      <c r="C18" s="56"/>
      <c r="D18" s="141">
        <v>2018</v>
      </c>
      <c r="E18" s="146">
        <f t="shared" si="0"/>
        <v>42</v>
      </c>
      <c r="F18" s="146">
        <v>11</v>
      </c>
      <c r="G18" s="146" t="s">
        <v>51</v>
      </c>
      <c r="H18" s="146">
        <v>2</v>
      </c>
      <c r="I18" s="146">
        <v>16</v>
      </c>
      <c r="J18" s="146" t="s">
        <v>51</v>
      </c>
      <c r="K18" s="146">
        <v>13</v>
      </c>
    </row>
    <row r="19" spans="1:11" s="53" customFormat="1" ht="15.95" customHeight="1" x14ac:dyDescent="0.2">
      <c r="A19" s="102"/>
      <c r="B19" s="254"/>
      <c r="C19" s="56"/>
      <c r="D19" s="141">
        <v>2019</v>
      </c>
      <c r="E19" s="146">
        <f>SUM(F19:K19)</f>
        <v>38</v>
      </c>
      <c r="F19" s="146">
        <v>12</v>
      </c>
      <c r="G19" s="144" t="s">
        <v>51</v>
      </c>
      <c r="H19" s="146">
        <v>3</v>
      </c>
      <c r="I19" s="146">
        <v>16</v>
      </c>
      <c r="J19" s="144" t="s">
        <v>51</v>
      </c>
      <c r="K19" s="146">
        <v>7</v>
      </c>
    </row>
    <row r="20" spans="1:11" s="53" customFormat="1" ht="15" customHeight="1" x14ac:dyDescent="0.2">
      <c r="A20" s="102"/>
      <c r="B20" s="254"/>
      <c r="C20" s="56"/>
      <c r="D20" s="141"/>
      <c r="E20" s="146"/>
      <c r="F20" s="146"/>
      <c r="G20" s="144"/>
      <c r="H20" s="146"/>
      <c r="I20" s="146"/>
      <c r="J20" s="144"/>
      <c r="K20" s="146"/>
    </row>
    <row r="21" spans="1:11" s="53" customFormat="1" ht="15.95" customHeight="1" x14ac:dyDescent="0.2">
      <c r="B21" s="254" t="s">
        <v>126</v>
      </c>
      <c r="C21" s="56"/>
      <c r="D21" s="141">
        <v>2017</v>
      </c>
      <c r="E21" s="146">
        <f t="shared" ref="E21:E22" si="1">SUM(F21:K21)</f>
        <v>67</v>
      </c>
      <c r="F21" s="146">
        <v>20</v>
      </c>
      <c r="G21" s="144">
        <v>1</v>
      </c>
      <c r="H21" s="144" t="s">
        <v>51</v>
      </c>
      <c r="I21" s="146">
        <v>2</v>
      </c>
      <c r="J21" s="144" t="s">
        <v>51</v>
      </c>
      <c r="K21" s="146">
        <v>44</v>
      </c>
    </row>
    <row r="22" spans="1:11" s="53" customFormat="1" ht="15.95" customHeight="1" x14ac:dyDescent="0.2">
      <c r="B22" s="254"/>
      <c r="C22" s="56"/>
      <c r="D22" s="141">
        <v>2018</v>
      </c>
      <c r="E22" s="146">
        <f t="shared" si="1"/>
        <v>38</v>
      </c>
      <c r="F22" s="146">
        <v>9</v>
      </c>
      <c r="G22" s="146" t="s">
        <v>51</v>
      </c>
      <c r="H22" s="144">
        <v>1</v>
      </c>
      <c r="I22" s="146">
        <v>3</v>
      </c>
      <c r="J22" s="146" t="s">
        <v>51</v>
      </c>
      <c r="K22" s="146">
        <v>25</v>
      </c>
    </row>
    <row r="23" spans="1:11" s="53" customFormat="1" ht="15.95" customHeight="1" x14ac:dyDescent="0.2">
      <c r="A23" s="102"/>
      <c r="B23" s="254"/>
      <c r="C23" s="56"/>
      <c r="D23" s="141">
        <v>2019</v>
      </c>
      <c r="E23" s="146">
        <f>SUM(F23:K23)</f>
        <v>26</v>
      </c>
      <c r="F23" s="146">
        <v>5</v>
      </c>
      <c r="G23" s="144" t="s">
        <v>51</v>
      </c>
      <c r="H23" s="144" t="s">
        <v>51</v>
      </c>
      <c r="I23" s="146">
        <v>5</v>
      </c>
      <c r="J23" s="144" t="s">
        <v>51</v>
      </c>
      <c r="K23" s="146">
        <v>16</v>
      </c>
    </row>
    <row r="24" spans="1:11" s="53" customFormat="1" ht="15" customHeight="1" x14ac:dyDescent="0.2">
      <c r="A24" s="102"/>
      <c r="B24" s="254"/>
      <c r="C24" s="56"/>
      <c r="D24" s="141"/>
      <c r="E24" s="146"/>
      <c r="F24" s="146"/>
      <c r="G24" s="146"/>
      <c r="H24" s="146"/>
      <c r="I24" s="146"/>
      <c r="J24" s="144"/>
      <c r="K24" s="146"/>
    </row>
    <row r="25" spans="1:11" s="53" customFormat="1" ht="15.95" customHeight="1" x14ac:dyDescent="0.2">
      <c r="B25" s="254" t="s">
        <v>127</v>
      </c>
      <c r="C25" s="56"/>
      <c r="D25" s="141">
        <v>2017</v>
      </c>
      <c r="E25" s="146">
        <f t="shared" ref="E25:E26" si="2">SUM(F25:K25)</f>
        <v>45</v>
      </c>
      <c r="F25" s="146">
        <v>16</v>
      </c>
      <c r="G25" s="144">
        <v>1</v>
      </c>
      <c r="H25" s="146">
        <v>4</v>
      </c>
      <c r="I25" s="146">
        <v>17</v>
      </c>
      <c r="J25" s="144" t="s">
        <v>51</v>
      </c>
      <c r="K25" s="146">
        <v>7</v>
      </c>
    </row>
    <row r="26" spans="1:11" s="53" customFormat="1" ht="15.95" customHeight="1" x14ac:dyDescent="0.2">
      <c r="B26" s="254"/>
      <c r="C26" s="56"/>
      <c r="D26" s="141">
        <v>2018</v>
      </c>
      <c r="E26" s="146">
        <f t="shared" si="2"/>
        <v>62</v>
      </c>
      <c r="F26" s="146">
        <v>24</v>
      </c>
      <c r="G26" s="146" t="s">
        <v>51</v>
      </c>
      <c r="H26" s="146">
        <v>1</v>
      </c>
      <c r="I26" s="146">
        <v>16</v>
      </c>
      <c r="J26" s="146" t="s">
        <v>51</v>
      </c>
      <c r="K26" s="146">
        <v>21</v>
      </c>
    </row>
    <row r="27" spans="1:11" s="53" customFormat="1" ht="15.95" customHeight="1" x14ac:dyDescent="0.2">
      <c r="A27" s="102"/>
      <c r="B27" s="254"/>
      <c r="C27" s="56"/>
      <c r="D27" s="141">
        <v>2019</v>
      </c>
      <c r="E27" s="146">
        <f>SUM(F27:K27)</f>
        <v>56</v>
      </c>
      <c r="F27" s="146">
        <v>28</v>
      </c>
      <c r="G27" s="144" t="s">
        <v>51</v>
      </c>
      <c r="H27" s="146">
        <v>1</v>
      </c>
      <c r="I27" s="146">
        <v>7</v>
      </c>
      <c r="J27" s="144" t="s">
        <v>51</v>
      </c>
      <c r="K27" s="146">
        <v>20</v>
      </c>
    </row>
    <row r="28" spans="1:11" s="53" customFormat="1" ht="15" customHeight="1" x14ac:dyDescent="0.2">
      <c r="A28" s="102"/>
      <c r="B28" s="254"/>
      <c r="C28" s="56"/>
      <c r="D28" s="141"/>
      <c r="E28" s="146"/>
      <c r="F28" s="146"/>
      <c r="G28" s="146"/>
      <c r="H28" s="146"/>
      <c r="I28" s="146"/>
      <c r="J28" s="146"/>
      <c r="K28" s="146"/>
    </row>
    <row r="29" spans="1:11" s="53" customFormat="1" ht="15.95" customHeight="1" x14ac:dyDescent="0.2">
      <c r="B29" s="254" t="s">
        <v>128</v>
      </c>
      <c r="C29" s="56"/>
      <c r="D29" s="141">
        <v>2017</v>
      </c>
      <c r="E29" s="146">
        <f t="shared" ref="E29:E30" si="3">SUM(F29:K29)</f>
        <v>522</v>
      </c>
      <c r="F29" s="146">
        <v>145</v>
      </c>
      <c r="G29" s="146">
        <v>13</v>
      </c>
      <c r="H29" s="146">
        <v>68</v>
      </c>
      <c r="I29" s="146">
        <v>152</v>
      </c>
      <c r="J29" s="146" t="s">
        <v>51</v>
      </c>
      <c r="K29" s="146">
        <v>144</v>
      </c>
    </row>
    <row r="30" spans="1:11" s="53" customFormat="1" ht="15.95" customHeight="1" x14ac:dyDescent="0.2">
      <c r="B30" s="254"/>
      <c r="C30" s="56"/>
      <c r="D30" s="141">
        <v>2018</v>
      </c>
      <c r="E30" s="146">
        <f t="shared" si="3"/>
        <v>429</v>
      </c>
      <c r="F30" s="146">
        <v>104</v>
      </c>
      <c r="G30" s="146">
        <v>6</v>
      </c>
      <c r="H30" s="146">
        <v>31</v>
      </c>
      <c r="I30" s="146">
        <v>155</v>
      </c>
      <c r="J30" s="146" t="s">
        <v>51</v>
      </c>
      <c r="K30" s="146">
        <v>133</v>
      </c>
    </row>
    <row r="31" spans="1:11" s="53" customFormat="1" ht="15.95" customHeight="1" x14ac:dyDescent="0.2">
      <c r="A31" s="102"/>
      <c r="B31" s="254"/>
      <c r="C31" s="56"/>
      <c r="D31" s="141">
        <v>2019</v>
      </c>
      <c r="E31" s="146">
        <f>SUM(F31:K31)</f>
        <v>416</v>
      </c>
      <c r="F31" s="146">
        <v>113</v>
      </c>
      <c r="G31" s="146">
        <v>10</v>
      </c>
      <c r="H31" s="146">
        <v>28</v>
      </c>
      <c r="I31" s="146">
        <v>118</v>
      </c>
      <c r="J31" s="144" t="s">
        <v>51</v>
      </c>
      <c r="K31" s="146">
        <v>147</v>
      </c>
    </row>
    <row r="32" spans="1:11" s="53" customFormat="1" ht="15" customHeight="1" x14ac:dyDescent="0.2">
      <c r="A32" s="102"/>
      <c r="B32" s="254"/>
      <c r="C32" s="56"/>
      <c r="D32" s="141"/>
      <c r="E32" s="146"/>
      <c r="F32" s="144"/>
      <c r="G32" s="144"/>
      <c r="H32" s="144"/>
      <c r="I32" s="146"/>
      <c r="J32" s="144"/>
      <c r="K32" s="146"/>
    </row>
    <row r="33" spans="1:12" s="53" customFormat="1" ht="15.95" customHeight="1" x14ac:dyDescent="0.2">
      <c r="B33" s="254" t="s">
        <v>129</v>
      </c>
      <c r="C33" s="56"/>
      <c r="D33" s="141">
        <v>2017</v>
      </c>
      <c r="E33" s="146">
        <f t="shared" ref="E33:E34" si="4">SUM(F33:K33)</f>
        <v>26</v>
      </c>
      <c r="F33" s="146">
        <v>8</v>
      </c>
      <c r="G33" s="146" t="s">
        <v>51</v>
      </c>
      <c r="H33" s="146">
        <v>1</v>
      </c>
      <c r="I33" s="146">
        <v>10</v>
      </c>
      <c r="J33" s="144" t="s">
        <v>51</v>
      </c>
      <c r="K33" s="146">
        <v>7</v>
      </c>
    </row>
    <row r="34" spans="1:12" s="53" customFormat="1" ht="15.95" customHeight="1" x14ac:dyDescent="0.2">
      <c r="B34" s="254"/>
      <c r="C34" s="56"/>
      <c r="D34" s="141">
        <v>2018</v>
      </c>
      <c r="E34" s="146">
        <f t="shared" si="4"/>
        <v>16</v>
      </c>
      <c r="F34" s="146">
        <v>4</v>
      </c>
      <c r="G34" s="146" t="s">
        <v>51</v>
      </c>
      <c r="H34" s="146" t="s">
        <v>51</v>
      </c>
      <c r="I34" s="146">
        <v>1</v>
      </c>
      <c r="J34" s="146" t="s">
        <v>51</v>
      </c>
      <c r="K34" s="146">
        <v>11</v>
      </c>
    </row>
    <row r="35" spans="1:12" s="53" customFormat="1" ht="15.95" customHeight="1" x14ac:dyDescent="0.2">
      <c r="A35" s="102"/>
      <c r="B35" s="254"/>
      <c r="C35" s="56"/>
      <c r="D35" s="141">
        <v>2019</v>
      </c>
      <c r="E35" s="146">
        <f>SUM(F35:K35)</f>
        <v>14</v>
      </c>
      <c r="F35" s="146">
        <v>4</v>
      </c>
      <c r="G35" s="144" t="s">
        <v>51</v>
      </c>
      <c r="H35" s="144" t="s">
        <v>51</v>
      </c>
      <c r="I35" s="144" t="s">
        <v>51</v>
      </c>
      <c r="J35" s="144" t="s">
        <v>51</v>
      </c>
      <c r="K35" s="146">
        <v>10</v>
      </c>
    </row>
    <row r="36" spans="1:12" s="53" customFormat="1" ht="15" customHeight="1" x14ac:dyDescent="0.2">
      <c r="A36" s="102"/>
      <c r="B36" s="254"/>
      <c r="C36" s="56"/>
      <c r="D36" s="141"/>
      <c r="E36" s="146"/>
      <c r="F36" s="146"/>
      <c r="G36" s="146"/>
      <c r="H36" s="144"/>
      <c r="I36" s="146"/>
      <c r="J36" s="144"/>
      <c r="K36" s="146"/>
    </row>
    <row r="37" spans="1:12" s="53" customFormat="1" ht="15.95" customHeight="1" x14ac:dyDescent="0.2">
      <c r="B37" s="254" t="s">
        <v>130</v>
      </c>
      <c r="C37" s="56"/>
      <c r="D37" s="141">
        <v>2017</v>
      </c>
      <c r="E37" s="146">
        <f t="shared" ref="E37:E38" si="5">SUM(F37:K37)</f>
        <v>6</v>
      </c>
      <c r="F37" s="146">
        <v>1</v>
      </c>
      <c r="G37" s="146" t="s">
        <v>51</v>
      </c>
      <c r="H37" s="146">
        <v>1</v>
      </c>
      <c r="I37" s="146">
        <v>2</v>
      </c>
      <c r="J37" s="144" t="s">
        <v>51</v>
      </c>
      <c r="K37" s="146">
        <v>2</v>
      </c>
    </row>
    <row r="38" spans="1:12" s="53" customFormat="1" ht="15.95" customHeight="1" x14ac:dyDescent="0.2">
      <c r="B38" s="254"/>
      <c r="C38" s="56"/>
      <c r="D38" s="141">
        <v>2018</v>
      </c>
      <c r="E38" s="146">
        <f t="shared" si="5"/>
        <v>5</v>
      </c>
      <c r="F38" s="146">
        <v>1</v>
      </c>
      <c r="G38" s="146" t="s">
        <v>51</v>
      </c>
      <c r="H38" s="146">
        <v>1</v>
      </c>
      <c r="I38" s="146">
        <v>1</v>
      </c>
      <c r="J38" s="146" t="s">
        <v>51</v>
      </c>
      <c r="K38" s="146">
        <v>2</v>
      </c>
    </row>
    <row r="39" spans="1:12" s="53" customFormat="1" ht="15.95" customHeight="1" x14ac:dyDescent="0.2">
      <c r="A39" s="102"/>
      <c r="B39" s="254"/>
      <c r="C39" s="56"/>
      <c r="D39" s="141">
        <v>2019</v>
      </c>
      <c r="E39" s="146">
        <f>SUM(F39:K39)</f>
        <v>5</v>
      </c>
      <c r="F39" s="146">
        <v>3</v>
      </c>
      <c r="G39" s="144" t="s">
        <v>51</v>
      </c>
      <c r="H39" s="144" t="s">
        <v>51</v>
      </c>
      <c r="I39" s="144" t="s">
        <v>51</v>
      </c>
      <c r="J39" s="144" t="s">
        <v>51</v>
      </c>
      <c r="K39" s="146">
        <v>2</v>
      </c>
    </row>
    <row r="40" spans="1:12" s="53" customFormat="1" ht="15" customHeight="1" x14ac:dyDescent="0.2">
      <c r="A40" s="102"/>
      <c r="B40" s="254"/>
      <c r="C40" s="56"/>
      <c r="D40" s="141"/>
      <c r="E40" s="146"/>
      <c r="F40" s="146"/>
      <c r="G40" s="144"/>
      <c r="H40" s="146"/>
      <c r="I40" s="146"/>
      <c r="J40" s="144"/>
      <c r="K40" s="146"/>
    </row>
    <row r="41" spans="1:12" s="53" customFormat="1" ht="15.95" customHeight="1" x14ac:dyDescent="0.2">
      <c r="B41" s="254" t="s">
        <v>131</v>
      </c>
      <c r="C41" s="56"/>
      <c r="D41" s="141">
        <v>2017</v>
      </c>
      <c r="E41" s="146">
        <f t="shared" ref="E41:E42" si="6">SUM(F41:K41)</f>
        <v>23</v>
      </c>
      <c r="F41" s="146">
        <v>1</v>
      </c>
      <c r="G41" s="144">
        <v>1</v>
      </c>
      <c r="H41" s="146">
        <v>5</v>
      </c>
      <c r="I41" s="146">
        <v>10</v>
      </c>
      <c r="J41" s="144" t="s">
        <v>51</v>
      </c>
      <c r="K41" s="146">
        <v>6</v>
      </c>
    </row>
    <row r="42" spans="1:12" s="53" customFormat="1" ht="15.95" customHeight="1" x14ac:dyDescent="0.2">
      <c r="B42" s="254"/>
      <c r="C42" s="56"/>
      <c r="D42" s="141">
        <v>2018</v>
      </c>
      <c r="E42" s="146">
        <f t="shared" si="6"/>
        <v>7</v>
      </c>
      <c r="F42" s="146">
        <v>3</v>
      </c>
      <c r="G42" s="146" t="s">
        <v>51</v>
      </c>
      <c r="H42" s="146" t="s">
        <v>51</v>
      </c>
      <c r="I42" s="146" t="s">
        <v>51</v>
      </c>
      <c r="J42" s="146" t="s">
        <v>51</v>
      </c>
      <c r="K42" s="146">
        <v>4</v>
      </c>
    </row>
    <row r="43" spans="1:12" s="53" customFormat="1" ht="15.95" customHeight="1" x14ac:dyDescent="0.2">
      <c r="A43" s="102"/>
      <c r="B43" s="254"/>
      <c r="C43" s="56"/>
      <c r="D43" s="141">
        <v>2019</v>
      </c>
      <c r="E43" s="146">
        <f>SUM(F43:K43)</f>
        <v>17</v>
      </c>
      <c r="F43" s="146">
        <v>5</v>
      </c>
      <c r="G43" s="144" t="s">
        <v>51</v>
      </c>
      <c r="H43" s="146">
        <v>1</v>
      </c>
      <c r="I43" s="146">
        <v>7</v>
      </c>
      <c r="J43" s="144" t="s">
        <v>51</v>
      </c>
      <c r="K43" s="146">
        <v>4</v>
      </c>
    </row>
    <row r="44" spans="1:12" s="53" customFormat="1" ht="15" customHeight="1" x14ac:dyDescent="0.2">
      <c r="A44" s="102"/>
      <c r="B44" s="254"/>
      <c r="C44" s="56"/>
      <c r="D44" s="141"/>
      <c r="E44" s="146"/>
      <c r="F44" s="146"/>
      <c r="G44" s="144"/>
      <c r="H44" s="144"/>
      <c r="I44" s="146"/>
      <c r="J44" s="144"/>
      <c r="K44" s="146"/>
    </row>
    <row r="45" spans="1:12" s="53" customFormat="1" ht="15.95" customHeight="1" x14ac:dyDescent="0.2">
      <c r="B45" s="254" t="s">
        <v>132</v>
      </c>
      <c r="C45" s="56"/>
      <c r="D45" s="141">
        <v>2017</v>
      </c>
      <c r="E45" s="146">
        <f t="shared" ref="E45:E46" si="7">SUM(F45:K45)</f>
        <v>57</v>
      </c>
      <c r="F45" s="146">
        <v>21</v>
      </c>
      <c r="G45" s="146" t="s">
        <v>51</v>
      </c>
      <c r="H45" s="144" t="s">
        <v>51</v>
      </c>
      <c r="I45" s="146">
        <v>4</v>
      </c>
      <c r="J45" s="144" t="s">
        <v>51</v>
      </c>
      <c r="K45" s="146">
        <v>32</v>
      </c>
    </row>
    <row r="46" spans="1:12" s="53" customFormat="1" ht="15.95" customHeight="1" x14ac:dyDescent="0.2">
      <c r="B46" s="254"/>
      <c r="C46" s="56"/>
      <c r="D46" s="141">
        <v>2018</v>
      </c>
      <c r="E46" s="146">
        <f t="shared" si="7"/>
        <v>40</v>
      </c>
      <c r="F46" s="146">
        <v>10</v>
      </c>
      <c r="G46" s="144">
        <v>1</v>
      </c>
      <c r="H46" s="144">
        <v>1</v>
      </c>
      <c r="I46" s="146">
        <v>5</v>
      </c>
      <c r="J46" s="146" t="s">
        <v>51</v>
      </c>
      <c r="K46" s="146">
        <v>23</v>
      </c>
    </row>
    <row r="47" spans="1:12" s="53" customFormat="1" ht="15.95" customHeight="1" x14ac:dyDescent="0.2">
      <c r="A47" s="102"/>
      <c r="B47" s="254"/>
      <c r="C47" s="56"/>
      <c r="D47" s="141">
        <v>2019</v>
      </c>
      <c r="E47" s="146">
        <f>SUM(F47:K47)</f>
        <v>40</v>
      </c>
      <c r="F47" s="53">
        <v>15</v>
      </c>
      <c r="G47" s="301" t="s">
        <v>51</v>
      </c>
      <c r="H47" s="301" t="s">
        <v>51</v>
      </c>
      <c r="I47" s="114">
        <v>8</v>
      </c>
      <c r="J47" s="301" t="s">
        <v>51</v>
      </c>
      <c r="K47" s="53">
        <v>17</v>
      </c>
    </row>
    <row r="48" spans="1:12" ht="8.1" customHeight="1" thickBot="1" x14ac:dyDescent="0.3">
      <c r="A48" s="100"/>
      <c r="B48" s="270"/>
      <c r="C48" s="16"/>
      <c r="D48" s="165"/>
      <c r="E48" s="12"/>
      <c r="F48" s="12"/>
      <c r="G48" s="12"/>
      <c r="H48" s="12"/>
      <c r="I48" s="12"/>
      <c r="J48" s="12"/>
      <c r="K48" s="12"/>
      <c r="L48" s="34"/>
    </row>
    <row r="49" spans="1:12" x14ac:dyDescent="0.25">
      <c r="B49" s="181"/>
      <c r="C49" s="181"/>
      <c r="D49" s="181"/>
      <c r="E49" s="242"/>
      <c r="F49" s="332"/>
      <c r="G49" s="342"/>
      <c r="H49" s="332"/>
      <c r="I49" s="332"/>
      <c r="J49" s="332"/>
      <c r="K49" s="154" t="s">
        <v>99</v>
      </c>
    </row>
    <row r="50" spans="1:12" x14ac:dyDescent="0.25">
      <c r="B50" s="239"/>
      <c r="C50" s="239"/>
      <c r="D50" s="239"/>
      <c r="E50" s="242"/>
      <c r="F50" s="332"/>
      <c r="G50" s="332"/>
      <c r="H50" s="332"/>
      <c r="I50" s="332"/>
      <c r="J50" s="332"/>
      <c r="K50" s="155" t="s">
        <v>1</v>
      </c>
    </row>
    <row r="51" spans="1:12" x14ac:dyDescent="0.25">
      <c r="A51" s="359" t="s">
        <v>254</v>
      </c>
      <c r="B51" s="27"/>
    </row>
    <row r="52" spans="1:12" x14ac:dyDescent="0.25">
      <c r="A52" s="420" t="s">
        <v>252</v>
      </c>
      <c r="B52" s="420"/>
    </row>
    <row r="53" spans="1:12" s="53" customFormat="1" ht="14.25" x14ac:dyDescent="0.2">
      <c r="A53" s="362" t="s">
        <v>253</v>
      </c>
      <c r="B53" s="362"/>
      <c r="C53" s="115"/>
      <c r="D53" s="115"/>
      <c r="E53" s="190"/>
      <c r="F53" s="189"/>
      <c r="G53" s="189"/>
      <c r="H53" s="191"/>
      <c r="I53" s="189"/>
      <c r="L53" s="2"/>
    </row>
    <row r="54" spans="1:12" x14ac:dyDescent="0.25">
      <c r="E54" s="21"/>
      <c r="F54" s="153"/>
      <c r="G54" s="153"/>
      <c r="H54" s="153"/>
      <c r="I54" s="153"/>
      <c r="J54" s="153"/>
      <c r="K54" s="153"/>
    </row>
    <row r="55" spans="1:12" x14ac:dyDescent="0.25">
      <c r="E55" s="21"/>
      <c r="F55" s="153"/>
      <c r="G55" s="153"/>
      <c r="H55" s="153"/>
      <c r="I55" s="153"/>
      <c r="J55" s="153"/>
      <c r="K55" s="153"/>
    </row>
    <row r="56" spans="1:12" x14ac:dyDescent="0.25">
      <c r="E56" s="21"/>
      <c r="F56" s="153"/>
      <c r="G56" s="153"/>
      <c r="H56" s="153"/>
      <c r="I56" s="153"/>
      <c r="J56" s="153"/>
      <c r="K56" s="153"/>
    </row>
    <row r="57" spans="1:12" x14ac:dyDescent="0.25">
      <c r="E57" s="21"/>
      <c r="F57" s="153"/>
      <c r="G57" s="153"/>
      <c r="H57" s="153"/>
      <c r="I57" s="153"/>
      <c r="J57" s="153"/>
      <c r="K57" s="153"/>
    </row>
    <row r="58" spans="1:12" x14ac:dyDescent="0.25">
      <c r="E58" s="21"/>
      <c r="F58" s="153"/>
      <c r="G58" s="153"/>
      <c r="H58" s="153"/>
      <c r="I58" s="153"/>
      <c r="J58" s="153"/>
      <c r="K58" s="153"/>
    </row>
    <row r="59" spans="1:12" x14ac:dyDescent="0.25">
      <c r="F59" s="334"/>
      <c r="G59" s="334"/>
      <c r="H59" s="335"/>
      <c r="I59" s="334"/>
      <c r="J59" s="15"/>
      <c r="K59" s="15"/>
    </row>
    <row r="60" spans="1:12" x14ac:dyDescent="0.25">
      <c r="F60" s="334"/>
      <c r="G60" s="334"/>
      <c r="H60" s="335"/>
      <c r="I60" s="334"/>
      <c r="J60" s="15"/>
      <c r="K60" s="15"/>
    </row>
  </sheetData>
  <mergeCells count="6">
    <mergeCell ref="K10:K11"/>
    <mergeCell ref="B10:C11"/>
    <mergeCell ref="E10:E11"/>
    <mergeCell ref="F10:F11"/>
    <mergeCell ref="G10:I10"/>
    <mergeCell ref="J10:J11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85" fitToWidth="0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60"/>
  <sheetViews>
    <sheetView showGridLines="0" topLeftCell="A28" zoomScaleNormal="100" zoomScaleSheetLayoutView="100" workbookViewId="0">
      <selection activeCell="AA22" sqref="AA22"/>
    </sheetView>
  </sheetViews>
  <sheetFormatPr defaultRowHeight="15" x14ac:dyDescent="0.25"/>
  <cols>
    <col min="1" max="1" width="1.7109375" style="2" customWidth="1"/>
    <col min="2" max="2" width="10.5703125" style="3" customWidth="1"/>
    <col min="3" max="3" width="8.85546875" style="3" customWidth="1"/>
    <col min="4" max="4" width="9.42578125" style="3" customWidth="1"/>
    <col min="5" max="5" width="11.7109375" style="4" customWidth="1"/>
    <col min="6" max="6" width="11.7109375" style="5" customWidth="1"/>
    <col min="7" max="7" width="10.140625" style="5" customWidth="1"/>
    <col min="8" max="8" width="11.7109375" style="185" customWidth="1"/>
    <col min="9" max="9" width="12.28515625" style="5" customWidth="1"/>
    <col min="10" max="10" width="10.140625" style="2" customWidth="1"/>
    <col min="11" max="11" width="11.7109375" style="2" customWidth="1"/>
    <col min="12" max="12" width="1.5703125" style="2" customWidth="1"/>
    <col min="13" max="16384" width="9.140625" style="2"/>
  </cols>
  <sheetData>
    <row r="1" spans="1:12" s="30" customFormat="1" ht="12.95" customHeight="1" x14ac:dyDescent="0.25">
      <c r="B1" s="27"/>
      <c r="C1" s="27"/>
      <c r="D1" s="29"/>
      <c r="E1" s="28"/>
      <c r="F1" s="29"/>
      <c r="J1" s="29"/>
      <c r="K1" s="160" t="s">
        <v>179</v>
      </c>
    </row>
    <row r="2" spans="1:12" s="30" customFormat="1" ht="12.95" customHeight="1" x14ac:dyDescent="0.25">
      <c r="B2" s="27"/>
      <c r="C2" s="27"/>
      <c r="D2" s="29"/>
      <c r="E2" s="28"/>
      <c r="F2" s="29"/>
      <c r="J2" s="29"/>
      <c r="K2" s="68" t="s">
        <v>180</v>
      </c>
    </row>
    <row r="3" spans="1:12" s="30" customFormat="1" ht="12" customHeight="1" x14ac:dyDescent="0.25">
      <c r="B3" s="27"/>
      <c r="C3" s="27"/>
      <c r="D3" s="29"/>
      <c r="E3" s="28"/>
      <c r="F3" s="29"/>
      <c r="G3" s="68"/>
      <c r="J3" s="29"/>
    </row>
    <row r="4" spans="1:12" s="30" customFormat="1" ht="12" customHeight="1" x14ac:dyDescent="0.25">
      <c r="B4" s="27"/>
      <c r="C4" s="27"/>
      <c r="D4" s="29"/>
      <c r="E4" s="28"/>
      <c r="F4" s="29"/>
      <c r="G4" s="68"/>
      <c r="J4" s="29"/>
    </row>
    <row r="5" spans="1:12" s="53" customFormat="1" ht="9.9499999999999993" customHeight="1" x14ac:dyDescent="0.2">
      <c r="B5" s="115"/>
      <c r="C5" s="115"/>
      <c r="D5" s="189"/>
      <c r="E5" s="190"/>
      <c r="F5" s="189"/>
      <c r="G5" s="189"/>
      <c r="H5" s="191"/>
      <c r="I5" s="189"/>
      <c r="J5" s="114"/>
    </row>
    <row r="6" spans="1:12" s="53" customFormat="1" ht="15" customHeight="1" x14ac:dyDescent="0.2">
      <c r="B6" s="63" t="s">
        <v>208</v>
      </c>
      <c r="C6" s="64" t="s">
        <v>249</v>
      </c>
      <c r="D6" s="189"/>
      <c r="E6" s="190"/>
      <c r="F6" s="64"/>
      <c r="G6" s="64"/>
      <c r="H6" s="64"/>
      <c r="I6" s="64"/>
      <c r="J6" s="79"/>
      <c r="K6" s="64"/>
      <c r="L6" s="179"/>
    </row>
    <row r="7" spans="1:12" s="53" customFormat="1" ht="18" customHeight="1" x14ac:dyDescent="0.2">
      <c r="B7" s="80" t="s">
        <v>209</v>
      </c>
      <c r="C7" s="86" t="s">
        <v>250</v>
      </c>
      <c r="D7" s="189"/>
      <c r="E7" s="190"/>
      <c r="F7" s="86"/>
      <c r="G7" s="86"/>
      <c r="H7" s="86"/>
      <c r="I7" s="86"/>
      <c r="J7" s="235"/>
      <c r="K7" s="86"/>
      <c r="L7" s="180"/>
    </row>
    <row r="8" spans="1:12" s="53" customFormat="1" ht="8.1" customHeight="1" thickBot="1" x14ac:dyDescent="0.25">
      <c r="B8" s="194"/>
      <c r="C8" s="194"/>
      <c r="D8" s="216"/>
      <c r="E8" s="215"/>
      <c r="F8" s="216"/>
      <c r="G8" s="216"/>
      <c r="H8" s="217"/>
      <c r="I8" s="216"/>
      <c r="J8" s="143"/>
      <c r="K8" s="116"/>
    </row>
    <row r="9" spans="1:12" s="53" customFormat="1" ht="8.1" customHeight="1" thickTop="1" x14ac:dyDescent="0.2">
      <c r="A9" s="378"/>
      <c r="B9" s="389"/>
      <c r="C9" s="389"/>
      <c r="D9" s="377"/>
      <c r="E9" s="400"/>
      <c r="F9" s="377"/>
      <c r="G9" s="377"/>
      <c r="H9" s="401"/>
      <c r="I9" s="377"/>
      <c r="J9" s="375"/>
      <c r="K9" s="378"/>
      <c r="L9" s="378"/>
    </row>
    <row r="10" spans="1:12" s="53" customFormat="1" ht="30.75" customHeight="1" x14ac:dyDescent="0.2">
      <c r="A10" s="390"/>
      <c r="B10" s="443" t="s">
        <v>207</v>
      </c>
      <c r="C10" s="443"/>
      <c r="D10" s="405" t="s">
        <v>96</v>
      </c>
      <c r="E10" s="437" t="s">
        <v>92</v>
      </c>
      <c r="F10" s="437" t="s">
        <v>203</v>
      </c>
      <c r="G10" s="440" t="s">
        <v>191</v>
      </c>
      <c r="H10" s="440"/>
      <c r="I10" s="440"/>
      <c r="J10" s="439" t="s">
        <v>251</v>
      </c>
      <c r="K10" s="437" t="s">
        <v>192</v>
      </c>
      <c r="L10" s="390"/>
    </row>
    <row r="11" spans="1:12" s="102" customFormat="1" ht="55.5" customHeight="1" x14ac:dyDescent="0.2">
      <c r="A11" s="398"/>
      <c r="B11" s="444"/>
      <c r="C11" s="444"/>
      <c r="D11" s="404"/>
      <c r="E11" s="442"/>
      <c r="F11" s="442"/>
      <c r="G11" s="403" t="s">
        <v>193</v>
      </c>
      <c r="H11" s="403" t="s">
        <v>194</v>
      </c>
      <c r="I11" s="403" t="s">
        <v>204</v>
      </c>
      <c r="J11" s="441"/>
      <c r="K11" s="442"/>
      <c r="L11" s="398"/>
    </row>
    <row r="12" spans="1:12" s="6" customFormat="1" ht="8.1" customHeight="1" x14ac:dyDescent="0.25">
      <c r="A12" s="24"/>
      <c r="B12" s="257"/>
      <c r="C12" s="257"/>
      <c r="D12" s="269"/>
      <c r="E12" s="259"/>
      <c r="F12" s="260"/>
      <c r="G12" s="259"/>
      <c r="H12" s="259"/>
      <c r="I12" s="259"/>
      <c r="J12" s="260"/>
      <c r="K12" s="259"/>
    </row>
    <row r="13" spans="1:12" s="102" customFormat="1" ht="15" customHeight="1" x14ac:dyDescent="0.2">
      <c r="A13" s="53"/>
      <c r="B13" s="272" t="s">
        <v>124</v>
      </c>
      <c r="C13" s="61"/>
      <c r="D13" s="61"/>
      <c r="E13" s="146"/>
      <c r="F13" s="145"/>
      <c r="G13" s="145"/>
      <c r="H13" s="145"/>
      <c r="I13" s="145"/>
      <c r="J13" s="145"/>
      <c r="K13" s="145"/>
    </row>
    <row r="14" spans="1:12" s="53" customFormat="1" ht="8.1" customHeight="1" x14ac:dyDescent="0.2">
      <c r="A14" s="102"/>
      <c r="B14" s="254"/>
      <c r="C14" s="56"/>
      <c r="D14" s="61"/>
      <c r="E14" s="146"/>
      <c r="F14" s="146"/>
      <c r="G14" s="146"/>
      <c r="H14" s="146"/>
      <c r="I14" s="146"/>
      <c r="J14" s="146"/>
      <c r="K14" s="146"/>
    </row>
    <row r="15" spans="1:12" s="102" customFormat="1" ht="15" customHeight="1" x14ac:dyDescent="0.2">
      <c r="A15" s="53"/>
      <c r="B15" s="254" t="s">
        <v>133</v>
      </c>
      <c r="C15" s="56"/>
      <c r="D15" s="141">
        <v>2017</v>
      </c>
      <c r="E15" s="146">
        <f>SUM(F15:K15)</f>
        <v>285</v>
      </c>
      <c r="F15" s="146">
        <v>85</v>
      </c>
      <c r="G15" s="146">
        <v>1</v>
      </c>
      <c r="H15" s="146">
        <v>23</v>
      </c>
      <c r="I15" s="146">
        <v>134</v>
      </c>
      <c r="J15" s="146" t="s">
        <v>51</v>
      </c>
      <c r="K15" s="146">
        <v>42</v>
      </c>
    </row>
    <row r="16" spans="1:12" s="102" customFormat="1" ht="15" customHeight="1" x14ac:dyDescent="0.2">
      <c r="A16" s="53"/>
      <c r="B16" s="254"/>
      <c r="C16" s="56"/>
      <c r="D16" s="141">
        <v>2018</v>
      </c>
      <c r="E16" s="146">
        <f>SUM(F16:K16)</f>
        <v>316</v>
      </c>
      <c r="F16" s="146">
        <v>67</v>
      </c>
      <c r="G16" s="146">
        <v>2</v>
      </c>
      <c r="H16" s="146">
        <v>22</v>
      </c>
      <c r="I16" s="146">
        <v>177</v>
      </c>
      <c r="J16" s="146" t="s">
        <v>51</v>
      </c>
      <c r="K16" s="146">
        <v>48</v>
      </c>
    </row>
    <row r="17" spans="1:11" s="102" customFormat="1" ht="15" customHeight="1" x14ac:dyDescent="0.2">
      <c r="B17" s="254"/>
      <c r="C17" s="56"/>
      <c r="D17" s="141">
        <v>2019</v>
      </c>
      <c r="E17" s="146">
        <f>SUM(F17:K17)</f>
        <v>320</v>
      </c>
      <c r="F17" s="146">
        <v>109</v>
      </c>
      <c r="G17" s="146">
        <v>3</v>
      </c>
      <c r="H17" s="146">
        <v>28</v>
      </c>
      <c r="I17" s="146">
        <v>113</v>
      </c>
      <c r="J17" s="144" t="s">
        <v>51</v>
      </c>
      <c r="K17" s="146">
        <v>67</v>
      </c>
    </row>
    <row r="18" spans="1:11" s="102" customFormat="1" ht="15" customHeight="1" x14ac:dyDescent="0.2">
      <c r="B18" s="254"/>
      <c r="C18" s="56"/>
      <c r="D18" s="141"/>
      <c r="E18" s="146"/>
      <c r="F18" s="146"/>
      <c r="G18" s="146"/>
      <c r="H18" s="146"/>
      <c r="I18" s="146"/>
      <c r="J18" s="146"/>
      <c r="K18" s="146"/>
    </row>
    <row r="19" spans="1:11" s="102" customFormat="1" ht="15" customHeight="1" x14ac:dyDescent="0.2">
      <c r="A19" s="53"/>
      <c r="B19" s="254" t="s">
        <v>134</v>
      </c>
      <c r="C19" s="56"/>
      <c r="D19" s="141">
        <v>2017</v>
      </c>
      <c r="E19" s="146">
        <f>SUM(F19:K19)</f>
        <v>1374</v>
      </c>
      <c r="F19" s="146">
        <v>293</v>
      </c>
      <c r="G19" s="146">
        <v>11</v>
      </c>
      <c r="H19" s="146">
        <v>184</v>
      </c>
      <c r="I19" s="146">
        <v>641</v>
      </c>
      <c r="J19" s="146" t="s">
        <v>51</v>
      </c>
      <c r="K19" s="146">
        <v>245</v>
      </c>
    </row>
    <row r="20" spans="1:11" s="102" customFormat="1" ht="15" customHeight="1" x14ac:dyDescent="0.2">
      <c r="A20" s="53"/>
      <c r="B20" s="254"/>
      <c r="C20" s="56"/>
      <c r="D20" s="141">
        <v>2018</v>
      </c>
      <c r="E20" s="146">
        <f>SUM(F20:K20)</f>
        <v>1161</v>
      </c>
      <c r="F20" s="146">
        <v>273</v>
      </c>
      <c r="G20" s="146">
        <v>12</v>
      </c>
      <c r="H20" s="146">
        <v>98</v>
      </c>
      <c r="I20" s="146">
        <v>504</v>
      </c>
      <c r="J20" s="146" t="s">
        <v>51</v>
      </c>
      <c r="K20" s="146">
        <v>274</v>
      </c>
    </row>
    <row r="21" spans="1:11" s="102" customFormat="1" ht="15" customHeight="1" x14ac:dyDescent="0.2">
      <c r="B21" s="254"/>
      <c r="C21" s="56"/>
      <c r="D21" s="141">
        <v>2019</v>
      </c>
      <c r="E21" s="146">
        <f>SUM(F21:K21)</f>
        <v>1157</v>
      </c>
      <c r="F21" s="146">
        <v>292</v>
      </c>
      <c r="G21" s="146">
        <v>8</v>
      </c>
      <c r="H21" s="146">
        <v>127</v>
      </c>
      <c r="I21" s="146">
        <v>367</v>
      </c>
      <c r="J21" s="144" t="s">
        <v>51</v>
      </c>
      <c r="K21" s="146">
        <v>363</v>
      </c>
    </row>
    <row r="22" spans="1:11" s="102" customFormat="1" ht="15" customHeight="1" x14ac:dyDescent="0.2">
      <c r="B22" s="254"/>
      <c r="C22" s="56"/>
      <c r="D22" s="141"/>
      <c r="E22" s="146"/>
      <c r="F22" s="146"/>
      <c r="G22" s="144"/>
      <c r="H22" s="146"/>
      <c r="I22" s="146"/>
      <c r="J22" s="144"/>
      <c r="K22" s="146"/>
    </row>
    <row r="23" spans="1:11" s="102" customFormat="1" ht="15" customHeight="1" x14ac:dyDescent="0.2">
      <c r="A23" s="53"/>
      <c r="B23" s="254" t="s">
        <v>135</v>
      </c>
      <c r="C23" s="56"/>
      <c r="D23" s="141">
        <v>2017</v>
      </c>
      <c r="E23" s="146">
        <f>SUM(F23:K23)</f>
        <v>37</v>
      </c>
      <c r="F23" s="146">
        <v>18</v>
      </c>
      <c r="G23" s="144">
        <v>1</v>
      </c>
      <c r="H23" s="146">
        <v>2</v>
      </c>
      <c r="I23" s="146">
        <v>7</v>
      </c>
      <c r="J23" s="144" t="s">
        <v>51</v>
      </c>
      <c r="K23" s="146">
        <v>9</v>
      </c>
    </row>
    <row r="24" spans="1:11" s="102" customFormat="1" ht="15" customHeight="1" x14ac:dyDescent="0.2">
      <c r="A24" s="53"/>
      <c r="B24" s="254"/>
      <c r="C24" s="56"/>
      <c r="D24" s="141">
        <v>2018</v>
      </c>
      <c r="E24" s="146">
        <f>SUM(F24:K24)</f>
        <v>41</v>
      </c>
      <c r="F24" s="146">
        <v>16</v>
      </c>
      <c r="G24" s="146" t="s">
        <v>51</v>
      </c>
      <c r="H24" s="146">
        <v>2</v>
      </c>
      <c r="I24" s="146">
        <v>5</v>
      </c>
      <c r="J24" s="146" t="s">
        <v>51</v>
      </c>
      <c r="K24" s="146">
        <v>18</v>
      </c>
    </row>
    <row r="25" spans="1:11" s="102" customFormat="1" ht="15" customHeight="1" x14ac:dyDescent="0.2">
      <c r="B25" s="254"/>
      <c r="C25" s="56"/>
      <c r="D25" s="141">
        <v>2019</v>
      </c>
      <c r="E25" s="146">
        <f>SUM(F25:K25)</f>
        <v>34</v>
      </c>
      <c r="F25" s="146">
        <v>8</v>
      </c>
      <c r="G25" s="144" t="s">
        <v>51</v>
      </c>
      <c r="H25" s="144" t="s">
        <v>51</v>
      </c>
      <c r="I25" s="146">
        <v>6</v>
      </c>
      <c r="J25" s="144" t="s">
        <v>51</v>
      </c>
      <c r="K25" s="146">
        <v>20</v>
      </c>
    </row>
    <row r="26" spans="1:11" s="102" customFormat="1" ht="15" customHeight="1" x14ac:dyDescent="0.2">
      <c r="B26" s="254"/>
      <c r="C26" s="56"/>
      <c r="D26" s="141"/>
      <c r="E26" s="146"/>
      <c r="F26" s="146"/>
      <c r="G26" s="144"/>
      <c r="H26" s="146"/>
      <c r="I26" s="146"/>
      <c r="J26" s="144"/>
      <c r="K26" s="146"/>
    </row>
    <row r="27" spans="1:11" s="102" customFormat="1" ht="15" customHeight="1" x14ac:dyDescent="0.2">
      <c r="A27" s="53"/>
      <c r="B27" s="254" t="s">
        <v>136</v>
      </c>
      <c r="C27" s="56"/>
      <c r="D27" s="141">
        <v>2017</v>
      </c>
      <c r="E27" s="146">
        <f>SUM(F27:K27)</f>
        <v>58</v>
      </c>
      <c r="F27" s="146">
        <v>30</v>
      </c>
      <c r="G27" s="144" t="s">
        <v>51</v>
      </c>
      <c r="H27" s="144">
        <v>1</v>
      </c>
      <c r="I27" s="146">
        <v>10</v>
      </c>
      <c r="J27" s="144" t="s">
        <v>51</v>
      </c>
      <c r="K27" s="146">
        <v>17</v>
      </c>
    </row>
    <row r="28" spans="1:11" s="102" customFormat="1" ht="15" customHeight="1" x14ac:dyDescent="0.2">
      <c r="A28" s="53"/>
      <c r="B28" s="254"/>
      <c r="C28" s="56"/>
      <c r="D28" s="141">
        <v>2018</v>
      </c>
      <c r="E28" s="146">
        <f>SUM(F28:K28)</f>
        <v>46</v>
      </c>
      <c r="F28" s="146">
        <v>22</v>
      </c>
      <c r="G28" s="144" t="s">
        <v>51</v>
      </c>
      <c r="H28" s="146" t="s">
        <v>51</v>
      </c>
      <c r="I28" s="146">
        <v>2</v>
      </c>
      <c r="J28" s="146" t="s">
        <v>51</v>
      </c>
      <c r="K28" s="146">
        <v>22</v>
      </c>
    </row>
    <row r="29" spans="1:11" s="102" customFormat="1" ht="15" customHeight="1" x14ac:dyDescent="0.2">
      <c r="B29" s="254"/>
      <c r="C29" s="56"/>
      <c r="D29" s="141">
        <v>2019</v>
      </c>
      <c r="E29" s="146">
        <f>SUM(F29:K29)</f>
        <v>30</v>
      </c>
      <c r="F29" s="146">
        <v>10</v>
      </c>
      <c r="G29" s="144" t="s">
        <v>51</v>
      </c>
      <c r="H29" s="144" t="s">
        <v>51</v>
      </c>
      <c r="I29" s="146">
        <v>6</v>
      </c>
      <c r="J29" s="144" t="s">
        <v>51</v>
      </c>
      <c r="K29" s="146">
        <v>14</v>
      </c>
    </row>
    <row r="30" spans="1:11" s="102" customFormat="1" ht="15" customHeight="1" x14ac:dyDescent="0.2">
      <c r="B30" s="254"/>
      <c r="C30" s="56"/>
      <c r="D30" s="141"/>
      <c r="E30" s="146"/>
      <c r="F30" s="146"/>
      <c r="G30" s="146"/>
      <c r="H30" s="144"/>
      <c r="I30" s="146"/>
      <c r="J30" s="144"/>
      <c r="K30" s="146"/>
    </row>
    <row r="31" spans="1:11" s="102" customFormat="1" ht="15" customHeight="1" x14ac:dyDescent="0.2">
      <c r="A31" s="53"/>
      <c r="B31" s="254" t="s">
        <v>137</v>
      </c>
      <c r="C31" s="56"/>
      <c r="D31" s="141">
        <v>2017</v>
      </c>
      <c r="E31" s="146">
        <f>SUM(F31:K31)</f>
        <v>30</v>
      </c>
      <c r="F31" s="146">
        <v>11</v>
      </c>
      <c r="G31" s="144" t="s">
        <v>51</v>
      </c>
      <c r="H31" s="144" t="s">
        <v>51</v>
      </c>
      <c r="I31" s="146">
        <v>7</v>
      </c>
      <c r="J31" s="144" t="s">
        <v>51</v>
      </c>
      <c r="K31" s="146">
        <v>12</v>
      </c>
    </row>
    <row r="32" spans="1:11" s="102" customFormat="1" ht="15" customHeight="1" x14ac:dyDescent="0.2">
      <c r="A32" s="53"/>
      <c r="B32" s="254"/>
      <c r="C32" s="56"/>
      <c r="D32" s="141">
        <v>2018</v>
      </c>
      <c r="E32" s="146">
        <f>SUM(F32:K32)</f>
        <v>29</v>
      </c>
      <c r="F32" s="146">
        <v>11</v>
      </c>
      <c r="G32" s="144" t="s">
        <v>51</v>
      </c>
      <c r="H32" s="144" t="s">
        <v>51</v>
      </c>
      <c r="I32" s="146">
        <v>4</v>
      </c>
      <c r="J32" s="146" t="s">
        <v>51</v>
      </c>
      <c r="K32" s="146">
        <v>14</v>
      </c>
    </row>
    <row r="33" spans="1:11" s="102" customFormat="1" ht="15" customHeight="1" x14ac:dyDescent="0.2">
      <c r="B33" s="254"/>
      <c r="C33" s="56"/>
      <c r="D33" s="141">
        <v>2019</v>
      </c>
      <c r="E33" s="146">
        <f>SUM(F33:K33)</f>
        <v>13</v>
      </c>
      <c r="F33" s="146">
        <v>5</v>
      </c>
      <c r="G33" s="144" t="s">
        <v>51</v>
      </c>
      <c r="H33" s="144" t="s">
        <v>51</v>
      </c>
      <c r="I33" s="146">
        <v>4</v>
      </c>
      <c r="J33" s="144" t="s">
        <v>51</v>
      </c>
      <c r="K33" s="146">
        <v>4</v>
      </c>
    </row>
    <row r="34" spans="1:11" s="102" customFormat="1" ht="15" customHeight="1" x14ac:dyDescent="0.2">
      <c r="B34" s="254"/>
      <c r="C34" s="56"/>
      <c r="D34" s="141"/>
      <c r="E34" s="146"/>
      <c r="F34" s="146"/>
      <c r="G34" s="146"/>
      <c r="H34" s="144"/>
      <c r="I34" s="146"/>
      <c r="J34" s="146"/>
      <c r="K34" s="146"/>
    </row>
    <row r="35" spans="1:11" s="102" customFormat="1" ht="15" customHeight="1" x14ac:dyDescent="0.2">
      <c r="A35" s="53"/>
      <c r="B35" s="254" t="s">
        <v>138</v>
      </c>
      <c r="C35" s="56"/>
      <c r="D35" s="141">
        <v>2017</v>
      </c>
      <c r="E35" s="146">
        <f>SUM(F35:K35)</f>
        <v>57</v>
      </c>
      <c r="F35" s="146">
        <v>16</v>
      </c>
      <c r="G35" s="146" t="s">
        <v>51</v>
      </c>
      <c r="H35" s="146">
        <v>2</v>
      </c>
      <c r="I35" s="146">
        <v>16</v>
      </c>
      <c r="J35" s="144" t="s">
        <v>51</v>
      </c>
      <c r="K35" s="146">
        <v>23</v>
      </c>
    </row>
    <row r="36" spans="1:11" s="102" customFormat="1" ht="15" customHeight="1" x14ac:dyDescent="0.2">
      <c r="A36" s="53"/>
      <c r="B36" s="254"/>
      <c r="C36" s="56"/>
      <c r="D36" s="141">
        <v>2018</v>
      </c>
      <c r="E36" s="146">
        <f>SUM(F36:K36)</f>
        <v>39</v>
      </c>
      <c r="F36" s="146">
        <v>15</v>
      </c>
      <c r="G36" s="144" t="s">
        <v>51</v>
      </c>
      <c r="H36" s="146" t="s">
        <v>51</v>
      </c>
      <c r="I36" s="146">
        <v>7</v>
      </c>
      <c r="J36" s="146" t="s">
        <v>51</v>
      </c>
      <c r="K36" s="146">
        <v>17</v>
      </c>
    </row>
    <row r="37" spans="1:11" s="102" customFormat="1" ht="15" customHeight="1" x14ac:dyDescent="0.2">
      <c r="B37" s="254"/>
      <c r="C37" s="56"/>
      <c r="D37" s="141">
        <v>2019</v>
      </c>
      <c r="E37" s="146">
        <f>SUM(F37:K37)</f>
        <v>29</v>
      </c>
      <c r="F37" s="146">
        <v>13</v>
      </c>
      <c r="G37" s="146">
        <v>1</v>
      </c>
      <c r="H37" s="146">
        <v>1</v>
      </c>
      <c r="I37" s="146">
        <v>6</v>
      </c>
      <c r="J37" s="144" t="s">
        <v>51</v>
      </c>
      <c r="K37" s="146">
        <v>8</v>
      </c>
    </row>
    <row r="38" spans="1:11" s="102" customFormat="1" ht="15" customHeight="1" x14ac:dyDescent="0.2">
      <c r="B38" s="254"/>
      <c r="C38" s="56"/>
      <c r="D38" s="141"/>
      <c r="E38" s="146"/>
      <c r="F38" s="146"/>
      <c r="G38" s="146"/>
      <c r="H38" s="146"/>
      <c r="I38" s="146"/>
      <c r="J38" s="144"/>
      <c r="K38" s="146"/>
    </row>
    <row r="39" spans="1:11" s="102" customFormat="1" ht="15" customHeight="1" x14ac:dyDescent="0.2">
      <c r="A39" s="53"/>
      <c r="B39" s="254" t="s">
        <v>139</v>
      </c>
      <c r="C39" s="56"/>
      <c r="D39" s="141">
        <v>2017</v>
      </c>
      <c r="E39" s="146">
        <f>SUM(F39:K39)</f>
        <v>39</v>
      </c>
      <c r="F39" s="146">
        <v>6</v>
      </c>
      <c r="G39" s="144" t="s">
        <v>51</v>
      </c>
      <c r="H39" s="146">
        <v>3</v>
      </c>
      <c r="I39" s="146">
        <v>7</v>
      </c>
      <c r="J39" s="144" t="s">
        <v>51</v>
      </c>
      <c r="K39" s="146">
        <v>23</v>
      </c>
    </row>
    <row r="40" spans="1:11" s="102" customFormat="1" ht="15" customHeight="1" x14ac:dyDescent="0.2">
      <c r="A40" s="115"/>
      <c r="B40" s="254"/>
      <c r="C40" s="56"/>
      <c r="D40" s="141">
        <v>2018</v>
      </c>
      <c r="E40" s="146">
        <f>SUM(F40:K40)</f>
        <v>33</v>
      </c>
      <c r="F40" s="146">
        <v>9</v>
      </c>
      <c r="G40" s="144" t="s">
        <v>51</v>
      </c>
      <c r="H40" s="146">
        <v>3</v>
      </c>
      <c r="I40" s="146">
        <v>9</v>
      </c>
      <c r="J40" s="144" t="s">
        <v>51</v>
      </c>
      <c r="K40" s="146">
        <v>12</v>
      </c>
    </row>
    <row r="41" spans="1:11" s="102" customFormat="1" ht="15" customHeight="1" x14ac:dyDescent="0.2">
      <c r="B41" s="254"/>
      <c r="C41" s="56"/>
      <c r="D41" s="141">
        <v>2019</v>
      </c>
      <c r="E41" s="146">
        <f>SUM(F41:K41)</f>
        <v>58</v>
      </c>
      <c r="F41" s="146">
        <v>17</v>
      </c>
      <c r="G41" s="146">
        <v>2</v>
      </c>
      <c r="H41" s="144" t="s">
        <v>51</v>
      </c>
      <c r="I41" s="146">
        <v>10</v>
      </c>
      <c r="J41" s="144" t="s">
        <v>51</v>
      </c>
      <c r="K41" s="146">
        <v>29</v>
      </c>
    </row>
    <row r="42" spans="1:11" s="102" customFormat="1" ht="15" customHeight="1" x14ac:dyDescent="0.2">
      <c r="B42" s="254"/>
      <c r="C42" s="56"/>
      <c r="D42" s="141"/>
      <c r="E42" s="146"/>
      <c r="F42" s="146"/>
      <c r="G42" s="144"/>
      <c r="H42" s="144"/>
      <c r="I42" s="146"/>
      <c r="J42" s="144"/>
      <c r="K42" s="146"/>
    </row>
    <row r="43" spans="1:11" s="102" customFormat="1" ht="15" customHeight="1" x14ac:dyDescent="0.2">
      <c r="A43" s="53"/>
      <c r="B43" s="254" t="s">
        <v>140</v>
      </c>
      <c r="C43" s="56"/>
      <c r="D43" s="141">
        <v>2017</v>
      </c>
      <c r="E43" s="146">
        <f>SUM(F43:K43)</f>
        <v>22</v>
      </c>
      <c r="F43" s="146">
        <v>5</v>
      </c>
      <c r="G43" s="146" t="s">
        <v>51</v>
      </c>
      <c r="H43" s="144">
        <v>1</v>
      </c>
      <c r="I43" s="146">
        <v>4</v>
      </c>
      <c r="J43" s="144" t="s">
        <v>51</v>
      </c>
      <c r="K43" s="146">
        <v>12</v>
      </c>
    </row>
    <row r="44" spans="1:11" s="102" customFormat="1" ht="15" customHeight="1" x14ac:dyDescent="0.2">
      <c r="A44" s="53"/>
      <c r="B44" s="254"/>
      <c r="C44" s="56"/>
      <c r="D44" s="141">
        <v>2018</v>
      </c>
      <c r="E44" s="146">
        <f>SUM(F44:K44)</f>
        <v>24</v>
      </c>
      <c r="F44" s="146">
        <v>7</v>
      </c>
      <c r="G44" s="144" t="s">
        <v>51</v>
      </c>
      <c r="H44" s="144" t="s">
        <v>51</v>
      </c>
      <c r="I44" s="146">
        <v>9</v>
      </c>
      <c r="J44" s="144" t="s">
        <v>51</v>
      </c>
      <c r="K44" s="146">
        <v>8</v>
      </c>
    </row>
    <row r="45" spans="1:11" s="102" customFormat="1" ht="15" customHeight="1" x14ac:dyDescent="0.2">
      <c r="B45" s="254"/>
      <c r="C45" s="56"/>
      <c r="D45" s="141">
        <v>2019</v>
      </c>
      <c r="E45" s="146">
        <f>SUM(F45:K45)</f>
        <v>20</v>
      </c>
      <c r="F45" s="146">
        <v>5</v>
      </c>
      <c r="G45" s="144" t="s">
        <v>51</v>
      </c>
      <c r="H45" s="144" t="s">
        <v>51</v>
      </c>
      <c r="I45" s="146">
        <v>5</v>
      </c>
      <c r="J45" s="144" t="s">
        <v>51</v>
      </c>
      <c r="K45" s="146">
        <v>10</v>
      </c>
    </row>
    <row r="46" spans="1:11" s="102" customFormat="1" ht="15" customHeight="1" x14ac:dyDescent="0.2">
      <c r="B46" s="254"/>
      <c r="C46" s="56"/>
      <c r="D46" s="141"/>
      <c r="E46" s="146"/>
      <c r="F46" s="146"/>
      <c r="G46" s="144"/>
      <c r="H46" s="146"/>
      <c r="I46" s="146"/>
      <c r="J46" s="144"/>
      <c r="K46" s="146"/>
    </row>
    <row r="47" spans="1:11" s="102" customFormat="1" ht="15" customHeight="1" x14ac:dyDescent="0.2">
      <c r="A47" s="53"/>
      <c r="B47" s="254" t="s">
        <v>141</v>
      </c>
      <c r="C47" s="56"/>
      <c r="D47" s="141">
        <v>2017</v>
      </c>
      <c r="E47" s="146">
        <f>SUM(F47:K47)</f>
        <v>30</v>
      </c>
      <c r="F47" s="146">
        <v>6</v>
      </c>
      <c r="G47" s="146" t="s">
        <v>51</v>
      </c>
      <c r="H47" s="146">
        <v>3</v>
      </c>
      <c r="I47" s="146">
        <v>13</v>
      </c>
      <c r="J47" s="144" t="s">
        <v>51</v>
      </c>
      <c r="K47" s="146">
        <v>8</v>
      </c>
    </row>
    <row r="48" spans="1:11" s="102" customFormat="1" ht="15" customHeight="1" x14ac:dyDescent="0.2">
      <c r="A48" s="53"/>
      <c r="B48" s="254"/>
      <c r="C48" s="56"/>
      <c r="D48" s="141">
        <v>2018</v>
      </c>
      <c r="E48" s="146">
        <f>SUM(F48:K48)</f>
        <v>37</v>
      </c>
      <c r="F48" s="146">
        <v>13</v>
      </c>
      <c r="G48" s="144">
        <v>2</v>
      </c>
      <c r="H48" s="146">
        <v>1</v>
      </c>
      <c r="I48" s="146">
        <v>8</v>
      </c>
      <c r="J48" s="144" t="s">
        <v>51</v>
      </c>
      <c r="K48" s="146">
        <v>13</v>
      </c>
    </row>
    <row r="49" spans="1:12" s="116" customFormat="1" ht="15" customHeight="1" x14ac:dyDescent="0.2">
      <c r="A49" s="102"/>
      <c r="B49" s="254"/>
      <c r="C49" s="56"/>
      <c r="D49" s="141">
        <v>2019</v>
      </c>
      <c r="E49" s="146">
        <f>SUM(F49:K49)</f>
        <v>46</v>
      </c>
      <c r="F49" s="146">
        <v>24</v>
      </c>
      <c r="G49" s="146">
        <v>3</v>
      </c>
      <c r="H49" s="146">
        <v>2</v>
      </c>
      <c r="I49" s="146">
        <v>3</v>
      </c>
      <c r="J49" s="144" t="s">
        <v>51</v>
      </c>
      <c r="K49" s="146">
        <v>14</v>
      </c>
    </row>
    <row r="50" spans="1:12" s="116" customFormat="1" ht="15" customHeight="1" x14ac:dyDescent="0.2">
      <c r="A50" s="102"/>
      <c r="B50" s="254"/>
      <c r="C50" s="56"/>
      <c r="D50" s="141"/>
      <c r="E50" s="146"/>
      <c r="F50" s="146"/>
      <c r="G50" s="146"/>
      <c r="H50" s="146"/>
      <c r="I50" s="146"/>
      <c r="J50" s="146"/>
      <c r="K50" s="146"/>
    </row>
    <row r="51" spans="1:12" s="83" customFormat="1" ht="15" customHeight="1" x14ac:dyDescent="0.2">
      <c r="A51" s="53"/>
      <c r="B51" s="254" t="s">
        <v>142</v>
      </c>
      <c r="C51" s="56"/>
      <c r="D51" s="141">
        <v>2017</v>
      </c>
      <c r="E51" s="146">
        <f>SUM(F51:K51)</f>
        <v>815</v>
      </c>
      <c r="F51" s="146">
        <v>194</v>
      </c>
      <c r="G51" s="146">
        <v>18</v>
      </c>
      <c r="H51" s="146">
        <v>77</v>
      </c>
      <c r="I51" s="146">
        <v>289</v>
      </c>
      <c r="J51" s="146" t="s">
        <v>51</v>
      </c>
      <c r="K51" s="146">
        <v>237</v>
      </c>
    </row>
    <row r="52" spans="1:12" s="53" customFormat="1" ht="15" customHeight="1" x14ac:dyDescent="0.2">
      <c r="B52" s="254"/>
      <c r="C52" s="56"/>
      <c r="D52" s="141">
        <v>2018</v>
      </c>
      <c r="E52" s="146">
        <f>SUM(F52:K52)</f>
        <v>821</v>
      </c>
      <c r="F52" s="146">
        <v>267</v>
      </c>
      <c r="G52" s="146">
        <v>6</v>
      </c>
      <c r="H52" s="146">
        <v>75</v>
      </c>
      <c r="I52" s="146">
        <v>186</v>
      </c>
      <c r="J52" s="144" t="s">
        <v>51</v>
      </c>
      <c r="K52" s="146">
        <v>287</v>
      </c>
    </row>
    <row r="53" spans="1:12" s="53" customFormat="1" ht="15" customHeight="1" x14ac:dyDescent="0.2">
      <c r="A53" s="102"/>
      <c r="B53" s="254"/>
      <c r="C53" s="56"/>
      <c r="D53" s="141">
        <v>2019</v>
      </c>
      <c r="E53" s="146">
        <f>SUM(F53:K53)</f>
        <v>802</v>
      </c>
      <c r="F53" s="53">
        <v>255</v>
      </c>
      <c r="G53" s="53">
        <v>6</v>
      </c>
      <c r="H53" s="53">
        <v>45</v>
      </c>
      <c r="I53" s="53">
        <v>185</v>
      </c>
      <c r="J53" s="301" t="s">
        <v>51</v>
      </c>
      <c r="K53" s="53">
        <v>311</v>
      </c>
    </row>
    <row r="54" spans="1:12" ht="8.1" customHeight="1" thickBot="1" x14ac:dyDescent="0.3">
      <c r="A54" s="100"/>
      <c r="B54" s="270"/>
      <c r="C54" s="16"/>
      <c r="D54" s="131"/>
      <c r="E54" s="12"/>
      <c r="F54" s="12"/>
      <c r="G54" s="12"/>
      <c r="H54" s="12"/>
      <c r="I54" s="12"/>
      <c r="J54" s="12"/>
      <c r="K54" s="12"/>
      <c r="L54" s="34"/>
    </row>
    <row r="55" spans="1:12" x14ac:dyDescent="0.25">
      <c r="B55" s="181"/>
      <c r="C55" s="181"/>
      <c r="D55" s="181"/>
      <c r="E55" s="242"/>
      <c r="F55" s="332"/>
      <c r="G55" s="342"/>
      <c r="H55" s="332"/>
      <c r="I55" s="332"/>
      <c r="J55" s="332"/>
      <c r="K55" s="154" t="s">
        <v>99</v>
      </c>
    </row>
    <row r="56" spans="1:12" x14ac:dyDescent="0.25">
      <c r="B56" s="239"/>
      <c r="C56" s="239"/>
      <c r="D56" s="239"/>
      <c r="E56" s="242"/>
      <c r="F56" s="332"/>
      <c r="G56" s="332"/>
      <c r="H56" s="328"/>
      <c r="I56" s="333"/>
      <c r="J56" s="333"/>
      <c r="K56" s="155" t="s">
        <v>1</v>
      </c>
    </row>
    <row r="57" spans="1:12" x14ac:dyDescent="0.25">
      <c r="A57" s="359" t="s">
        <v>254</v>
      </c>
      <c r="B57" s="27"/>
    </row>
    <row r="58" spans="1:12" x14ac:dyDescent="0.25">
      <c r="A58" s="420" t="s">
        <v>252</v>
      </c>
      <c r="B58" s="420"/>
    </row>
    <row r="59" spans="1:12" s="53" customFormat="1" ht="14.25" x14ac:dyDescent="0.2">
      <c r="A59" s="362" t="s">
        <v>253</v>
      </c>
      <c r="B59" s="362"/>
      <c r="C59" s="115"/>
      <c r="D59" s="115"/>
      <c r="E59" s="190"/>
      <c r="F59" s="189"/>
      <c r="G59" s="189"/>
      <c r="H59" s="191"/>
      <c r="I59" s="189"/>
      <c r="L59" s="2"/>
    </row>
    <row r="60" spans="1:12" x14ac:dyDescent="0.25">
      <c r="F60" s="334"/>
      <c r="G60" s="334"/>
      <c r="H60" s="335"/>
      <c r="I60" s="334"/>
      <c r="J60" s="15"/>
      <c r="K60" s="15"/>
    </row>
  </sheetData>
  <mergeCells count="6">
    <mergeCell ref="K10:K11"/>
    <mergeCell ref="B10:C11"/>
    <mergeCell ref="E10:E11"/>
    <mergeCell ref="F10:F11"/>
    <mergeCell ref="G10:I10"/>
    <mergeCell ref="J10:J11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85" fitToWidth="0" orientation="portrait" r:id="rId1"/>
  <headerFooter>
    <oddHeader xml:space="preserve">&amp;R&amp;"-,Bold"
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60"/>
  <sheetViews>
    <sheetView showGridLines="0" topLeftCell="A28" zoomScaleNormal="100" zoomScaleSheetLayoutView="100" workbookViewId="0">
      <selection activeCell="AA22" sqref="AA22"/>
    </sheetView>
  </sheetViews>
  <sheetFormatPr defaultRowHeight="15" x14ac:dyDescent="0.25"/>
  <cols>
    <col min="1" max="1" width="0.85546875" style="2" customWidth="1"/>
    <col min="2" max="2" width="10" style="3" customWidth="1"/>
    <col min="3" max="3" width="12" style="3" customWidth="1"/>
    <col min="4" max="4" width="9.28515625" style="3" customWidth="1"/>
    <col min="5" max="5" width="9.85546875" style="4" customWidth="1"/>
    <col min="6" max="6" width="11.7109375" style="5" customWidth="1"/>
    <col min="7" max="7" width="10.5703125" style="5" customWidth="1"/>
    <col min="8" max="8" width="10.42578125" style="185" customWidth="1"/>
    <col min="9" max="9" width="12.28515625" style="5" customWidth="1"/>
    <col min="10" max="11" width="11.7109375" style="2" customWidth="1"/>
    <col min="12" max="12" width="1.5703125" style="2" customWidth="1"/>
    <col min="13" max="16384" width="9.140625" style="2"/>
  </cols>
  <sheetData>
    <row r="1" spans="1:12" s="30" customFormat="1" ht="12.95" customHeight="1" x14ac:dyDescent="0.25">
      <c r="B1" s="27"/>
      <c r="C1" s="27"/>
      <c r="D1" s="29"/>
      <c r="E1" s="28"/>
      <c r="F1" s="29"/>
      <c r="J1" s="29"/>
      <c r="K1" s="160" t="s">
        <v>179</v>
      </c>
    </row>
    <row r="2" spans="1:12" s="30" customFormat="1" ht="12.95" customHeight="1" x14ac:dyDescent="0.25">
      <c r="B2" s="27"/>
      <c r="C2" s="27"/>
      <c r="D2" s="29"/>
      <c r="E2" s="28"/>
      <c r="F2" s="29"/>
      <c r="J2" s="29"/>
      <c r="K2" s="68" t="s">
        <v>180</v>
      </c>
    </row>
    <row r="3" spans="1:12" s="30" customFormat="1" ht="12" customHeight="1" x14ac:dyDescent="0.25">
      <c r="B3" s="27"/>
      <c r="C3" s="27"/>
      <c r="D3" s="29"/>
      <c r="E3" s="28"/>
      <c r="F3" s="29"/>
      <c r="G3" s="68"/>
      <c r="J3" s="29"/>
    </row>
    <row r="4" spans="1:12" s="30" customFormat="1" ht="12" customHeight="1" x14ac:dyDescent="0.25">
      <c r="B4" s="27"/>
      <c r="C4" s="27"/>
      <c r="D4" s="29"/>
      <c r="E4" s="28"/>
      <c r="F4" s="29"/>
      <c r="G4" s="68"/>
      <c r="J4" s="29"/>
    </row>
    <row r="5" spans="1:12" s="53" customFormat="1" ht="9.9499999999999993" customHeight="1" x14ac:dyDescent="0.2">
      <c r="B5" s="115"/>
      <c r="C5" s="115"/>
      <c r="D5" s="189"/>
      <c r="E5" s="190"/>
      <c r="F5" s="189"/>
      <c r="G5" s="189"/>
      <c r="H5" s="191"/>
      <c r="I5" s="189"/>
      <c r="J5" s="114"/>
    </row>
    <row r="6" spans="1:12" s="53" customFormat="1" ht="15" customHeight="1" x14ac:dyDescent="0.2">
      <c r="B6" s="63" t="s">
        <v>208</v>
      </c>
      <c r="C6" s="64" t="s">
        <v>249</v>
      </c>
      <c r="D6" s="189"/>
      <c r="E6" s="190"/>
      <c r="F6" s="64"/>
      <c r="G6" s="64"/>
      <c r="H6" s="64"/>
      <c r="I6" s="64"/>
      <c r="J6" s="79"/>
      <c r="K6" s="64"/>
      <c r="L6" s="179"/>
    </row>
    <row r="7" spans="1:12" s="53" customFormat="1" ht="18" customHeight="1" x14ac:dyDescent="0.2">
      <c r="B7" s="80" t="s">
        <v>209</v>
      </c>
      <c r="C7" s="86" t="s">
        <v>250</v>
      </c>
      <c r="D7" s="189"/>
      <c r="E7" s="190"/>
      <c r="F7" s="86"/>
      <c r="G7" s="86"/>
      <c r="H7" s="86"/>
      <c r="I7" s="86"/>
      <c r="J7" s="235"/>
      <c r="K7" s="86"/>
      <c r="L7" s="180"/>
    </row>
    <row r="8" spans="1:12" s="53" customFormat="1" ht="8.1" customHeight="1" thickBot="1" x14ac:dyDescent="0.25">
      <c r="B8" s="194"/>
      <c r="C8" s="194"/>
      <c r="D8" s="216"/>
      <c r="E8" s="215"/>
      <c r="F8" s="216"/>
      <c r="G8" s="216"/>
      <c r="H8" s="217"/>
      <c r="I8" s="216"/>
      <c r="J8" s="143"/>
      <c r="K8" s="116"/>
    </row>
    <row r="9" spans="1:12" s="53" customFormat="1" ht="8.1" customHeight="1" thickTop="1" x14ac:dyDescent="0.2">
      <c r="A9" s="378"/>
      <c r="B9" s="389"/>
      <c r="C9" s="389"/>
      <c r="D9" s="377"/>
      <c r="E9" s="400"/>
      <c r="F9" s="377"/>
      <c r="G9" s="377"/>
      <c r="H9" s="401"/>
      <c r="I9" s="377"/>
      <c r="J9" s="375"/>
      <c r="K9" s="378"/>
      <c r="L9" s="378"/>
    </row>
    <row r="10" spans="1:12" s="53" customFormat="1" ht="30.75" customHeight="1" x14ac:dyDescent="0.2">
      <c r="A10" s="390"/>
      <c r="B10" s="443" t="s">
        <v>207</v>
      </c>
      <c r="C10" s="443"/>
      <c r="D10" s="405" t="s">
        <v>96</v>
      </c>
      <c r="E10" s="437" t="s">
        <v>92</v>
      </c>
      <c r="F10" s="437" t="s">
        <v>203</v>
      </c>
      <c r="G10" s="440" t="s">
        <v>191</v>
      </c>
      <c r="H10" s="440"/>
      <c r="I10" s="440"/>
      <c r="J10" s="439" t="s">
        <v>251</v>
      </c>
      <c r="K10" s="437" t="s">
        <v>192</v>
      </c>
      <c r="L10" s="390"/>
    </row>
    <row r="11" spans="1:12" s="102" customFormat="1" ht="55.5" customHeight="1" x14ac:dyDescent="0.2">
      <c r="A11" s="398"/>
      <c r="B11" s="444"/>
      <c r="C11" s="444"/>
      <c r="D11" s="404"/>
      <c r="E11" s="442"/>
      <c r="F11" s="442"/>
      <c r="G11" s="403" t="s">
        <v>193</v>
      </c>
      <c r="H11" s="403" t="s">
        <v>194</v>
      </c>
      <c r="I11" s="403" t="s">
        <v>204</v>
      </c>
      <c r="J11" s="441"/>
      <c r="K11" s="442"/>
      <c r="L11" s="398"/>
    </row>
    <row r="12" spans="1:12" s="6" customFormat="1" ht="8.1" customHeight="1" x14ac:dyDescent="0.25">
      <c r="A12" s="24"/>
      <c r="B12" s="257"/>
      <c r="C12" s="257"/>
      <c r="D12" s="269"/>
      <c r="E12" s="259"/>
      <c r="F12" s="260"/>
      <c r="G12" s="259"/>
      <c r="H12" s="259"/>
      <c r="I12" s="259"/>
      <c r="J12" s="260"/>
      <c r="K12" s="259"/>
    </row>
    <row r="13" spans="1:12" s="6" customFormat="1" ht="8.1" customHeight="1" x14ac:dyDescent="0.25">
      <c r="A13" s="24"/>
      <c r="B13" s="257"/>
      <c r="C13" s="257"/>
      <c r="D13" s="258"/>
      <c r="E13" s="259"/>
      <c r="F13" s="259"/>
      <c r="G13" s="259"/>
      <c r="H13" s="259"/>
      <c r="I13" s="259"/>
      <c r="J13" s="259"/>
      <c r="K13" s="259"/>
    </row>
    <row r="14" spans="1:12" s="6" customFormat="1" ht="15" customHeight="1" x14ac:dyDescent="0.25">
      <c r="A14" s="2"/>
      <c r="B14" s="272" t="s">
        <v>178</v>
      </c>
      <c r="C14" s="61"/>
      <c r="D14" s="61"/>
      <c r="E14" s="146"/>
      <c r="F14" s="145"/>
      <c r="G14" s="145"/>
      <c r="H14" s="145"/>
      <c r="I14" s="145"/>
      <c r="J14" s="145"/>
      <c r="K14" s="145"/>
    </row>
    <row r="15" spans="1:12" ht="8.1" customHeight="1" x14ac:dyDescent="0.25">
      <c r="A15" s="6"/>
      <c r="B15" s="254"/>
      <c r="C15" s="56"/>
      <c r="D15" s="62"/>
      <c r="E15" s="146"/>
      <c r="F15" s="146"/>
      <c r="G15" s="146"/>
      <c r="H15" s="146"/>
      <c r="I15" s="146"/>
      <c r="J15" s="146"/>
      <c r="K15" s="146"/>
    </row>
    <row r="16" spans="1:12" ht="15" customHeight="1" x14ac:dyDescent="0.2">
      <c r="B16" s="254" t="s">
        <v>143</v>
      </c>
      <c r="C16" s="56"/>
      <c r="D16" s="141">
        <v>2017</v>
      </c>
      <c r="E16" s="146">
        <f>SUM(F16:K16)</f>
        <v>74</v>
      </c>
      <c r="F16" s="146">
        <v>16</v>
      </c>
      <c r="G16" s="146">
        <v>4</v>
      </c>
      <c r="H16" s="146">
        <v>9</v>
      </c>
      <c r="I16" s="146">
        <v>30</v>
      </c>
      <c r="J16" s="144" t="s">
        <v>51</v>
      </c>
      <c r="K16" s="146">
        <v>15</v>
      </c>
    </row>
    <row r="17" spans="1:11" ht="15" customHeight="1" x14ac:dyDescent="0.2">
      <c r="B17" s="254"/>
      <c r="C17" s="56"/>
      <c r="D17" s="141">
        <v>2018</v>
      </c>
      <c r="E17" s="146">
        <f>SUM(F17:K17)</f>
        <v>83</v>
      </c>
      <c r="F17" s="146">
        <v>16</v>
      </c>
      <c r="G17" s="144" t="s">
        <v>51</v>
      </c>
      <c r="H17" s="146">
        <v>2</v>
      </c>
      <c r="I17" s="146">
        <v>29</v>
      </c>
      <c r="J17" s="144" t="s">
        <v>51</v>
      </c>
      <c r="K17" s="146">
        <v>36</v>
      </c>
    </row>
    <row r="18" spans="1:11" ht="15" customHeight="1" x14ac:dyDescent="0.25">
      <c r="A18" s="6"/>
      <c r="B18" s="254"/>
      <c r="C18" s="56"/>
      <c r="D18" s="141">
        <v>2019</v>
      </c>
      <c r="E18" s="146">
        <f>SUM(F18:K18)</f>
        <v>90</v>
      </c>
      <c r="F18" s="146">
        <v>38</v>
      </c>
      <c r="G18" s="146">
        <v>1</v>
      </c>
      <c r="H18" s="146">
        <v>5</v>
      </c>
      <c r="I18" s="146">
        <v>6</v>
      </c>
      <c r="J18" s="144" t="s">
        <v>51</v>
      </c>
      <c r="K18" s="146">
        <v>40</v>
      </c>
    </row>
    <row r="19" spans="1:11" ht="15" customHeight="1" x14ac:dyDescent="0.25">
      <c r="A19" s="6"/>
      <c r="B19" s="254"/>
      <c r="C19" s="56"/>
      <c r="D19" s="141"/>
      <c r="E19" s="146"/>
      <c r="F19" s="146"/>
      <c r="G19" s="146"/>
      <c r="H19" s="146"/>
      <c r="I19" s="146"/>
      <c r="J19" s="146"/>
      <c r="K19" s="146"/>
    </row>
    <row r="20" spans="1:11" ht="15" customHeight="1" x14ac:dyDescent="0.2">
      <c r="B20" s="254" t="s">
        <v>144</v>
      </c>
      <c r="C20" s="56"/>
      <c r="D20" s="141">
        <v>2017</v>
      </c>
      <c r="E20" s="146">
        <f>SUM(F20:K20)</f>
        <v>830</v>
      </c>
      <c r="F20" s="146">
        <v>89</v>
      </c>
      <c r="G20" s="146">
        <v>12</v>
      </c>
      <c r="H20" s="146">
        <v>114</v>
      </c>
      <c r="I20" s="146">
        <v>541</v>
      </c>
      <c r="J20" s="146" t="s">
        <v>51</v>
      </c>
      <c r="K20" s="146">
        <v>74</v>
      </c>
    </row>
    <row r="21" spans="1:11" ht="15" customHeight="1" x14ac:dyDescent="0.2">
      <c r="B21" s="254"/>
      <c r="C21" s="56"/>
      <c r="D21" s="141">
        <v>2018</v>
      </c>
      <c r="E21" s="146">
        <f>SUM(F21:K21)</f>
        <v>720</v>
      </c>
      <c r="F21" s="146">
        <v>244</v>
      </c>
      <c r="G21" s="146">
        <v>12</v>
      </c>
      <c r="H21" s="146">
        <v>95</v>
      </c>
      <c r="I21" s="146">
        <v>240</v>
      </c>
      <c r="J21" s="144">
        <v>1</v>
      </c>
      <c r="K21" s="146">
        <v>128</v>
      </c>
    </row>
    <row r="22" spans="1:11" ht="15" customHeight="1" x14ac:dyDescent="0.25">
      <c r="A22" s="6"/>
      <c r="B22" s="254"/>
      <c r="C22" s="56"/>
      <c r="D22" s="141">
        <v>2019</v>
      </c>
      <c r="E22" s="146">
        <f>SUM(F22:K22)</f>
        <v>699</v>
      </c>
      <c r="F22" s="146">
        <v>190</v>
      </c>
      <c r="G22" s="146">
        <v>13</v>
      </c>
      <c r="H22" s="146">
        <v>119</v>
      </c>
      <c r="I22" s="146">
        <v>239</v>
      </c>
      <c r="J22" s="144" t="s">
        <v>51</v>
      </c>
      <c r="K22" s="146">
        <v>138</v>
      </c>
    </row>
    <row r="23" spans="1:11" ht="15" customHeight="1" x14ac:dyDescent="0.25">
      <c r="A23" s="6"/>
      <c r="B23" s="254"/>
      <c r="C23" s="56"/>
      <c r="D23" s="141"/>
      <c r="E23" s="146"/>
      <c r="F23" s="146"/>
      <c r="G23" s="144"/>
      <c r="H23" s="144"/>
      <c r="I23" s="146"/>
      <c r="J23" s="144"/>
      <c r="K23" s="146"/>
    </row>
    <row r="24" spans="1:11" ht="15" customHeight="1" x14ac:dyDescent="0.2">
      <c r="B24" s="254" t="s">
        <v>145</v>
      </c>
      <c r="C24" s="56"/>
      <c r="D24" s="141">
        <v>2017</v>
      </c>
      <c r="E24" s="146">
        <f>SUM(F24:K24)</f>
        <v>26</v>
      </c>
      <c r="F24" s="146">
        <v>8</v>
      </c>
      <c r="G24" s="144">
        <v>1</v>
      </c>
      <c r="H24" s="146">
        <v>1</v>
      </c>
      <c r="I24" s="146">
        <v>14</v>
      </c>
      <c r="J24" s="144" t="s">
        <v>51</v>
      </c>
      <c r="K24" s="146">
        <v>2</v>
      </c>
    </row>
    <row r="25" spans="1:11" ht="15" customHeight="1" x14ac:dyDescent="0.2">
      <c r="B25" s="254"/>
      <c r="C25" s="56"/>
      <c r="D25" s="141">
        <v>2018</v>
      </c>
      <c r="E25" s="146">
        <f>SUM(F25:K25)</f>
        <v>14</v>
      </c>
      <c r="F25" s="146">
        <v>6</v>
      </c>
      <c r="G25" s="146">
        <v>1</v>
      </c>
      <c r="H25" s="144" t="s">
        <v>51</v>
      </c>
      <c r="I25" s="146">
        <v>2</v>
      </c>
      <c r="J25" s="144" t="s">
        <v>51</v>
      </c>
      <c r="K25" s="146">
        <v>5</v>
      </c>
    </row>
    <row r="26" spans="1:11" s="3" customFormat="1" ht="15" customHeight="1" x14ac:dyDescent="0.25">
      <c r="A26" s="6"/>
      <c r="B26" s="254"/>
      <c r="C26" s="56"/>
      <c r="D26" s="141">
        <v>2019</v>
      </c>
      <c r="E26" s="146">
        <f>SUM(F26:K26)</f>
        <v>25</v>
      </c>
      <c r="F26" s="146">
        <v>13</v>
      </c>
      <c r="G26" s="144" t="s">
        <v>51</v>
      </c>
      <c r="H26" s="144" t="s">
        <v>51</v>
      </c>
      <c r="I26" s="146">
        <v>4</v>
      </c>
      <c r="J26" s="144" t="s">
        <v>51</v>
      </c>
      <c r="K26" s="146">
        <v>8</v>
      </c>
    </row>
    <row r="27" spans="1:11" s="3" customFormat="1" ht="15" customHeight="1" x14ac:dyDescent="0.25">
      <c r="A27" s="6"/>
      <c r="B27" s="254"/>
      <c r="C27" s="56"/>
      <c r="D27" s="141"/>
      <c r="E27" s="146"/>
      <c r="F27" s="146"/>
      <c r="G27" s="146"/>
      <c r="H27" s="146"/>
      <c r="I27" s="146"/>
      <c r="J27" s="146"/>
      <c r="K27" s="146"/>
    </row>
    <row r="28" spans="1:11" ht="15" customHeight="1" x14ac:dyDescent="0.2">
      <c r="B28" s="254" t="s">
        <v>146</v>
      </c>
      <c r="C28" s="56"/>
      <c r="D28" s="141">
        <v>2017</v>
      </c>
      <c r="E28" s="146">
        <f>SUM(F28:K28)</f>
        <v>149</v>
      </c>
      <c r="F28" s="146">
        <v>60</v>
      </c>
      <c r="G28" s="146">
        <v>1</v>
      </c>
      <c r="H28" s="146">
        <v>15</v>
      </c>
      <c r="I28" s="146">
        <v>27</v>
      </c>
      <c r="J28" s="146" t="s">
        <v>51</v>
      </c>
      <c r="K28" s="146">
        <v>46</v>
      </c>
    </row>
    <row r="29" spans="1:11" ht="15" customHeight="1" x14ac:dyDescent="0.2">
      <c r="B29" s="254"/>
      <c r="C29" s="56"/>
      <c r="D29" s="141">
        <v>2018</v>
      </c>
      <c r="E29" s="146">
        <f>SUM(F29:K29)</f>
        <v>149</v>
      </c>
      <c r="F29" s="146">
        <v>67</v>
      </c>
      <c r="G29" s="144" t="s">
        <v>51</v>
      </c>
      <c r="H29" s="146">
        <v>6</v>
      </c>
      <c r="I29" s="146">
        <v>23</v>
      </c>
      <c r="J29" s="144" t="s">
        <v>51</v>
      </c>
      <c r="K29" s="146">
        <v>53</v>
      </c>
    </row>
    <row r="30" spans="1:11" ht="15" customHeight="1" x14ac:dyDescent="0.25">
      <c r="A30" s="6"/>
      <c r="B30" s="254"/>
      <c r="C30" s="56"/>
      <c r="D30" s="141">
        <v>2019</v>
      </c>
      <c r="E30" s="146">
        <f>SUM(F30:K30)</f>
        <v>142</v>
      </c>
      <c r="F30" s="146">
        <v>61</v>
      </c>
      <c r="G30" s="146">
        <v>1</v>
      </c>
      <c r="H30" s="146">
        <v>5</v>
      </c>
      <c r="I30" s="146">
        <v>23</v>
      </c>
      <c r="J30" s="144" t="s">
        <v>51</v>
      </c>
      <c r="K30" s="146">
        <v>52</v>
      </c>
    </row>
    <row r="31" spans="1:11" ht="15" customHeight="1" x14ac:dyDescent="0.25">
      <c r="A31" s="6"/>
      <c r="B31" s="254"/>
      <c r="C31" s="56"/>
      <c r="D31" s="141"/>
      <c r="E31" s="146"/>
      <c r="F31" s="146"/>
      <c r="G31" s="146"/>
      <c r="H31" s="146"/>
      <c r="I31" s="146"/>
      <c r="J31" s="144"/>
      <c r="K31" s="146"/>
    </row>
    <row r="32" spans="1:11" ht="15" customHeight="1" x14ac:dyDescent="0.2">
      <c r="B32" s="254" t="s">
        <v>147</v>
      </c>
      <c r="C32" s="56"/>
      <c r="D32" s="141">
        <v>2017</v>
      </c>
      <c r="E32" s="146">
        <f>SUM(F32:K32)</f>
        <v>120</v>
      </c>
      <c r="F32" s="146">
        <v>27</v>
      </c>
      <c r="G32" s="144" t="s">
        <v>51</v>
      </c>
      <c r="H32" s="146">
        <v>6</v>
      </c>
      <c r="I32" s="146">
        <v>66</v>
      </c>
      <c r="J32" s="144">
        <v>1</v>
      </c>
      <c r="K32" s="146">
        <v>20</v>
      </c>
    </row>
    <row r="33" spans="1:11" ht="15" customHeight="1" x14ac:dyDescent="0.2">
      <c r="B33" s="254"/>
      <c r="C33" s="56"/>
      <c r="D33" s="141">
        <v>2018</v>
      </c>
      <c r="E33" s="146">
        <f>SUM(F33:K33)</f>
        <v>103</v>
      </c>
      <c r="F33" s="146">
        <v>35</v>
      </c>
      <c r="G33" s="144" t="s">
        <v>51</v>
      </c>
      <c r="H33" s="146">
        <v>3</v>
      </c>
      <c r="I33" s="146">
        <v>40</v>
      </c>
      <c r="J33" s="146">
        <v>1</v>
      </c>
      <c r="K33" s="146">
        <v>24</v>
      </c>
    </row>
    <row r="34" spans="1:11" ht="15" customHeight="1" x14ac:dyDescent="0.25">
      <c r="A34" s="6"/>
      <c r="B34" s="254"/>
      <c r="C34" s="56"/>
      <c r="D34" s="141">
        <v>2019</v>
      </c>
      <c r="E34" s="146">
        <f>SUM(F34:K34)</f>
        <v>101</v>
      </c>
      <c r="F34" s="146">
        <v>39</v>
      </c>
      <c r="G34" s="146">
        <v>1</v>
      </c>
      <c r="H34" s="146">
        <v>4</v>
      </c>
      <c r="I34" s="146">
        <v>40</v>
      </c>
      <c r="J34" s="144" t="s">
        <v>51</v>
      </c>
      <c r="K34" s="146">
        <v>17</v>
      </c>
    </row>
    <row r="35" spans="1:11" ht="15" customHeight="1" x14ac:dyDescent="0.25">
      <c r="A35" s="6"/>
      <c r="B35" s="254"/>
      <c r="C35" s="56"/>
      <c r="D35" s="141"/>
      <c r="E35" s="146"/>
      <c r="F35" s="146"/>
      <c r="G35" s="146"/>
      <c r="H35" s="146"/>
      <c r="I35" s="146"/>
      <c r="J35" s="146"/>
      <c r="K35" s="146"/>
    </row>
    <row r="36" spans="1:11" ht="15" customHeight="1" x14ac:dyDescent="0.2">
      <c r="B36" s="254" t="s">
        <v>148</v>
      </c>
      <c r="C36" s="56"/>
      <c r="D36" s="141">
        <v>2017</v>
      </c>
      <c r="E36" s="146">
        <f>SUM(F36:K36)</f>
        <v>634</v>
      </c>
      <c r="F36" s="146">
        <v>186</v>
      </c>
      <c r="G36" s="146">
        <v>6</v>
      </c>
      <c r="H36" s="146">
        <v>48</v>
      </c>
      <c r="I36" s="146">
        <v>191</v>
      </c>
      <c r="J36" s="146" t="s">
        <v>51</v>
      </c>
      <c r="K36" s="146">
        <v>203</v>
      </c>
    </row>
    <row r="37" spans="1:11" ht="15" customHeight="1" x14ac:dyDescent="0.2">
      <c r="B37" s="254"/>
      <c r="C37" s="56"/>
      <c r="D37" s="141">
        <v>2018</v>
      </c>
      <c r="E37" s="146">
        <f>SUM(F37:K37)</f>
        <v>626</v>
      </c>
      <c r="F37" s="146">
        <v>212</v>
      </c>
      <c r="G37" s="146">
        <v>7</v>
      </c>
      <c r="H37" s="146">
        <v>41</v>
      </c>
      <c r="I37" s="146">
        <v>217</v>
      </c>
      <c r="J37" s="144" t="s">
        <v>51</v>
      </c>
      <c r="K37" s="146">
        <v>149</v>
      </c>
    </row>
    <row r="38" spans="1:11" ht="15" customHeight="1" x14ac:dyDescent="0.25">
      <c r="A38" s="6"/>
      <c r="B38" s="254"/>
      <c r="C38" s="56"/>
      <c r="D38" s="141">
        <v>2019</v>
      </c>
      <c r="E38" s="146">
        <f>SUM(F38:K38)</f>
        <v>783</v>
      </c>
      <c r="F38" s="146">
        <v>286</v>
      </c>
      <c r="G38" s="146">
        <v>10</v>
      </c>
      <c r="H38" s="146">
        <v>31</v>
      </c>
      <c r="I38" s="146">
        <v>175</v>
      </c>
      <c r="J38" s="144" t="s">
        <v>51</v>
      </c>
      <c r="K38" s="146">
        <v>281</v>
      </c>
    </row>
    <row r="39" spans="1:11" ht="15" customHeight="1" x14ac:dyDescent="0.25">
      <c r="A39" s="6"/>
      <c r="B39" s="254"/>
      <c r="C39" s="56"/>
      <c r="D39" s="141"/>
      <c r="E39" s="146"/>
      <c r="F39" s="146"/>
      <c r="G39" s="144"/>
      <c r="H39" s="144"/>
      <c r="I39" s="146"/>
      <c r="J39" s="144"/>
      <c r="K39" s="146"/>
    </row>
    <row r="40" spans="1:11" ht="15" customHeight="1" x14ac:dyDescent="0.2">
      <c r="B40" s="254" t="s">
        <v>149</v>
      </c>
      <c r="C40" s="56"/>
      <c r="D40" s="141">
        <v>2017</v>
      </c>
      <c r="E40" s="146">
        <f>SUM(F40:K40)</f>
        <v>29</v>
      </c>
      <c r="F40" s="146">
        <v>5</v>
      </c>
      <c r="G40" s="146">
        <v>1</v>
      </c>
      <c r="H40" s="144" t="s">
        <v>51</v>
      </c>
      <c r="I40" s="146">
        <v>19</v>
      </c>
      <c r="J40" s="144" t="s">
        <v>51</v>
      </c>
      <c r="K40" s="146">
        <v>4</v>
      </c>
    </row>
    <row r="41" spans="1:11" ht="15" customHeight="1" x14ac:dyDescent="0.2">
      <c r="B41" s="254"/>
      <c r="C41" s="56"/>
      <c r="D41" s="141">
        <v>2018</v>
      </c>
      <c r="E41" s="146">
        <f>SUM(F41:K41)</f>
        <v>30</v>
      </c>
      <c r="F41" s="146">
        <v>9</v>
      </c>
      <c r="G41" s="144" t="s">
        <v>51</v>
      </c>
      <c r="H41" s="144" t="s">
        <v>51</v>
      </c>
      <c r="I41" s="146">
        <v>14</v>
      </c>
      <c r="J41" s="144" t="s">
        <v>51</v>
      </c>
      <c r="K41" s="146">
        <v>7</v>
      </c>
    </row>
    <row r="42" spans="1:11" ht="15" customHeight="1" x14ac:dyDescent="0.25">
      <c r="A42" s="6"/>
      <c r="B42" s="254"/>
      <c r="C42" s="56"/>
      <c r="D42" s="141">
        <v>2019</v>
      </c>
      <c r="E42" s="146">
        <f>SUM(F42:K42)</f>
        <v>49</v>
      </c>
      <c r="F42" s="146">
        <v>22</v>
      </c>
      <c r="G42" s="144" t="s">
        <v>51</v>
      </c>
      <c r="H42" s="144" t="s">
        <v>51</v>
      </c>
      <c r="I42" s="146">
        <v>19</v>
      </c>
      <c r="J42" s="144" t="s">
        <v>51</v>
      </c>
      <c r="K42" s="146">
        <v>8</v>
      </c>
    </row>
    <row r="43" spans="1:11" ht="15" customHeight="1" x14ac:dyDescent="0.25">
      <c r="A43" s="6"/>
      <c r="B43" s="254"/>
      <c r="C43" s="56"/>
      <c r="D43" s="141"/>
      <c r="E43" s="146"/>
      <c r="F43" s="146"/>
      <c r="G43" s="144"/>
      <c r="H43" s="144"/>
      <c r="I43" s="144"/>
      <c r="J43" s="144"/>
      <c r="K43" s="146"/>
    </row>
    <row r="44" spans="1:11" ht="15" customHeight="1" x14ac:dyDescent="0.2">
      <c r="B44" s="254" t="s">
        <v>150</v>
      </c>
      <c r="C44" s="56"/>
      <c r="D44" s="141">
        <v>2017</v>
      </c>
      <c r="E44" s="146">
        <f>SUM(F44:K44)</f>
        <v>4</v>
      </c>
      <c r="F44" s="146">
        <v>1</v>
      </c>
      <c r="G44" s="144" t="s">
        <v>51</v>
      </c>
      <c r="H44" s="144" t="s">
        <v>51</v>
      </c>
      <c r="I44" s="144" t="s">
        <v>51</v>
      </c>
      <c r="J44" s="144" t="s">
        <v>51</v>
      </c>
      <c r="K44" s="146">
        <v>3</v>
      </c>
    </row>
    <row r="45" spans="1:11" ht="15" customHeight="1" x14ac:dyDescent="0.2">
      <c r="B45" s="254"/>
      <c r="C45" s="56"/>
      <c r="D45" s="141">
        <v>2018</v>
      </c>
      <c r="E45" s="146">
        <f>SUM(F45:K45)</f>
        <v>10</v>
      </c>
      <c r="F45" s="146">
        <v>6</v>
      </c>
      <c r="G45" s="144">
        <v>1</v>
      </c>
      <c r="H45" s="144" t="s">
        <v>51</v>
      </c>
      <c r="I45" s="144" t="s">
        <v>51</v>
      </c>
      <c r="J45" s="144" t="s">
        <v>51</v>
      </c>
      <c r="K45" s="146">
        <v>3</v>
      </c>
    </row>
    <row r="46" spans="1:11" ht="15" customHeight="1" x14ac:dyDescent="0.25">
      <c r="A46" s="6"/>
      <c r="B46" s="254"/>
      <c r="C46" s="56"/>
      <c r="D46" s="141">
        <v>2019</v>
      </c>
      <c r="E46" s="146">
        <f>SUM(F46:K46)</f>
        <v>4</v>
      </c>
      <c r="F46" s="146">
        <v>1</v>
      </c>
      <c r="G46" s="144" t="s">
        <v>51</v>
      </c>
      <c r="H46" s="144" t="s">
        <v>51</v>
      </c>
      <c r="I46" s="146">
        <v>1</v>
      </c>
      <c r="J46" s="144" t="s">
        <v>51</v>
      </c>
      <c r="K46" s="146">
        <v>2</v>
      </c>
    </row>
    <row r="47" spans="1:11" ht="15" customHeight="1" x14ac:dyDescent="0.25">
      <c r="A47" s="6"/>
      <c r="B47" s="254"/>
      <c r="C47" s="56"/>
      <c r="D47" s="141"/>
      <c r="E47" s="146"/>
      <c r="F47" s="146"/>
      <c r="G47" s="146"/>
      <c r="H47" s="146"/>
      <c r="I47" s="146"/>
      <c r="J47" s="144"/>
      <c r="K47" s="146"/>
    </row>
    <row r="48" spans="1:11" ht="15" customHeight="1" x14ac:dyDescent="0.2">
      <c r="B48" s="254" t="s">
        <v>151</v>
      </c>
      <c r="C48" s="56"/>
      <c r="D48" s="141">
        <v>2017</v>
      </c>
      <c r="E48" s="146">
        <f>SUM(F48:K48)</f>
        <v>95</v>
      </c>
      <c r="F48" s="146">
        <v>36</v>
      </c>
      <c r="G48" s="146">
        <v>1</v>
      </c>
      <c r="H48" s="146">
        <v>4</v>
      </c>
      <c r="I48" s="146">
        <v>19</v>
      </c>
      <c r="J48" s="144" t="s">
        <v>51</v>
      </c>
      <c r="K48" s="146">
        <v>35</v>
      </c>
    </row>
    <row r="49" spans="1:12" ht="15" customHeight="1" x14ac:dyDescent="0.2">
      <c r="B49" s="254"/>
      <c r="C49" s="56"/>
      <c r="D49" s="141">
        <v>2018</v>
      </c>
      <c r="E49" s="146">
        <f>SUM(F49:K49)</f>
        <v>73</v>
      </c>
      <c r="F49" s="146">
        <v>36</v>
      </c>
      <c r="G49" s="146">
        <v>1</v>
      </c>
      <c r="H49" s="144" t="s">
        <v>51</v>
      </c>
      <c r="I49" s="146">
        <v>12</v>
      </c>
      <c r="J49" s="144" t="s">
        <v>51</v>
      </c>
      <c r="K49" s="146">
        <v>24</v>
      </c>
    </row>
    <row r="50" spans="1:12" ht="15" customHeight="1" x14ac:dyDescent="0.25">
      <c r="A50" s="6"/>
      <c r="B50" s="254"/>
      <c r="C50" s="56"/>
      <c r="D50" s="141">
        <v>2019</v>
      </c>
      <c r="E50" s="146">
        <f>SUM(F50:K50)</f>
        <v>95</v>
      </c>
      <c r="F50" s="146">
        <v>50</v>
      </c>
      <c r="G50" s="146">
        <v>2</v>
      </c>
      <c r="H50" s="146">
        <v>4</v>
      </c>
      <c r="I50" s="146">
        <v>18</v>
      </c>
      <c r="J50" s="144" t="s">
        <v>51</v>
      </c>
      <c r="K50" s="146">
        <v>21</v>
      </c>
    </row>
    <row r="51" spans="1:12" ht="15" customHeight="1" x14ac:dyDescent="0.25">
      <c r="A51" s="6"/>
      <c r="B51" s="254"/>
      <c r="C51" s="56"/>
      <c r="D51" s="141"/>
      <c r="E51" s="146"/>
      <c r="F51" s="146"/>
      <c r="G51" s="144"/>
      <c r="H51" s="144"/>
      <c r="I51" s="146"/>
      <c r="J51" s="146"/>
      <c r="K51" s="146"/>
    </row>
    <row r="52" spans="1:12" ht="15" customHeight="1" x14ac:dyDescent="0.2">
      <c r="B52" s="254" t="s">
        <v>152</v>
      </c>
      <c r="C52" s="56"/>
      <c r="D52" s="141">
        <v>2017</v>
      </c>
      <c r="E52" s="146">
        <f>SUM(F52:K52)</f>
        <v>12</v>
      </c>
      <c r="F52" s="146">
        <v>1</v>
      </c>
      <c r="G52" s="146" t="s">
        <v>51</v>
      </c>
      <c r="H52" s="144">
        <v>1</v>
      </c>
      <c r="I52" s="146">
        <v>3</v>
      </c>
      <c r="J52" s="144" t="s">
        <v>51</v>
      </c>
      <c r="K52" s="146">
        <v>7</v>
      </c>
    </row>
    <row r="53" spans="1:12" ht="15" customHeight="1" x14ac:dyDescent="0.2">
      <c r="B53" s="254"/>
      <c r="C53" s="56"/>
      <c r="D53" s="141">
        <v>2018</v>
      </c>
      <c r="E53" s="146">
        <f>SUM(F53:K53)</f>
        <v>25</v>
      </c>
      <c r="F53" s="144" t="s">
        <v>51</v>
      </c>
      <c r="G53" s="144">
        <v>2</v>
      </c>
      <c r="H53" s="312">
        <v>1</v>
      </c>
      <c r="I53" s="146">
        <v>7</v>
      </c>
      <c r="J53" s="144" t="s">
        <v>51</v>
      </c>
      <c r="K53" s="146">
        <v>15</v>
      </c>
    </row>
    <row r="54" spans="1:12" ht="15" customHeight="1" x14ac:dyDescent="0.25">
      <c r="A54" s="24"/>
      <c r="B54" s="254"/>
      <c r="C54" s="56"/>
      <c r="D54" s="141">
        <v>2019</v>
      </c>
      <c r="E54" s="146">
        <f>SUM(F54:K54)</f>
        <v>16</v>
      </c>
      <c r="F54" s="144" t="s">
        <v>51</v>
      </c>
      <c r="G54" s="144" t="s">
        <v>51</v>
      </c>
      <c r="H54" s="144" t="s">
        <v>51</v>
      </c>
      <c r="I54" s="144">
        <v>2</v>
      </c>
      <c r="J54" s="144" t="s">
        <v>51</v>
      </c>
      <c r="K54" s="144">
        <v>14</v>
      </c>
    </row>
    <row r="55" spans="1:12" ht="15" customHeight="1" thickBot="1" x14ac:dyDescent="0.3">
      <c r="A55" s="100"/>
      <c r="B55" s="255"/>
      <c r="C55" s="57"/>
      <c r="D55" s="136"/>
      <c r="E55" s="58"/>
      <c r="F55" s="58"/>
      <c r="G55" s="343"/>
      <c r="H55" s="343"/>
      <c r="I55" s="58"/>
      <c r="J55" s="58"/>
      <c r="K55" s="58"/>
      <c r="L55" s="34"/>
    </row>
    <row r="56" spans="1:12" x14ac:dyDescent="0.25">
      <c r="B56" s="181"/>
      <c r="C56" s="181"/>
      <c r="D56" s="181"/>
      <c r="E56" s="182"/>
      <c r="F56" s="328"/>
      <c r="G56" s="329"/>
      <c r="H56" s="330"/>
      <c r="I56" s="331"/>
      <c r="J56" s="331"/>
      <c r="K56" s="154" t="s">
        <v>99</v>
      </c>
    </row>
    <row r="57" spans="1:12" x14ac:dyDescent="0.25">
      <c r="B57" s="239"/>
      <c r="C57" s="239"/>
      <c r="D57" s="239"/>
      <c r="E57" s="242"/>
      <c r="F57" s="332"/>
      <c r="G57" s="332"/>
      <c r="H57" s="328"/>
      <c r="I57" s="333"/>
      <c r="J57" s="333"/>
      <c r="K57" s="155" t="s">
        <v>1</v>
      </c>
    </row>
    <row r="58" spans="1:12" x14ac:dyDescent="0.25">
      <c r="A58" s="359" t="s">
        <v>254</v>
      </c>
      <c r="B58" s="27"/>
    </row>
    <row r="59" spans="1:12" x14ac:dyDescent="0.25">
      <c r="A59" s="420" t="s">
        <v>252</v>
      </c>
      <c r="B59" s="420"/>
    </row>
    <row r="60" spans="1:12" s="53" customFormat="1" ht="14.25" x14ac:dyDescent="0.2">
      <c r="A60" s="362" t="s">
        <v>253</v>
      </c>
      <c r="B60" s="362"/>
      <c r="C60" s="115"/>
      <c r="D60" s="115"/>
      <c r="E60" s="190"/>
      <c r="F60" s="189"/>
      <c r="G60" s="189"/>
      <c r="H60" s="191"/>
      <c r="I60" s="189"/>
      <c r="L60" s="2"/>
    </row>
  </sheetData>
  <mergeCells count="6">
    <mergeCell ref="K10:K11"/>
    <mergeCell ref="B10:C11"/>
    <mergeCell ref="E10:E11"/>
    <mergeCell ref="F10:F11"/>
    <mergeCell ref="G10:I10"/>
    <mergeCell ref="J10:J11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85" fitToWidth="0" orientation="portrait" r:id="rId1"/>
  <headerFooter>
    <oddHeader xml:space="preserve">&amp;R&amp;"-,Bold"
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81"/>
  <sheetViews>
    <sheetView showGridLines="0" topLeftCell="A7" zoomScaleNormal="100" zoomScaleSheetLayoutView="90" workbookViewId="0">
      <selection activeCell="E27" sqref="E27"/>
    </sheetView>
  </sheetViews>
  <sheetFormatPr defaultRowHeight="15" x14ac:dyDescent="0.25"/>
  <cols>
    <col min="1" max="1" width="0.85546875" style="2" customWidth="1"/>
    <col min="2" max="2" width="10.42578125" style="3" customWidth="1"/>
    <col min="3" max="3" width="8.5703125" style="3" customWidth="1"/>
    <col min="4" max="4" width="10.42578125" style="3" customWidth="1"/>
    <col min="5" max="5" width="10.5703125" style="4" customWidth="1"/>
    <col min="6" max="6" width="11.7109375" style="5" customWidth="1"/>
    <col min="7" max="7" width="10.28515625" style="5" customWidth="1"/>
    <col min="8" max="8" width="11.7109375" style="185" customWidth="1"/>
    <col min="9" max="9" width="12.28515625" style="5" customWidth="1"/>
    <col min="10" max="10" width="10.5703125" style="2" customWidth="1"/>
    <col min="11" max="11" width="11.7109375" style="2" customWidth="1"/>
    <col min="12" max="12" width="1.28515625" style="2" customWidth="1"/>
    <col min="13" max="16384" width="9.140625" style="2"/>
  </cols>
  <sheetData>
    <row r="1" spans="1:12" s="30" customFormat="1" ht="12.95" customHeight="1" x14ac:dyDescent="0.25">
      <c r="B1" s="27"/>
      <c r="C1" s="27"/>
      <c r="D1" s="29"/>
      <c r="E1" s="28"/>
      <c r="F1" s="29"/>
      <c r="J1" s="29"/>
      <c r="K1" s="160" t="s">
        <v>179</v>
      </c>
    </row>
    <row r="2" spans="1:12" s="30" customFormat="1" ht="12.95" customHeight="1" x14ac:dyDescent="0.25">
      <c r="B2" s="27"/>
      <c r="C2" s="27"/>
      <c r="D2" s="29"/>
      <c r="E2" s="28"/>
      <c r="F2" s="29"/>
      <c r="J2" s="29"/>
      <c r="K2" s="68" t="s">
        <v>180</v>
      </c>
    </row>
    <row r="3" spans="1:12" s="30" customFormat="1" ht="12" customHeight="1" x14ac:dyDescent="0.25">
      <c r="B3" s="27"/>
      <c r="C3" s="27"/>
      <c r="D3" s="29"/>
      <c r="E3" s="28"/>
      <c r="F3" s="29"/>
      <c r="G3" s="68"/>
      <c r="J3" s="29"/>
    </row>
    <row r="4" spans="1:12" s="30" customFormat="1" ht="12" customHeight="1" x14ac:dyDescent="0.25">
      <c r="B4" s="27"/>
      <c r="C4" s="27"/>
      <c r="D4" s="29"/>
      <c r="E4" s="28"/>
      <c r="F4" s="29"/>
      <c r="G4" s="68"/>
      <c r="J4" s="29"/>
    </row>
    <row r="5" spans="1:12" s="53" customFormat="1" ht="9.9499999999999993" customHeight="1" x14ac:dyDescent="0.2">
      <c r="B5" s="115"/>
      <c r="C5" s="115"/>
      <c r="D5" s="189"/>
      <c r="E5" s="190"/>
      <c r="F5" s="189"/>
      <c r="G5" s="189"/>
      <c r="H5" s="191"/>
      <c r="I5" s="189"/>
      <c r="J5" s="114"/>
    </row>
    <row r="6" spans="1:12" s="53" customFormat="1" ht="15" customHeight="1" x14ac:dyDescent="0.2">
      <c r="B6" s="63" t="s">
        <v>208</v>
      </c>
      <c r="C6" s="64" t="s">
        <v>249</v>
      </c>
      <c r="D6" s="189"/>
      <c r="E6" s="190"/>
      <c r="F6" s="64"/>
      <c r="G6" s="64"/>
      <c r="H6" s="64"/>
      <c r="I6" s="64"/>
      <c r="J6" s="79"/>
      <c r="K6" s="64"/>
      <c r="L6" s="179"/>
    </row>
    <row r="7" spans="1:12" s="53" customFormat="1" ht="18" customHeight="1" x14ac:dyDescent="0.2">
      <c r="B7" s="80" t="s">
        <v>209</v>
      </c>
      <c r="C7" s="86" t="s">
        <v>250</v>
      </c>
      <c r="D7" s="189"/>
      <c r="E7" s="190"/>
      <c r="F7" s="86"/>
      <c r="G7" s="86"/>
      <c r="H7" s="86"/>
      <c r="I7" s="86"/>
      <c r="J7" s="235"/>
      <c r="K7" s="86"/>
      <c r="L7" s="180"/>
    </row>
    <row r="8" spans="1:12" s="53" customFormat="1" ht="8.1" customHeight="1" thickBot="1" x14ac:dyDescent="0.25">
      <c r="B8" s="194"/>
      <c r="C8" s="194"/>
      <c r="D8" s="216"/>
      <c r="E8" s="215"/>
      <c r="F8" s="216"/>
      <c r="G8" s="216"/>
      <c r="H8" s="217"/>
      <c r="I8" s="216"/>
      <c r="J8" s="143"/>
      <c r="K8" s="116"/>
    </row>
    <row r="9" spans="1:12" s="53" customFormat="1" ht="8.1" customHeight="1" thickTop="1" x14ac:dyDescent="0.2">
      <c r="A9" s="378"/>
      <c r="B9" s="389"/>
      <c r="C9" s="389"/>
      <c r="D9" s="377"/>
      <c r="E9" s="400"/>
      <c r="F9" s="377"/>
      <c r="G9" s="377"/>
      <c r="H9" s="401"/>
      <c r="I9" s="377"/>
      <c r="J9" s="375"/>
      <c r="K9" s="378"/>
      <c r="L9" s="378"/>
    </row>
    <row r="10" spans="1:12" s="53" customFormat="1" ht="30.75" customHeight="1" x14ac:dyDescent="0.2">
      <c r="A10" s="390"/>
      <c r="B10" s="443" t="s">
        <v>207</v>
      </c>
      <c r="C10" s="443"/>
      <c r="D10" s="405" t="s">
        <v>96</v>
      </c>
      <c r="E10" s="437" t="s">
        <v>92</v>
      </c>
      <c r="F10" s="437" t="s">
        <v>203</v>
      </c>
      <c r="G10" s="440" t="s">
        <v>191</v>
      </c>
      <c r="H10" s="440"/>
      <c r="I10" s="440"/>
      <c r="J10" s="439" t="s">
        <v>251</v>
      </c>
      <c r="K10" s="437" t="s">
        <v>192</v>
      </c>
      <c r="L10" s="390"/>
    </row>
    <row r="11" spans="1:12" s="102" customFormat="1" ht="55.5" customHeight="1" x14ac:dyDescent="0.2">
      <c r="A11" s="398"/>
      <c r="B11" s="444"/>
      <c r="C11" s="444"/>
      <c r="D11" s="404"/>
      <c r="E11" s="442"/>
      <c r="F11" s="442"/>
      <c r="G11" s="403" t="s">
        <v>193</v>
      </c>
      <c r="H11" s="403" t="s">
        <v>194</v>
      </c>
      <c r="I11" s="403" t="s">
        <v>204</v>
      </c>
      <c r="J11" s="441"/>
      <c r="K11" s="442"/>
      <c r="L11" s="398"/>
    </row>
    <row r="12" spans="1:12" s="6" customFormat="1" ht="8.1" customHeight="1" x14ac:dyDescent="0.25">
      <c r="A12" s="24"/>
      <c r="B12" s="257"/>
      <c r="C12" s="257"/>
      <c r="D12" s="269"/>
      <c r="E12" s="259"/>
      <c r="F12" s="260"/>
      <c r="G12" s="259"/>
      <c r="H12" s="259"/>
      <c r="I12" s="259"/>
      <c r="J12" s="260"/>
      <c r="K12" s="259"/>
    </row>
    <row r="13" spans="1:12" s="116" customFormat="1" ht="12.95" customHeight="1" x14ac:dyDescent="0.2">
      <c r="A13" s="53"/>
      <c r="B13" s="61" t="s">
        <v>100</v>
      </c>
      <c r="C13" s="124"/>
      <c r="D13" s="62">
        <v>2017</v>
      </c>
      <c r="E13" s="145">
        <f t="shared" ref="E13" si="0">SUM(F13:K13)</f>
        <v>19599</v>
      </c>
      <c r="F13" s="145">
        <f t="shared" ref="F13:K15" si="1">SUM(F17,F21,F25,F29,F33,F37,F41,F45,F49,F53,F57,F61,F65,F69,F73)</f>
        <v>4133</v>
      </c>
      <c r="G13" s="145">
        <f t="shared" si="1"/>
        <v>844</v>
      </c>
      <c r="H13" s="145">
        <f t="shared" si="1"/>
        <v>2586</v>
      </c>
      <c r="I13" s="145">
        <f t="shared" si="1"/>
        <v>7945</v>
      </c>
      <c r="J13" s="145">
        <f t="shared" si="1"/>
        <v>140</v>
      </c>
      <c r="K13" s="145">
        <f t="shared" si="1"/>
        <v>3951</v>
      </c>
    </row>
    <row r="14" spans="1:12" s="116" customFormat="1" ht="12.95" customHeight="1" x14ac:dyDescent="0.2">
      <c r="A14" s="53"/>
      <c r="B14" s="124"/>
      <c r="C14" s="124"/>
      <c r="D14" s="62">
        <v>2018</v>
      </c>
      <c r="E14" s="145">
        <f>SUM(F14:K14)</f>
        <v>16762</v>
      </c>
      <c r="F14" s="145">
        <f t="shared" si="1"/>
        <v>3515</v>
      </c>
      <c r="G14" s="145">
        <f t="shared" si="1"/>
        <v>654</v>
      </c>
      <c r="H14" s="145">
        <f t="shared" si="1"/>
        <v>2358</v>
      </c>
      <c r="I14" s="145">
        <f t="shared" si="1"/>
        <v>6510</v>
      </c>
      <c r="J14" s="145">
        <f t="shared" si="1"/>
        <v>87</v>
      </c>
      <c r="K14" s="145">
        <f t="shared" si="1"/>
        <v>3638</v>
      </c>
    </row>
    <row r="15" spans="1:12" s="116" customFormat="1" ht="12.95" customHeight="1" x14ac:dyDescent="0.2">
      <c r="A15" s="53"/>
      <c r="B15" s="124"/>
      <c r="C15" s="124"/>
      <c r="D15" s="62">
        <v>2019</v>
      </c>
      <c r="E15" s="145">
        <f t="shared" ref="E15" si="2">SUM(F15:K15)</f>
        <v>15498</v>
      </c>
      <c r="F15" s="145">
        <f t="shared" si="1"/>
        <v>3679</v>
      </c>
      <c r="G15" s="145">
        <f t="shared" si="1"/>
        <v>595</v>
      </c>
      <c r="H15" s="145">
        <f t="shared" si="1"/>
        <v>2204</v>
      </c>
      <c r="I15" s="145">
        <f t="shared" si="1"/>
        <v>5503</v>
      </c>
      <c r="J15" s="145">
        <f t="shared" si="1"/>
        <v>3</v>
      </c>
      <c r="K15" s="145">
        <f t="shared" si="1"/>
        <v>3514</v>
      </c>
    </row>
    <row r="16" spans="1:12" s="116" customFormat="1" ht="8.1" customHeight="1" x14ac:dyDescent="0.2">
      <c r="A16" s="53"/>
      <c r="B16" s="124"/>
      <c r="C16" s="124"/>
      <c r="D16" s="62"/>
      <c r="E16" s="146"/>
      <c r="F16" s="146"/>
      <c r="G16" s="146"/>
      <c r="H16" s="146"/>
      <c r="I16" s="146"/>
      <c r="J16" s="146"/>
      <c r="K16" s="146"/>
    </row>
    <row r="17" spans="1:14" s="53" customFormat="1" ht="12.95" customHeight="1" x14ac:dyDescent="0.2">
      <c r="B17" s="56" t="s">
        <v>101</v>
      </c>
      <c r="C17" s="56"/>
      <c r="D17" s="141">
        <v>2017</v>
      </c>
      <c r="E17" s="146">
        <f t="shared" ref="E17" si="3">SUM(F17:K17)</f>
        <v>1960</v>
      </c>
      <c r="F17" s="146">
        <v>390</v>
      </c>
      <c r="G17" s="146">
        <v>58</v>
      </c>
      <c r="H17" s="146">
        <v>274</v>
      </c>
      <c r="I17" s="146">
        <v>817</v>
      </c>
      <c r="J17" s="146">
        <v>3</v>
      </c>
      <c r="K17" s="146">
        <v>418</v>
      </c>
    </row>
    <row r="18" spans="1:14" s="53" customFormat="1" ht="12.95" customHeight="1" x14ac:dyDescent="0.2">
      <c r="A18" s="116"/>
      <c r="B18" s="56"/>
      <c r="C18" s="56"/>
      <c r="D18" s="141">
        <v>2018</v>
      </c>
      <c r="E18" s="146">
        <f>SUM(F18:K18)</f>
        <v>1828</v>
      </c>
      <c r="F18" s="146">
        <v>426</v>
      </c>
      <c r="G18" s="146">
        <v>53</v>
      </c>
      <c r="H18" s="146">
        <v>234</v>
      </c>
      <c r="I18" s="146">
        <v>709</v>
      </c>
      <c r="J18" s="146">
        <v>1</v>
      </c>
      <c r="K18" s="146">
        <v>405</v>
      </c>
    </row>
    <row r="19" spans="1:14" s="53" customFormat="1" ht="12.95" customHeight="1" x14ac:dyDescent="0.2">
      <c r="A19" s="116"/>
      <c r="B19" s="56"/>
      <c r="C19" s="56"/>
      <c r="D19" s="141">
        <v>2019</v>
      </c>
      <c r="E19" s="146">
        <f>SUM(F19:K19)</f>
        <v>1668</v>
      </c>
      <c r="F19" s="146">
        <v>423</v>
      </c>
      <c r="G19" s="146">
        <v>58</v>
      </c>
      <c r="H19" s="146">
        <v>249</v>
      </c>
      <c r="I19" s="146">
        <v>552</v>
      </c>
      <c r="J19" s="144" t="s">
        <v>51</v>
      </c>
      <c r="K19" s="146">
        <v>386</v>
      </c>
    </row>
    <row r="20" spans="1:14" s="53" customFormat="1" ht="8.1" customHeight="1" x14ac:dyDescent="0.2">
      <c r="A20" s="116"/>
      <c r="B20" s="56"/>
      <c r="C20" s="56"/>
      <c r="D20" s="141"/>
      <c r="E20" s="146"/>
      <c r="F20" s="144"/>
      <c r="G20" s="144"/>
      <c r="H20" s="146"/>
      <c r="I20" s="144"/>
      <c r="J20" s="146"/>
      <c r="K20" s="146"/>
    </row>
    <row r="21" spans="1:14" s="53" customFormat="1" ht="12.95" customHeight="1" x14ac:dyDescent="0.2">
      <c r="B21" s="56" t="s">
        <v>102</v>
      </c>
      <c r="C21" s="56"/>
      <c r="D21" s="141">
        <v>2017</v>
      </c>
      <c r="E21" s="146">
        <f t="shared" ref="E21" si="4">SUM(F21:K21)</f>
        <v>2246</v>
      </c>
      <c r="F21" s="146">
        <v>472</v>
      </c>
      <c r="G21" s="146">
        <v>101</v>
      </c>
      <c r="H21" s="146">
        <v>388</v>
      </c>
      <c r="I21" s="146">
        <v>1067</v>
      </c>
      <c r="J21" s="146">
        <v>3</v>
      </c>
      <c r="K21" s="146">
        <v>215</v>
      </c>
    </row>
    <row r="22" spans="1:14" s="53" customFormat="1" ht="12.95" customHeight="1" x14ac:dyDescent="0.2">
      <c r="B22" s="56"/>
      <c r="C22" s="56"/>
      <c r="D22" s="141">
        <v>2018</v>
      </c>
      <c r="E22" s="146">
        <f>SUM(F22:K22)</f>
        <v>1931</v>
      </c>
      <c r="F22" s="144">
        <v>390</v>
      </c>
      <c r="G22" s="144">
        <v>84</v>
      </c>
      <c r="H22" s="146">
        <v>321</v>
      </c>
      <c r="I22" s="144">
        <v>886</v>
      </c>
      <c r="J22" s="146" t="s">
        <v>51</v>
      </c>
      <c r="K22" s="146">
        <v>250</v>
      </c>
    </row>
    <row r="23" spans="1:14" s="115" customFormat="1" ht="12.95" customHeight="1" x14ac:dyDescent="0.2">
      <c r="A23" s="116"/>
      <c r="B23" s="56"/>
      <c r="C23" s="56"/>
      <c r="D23" s="141">
        <v>2019</v>
      </c>
      <c r="E23" s="146">
        <f>SUM(F23:K23)</f>
        <v>1870</v>
      </c>
      <c r="F23" s="144">
        <v>516</v>
      </c>
      <c r="G23" s="144">
        <v>102</v>
      </c>
      <c r="H23" s="146">
        <v>243</v>
      </c>
      <c r="I23" s="144">
        <v>682</v>
      </c>
      <c r="J23" s="144" t="s">
        <v>51</v>
      </c>
      <c r="K23" s="146">
        <v>327</v>
      </c>
      <c r="L23" s="53"/>
      <c r="M23" s="53"/>
      <c r="N23" s="53"/>
    </row>
    <row r="24" spans="1:14" s="115" customFormat="1" ht="8.1" customHeight="1" x14ac:dyDescent="0.2">
      <c r="A24" s="116"/>
      <c r="B24" s="56"/>
      <c r="C24" s="56"/>
      <c r="D24" s="141"/>
      <c r="E24" s="146"/>
      <c r="F24" s="146"/>
      <c r="G24" s="146"/>
      <c r="H24" s="146"/>
      <c r="I24" s="146"/>
      <c r="J24" s="146"/>
      <c r="K24" s="146"/>
      <c r="L24" s="53"/>
      <c r="M24" s="53"/>
      <c r="N24" s="53"/>
    </row>
    <row r="25" spans="1:14" s="53" customFormat="1" ht="12.95" customHeight="1" x14ac:dyDescent="0.2">
      <c r="B25" s="56" t="s">
        <v>103</v>
      </c>
      <c r="C25" s="56"/>
      <c r="D25" s="141">
        <v>2017</v>
      </c>
      <c r="E25" s="146">
        <f t="shared" ref="E25" si="5">SUM(F25:K25)</f>
        <v>372</v>
      </c>
      <c r="F25" s="146">
        <v>86</v>
      </c>
      <c r="G25" s="146">
        <v>14</v>
      </c>
      <c r="H25" s="146">
        <v>29</v>
      </c>
      <c r="I25" s="146">
        <v>152</v>
      </c>
      <c r="J25" s="146">
        <v>2</v>
      </c>
      <c r="K25" s="146">
        <v>89</v>
      </c>
    </row>
    <row r="26" spans="1:14" s="53" customFormat="1" ht="12.95" customHeight="1" x14ac:dyDescent="0.2">
      <c r="B26" s="56"/>
      <c r="C26" s="56"/>
      <c r="D26" s="141">
        <v>2018</v>
      </c>
      <c r="E26" s="146">
        <f>SUM(F26:K26)</f>
        <v>357</v>
      </c>
      <c r="F26" s="146">
        <v>65</v>
      </c>
      <c r="G26" s="146">
        <v>8</v>
      </c>
      <c r="H26" s="146">
        <v>32</v>
      </c>
      <c r="I26" s="146">
        <v>150</v>
      </c>
      <c r="J26" s="146">
        <v>5</v>
      </c>
      <c r="K26" s="146">
        <v>97</v>
      </c>
    </row>
    <row r="27" spans="1:14" s="53" customFormat="1" ht="12.95" customHeight="1" x14ac:dyDescent="0.2">
      <c r="A27" s="116"/>
      <c r="B27" s="56"/>
      <c r="C27" s="56"/>
      <c r="D27" s="141">
        <v>2019</v>
      </c>
      <c r="E27" s="146">
        <f>SUM(F27:K27)</f>
        <v>373</v>
      </c>
      <c r="F27" s="146">
        <v>75</v>
      </c>
      <c r="G27" s="146">
        <v>7</v>
      </c>
      <c r="H27" s="146">
        <v>30</v>
      </c>
      <c r="I27" s="146">
        <v>136</v>
      </c>
      <c r="J27" s="144" t="s">
        <v>51</v>
      </c>
      <c r="K27" s="146">
        <v>125</v>
      </c>
    </row>
    <row r="28" spans="1:14" s="53" customFormat="1" ht="8.1" customHeight="1" x14ac:dyDescent="0.2">
      <c r="A28" s="116"/>
      <c r="B28" s="56"/>
      <c r="C28" s="56"/>
      <c r="D28" s="141"/>
      <c r="E28" s="146"/>
      <c r="F28" s="146"/>
      <c r="G28" s="146"/>
      <c r="H28" s="146"/>
      <c r="I28" s="146"/>
      <c r="J28" s="146"/>
      <c r="K28" s="146"/>
    </row>
    <row r="29" spans="1:14" s="53" customFormat="1" ht="12.95" customHeight="1" x14ac:dyDescent="0.2">
      <c r="B29" s="56" t="s">
        <v>104</v>
      </c>
      <c r="C29" s="56"/>
      <c r="D29" s="141">
        <v>2017</v>
      </c>
      <c r="E29" s="146">
        <f t="shared" ref="E29" si="6">SUM(F29:K29)</f>
        <v>2641</v>
      </c>
      <c r="F29" s="146">
        <v>698</v>
      </c>
      <c r="G29" s="146">
        <v>107</v>
      </c>
      <c r="H29" s="146">
        <v>245</v>
      </c>
      <c r="I29" s="146">
        <v>920</v>
      </c>
      <c r="J29" s="146" t="s">
        <v>51</v>
      </c>
      <c r="K29" s="146">
        <v>671</v>
      </c>
    </row>
    <row r="30" spans="1:14" s="53" customFormat="1" ht="12.95" customHeight="1" x14ac:dyDescent="0.2">
      <c r="B30" s="56"/>
      <c r="C30" s="56"/>
      <c r="D30" s="141">
        <v>2018</v>
      </c>
      <c r="E30" s="146">
        <f>SUM(F30:K30)</f>
        <v>1906</v>
      </c>
      <c r="F30" s="146">
        <v>415</v>
      </c>
      <c r="G30" s="146">
        <v>106</v>
      </c>
      <c r="H30" s="146">
        <v>247</v>
      </c>
      <c r="I30" s="146">
        <v>800</v>
      </c>
      <c r="J30" s="146" t="s">
        <v>51</v>
      </c>
      <c r="K30" s="146">
        <v>338</v>
      </c>
    </row>
    <row r="31" spans="1:14" s="53" customFormat="1" ht="12.95" customHeight="1" x14ac:dyDescent="0.2">
      <c r="A31" s="116"/>
      <c r="B31" s="56"/>
      <c r="C31" s="56"/>
      <c r="D31" s="141">
        <v>2019</v>
      </c>
      <c r="E31" s="146">
        <f>SUM(F31:K31)</f>
        <v>1812</v>
      </c>
      <c r="F31" s="146">
        <v>403</v>
      </c>
      <c r="G31" s="146">
        <v>99</v>
      </c>
      <c r="H31" s="146">
        <v>270</v>
      </c>
      <c r="I31" s="146">
        <v>786</v>
      </c>
      <c r="J31" s="144" t="s">
        <v>51</v>
      </c>
      <c r="K31" s="146">
        <v>254</v>
      </c>
    </row>
    <row r="32" spans="1:14" s="53" customFormat="1" ht="8.1" customHeight="1" x14ac:dyDescent="0.2">
      <c r="A32" s="116"/>
      <c r="B32" s="56"/>
      <c r="C32" s="56"/>
      <c r="D32" s="141"/>
      <c r="E32" s="146"/>
      <c r="F32" s="146"/>
      <c r="G32" s="146"/>
      <c r="H32" s="146"/>
      <c r="I32" s="146"/>
      <c r="J32" s="146"/>
      <c r="K32" s="146"/>
    </row>
    <row r="33" spans="1:11" s="53" customFormat="1" ht="12.95" customHeight="1" x14ac:dyDescent="0.2">
      <c r="B33" s="56" t="s">
        <v>105</v>
      </c>
      <c r="C33" s="56"/>
      <c r="D33" s="141">
        <v>2017</v>
      </c>
      <c r="E33" s="146">
        <f t="shared" ref="E33" si="7">SUM(F33:K33)</f>
        <v>1610</v>
      </c>
      <c r="F33" s="146">
        <v>448</v>
      </c>
      <c r="G33" s="146">
        <v>75</v>
      </c>
      <c r="H33" s="146">
        <v>198</v>
      </c>
      <c r="I33" s="146">
        <v>671</v>
      </c>
      <c r="J33" s="146">
        <v>8</v>
      </c>
      <c r="K33" s="146">
        <v>210</v>
      </c>
    </row>
    <row r="34" spans="1:11" s="53" customFormat="1" ht="12.95" customHeight="1" x14ac:dyDescent="0.2">
      <c r="B34" s="56"/>
      <c r="C34" s="56"/>
      <c r="D34" s="141">
        <v>2018</v>
      </c>
      <c r="E34" s="146">
        <f>SUM(F34:K34)</f>
        <v>1425</v>
      </c>
      <c r="F34" s="146">
        <v>389</v>
      </c>
      <c r="G34" s="146">
        <v>47</v>
      </c>
      <c r="H34" s="146">
        <v>206</v>
      </c>
      <c r="I34" s="146">
        <v>531</v>
      </c>
      <c r="J34" s="146" t="s">
        <v>51</v>
      </c>
      <c r="K34" s="146">
        <v>252</v>
      </c>
    </row>
    <row r="35" spans="1:11" s="53" customFormat="1" ht="12.95" customHeight="1" x14ac:dyDescent="0.2">
      <c r="A35" s="116"/>
      <c r="B35" s="56"/>
      <c r="C35" s="56"/>
      <c r="D35" s="141">
        <v>2019</v>
      </c>
      <c r="E35" s="146">
        <f>SUM(F35:K35)</f>
        <v>1246</v>
      </c>
      <c r="F35" s="146">
        <v>303</v>
      </c>
      <c r="G35" s="146">
        <v>33</v>
      </c>
      <c r="H35" s="146">
        <v>161</v>
      </c>
      <c r="I35" s="146">
        <v>492</v>
      </c>
      <c r="J35" s="146">
        <v>1</v>
      </c>
      <c r="K35" s="146">
        <v>256</v>
      </c>
    </row>
    <row r="36" spans="1:11" s="53" customFormat="1" ht="8.1" customHeight="1" x14ac:dyDescent="0.2">
      <c r="A36" s="116"/>
      <c r="B36" s="56"/>
      <c r="C36" s="56"/>
      <c r="D36" s="141"/>
      <c r="E36" s="146"/>
      <c r="F36" s="146"/>
      <c r="G36" s="146"/>
      <c r="H36" s="146"/>
      <c r="I36" s="146"/>
      <c r="J36" s="146"/>
      <c r="K36" s="146"/>
    </row>
    <row r="37" spans="1:11" s="53" customFormat="1" ht="12.95" customHeight="1" x14ac:dyDescent="0.2">
      <c r="B37" s="56" t="s">
        <v>106</v>
      </c>
      <c r="C37" s="56"/>
      <c r="D37" s="141">
        <v>2017</v>
      </c>
      <c r="E37" s="146">
        <f t="shared" ref="E37" si="8">SUM(F37:K37)</f>
        <v>991</v>
      </c>
      <c r="F37" s="146">
        <v>165</v>
      </c>
      <c r="G37" s="146">
        <v>55</v>
      </c>
      <c r="H37" s="146">
        <v>141</v>
      </c>
      <c r="I37" s="146">
        <v>423</v>
      </c>
      <c r="J37" s="146">
        <v>17</v>
      </c>
      <c r="K37" s="146">
        <v>190</v>
      </c>
    </row>
    <row r="38" spans="1:11" s="53" customFormat="1" ht="12.95" customHeight="1" x14ac:dyDescent="0.2">
      <c r="B38" s="56"/>
      <c r="C38" s="56"/>
      <c r="D38" s="141">
        <v>2018</v>
      </c>
      <c r="E38" s="146">
        <f>SUM(F38:K38)</f>
        <v>775</v>
      </c>
      <c r="F38" s="146">
        <v>146</v>
      </c>
      <c r="G38" s="146">
        <v>23</v>
      </c>
      <c r="H38" s="146">
        <v>122</v>
      </c>
      <c r="I38" s="146">
        <v>312</v>
      </c>
      <c r="J38" s="146">
        <v>3</v>
      </c>
      <c r="K38" s="146">
        <v>169</v>
      </c>
    </row>
    <row r="39" spans="1:11" s="53" customFormat="1" ht="12.95" customHeight="1" x14ac:dyDescent="0.2">
      <c r="A39" s="116"/>
      <c r="B39" s="56"/>
      <c r="C39" s="56"/>
      <c r="D39" s="141">
        <v>2019</v>
      </c>
      <c r="E39" s="146">
        <f>SUM(F39:K39)</f>
        <v>701</v>
      </c>
      <c r="F39" s="146">
        <v>191</v>
      </c>
      <c r="G39" s="146">
        <v>14</v>
      </c>
      <c r="H39" s="146">
        <v>99</v>
      </c>
      <c r="I39" s="146">
        <v>224</v>
      </c>
      <c r="J39" s="144" t="s">
        <v>51</v>
      </c>
      <c r="K39" s="146">
        <v>173</v>
      </c>
    </row>
    <row r="40" spans="1:11" s="53" customFormat="1" ht="8.1" customHeight="1" x14ac:dyDescent="0.2">
      <c r="A40" s="116"/>
      <c r="B40" s="56"/>
      <c r="C40" s="56"/>
      <c r="D40" s="141"/>
      <c r="E40" s="146"/>
      <c r="F40" s="146"/>
      <c r="G40" s="146"/>
      <c r="H40" s="146"/>
      <c r="I40" s="146"/>
      <c r="J40" s="146"/>
      <c r="K40" s="146"/>
    </row>
    <row r="41" spans="1:11" s="53" customFormat="1" ht="12.95" customHeight="1" x14ac:dyDescent="0.2">
      <c r="B41" s="56" t="s">
        <v>107</v>
      </c>
      <c r="C41" s="56"/>
      <c r="D41" s="141">
        <v>2017</v>
      </c>
      <c r="E41" s="146">
        <f t="shared" ref="E41" si="9">SUM(F41:K41)</f>
        <v>490</v>
      </c>
      <c r="F41" s="146">
        <v>80</v>
      </c>
      <c r="G41" s="146">
        <v>22</v>
      </c>
      <c r="H41" s="146">
        <v>33</v>
      </c>
      <c r="I41" s="146">
        <v>275</v>
      </c>
      <c r="J41" s="146">
        <v>1</v>
      </c>
      <c r="K41" s="146">
        <v>79</v>
      </c>
    </row>
    <row r="42" spans="1:11" s="53" customFormat="1" ht="12.95" customHeight="1" x14ac:dyDescent="0.2">
      <c r="B42" s="56"/>
      <c r="C42" s="56"/>
      <c r="D42" s="141">
        <v>2018</v>
      </c>
      <c r="E42" s="146">
        <f>SUM(F42:K42)</f>
        <v>395</v>
      </c>
      <c r="F42" s="146">
        <v>43</v>
      </c>
      <c r="G42" s="146">
        <v>17</v>
      </c>
      <c r="H42" s="146">
        <v>30</v>
      </c>
      <c r="I42" s="146">
        <v>231</v>
      </c>
      <c r="J42" s="146">
        <v>1</v>
      </c>
      <c r="K42" s="146">
        <v>73</v>
      </c>
    </row>
    <row r="43" spans="1:11" s="53" customFormat="1" ht="12.95" customHeight="1" x14ac:dyDescent="0.2">
      <c r="A43" s="116"/>
      <c r="B43" s="56"/>
      <c r="C43" s="56"/>
      <c r="D43" s="141">
        <v>2019</v>
      </c>
      <c r="E43" s="146">
        <f>SUM(F43:K43)</f>
        <v>340</v>
      </c>
      <c r="F43" s="146">
        <v>41</v>
      </c>
      <c r="G43" s="146">
        <v>7</v>
      </c>
      <c r="H43" s="146">
        <v>24</v>
      </c>
      <c r="I43" s="146">
        <v>202</v>
      </c>
      <c r="J43" s="144" t="s">
        <v>51</v>
      </c>
      <c r="K43" s="146">
        <v>66</v>
      </c>
    </row>
    <row r="44" spans="1:11" s="53" customFormat="1" ht="8.1" customHeight="1" x14ac:dyDescent="0.2">
      <c r="A44" s="116"/>
      <c r="B44" s="56"/>
      <c r="C44" s="56"/>
      <c r="D44" s="141"/>
      <c r="E44" s="146"/>
      <c r="F44" s="146"/>
      <c r="G44" s="146"/>
      <c r="H44" s="146"/>
      <c r="I44" s="146"/>
      <c r="J44" s="146"/>
      <c r="K44" s="146"/>
    </row>
    <row r="45" spans="1:11" s="53" customFormat="1" ht="12.95" customHeight="1" x14ac:dyDescent="0.2">
      <c r="B45" s="56" t="s">
        <v>108</v>
      </c>
      <c r="C45" s="56"/>
      <c r="D45" s="141">
        <v>2017</v>
      </c>
      <c r="E45" s="146">
        <f t="shared" ref="E45" si="10">SUM(F45:K45)</f>
        <v>320</v>
      </c>
      <c r="F45" s="144">
        <v>76</v>
      </c>
      <c r="G45" s="146">
        <v>26</v>
      </c>
      <c r="H45" s="146">
        <v>20</v>
      </c>
      <c r="I45" s="146">
        <v>155</v>
      </c>
      <c r="J45" s="146">
        <v>2</v>
      </c>
      <c r="K45" s="146">
        <v>41</v>
      </c>
    </row>
    <row r="46" spans="1:11" s="53" customFormat="1" ht="12.95" customHeight="1" x14ac:dyDescent="0.2">
      <c r="B46" s="56"/>
      <c r="C46" s="56"/>
      <c r="D46" s="141">
        <v>2018</v>
      </c>
      <c r="E46" s="146">
        <f>SUM(F46:K46)</f>
        <v>286</v>
      </c>
      <c r="F46" s="146">
        <v>74</v>
      </c>
      <c r="G46" s="146">
        <v>7</v>
      </c>
      <c r="H46" s="146">
        <v>21</v>
      </c>
      <c r="I46" s="146">
        <v>136</v>
      </c>
      <c r="J46" s="146" t="s">
        <v>51</v>
      </c>
      <c r="K46" s="146">
        <v>48</v>
      </c>
    </row>
    <row r="47" spans="1:11" s="53" customFormat="1" ht="12.95" customHeight="1" x14ac:dyDescent="0.2">
      <c r="A47" s="116"/>
      <c r="B47" s="56"/>
      <c r="C47" s="56"/>
      <c r="D47" s="141">
        <v>2019</v>
      </c>
      <c r="E47" s="146">
        <f>SUM(F47:K47)</f>
        <v>349</v>
      </c>
      <c r="F47" s="146">
        <v>93</v>
      </c>
      <c r="G47" s="146">
        <v>3</v>
      </c>
      <c r="H47" s="146">
        <v>26</v>
      </c>
      <c r="I47" s="146">
        <v>156</v>
      </c>
      <c r="J47" s="144" t="s">
        <v>51</v>
      </c>
      <c r="K47" s="146">
        <v>71</v>
      </c>
    </row>
    <row r="48" spans="1:11" s="53" customFormat="1" ht="8.1" customHeight="1" x14ac:dyDescent="0.2">
      <c r="A48" s="116"/>
      <c r="B48" s="56"/>
      <c r="C48" s="56"/>
      <c r="D48" s="141"/>
      <c r="E48" s="146"/>
      <c r="F48" s="146"/>
      <c r="G48" s="146"/>
      <c r="H48" s="146"/>
      <c r="I48" s="146"/>
      <c r="J48" s="146"/>
      <c r="K48" s="146"/>
    </row>
    <row r="49" spans="1:13" s="116" customFormat="1" ht="12.95" customHeight="1" x14ac:dyDescent="0.2">
      <c r="A49" s="53"/>
      <c r="B49" s="56" t="s">
        <v>109</v>
      </c>
      <c r="C49" s="56"/>
      <c r="D49" s="141">
        <v>2017</v>
      </c>
      <c r="E49" s="146">
        <f t="shared" ref="E49" si="11">SUM(F49:K49)</f>
        <v>3076</v>
      </c>
      <c r="F49" s="146">
        <v>616</v>
      </c>
      <c r="G49" s="146">
        <v>85</v>
      </c>
      <c r="H49" s="146">
        <v>425</v>
      </c>
      <c r="I49" s="146">
        <v>1225</v>
      </c>
      <c r="J49" s="146">
        <v>31</v>
      </c>
      <c r="K49" s="146">
        <v>694</v>
      </c>
      <c r="L49" s="274"/>
      <c r="M49" s="274"/>
    </row>
    <row r="50" spans="1:13" s="116" customFormat="1" ht="12.95" customHeight="1" x14ac:dyDescent="0.2">
      <c r="A50" s="53"/>
      <c r="B50" s="56"/>
      <c r="C50" s="56"/>
      <c r="D50" s="141">
        <v>2018</v>
      </c>
      <c r="E50" s="146">
        <f>SUM(F50:K50)</f>
        <v>2618</v>
      </c>
      <c r="F50" s="146">
        <v>552</v>
      </c>
      <c r="G50" s="146">
        <v>51</v>
      </c>
      <c r="H50" s="146">
        <v>412</v>
      </c>
      <c r="I50" s="146">
        <v>877</v>
      </c>
      <c r="J50" s="146">
        <v>19</v>
      </c>
      <c r="K50" s="146">
        <v>707</v>
      </c>
      <c r="L50" s="274"/>
      <c r="M50" s="274"/>
    </row>
    <row r="51" spans="1:13" s="116" customFormat="1" ht="12.95" customHeight="1" x14ac:dyDescent="0.2">
      <c r="B51" s="56"/>
      <c r="C51" s="56"/>
      <c r="D51" s="141">
        <v>2019</v>
      </c>
      <c r="E51" s="146">
        <f>SUM(F51:K51)</f>
        <v>2453</v>
      </c>
      <c r="F51" s="146">
        <v>556</v>
      </c>
      <c r="G51" s="146">
        <v>58</v>
      </c>
      <c r="H51" s="146">
        <v>412</v>
      </c>
      <c r="I51" s="146">
        <v>837</v>
      </c>
      <c r="J51" s="146">
        <v>1</v>
      </c>
      <c r="K51" s="146">
        <v>589</v>
      </c>
      <c r="L51" s="274"/>
      <c r="M51" s="274"/>
    </row>
    <row r="52" spans="1:13" s="116" customFormat="1" ht="8.1" customHeight="1" x14ac:dyDescent="0.2">
      <c r="B52" s="56"/>
      <c r="C52" s="56"/>
      <c r="D52" s="141"/>
      <c r="E52" s="146"/>
      <c r="F52" s="146"/>
      <c r="G52" s="146"/>
      <c r="H52" s="146"/>
      <c r="I52" s="146"/>
      <c r="J52" s="146"/>
      <c r="K52" s="146"/>
      <c r="L52" s="274"/>
      <c r="M52" s="274"/>
    </row>
    <row r="53" spans="1:13" s="116" customFormat="1" ht="12.95" customHeight="1" x14ac:dyDescent="0.2">
      <c r="A53" s="53"/>
      <c r="B53" s="56" t="s">
        <v>110</v>
      </c>
      <c r="C53" s="56"/>
      <c r="D53" s="141">
        <v>2017</v>
      </c>
      <c r="E53" s="146">
        <f t="shared" ref="E53" si="12">SUM(F53:K53)</f>
        <v>332</v>
      </c>
      <c r="F53" s="146">
        <v>104</v>
      </c>
      <c r="G53" s="146">
        <v>12</v>
      </c>
      <c r="H53" s="146">
        <v>12</v>
      </c>
      <c r="I53" s="146">
        <v>102</v>
      </c>
      <c r="J53" s="146">
        <v>15</v>
      </c>
      <c r="K53" s="146">
        <v>87</v>
      </c>
      <c r="L53" s="274"/>
      <c r="M53" s="274"/>
    </row>
    <row r="54" spans="1:13" s="116" customFormat="1" ht="12.95" customHeight="1" x14ac:dyDescent="0.2">
      <c r="A54" s="53"/>
      <c r="B54" s="56"/>
      <c r="C54" s="56"/>
      <c r="D54" s="141">
        <v>2018</v>
      </c>
      <c r="E54" s="146">
        <f>SUM(F54:K54)</f>
        <v>303</v>
      </c>
      <c r="F54" s="146">
        <v>81</v>
      </c>
      <c r="G54" s="146">
        <v>8</v>
      </c>
      <c r="H54" s="146">
        <v>10</v>
      </c>
      <c r="I54" s="146">
        <v>97</v>
      </c>
      <c r="J54" s="146">
        <v>7</v>
      </c>
      <c r="K54" s="146">
        <v>100</v>
      </c>
      <c r="L54" s="274"/>
      <c r="M54" s="274"/>
    </row>
    <row r="55" spans="1:13" s="116" customFormat="1" ht="12.95" customHeight="1" x14ac:dyDescent="0.2">
      <c r="B55" s="56"/>
      <c r="C55" s="56"/>
      <c r="D55" s="141">
        <v>2019</v>
      </c>
      <c r="E55" s="146">
        <f>SUM(F55:K55)</f>
        <v>264</v>
      </c>
      <c r="F55" s="146">
        <v>100</v>
      </c>
      <c r="G55" s="146">
        <v>2</v>
      </c>
      <c r="H55" s="146">
        <v>12</v>
      </c>
      <c r="I55" s="146">
        <v>48</v>
      </c>
      <c r="J55" s="144" t="s">
        <v>51</v>
      </c>
      <c r="K55" s="146">
        <v>102</v>
      </c>
      <c r="L55" s="274"/>
      <c r="M55" s="274"/>
    </row>
    <row r="56" spans="1:13" s="116" customFormat="1" ht="8.1" customHeight="1" x14ac:dyDescent="0.2">
      <c r="B56" s="56"/>
      <c r="C56" s="56"/>
      <c r="D56" s="141"/>
      <c r="E56" s="146"/>
      <c r="F56" s="146"/>
      <c r="G56" s="146"/>
      <c r="H56" s="146"/>
      <c r="I56" s="146"/>
      <c r="J56" s="146"/>
      <c r="K56" s="146"/>
      <c r="L56" s="274"/>
      <c r="M56" s="274"/>
    </row>
    <row r="57" spans="1:13" s="116" customFormat="1" ht="12.95" customHeight="1" x14ac:dyDescent="0.2">
      <c r="A57" s="53"/>
      <c r="B57" s="56" t="s">
        <v>111</v>
      </c>
      <c r="C57" s="56"/>
      <c r="D57" s="141">
        <v>2017</v>
      </c>
      <c r="E57" s="146">
        <f t="shared" ref="E57" si="13">SUM(F57:K57)</f>
        <v>598</v>
      </c>
      <c r="F57" s="146">
        <v>120</v>
      </c>
      <c r="G57" s="146">
        <v>14</v>
      </c>
      <c r="H57" s="146">
        <v>48</v>
      </c>
      <c r="I57" s="146">
        <v>170</v>
      </c>
      <c r="J57" s="146" t="s">
        <v>51</v>
      </c>
      <c r="K57" s="146">
        <v>246</v>
      </c>
      <c r="L57" s="274"/>
      <c r="M57" s="274"/>
    </row>
    <row r="58" spans="1:13" s="116" customFormat="1" ht="12.95" customHeight="1" x14ac:dyDescent="0.2">
      <c r="A58" s="53"/>
      <c r="B58" s="56"/>
      <c r="C58" s="56"/>
      <c r="D58" s="141">
        <v>2018</v>
      </c>
      <c r="E58" s="146">
        <f>SUM(F58:K58)</f>
        <v>534</v>
      </c>
      <c r="F58" s="146">
        <v>111</v>
      </c>
      <c r="G58" s="146">
        <v>12</v>
      </c>
      <c r="H58" s="146">
        <v>47</v>
      </c>
      <c r="I58" s="146">
        <v>148</v>
      </c>
      <c r="J58" s="144" t="s">
        <v>51</v>
      </c>
      <c r="K58" s="146">
        <v>216</v>
      </c>
      <c r="L58" s="274"/>
      <c r="M58" s="274"/>
    </row>
    <row r="59" spans="1:13" s="116" customFormat="1" ht="12.95" customHeight="1" x14ac:dyDescent="0.2">
      <c r="B59" s="56"/>
      <c r="C59" s="56"/>
      <c r="D59" s="141">
        <v>2019</v>
      </c>
      <c r="E59" s="146">
        <f>SUM(F59:K59)</f>
        <v>523</v>
      </c>
      <c r="F59" s="146">
        <v>95</v>
      </c>
      <c r="G59" s="146">
        <v>6</v>
      </c>
      <c r="H59" s="146">
        <v>59</v>
      </c>
      <c r="I59" s="146">
        <v>136</v>
      </c>
      <c r="J59" s="144" t="s">
        <v>51</v>
      </c>
      <c r="K59" s="146">
        <v>227</v>
      </c>
      <c r="L59" s="274"/>
      <c r="M59" s="274"/>
    </row>
    <row r="60" spans="1:13" s="116" customFormat="1" ht="8.1" customHeight="1" x14ac:dyDescent="0.2">
      <c r="B60" s="56"/>
      <c r="C60" s="56"/>
      <c r="D60" s="141"/>
      <c r="E60" s="146"/>
      <c r="F60" s="146"/>
      <c r="G60" s="146"/>
      <c r="H60" s="146"/>
      <c r="I60" s="146"/>
      <c r="J60" s="146"/>
      <c r="K60" s="146"/>
      <c r="L60" s="274"/>
      <c r="M60" s="274"/>
    </row>
    <row r="61" spans="1:13" s="116" customFormat="1" ht="12.95" customHeight="1" x14ac:dyDescent="0.2">
      <c r="A61" s="53"/>
      <c r="B61" s="56" t="s">
        <v>112</v>
      </c>
      <c r="C61" s="56"/>
      <c r="D61" s="141">
        <v>2017</v>
      </c>
      <c r="E61" s="146">
        <f t="shared" ref="E61" si="14">SUM(F61:K61)</f>
        <v>1372</v>
      </c>
      <c r="F61" s="146">
        <v>292</v>
      </c>
      <c r="G61" s="146">
        <v>49</v>
      </c>
      <c r="H61" s="146">
        <v>349</v>
      </c>
      <c r="I61" s="146">
        <v>366</v>
      </c>
      <c r="J61" s="146">
        <v>22</v>
      </c>
      <c r="K61" s="146">
        <v>294</v>
      </c>
      <c r="L61" s="274"/>
      <c r="M61" s="274"/>
    </row>
    <row r="62" spans="1:13" s="116" customFormat="1" ht="12.95" customHeight="1" x14ac:dyDescent="0.2">
      <c r="A62" s="53"/>
      <c r="B62" s="56"/>
      <c r="C62" s="56"/>
      <c r="D62" s="141">
        <v>2018</v>
      </c>
      <c r="E62" s="146">
        <f>SUM(F62:K62)</f>
        <v>1291</v>
      </c>
      <c r="F62" s="146">
        <v>277</v>
      </c>
      <c r="G62" s="146">
        <v>63</v>
      </c>
      <c r="H62" s="146">
        <v>310</v>
      </c>
      <c r="I62" s="146">
        <v>338</v>
      </c>
      <c r="J62" s="146" t="s">
        <v>51</v>
      </c>
      <c r="K62" s="146">
        <v>303</v>
      </c>
      <c r="L62" s="274"/>
      <c r="M62" s="274"/>
    </row>
    <row r="63" spans="1:13" s="116" customFormat="1" ht="12.95" customHeight="1" x14ac:dyDescent="0.2">
      <c r="B63" s="56"/>
      <c r="C63" s="56"/>
      <c r="D63" s="141">
        <v>2019</v>
      </c>
      <c r="E63" s="146">
        <f>SUM(F63:K63)</f>
        <v>1273</v>
      </c>
      <c r="F63" s="146">
        <v>331</v>
      </c>
      <c r="G63" s="146">
        <v>59</v>
      </c>
      <c r="H63" s="146">
        <v>259</v>
      </c>
      <c r="I63" s="146">
        <v>315</v>
      </c>
      <c r="J63" s="146">
        <v>1</v>
      </c>
      <c r="K63" s="146">
        <v>308</v>
      </c>
      <c r="L63" s="274"/>
      <c r="M63" s="274"/>
    </row>
    <row r="64" spans="1:13" s="116" customFormat="1" ht="8.1" customHeight="1" x14ac:dyDescent="0.2">
      <c r="B64" s="56"/>
      <c r="C64" s="56"/>
      <c r="D64" s="141"/>
      <c r="E64" s="146"/>
      <c r="F64" s="146"/>
      <c r="G64" s="146"/>
      <c r="H64" s="146"/>
      <c r="I64" s="146"/>
      <c r="J64" s="146"/>
      <c r="K64" s="146"/>
      <c r="L64" s="274"/>
      <c r="M64" s="274"/>
    </row>
    <row r="65" spans="1:12" s="83" customFormat="1" ht="12.95" customHeight="1" x14ac:dyDescent="0.2">
      <c r="A65" s="116"/>
      <c r="B65" s="56" t="s">
        <v>113</v>
      </c>
      <c r="C65" s="56"/>
      <c r="D65" s="141">
        <v>2017</v>
      </c>
      <c r="E65" s="146">
        <f t="shared" ref="E65" si="15">SUM(F65:K65)</f>
        <v>1013</v>
      </c>
      <c r="F65" s="146">
        <v>205</v>
      </c>
      <c r="G65" s="146">
        <v>39</v>
      </c>
      <c r="H65" s="146">
        <v>91</v>
      </c>
      <c r="I65" s="146">
        <v>398</v>
      </c>
      <c r="J65" s="146">
        <v>14</v>
      </c>
      <c r="K65" s="146">
        <v>266</v>
      </c>
    </row>
    <row r="66" spans="1:12" s="83" customFormat="1" ht="12.95" customHeight="1" x14ac:dyDescent="0.2">
      <c r="A66" s="115"/>
      <c r="B66" s="56"/>
      <c r="C66" s="56"/>
      <c r="D66" s="141">
        <v>2018</v>
      </c>
      <c r="E66" s="146">
        <f>SUM(F66:K66)</f>
        <v>859</v>
      </c>
      <c r="F66" s="146">
        <v>234</v>
      </c>
      <c r="G66" s="146">
        <v>21</v>
      </c>
      <c r="H66" s="146">
        <v>64</v>
      </c>
      <c r="I66" s="146">
        <v>276</v>
      </c>
      <c r="J66" s="146">
        <v>42</v>
      </c>
      <c r="K66" s="146">
        <v>222</v>
      </c>
    </row>
    <row r="67" spans="1:12" s="116" customFormat="1" ht="12.95" customHeight="1" x14ac:dyDescent="0.2">
      <c r="B67" s="56"/>
      <c r="C67" s="56"/>
      <c r="D67" s="141">
        <v>2019</v>
      </c>
      <c r="E67" s="146">
        <f>SUM(F67:K67)</f>
        <v>799</v>
      </c>
      <c r="F67" s="146">
        <v>248</v>
      </c>
      <c r="G67" s="146">
        <v>23</v>
      </c>
      <c r="H67" s="146">
        <v>95</v>
      </c>
      <c r="I67" s="146">
        <v>237</v>
      </c>
      <c r="J67" s="144" t="s">
        <v>51</v>
      </c>
      <c r="K67" s="146">
        <v>196</v>
      </c>
    </row>
    <row r="68" spans="1:12" s="116" customFormat="1" ht="8.1" customHeight="1" x14ac:dyDescent="0.2">
      <c r="B68" s="56"/>
      <c r="C68" s="56"/>
      <c r="D68" s="141"/>
      <c r="E68" s="146"/>
      <c r="F68" s="144"/>
      <c r="G68" s="146"/>
      <c r="H68" s="146"/>
      <c r="I68" s="146"/>
      <c r="J68" s="146"/>
      <c r="K68" s="146"/>
    </row>
    <row r="69" spans="1:12" s="53" customFormat="1" ht="12.95" customHeight="1" x14ac:dyDescent="0.2">
      <c r="B69" s="56" t="s">
        <v>114</v>
      </c>
      <c r="C69" s="56"/>
      <c r="D69" s="141">
        <v>2017</v>
      </c>
      <c r="E69" s="146">
        <f t="shared" ref="E69" si="16">SUM(F69:K69)</f>
        <v>1391</v>
      </c>
      <c r="F69" s="146">
        <v>92</v>
      </c>
      <c r="G69" s="146">
        <v>99</v>
      </c>
      <c r="H69" s="146">
        <v>184</v>
      </c>
      <c r="I69" s="146">
        <v>851</v>
      </c>
      <c r="J69" s="144" t="s">
        <v>51</v>
      </c>
      <c r="K69" s="146">
        <v>165</v>
      </c>
    </row>
    <row r="70" spans="1:12" s="53" customFormat="1" ht="12.95" customHeight="1" x14ac:dyDescent="0.2">
      <c r="B70" s="56"/>
      <c r="C70" s="56"/>
      <c r="D70" s="141">
        <v>2018</v>
      </c>
      <c r="E70" s="146">
        <f>SUM(F70:K70)</f>
        <v>1261</v>
      </c>
      <c r="F70" s="144">
        <v>105</v>
      </c>
      <c r="G70" s="146">
        <v>85</v>
      </c>
      <c r="H70" s="146">
        <v>160</v>
      </c>
      <c r="I70" s="146">
        <v>729</v>
      </c>
      <c r="J70" s="146" t="s">
        <v>51</v>
      </c>
      <c r="K70" s="146">
        <v>182</v>
      </c>
    </row>
    <row r="71" spans="1:12" s="53" customFormat="1" ht="12.95" customHeight="1" x14ac:dyDescent="0.2">
      <c r="A71" s="116"/>
      <c r="B71" s="56"/>
      <c r="C71" s="56"/>
      <c r="D71" s="141">
        <v>2019</v>
      </c>
      <c r="E71" s="146">
        <f>SUM(F71:K71)</f>
        <v>956</v>
      </c>
      <c r="F71" s="144">
        <v>146</v>
      </c>
      <c r="G71" s="146">
        <v>57</v>
      </c>
      <c r="H71" s="146">
        <v>117</v>
      </c>
      <c r="I71" s="146">
        <v>436</v>
      </c>
      <c r="J71" s="144" t="s">
        <v>51</v>
      </c>
      <c r="K71" s="146">
        <v>200</v>
      </c>
    </row>
    <row r="72" spans="1:12" s="53" customFormat="1" ht="8.1" customHeight="1" x14ac:dyDescent="0.2">
      <c r="A72" s="116"/>
      <c r="B72" s="56"/>
      <c r="C72" s="56"/>
      <c r="D72" s="141"/>
      <c r="E72" s="146"/>
      <c r="F72" s="146"/>
      <c r="G72" s="146"/>
      <c r="H72" s="146"/>
      <c r="I72" s="146"/>
      <c r="J72" s="146"/>
      <c r="K72" s="146"/>
    </row>
    <row r="73" spans="1:12" s="53" customFormat="1" ht="12.95" customHeight="1" x14ac:dyDescent="0.2">
      <c r="B73" s="56" t="s">
        <v>115</v>
      </c>
      <c r="C73" s="56"/>
      <c r="D73" s="141">
        <v>2017</v>
      </c>
      <c r="E73" s="146">
        <f t="shared" ref="E73" si="17">SUM(F73:K73)</f>
        <v>1187</v>
      </c>
      <c r="F73" s="146">
        <v>289</v>
      </c>
      <c r="G73" s="146">
        <v>88</v>
      </c>
      <c r="H73" s="146">
        <v>149</v>
      </c>
      <c r="I73" s="146">
        <v>353</v>
      </c>
      <c r="J73" s="146">
        <v>22</v>
      </c>
      <c r="K73" s="146">
        <v>286</v>
      </c>
    </row>
    <row r="74" spans="1:12" s="53" customFormat="1" ht="12.95" customHeight="1" x14ac:dyDescent="0.2">
      <c r="B74" s="56"/>
      <c r="C74" s="56"/>
      <c r="D74" s="141">
        <v>2018</v>
      </c>
      <c r="E74" s="146">
        <f>SUM(F74:K74)</f>
        <v>993</v>
      </c>
      <c r="F74" s="146">
        <v>207</v>
      </c>
      <c r="G74" s="146">
        <v>69</v>
      </c>
      <c r="H74" s="312">
        <v>142</v>
      </c>
      <c r="I74" s="146">
        <v>290</v>
      </c>
      <c r="J74" s="312">
        <v>9</v>
      </c>
      <c r="K74" s="312">
        <v>276</v>
      </c>
    </row>
    <row r="75" spans="1:12" s="53" customFormat="1" ht="12.95" customHeight="1" x14ac:dyDescent="0.2">
      <c r="A75" s="83"/>
      <c r="B75" s="56"/>
      <c r="C75" s="56"/>
      <c r="D75" s="141">
        <v>2019</v>
      </c>
      <c r="E75" s="146">
        <f>SUM(F75:K75)</f>
        <v>871</v>
      </c>
      <c r="F75" s="53">
        <v>158</v>
      </c>
      <c r="G75" s="53">
        <v>67</v>
      </c>
      <c r="H75" s="53">
        <v>148</v>
      </c>
      <c r="I75" s="53">
        <v>264</v>
      </c>
      <c r="J75" s="301" t="s">
        <v>51</v>
      </c>
      <c r="K75" s="53">
        <v>234</v>
      </c>
      <c r="L75" s="116"/>
    </row>
    <row r="76" spans="1:12" s="53" customFormat="1" ht="8.1" customHeight="1" thickBot="1" x14ac:dyDescent="0.25">
      <c r="A76" s="275"/>
      <c r="B76" s="57"/>
      <c r="C76" s="57"/>
      <c r="D76" s="136"/>
      <c r="E76" s="58"/>
      <c r="F76" s="188"/>
      <c r="G76" s="188"/>
      <c r="H76" s="273"/>
      <c r="I76" s="188"/>
      <c r="J76" s="273"/>
      <c r="K76" s="273"/>
      <c r="L76" s="195"/>
    </row>
    <row r="77" spans="1:12" x14ac:dyDescent="0.25">
      <c r="B77" s="239"/>
      <c r="C77" s="239"/>
      <c r="D77" s="239"/>
      <c r="E77" s="182"/>
      <c r="F77" s="183"/>
      <c r="G77" s="7"/>
      <c r="H77" s="7"/>
      <c r="I77" s="241"/>
      <c r="J77" s="184"/>
      <c r="K77" s="8" t="s">
        <v>99</v>
      </c>
    </row>
    <row r="78" spans="1:12" x14ac:dyDescent="0.25">
      <c r="B78" s="7"/>
      <c r="C78" s="7"/>
      <c r="D78" s="7"/>
      <c r="E78" s="242"/>
      <c r="F78" s="240"/>
      <c r="G78" s="239"/>
      <c r="H78" s="239"/>
      <c r="I78" s="240"/>
      <c r="J78" s="183"/>
      <c r="K78" s="41" t="s">
        <v>1</v>
      </c>
    </row>
    <row r="79" spans="1:12" x14ac:dyDescent="0.25">
      <c r="A79" s="359" t="s">
        <v>254</v>
      </c>
      <c r="B79" s="27"/>
    </row>
    <row r="80" spans="1:12" x14ac:dyDescent="0.25">
      <c r="A80" s="420" t="s">
        <v>252</v>
      </c>
      <c r="B80" s="420"/>
    </row>
    <row r="81" spans="1:12" s="53" customFormat="1" ht="14.25" x14ac:dyDescent="0.2">
      <c r="A81" s="362" t="s">
        <v>253</v>
      </c>
      <c r="B81" s="362"/>
      <c r="C81" s="115"/>
      <c r="D81" s="115"/>
      <c r="E81" s="190"/>
      <c r="F81" s="189"/>
      <c r="G81" s="189"/>
      <c r="H81" s="191"/>
      <c r="I81" s="189"/>
      <c r="L81" s="2"/>
    </row>
  </sheetData>
  <mergeCells count="6">
    <mergeCell ref="K10:K11"/>
    <mergeCell ref="B10:C11"/>
    <mergeCell ref="E10:E11"/>
    <mergeCell ref="F10:F11"/>
    <mergeCell ref="G10:I10"/>
    <mergeCell ref="J10:J11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76" fitToWidth="0" orientation="portrait" r:id="rId1"/>
  <headerFooter>
    <oddHeader xml:space="preserve">&amp;R&amp;"-,Bold"
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60"/>
  <sheetViews>
    <sheetView showGridLines="0" topLeftCell="A19" zoomScale="80" zoomScaleNormal="80" zoomScaleSheetLayoutView="100" workbookViewId="0">
      <selection activeCell="AA22" sqref="AA22"/>
    </sheetView>
  </sheetViews>
  <sheetFormatPr defaultRowHeight="15" x14ac:dyDescent="0.25"/>
  <cols>
    <col min="1" max="1" width="1.7109375" style="2" customWidth="1"/>
    <col min="2" max="2" width="10.140625" style="3" customWidth="1"/>
    <col min="3" max="3" width="8.5703125" style="3" customWidth="1"/>
    <col min="4" max="4" width="9.85546875" style="3" customWidth="1"/>
    <col min="5" max="5" width="10.5703125" style="4" customWidth="1"/>
    <col min="6" max="6" width="11.7109375" style="5" customWidth="1"/>
    <col min="7" max="7" width="11" style="5" customWidth="1"/>
    <col min="8" max="8" width="11.7109375" style="185" customWidth="1"/>
    <col min="9" max="9" width="12.28515625" style="5" customWidth="1"/>
    <col min="10" max="10" width="10.28515625" style="2" customWidth="1"/>
    <col min="11" max="11" width="11.7109375" style="2" customWidth="1"/>
    <col min="12" max="12" width="1.140625" style="2" customWidth="1"/>
    <col min="13" max="16384" width="9.140625" style="2"/>
  </cols>
  <sheetData>
    <row r="1" spans="1:12" s="30" customFormat="1" ht="12.95" customHeight="1" x14ac:dyDescent="0.25">
      <c r="B1" s="27"/>
      <c r="C1" s="27"/>
      <c r="D1" s="29"/>
      <c r="E1" s="28"/>
      <c r="F1" s="29"/>
      <c r="J1" s="29"/>
      <c r="K1" s="160" t="s">
        <v>179</v>
      </c>
    </row>
    <row r="2" spans="1:12" s="30" customFormat="1" ht="12.95" customHeight="1" x14ac:dyDescent="0.25">
      <c r="B2" s="27"/>
      <c r="C2" s="27"/>
      <c r="D2" s="29"/>
      <c r="E2" s="28"/>
      <c r="F2" s="29"/>
      <c r="J2" s="29"/>
      <c r="K2" s="68" t="s">
        <v>180</v>
      </c>
    </row>
    <row r="3" spans="1:12" s="30" customFormat="1" ht="12" customHeight="1" x14ac:dyDescent="0.25">
      <c r="B3" s="27"/>
      <c r="C3" s="27"/>
      <c r="D3" s="29"/>
      <c r="E3" s="28"/>
      <c r="F3" s="29"/>
      <c r="G3" s="68"/>
      <c r="J3" s="29"/>
    </row>
    <row r="4" spans="1:12" s="30" customFormat="1" ht="12" customHeight="1" x14ac:dyDescent="0.25">
      <c r="B4" s="27"/>
      <c r="C4" s="27"/>
      <c r="D4" s="29"/>
      <c r="E4" s="28"/>
      <c r="F4" s="29"/>
      <c r="G4" s="68"/>
      <c r="J4" s="29"/>
    </row>
    <row r="5" spans="1:12" s="53" customFormat="1" ht="9.9499999999999993" customHeight="1" x14ac:dyDescent="0.2">
      <c r="B5" s="115"/>
      <c r="C5" s="115"/>
      <c r="D5" s="189"/>
      <c r="E5" s="190"/>
      <c r="F5" s="189"/>
      <c r="G5" s="189"/>
      <c r="H5" s="191"/>
      <c r="I5" s="189"/>
      <c r="J5" s="114"/>
    </row>
    <row r="6" spans="1:12" s="53" customFormat="1" ht="15" customHeight="1" x14ac:dyDescent="0.2">
      <c r="B6" s="63" t="s">
        <v>208</v>
      </c>
      <c r="C6" s="64" t="s">
        <v>249</v>
      </c>
      <c r="D6" s="189"/>
      <c r="E6" s="190"/>
      <c r="F6" s="64"/>
      <c r="G6" s="64"/>
      <c r="H6" s="64"/>
      <c r="I6" s="64"/>
      <c r="J6" s="79"/>
      <c r="K6" s="64"/>
      <c r="L6" s="179"/>
    </row>
    <row r="7" spans="1:12" s="53" customFormat="1" ht="18" customHeight="1" x14ac:dyDescent="0.2">
      <c r="B7" s="80" t="s">
        <v>209</v>
      </c>
      <c r="C7" s="86" t="s">
        <v>250</v>
      </c>
      <c r="D7" s="189"/>
      <c r="E7" s="190"/>
      <c r="F7" s="86"/>
      <c r="G7" s="86"/>
      <c r="H7" s="86"/>
      <c r="I7" s="86"/>
      <c r="J7" s="235"/>
      <c r="K7" s="86"/>
      <c r="L7" s="180"/>
    </row>
    <row r="8" spans="1:12" s="53" customFormat="1" ht="8.1" customHeight="1" thickBot="1" x14ac:dyDescent="0.25">
      <c r="B8" s="194"/>
      <c r="C8" s="194"/>
      <c r="D8" s="216"/>
      <c r="E8" s="215"/>
      <c r="F8" s="216"/>
      <c r="G8" s="216"/>
      <c r="H8" s="217"/>
      <c r="I8" s="216"/>
      <c r="J8" s="143"/>
      <c r="K8" s="116"/>
    </row>
    <row r="9" spans="1:12" s="53" customFormat="1" ht="8.1" customHeight="1" thickTop="1" x14ac:dyDescent="0.2">
      <c r="A9" s="378"/>
      <c r="B9" s="389"/>
      <c r="C9" s="389"/>
      <c r="D9" s="377"/>
      <c r="E9" s="400"/>
      <c r="F9" s="377"/>
      <c r="G9" s="377"/>
      <c r="H9" s="401"/>
      <c r="I9" s="377"/>
      <c r="J9" s="375"/>
      <c r="K9" s="378"/>
      <c r="L9" s="378"/>
    </row>
    <row r="10" spans="1:12" s="53" customFormat="1" ht="30.75" customHeight="1" x14ac:dyDescent="0.2">
      <c r="A10" s="390"/>
      <c r="B10" s="443" t="s">
        <v>207</v>
      </c>
      <c r="C10" s="443"/>
      <c r="D10" s="405" t="s">
        <v>96</v>
      </c>
      <c r="E10" s="437" t="s">
        <v>92</v>
      </c>
      <c r="F10" s="437" t="s">
        <v>203</v>
      </c>
      <c r="G10" s="440" t="s">
        <v>191</v>
      </c>
      <c r="H10" s="440"/>
      <c r="I10" s="440"/>
      <c r="J10" s="439" t="s">
        <v>251</v>
      </c>
      <c r="K10" s="437" t="s">
        <v>192</v>
      </c>
      <c r="L10" s="390"/>
    </row>
    <row r="11" spans="1:12" s="102" customFormat="1" ht="55.5" customHeight="1" x14ac:dyDescent="0.2">
      <c r="A11" s="398"/>
      <c r="B11" s="444"/>
      <c r="C11" s="444"/>
      <c r="D11" s="404"/>
      <c r="E11" s="442"/>
      <c r="F11" s="442"/>
      <c r="G11" s="403" t="s">
        <v>193</v>
      </c>
      <c r="H11" s="403" t="s">
        <v>194</v>
      </c>
      <c r="I11" s="403" t="s">
        <v>204</v>
      </c>
      <c r="J11" s="441"/>
      <c r="K11" s="442"/>
      <c r="L11" s="398"/>
    </row>
    <row r="12" spans="1:12" s="6" customFormat="1" ht="8.1" customHeight="1" x14ac:dyDescent="0.25">
      <c r="A12" s="24"/>
      <c r="B12" s="257"/>
      <c r="C12" s="257"/>
      <c r="D12" s="269"/>
      <c r="E12" s="259"/>
      <c r="F12" s="260"/>
      <c r="G12" s="259"/>
      <c r="H12" s="259"/>
      <c r="I12" s="259"/>
      <c r="J12" s="260"/>
      <c r="K12" s="259"/>
    </row>
    <row r="13" spans="1:12" s="116" customFormat="1" ht="17.100000000000001" customHeight="1" x14ac:dyDescent="0.2">
      <c r="A13" s="53"/>
      <c r="B13" s="61" t="s">
        <v>116</v>
      </c>
      <c r="C13" s="124"/>
      <c r="D13" s="62">
        <v>2017</v>
      </c>
      <c r="E13" s="145">
        <f t="shared" ref="E13" si="0">SUM(F13:K13)</f>
        <v>1903</v>
      </c>
      <c r="F13" s="145">
        <f t="shared" ref="F13:K15" si="1">SUM(F17,F21,F25,F29,F33,F37,F41)</f>
        <v>456</v>
      </c>
      <c r="G13" s="145">
        <f t="shared" si="1"/>
        <v>22</v>
      </c>
      <c r="H13" s="145">
        <f t="shared" si="1"/>
        <v>146</v>
      </c>
      <c r="I13" s="145">
        <f t="shared" si="1"/>
        <v>914</v>
      </c>
      <c r="J13" s="137" t="s">
        <v>51</v>
      </c>
      <c r="K13" s="145">
        <f t="shared" si="1"/>
        <v>365</v>
      </c>
    </row>
    <row r="14" spans="1:12" s="116" customFormat="1" ht="17.100000000000001" customHeight="1" x14ac:dyDescent="0.2">
      <c r="A14" s="53"/>
      <c r="B14" s="124"/>
      <c r="C14" s="124"/>
      <c r="D14" s="62">
        <v>2018</v>
      </c>
      <c r="E14" s="145">
        <f>SUM(F14:K14)</f>
        <v>1532</v>
      </c>
      <c r="F14" s="145">
        <f t="shared" si="1"/>
        <v>420</v>
      </c>
      <c r="G14" s="145">
        <f t="shared" si="1"/>
        <v>10</v>
      </c>
      <c r="H14" s="145">
        <f t="shared" si="1"/>
        <v>77</v>
      </c>
      <c r="I14" s="145">
        <f t="shared" si="1"/>
        <v>605</v>
      </c>
      <c r="J14" s="145">
        <f t="shared" si="1"/>
        <v>1</v>
      </c>
      <c r="K14" s="145">
        <f t="shared" si="1"/>
        <v>419</v>
      </c>
    </row>
    <row r="15" spans="1:12" s="116" customFormat="1" ht="17.100000000000001" customHeight="1" x14ac:dyDescent="0.2">
      <c r="A15" s="53"/>
      <c r="B15" s="124"/>
      <c r="C15" s="124"/>
      <c r="D15" s="62">
        <v>2019</v>
      </c>
      <c r="E15" s="145">
        <f t="shared" ref="E15" si="2">SUM(F15:K15)</f>
        <v>1577</v>
      </c>
      <c r="F15" s="145">
        <f t="shared" si="1"/>
        <v>496</v>
      </c>
      <c r="G15" s="145">
        <f t="shared" si="1"/>
        <v>13</v>
      </c>
      <c r="H15" s="145">
        <f t="shared" si="1"/>
        <v>78</v>
      </c>
      <c r="I15" s="145">
        <f t="shared" si="1"/>
        <v>466</v>
      </c>
      <c r="J15" s="145">
        <f t="shared" si="1"/>
        <v>1</v>
      </c>
      <c r="K15" s="145">
        <f t="shared" si="1"/>
        <v>523</v>
      </c>
      <c r="L15" s="172">
        <f t="shared" ref="L15" si="3">L19+L23+L27+L31+L35+L39+L43</f>
        <v>0</v>
      </c>
    </row>
    <row r="16" spans="1:12" s="116" customFormat="1" ht="15" customHeight="1" x14ac:dyDescent="0.2">
      <c r="A16" s="53"/>
      <c r="B16" s="124"/>
      <c r="C16" s="124"/>
      <c r="D16" s="62"/>
      <c r="E16" s="146"/>
      <c r="F16" s="146"/>
      <c r="G16" s="146"/>
      <c r="H16" s="146"/>
      <c r="I16" s="146"/>
      <c r="J16" s="144"/>
      <c r="K16" s="146"/>
    </row>
    <row r="17" spans="1:11" s="116" customFormat="1" ht="17.100000000000001" customHeight="1" x14ac:dyDescent="0.2">
      <c r="A17" s="53"/>
      <c r="B17" s="56" t="s">
        <v>117</v>
      </c>
      <c r="C17" s="82"/>
      <c r="D17" s="141">
        <v>2017</v>
      </c>
      <c r="E17" s="146">
        <f t="shared" ref="E17" si="4">SUM(F17:K17)</f>
        <v>396</v>
      </c>
      <c r="F17" s="146">
        <v>80</v>
      </c>
      <c r="G17" s="146">
        <v>4</v>
      </c>
      <c r="H17" s="146">
        <v>50</v>
      </c>
      <c r="I17" s="146">
        <v>221</v>
      </c>
      <c r="J17" s="146" t="s">
        <v>51</v>
      </c>
      <c r="K17" s="146">
        <v>41</v>
      </c>
    </row>
    <row r="18" spans="1:11" s="116" customFormat="1" ht="17.100000000000001" customHeight="1" x14ac:dyDescent="0.2">
      <c r="B18" s="56"/>
      <c r="C18" s="82"/>
      <c r="D18" s="141">
        <v>2018</v>
      </c>
      <c r="E18" s="146">
        <f>SUM(F18:K18)</f>
        <v>302</v>
      </c>
      <c r="F18" s="146">
        <v>92</v>
      </c>
      <c r="G18" s="146">
        <v>1</v>
      </c>
      <c r="H18" s="146">
        <v>21</v>
      </c>
      <c r="I18" s="146">
        <v>145</v>
      </c>
      <c r="J18" s="146" t="s">
        <v>51</v>
      </c>
      <c r="K18" s="146">
        <v>43</v>
      </c>
    </row>
    <row r="19" spans="1:11" s="116" customFormat="1" ht="17.100000000000001" customHeight="1" x14ac:dyDescent="0.2">
      <c r="B19" s="254"/>
      <c r="C19" s="56"/>
      <c r="D19" s="141">
        <v>2019</v>
      </c>
      <c r="E19" s="146">
        <f>SUM(F19:K19)</f>
        <v>347</v>
      </c>
      <c r="F19" s="146">
        <v>138</v>
      </c>
      <c r="G19" s="146">
        <v>1</v>
      </c>
      <c r="H19" s="146">
        <v>27</v>
      </c>
      <c r="I19" s="146">
        <v>102</v>
      </c>
      <c r="J19" s="144" t="s">
        <v>51</v>
      </c>
      <c r="K19" s="146">
        <v>79</v>
      </c>
    </row>
    <row r="20" spans="1:11" s="116" customFormat="1" ht="15" customHeight="1" x14ac:dyDescent="0.2">
      <c r="B20" s="254"/>
      <c r="C20" s="56"/>
      <c r="D20" s="141"/>
      <c r="E20" s="146"/>
      <c r="F20" s="144"/>
      <c r="G20" s="144"/>
      <c r="H20" s="146"/>
      <c r="I20" s="144"/>
      <c r="J20" s="144"/>
      <c r="K20" s="146"/>
    </row>
    <row r="21" spans="1:11" s="116" customFormat="1" ht="17.100000000000001" customHeight="1" x14ac:dyDescent="0.2">
      <c r="A21" s="53"/>
      <c r="B21" s="56" t="s">
        <v>118</v>
      </c>
      <c r="C21" s="82"/>
      <c r="D21" s="141">
        <v>2017</v>
      </c>
      <c r="E21" s="146">
        <f t="shared" ref="E21" si="5">SUM(F21:K21)</f>
        <v>263</v>
      </c>
      <c r="F21" s="146">
        <v>69</v>
      </c>
      <c r="G21" s="146">
        <v>3</v>
      </c>
      <c r="H21" s="146">
        <v>9</v>
      </c>
      <c r="I21" s="146">
        <v>121</v>
      </c>
      <c r="J21" s="144" t="s">
        <v>51</v>
      </c>
      <c r="K21" s="146">
        <v>61</v>
      </c>
    </row>
    <row r="22" spans="1:11" s="116" customFormat="1" ht="17.100000000000001" customHeight="1" x14ac:dyDescent="0.2">
      <c r="B22" s="56"/>
      <c r="C22" s="82"/>
      <c r="D22" s="141">
        <v>2018</v>
      </c>
      <c r="E22" s="146">
        <f>SUM(F22:K22)</f>
        <v>243</v>
      </c>
      <c r="F22" s="144">
        <v>62</v>
      </c>
      <c r="G22" s="146">
        <v>2</v>
      </c>
      <c r="H22" s="146">
        <v>8</v>
      </c>
      <c r="I22" s="144">
        <v>97</v>
      </c>
      <c r="J22" s="146" t="s">
        <v>51</v>
      </c>
      <c r="K22" s="146">
        <v>74</v>
      </c>
    </row>
    <row r="23" spans="1:11" s="83" customFormat="1" ht="17.100000000000001" customHeight="1" x14ac:dyDescent="0.2">
      <c r="A23" s="116"/>
      <c r="B23" s="254"/>
      <c r="C23" s="56"/>
      <c r="D23" s="141">
        <v>2019</v>
      </c>
      <c r="E23" s="146">
        <f>SUM(F23:K23)</f>
        <v>211</v>
      </c>
      <c r="F23" s="144">
        <v>64</v>
      </c>
      <c r="G23" s="146">
        <v>2</v>
      </c>
      <c r="H23" s="146">
        <v>2</v>
      </c>
      <c r="I23" s="144">
        <v>66</v>
      </c>
      <c r="J23" s="144" t="s">
        <v>51</v>
      </c>
      <c r="K23" s="146">
        <v>77</v>
      </c>
    </row>
    <row r="24" spans="1:11" s="83" customFormat="1" ht="15" customHeight="1" x14ac:dyDescent="0.2">
      <c r="A24" s="116"/>
      <c r="B24" s="254"/>
      <c r="C24" s="56"/>
      <c r="D24" s="141"/>
      <c r="E24" s="146"/>
      <c r="F24" s="146"/>
      <c r="G24" s="146"/>
      <c r="H24" s="146"/>
      <c r="I24" s="146"/>
      <c r="J24" s="146"/>
      <c r="K24" s="146"/>
    </row>
    <row r="25" spans="1:11" s="116" customFormat="1" ht="17.100000000000001" customHeight="1" x14ac:dyDescent="0.2">
      <c r="A25" s="53"/>
      <c r="B25" s="56" t="s">
        <v>119</v>
      </c>
      <c r="C25" s="82"/>
      <c r="D25" s="141">
        <v>2017</v>
      </c>
      <c r="E25" s="146">
        <f t="shared" ref="E25" si="6">SUM(F25:K25)</f>
        <v>123</v>
      </c>
      <c r="F25" s="146">
        <v>45</v>
      </c>
      <c r="G25" s="146">
        <v>5</v>
      </c>
      <c r="H25" s="146">
        <v>3</v>
      </c>
      <c r="I25" s="146">
        <v>46</v>
      </c>
      <c r="J25" s="144" t="s">
        <v>51</v>
      </c>
      <c r="K25" s="146">
        <v>24</v>
      </c>
    </row>
    <row r="26" spans="1:11" s="53" customFormat="1" ht="17.100000000000001" customHeight="1" x14ac:dyDescent="0.2">
      <c r="B26" s="56"/>
      <c r="C26" s="82"/>
      <c r="D26" s="141">
        <v>2018</v>
      </c>
      <c r="E26" s="146">
        <f>SUM(F26:K26)</f>
        <v>77</v>
      </c>
      <c r="F26" s="146">
        <v>17</v>
      </c>
      <c r="G26" s="146" t="s">
        <v>51</v>
      </c>
      <c r="H26" s="146">
        <v>3</v>
      </c>
      <c r="I26" s="146">
        <v>32</v>
      </c>
      <c r="J26" s="146" t="s">
        <v>51</v>
      </c>
      <c r="K26" s="146">
        <v>25</v>
      </c>
    </row>
    <row r="27" spans="1:11" s="53" customFormat="1" ht="17.100000000000001" customHeight="1" x14ac:dyDescent="0.2">
      <c r="A27" s="116"/>
      <c r="B27" s="254"/>
      <c r="C27" s="56"/>
      <c r="D27" s="141">
        <v>2019</v>
      </c>
      <c r="E27" s="146">
        <f>SUM(F27:K27)</f>
        <v>87</v>
      </c>
      <c r="F27" s="146">
        <v>22</v>
      </c>
      <c r="G27" s="146">
        <v>1</v>
      </c>
      <c r="H27" s="146">
        <v>1</v>
      </c>
      <c r="I27" s="146">
        <v>10</v>
      </c>
      <c r="J27" s="146">
        <v>1</v>
      </c>
      <c r="K27" s="146">
        <v>52</v>
      </c>
    </row>
    <row r="28" spans="1:11" s="53" customFormat="1" ht="15" customHeight="1" x14ac:dyDescent="0.2">
      <c r="A28" s="116"/>
      <c r="B28" s="254"/>
      <c r="C28" s="56"/>
      <c r="D28" s="141"/>
      <c r="E28" s="146"/>
      <c r="F28" s="146"/>
      <c r="G28" s="146"/>
      <c r="H28" s="146"/>
      <c r="I28" s="146"/>
      <c r="J28" s="146"/>
      <c r="K28" s="146"/>
    </row>
    <row r="29" spans="1:11" s="53" customFormat="1" ht="17.100000000000001" customHeight="1" x14ac:dyDescent="0.2">
      <c r="A29" s="115"/>
      <c r="B29" s="56" t="s">
        <v>120</v>
      </c>
      <c r="C29" s="82"/>
      <c r="D29" s="141">
        <v>2017</v>
      </c>
      <c r="E29" s="146">
        <f t="shared" ref="E29" si="7">SUM(F29:K29)</f>
        <v>286</v>
      </c>
      <c r="F29" s="146">
        <v>45</v>
      </c>
      <c r="G29" s="146">
        <v>2</v>
      </c>
      <c r="H29" s="146">
        <v>25</v>
      </c>
      <c r="I29" s="146">
        <v>165</v>
      </c>
      <c r="J29" s="144" t="s">
        <v>51</v>
      </c>
      <c r="K29" s="146">
        <v>49</v>
      </c>
    </row>
    <row r="30" spans="1:11" s="53" customFormat="1" ht="17.100000000000001" customHeight="1" x14ac:dyDescent="0.2">
      <c r="B30" s="56"/>
      <c r="C30" s="82"/>
      <c r="D30" s="141">
        <v>2018</v>
      </c>
      <c r="E30" s="146">
        <f>SUM(F30:K30)</f>
        <v>226</v>
      </c>
      <c r="F30" s="146">
        <v>49</v>
      </c>
      <c r="G30" s="146">
        <v>2</v>
      </c>
      <c r="H30" s="146">
        <v>4</v>
      </c>
      <c r="I30" s="146">
        <v>104</v>
      </c>
      <c r="J30" s="146" t="s">
        <v>51</v>
      </c>
      <c r="K30" s="146">
        <v>67</v>
      </c>
    </row>
    <row r="31" spans="1:11" s="53" customFormat="1" ht="17.100000000000001" customHeight="1" x14ac:dyDescent="0.2">
      <c r="A31" s="116"/>
      <c r="B31" s="254"/>
      <c r="C31" s="56"/>
      <c r="D31" s="141">
        <v>2019</v>
      </c>
      <c r="E31" s="146">
        <f>SUM(F31:K31)</f>
        <v>253</v>
      </c>
      <c r="F31" s="146">
        <v>72</v>
      </c>
      <c r="G31" s="146">
        <v>4</v>
      </c>
      <c r="H31" s="146">
        <v>14</v>
      </c>
      <c r="I31" s="146">
        <v>98</v>
      </c>
      <c r="J31" s="144" t="s">
        <v>51</v>
      </c>
      <c r="K31" s="146">
        <v>65</v>
      </c>
    </row>
    <row r="32" spans="1:11" s="53" customFormat="1" ht="15" customHeight="1" x14ac:dyDescent="0.2">
      <c r="A32" s="116"/>
      <c r="B32" s="254"/>
      <c r="C32" s="56"/>
      <c r="D32" s="141"/>
      <c r="E32" s="146"/>
      <c r="F32" s="146"/>
      <c r="G32" s="146"/>
      <c r="H32" s="146"/>
      <c r="I32" s="146"/>
      <c r="J32" s="144"/>
      <c r="K32" s="146"/>
    </row>
    <row r="33" spans="1:14" s="53" customFormat="1" ht="17.100000000000001" customHeight="1" x14ac:dyDescent="0.2">
      <c r="B33" s="56" t="s">
        <v>121</v>
      </c>
      <c r="C33" s="82"/>
      <c r="D33" s="141">
        <v>2017</v>
      </c>
      <c r="E33" s="146">
        <f t="shared" ref="E33" si="8">SUM(F33:K33)</f>
        <v>604</v>
      </c>
      <c r="F33" s="146">
        <v>141</v>
      </c>
      <c r="G33" s="146">
        <v>7</v>
      </c>
      <c r="H33" s="146">
        <v>45</v>
      </c>
      <c r="I33" s="146">
        <v>267</v>
      </c>
      <c r="J33" s="146" t="s">
        <v>51</v>
      </c>
      <c r="K33" s="146">
        <v>144</v>
      </c>
    </row>
    <row r="34" spans="1:14" s="53" customFormat="1" ht="17.100000000000001" customHeight="1" x14ac:dyDescent="0.2">
      <c r="B34" s="56"/>
      <c r="C34" s="82"/>
      <c r="D34" s="141">
        <v>2018</v>
      </c>
      <c r="E34" s="146">
        <f>SUM(F34:K34)</f>
        <v>487</v>
      </c>
      <c r="F34" s="146">
        <v>127</v>
      </c>
      <c r="G34" s="146">
        <v>3</v>
      </c>
      <c r="H34" s="146">
        <v>35</v>
      </c>
      <c r="I34" s="146">
        <v>172</v>
      </c>
      <c r="J34" s="146" t="s">
        <v>51</v>
      </c>
      <c r="K34" s="146">
        <v>150</v>
      </c>
    </row>
    <row r="35" spans="1:14" s="53" customFormat="1" ht="17.100000000000001" customHeight="1" x14ac:dyDescent="0.2">
      <c r="A35" s="116"/>
      <c r="B35" s="254"/>
      <c r="C35" s="56"/>
      <c r="D35" s="141">
        <v>2019</v>
      </c>
      <c r="E35" s="146">
        <f>SUM(F35:K35)</f>
        <v>485</v>
      </c>
      <c r="F35" s="146">
        <v>143</v>
      </c>
      <c r="G35" s="146">
        <v>1</v>
      </c>
      <c r="H35" s="146">
        <v>30</v>
      </c>
      <c r="I35" s="146">
        <v>127</v>
      </c>
      <c r="J35" s="144" t="s">
        <v>51</v>
      </c>
      <c r="K35" s="146">
        <v>184</v>
      </c>
    </row>
    <row r="36" spans="1:14" s="53" customFormat="1" ht="15" customHeight="1" x14ac:dyDescent="0.2">
      <c r="A36" s="116"/>
      <c r="B36" s="254"/>
      <c r="C36" s="56"/>
      <c r="D36" s="141"/>
      <c r="E36" s="146"/>
      <c r="F36" s="146"/>
      <c r="G36" s="146"/>
      <c r="H36" s="146"/>
      <c r="I36" s="146"/>
      <c r="J36" s="146"/>
      <c r="K36" s="146"/>
    </row>
    <row r="37" spans="1:14" s="53" customFormat="1" ht="17.100000000000001" customHeight="1" x14ac:dyDescent="0.2">
      <c r="B37" s="56" t="s">
        <v>122</v>
      </c>
      <c r="C37" s="82"/>
      <c r="D37" s="141">
        <v>2017</v>
      </c>
      <c r="E37" s="146">
        <f t="shared" ref="E37" si="9">SUM(F37:K37)</f>
        <v>143</v>
      </c>
      <c r="F37" s="146">
        <v>60</v>
      </c>
      <c r="G37" s="146" t="s">
        <v>51</v>
      </c>
      <c r="H37" s="146">
        <v>3</v>
      </c>
      <c r="I37" s="146">
        <v>54</v>
      </c>
      <c r="J37" s="146" t="s">
        <v>51</v>
      </c>
      <c r="K37" s="146">
        <v>26</v>
      </c>
    </row>
    <row r="38" spans="1:14" s="53" customFormat="1" ht="17.100000000000001" customHeight="1" x14ac:dyDescent="0.2">
      <c r="B38" s="56"/>
      <c r="C38" s="82"/>
      <c r="D38" s="141">
        <v>2018</v>
      </c>
      <c r="E38" s="146">
        <f>SUM(F38:K38)</f>
        <v>114</v>
      </c>
      <c r="F38" s="146">
        <v>50</v>
      </c>
      <c r="G38" s="144">
        <v>1</v>
      </c>
      <c r="H38" s="146">
        <v>2</v>
      </c>
      <c r="I38" s="146">
        <v>39</v>
      </c>
      <c r="J38" s="144">
        <v>1</v>
      </c>
      <c r="K38" s="146">
        <v>21</v>
      </c>
    </row>
    <row r="39" spans="1:14" s="115" customFormat="1" ht="17.100000000000001" customHeight="1" x14ac:dyDescent="0.2">
      <c r="A39" s="116"/>
      <c r="B39" s="254"/>
      <c r="C39" s="56"/>
      <c r="D39" s="141">
        <v>2019</v>
      </c>
      <c r="E39" s="146">
        <f>SUM(F39:K39)</f>
        <v>105</v>
      </c>
      <c r="F39" s="146">
        <v>39</v>
      </c>
      <c r="G39" s="146">
        <v>1</v>
      </c>
      <c r="H39" s="146">
        <v>2</v>
      </c>
      <c r="I39" s="146">
        <v>34</v>
      </c>
      <c r="J39" s="144" t="s">
        <v>51</v>
      </c>
      <c r="K39" s="146">
        <v>29</v>
      </c>
      <c r="L39" s="53"/>
      <c r="M39" s="53"/>
      <c r="N39" s="53"/>
    </row>
    <row r="40" spans="1:14" s="115" customFormat="1" ht="15" customHeight="1" x14ac:dyDescent="0.2">
      <c r="A40" s="116"/>
      <c r="B40" s="254"/>
      <c r="C40" s="56"/>
      <c r="D40" s="141"/>
      <c r="E40" s="146"/>
      <c r="F40" s="146"/>
      <c r="G40" s="146"/>
      <c r="H40" s="146"/>
      <c r="I40" s="146"/>
      <c r="J40" s="144"/>
      <c r="K40" s="146"/>
      <c r="L40" s="53"/>
      <c r="M40" s="53"/>
      <c r="N40" s="53"/>
    </row>
    <row r="41" spans="1:14" s="53" customFormat="1" ht="17.100000000000001" customHeight="1" x14ac:dyDescent="0.2">
      <c r="B41" s="56" t="s">
        <v>123</v>
      </c>
      <c r="C41" s="82"/>
      <c r="D41" s="141">
        <v>2017</v>
      </c>
      <c r="E41" s="146">
        <f t="shared" ref="E41" si="10">SUM(F41:K41)</f>
        <v>88</v>
      </c>
      <c r="F41" s="146">
        <v>16</v>
      </c>
      <c r="G41" s="146">
        <v>1</v>
      </c>
      <c r="H41" s="146">
        <v>11</v>
      </c>
      <c r="I41" s="146">
        <v>40</v>
      </c>
      <c r="J41" s="144" t="s">
        <v>51</v>
      </c>
      <c r="K41" s="146">
        <v>20</v>
      </c>
    </row>
    <row r="42" spans="1:14" s="53" customFormat="1" ht="17.100000000000001" customHeight="1" x14ac:dyDescent="0.2">
      <c r="B42" s="56"/>
      <c r="C42" s="82"/>
      <c r="D42" s="141">
        <v>2018</v>
      </c>
      <c r="E42" s="146">
        <f>SUM(F42:K42)</f>
        <v>83</v>
      </c>
      <c r="F42" s="146">
        <v>23</v>
      </c>
      <c r="G42" s="146">
        <v>1</v>
      </c>
      <c r="H42" s="146">
        <v>4</v>
      </c>
      <c r="I42" s="146">
        <v>16</v>
      </c>
      <c r="J42" s="146" t="s">
        <v>51</v>
      </c>
      <c r="K42" s="146">
        <v>39</v>
      </c>
    </row>
    <row r="43" spans="1:14" s="53" customFormat="1" ht="17.100000000000001" customHeight="1" x14ac:dyDescent="0.2">
      <c r="B43" s="254"/>
      <c r="C43" s="56"/>
      <c r="D43" s="141">
        <v>2019</v>
      </c>
      <c r="E43" s="146">
        <f>SUM(F43:K43)</f>
        <v>89</v>
      </c>
      <c r="F43" s="53">
        <v>18</v>
      </c>
      <c r="G43" s="53">
        <v>3</v>
      </c>
      <c r="H43" s="53">
        <v>2</v>
      </c>
      <c r="I43" s="53">
        <v>29</v>
      </c>
      <c r="J43" s="301" t="s">
        <v>51</v>
      </c>
      <c r="K43" s="53">
        <v>37</v>
      </c>
      <c r="L43" s="116"/>
    </row>
    <row r="44" spans="1:14" s="53" customFormat="1" ht="8.1" customHeight="1" thickBot="1" x14ac:dyDescent="0.25">
      <c r="A44" s="195"/>
      <c r="B44" s="255"/>
      <c r="C44" s="57"/>
      <c r="D44" s="262"/>
      <c r="E44" s="58"/>
      <c r="F44" s="58"/>
      <c r="G44" s="58"/>
      <c r="H44" s="58"/>
      <c r="I44" s="58"/>
      <c r="J44" s="58"/>
      <c r="K44" s="58"/>
      <c r="L44" s="195"/>
    </row>
    <row r="45" spans="1:14" ht="21" customHeight="1" x14ac:dyDescent="0.25">
      <c r="B45" s="239"/>
      <c r="C45" s="239"/>
      <c r="D45" s="239"/>
      <c r="E45" s="242"/>
      <c r="F45" s="332"/>
      <c r="G45" s="332"/>
      <c r="H45" s="332"/>
      <c r="I45" s="342"/>
      <c r="J45" s="332"/>
      <c r="K45" s="154" t="s">
        <v>99</v>
      </c>
    </row>
    <row r="46" spans="1:14" x14ac:dyDescent="0.25">
      <c r="B46" s="7"/>
      <c r="C46" s="7"/>
      <c r="D46" s="7"/>
      <c r="E46" s="242"/>
      <c r="F46" s="332"/>
      <c r="G46" s="332"/>
      <c r="H46" s="332"/>
      <c r="I46" s="332"/>
      <c r="J46" s="332"/>
      <c r="K46" s="155" t="s">
        <v>1</v>
      </c>
    </row>
    <row r="47" spans="1:14" x14ac:dyDescent="0.25">
      <c r="A47" s="359" t="s">
        <v>254</v>
      </c>
      <c r="B47" s="27"/>
    </row>
    <row r="48" spans="1:14" x14ac:dyDescent="0.25">
      <c r="A48" s="420" t="s">
        <v>252</v>
      </c>
      <c r="B48" s="420"/>
    </row>
    <row r="49" spans="1:12" s="53" customFormat="1" ht="14.25" x14ac:dyDescent="0.2">
      <c r="A49" s="362" t="s">
        <v>253</v>
      </c>
      <c r="B49" s="362"/>
      <c r="C49" s="115"/>
      <c r="D49" s="115"/>
      <c r="E49" s="190"/>
      <c r="F49" s="189"/>
      <c r="G49" s="189"/>
      <c r="H49" s="191"/>
      <c r="I49" s="189"/>
      <c r="L49" s="2"/>
    </row>
    <row r="50" spans="1:12" x14ac:dyDescent="0.25">
      <c r="E50" s="21"/>
      <c r="F50" s="153"/>
      <c r="G50" s="153"/>
      <c r="H50" s="153"/>
      <c r="I50" s="153"/>
      <c r="J50" s="153"/>
      <c r="K50" s="153"/>
    </row>
    <row r="51" spans="1:12" x14ac:dyDescent="0.25">
      <c r="E51" s="21"/>
      <c r="F51" s="153"/>
      <c r="G51" s="153"/>
      <c r="H51" s="153"/>
      <c r="I51" s="153"/>
      <c r="J51" s="153"/>
      <c r="K51" s="153"/>
    </row>
    <row r="52" spans="1:12" x14ac:dyDescent="0.25">
      <c r="E52" s="21"/>
      <c r="F52" s="153"/>
      <c r="G52" s="153"/>
      <c r="H52" s="153"/>
      <c r="I52" s="153"/>
      <c r="J52" s="153"/>
      <c r="K52" s="153"/>
    </row>
    <row r="53" spans="1:12" x14ac:dyDescent="0.25">
      <c r="E53" s="21"/>
      <c r="F53" s="153"/>
      <c r="G53" s="153"/>
      <c r="H53" s="153"/>
      <c r="I53" s="153"/>
      <c r="J53" s="153"/>
      <c r="K53" s="153"/>
    </row>
    <row r="54" spans="1:12" x14ac:dyDescent="0.25">
      <c r="E54" s="21"/>
      <c r="F54" s="153"/>
      <c r="G54" s="153"/>
      <c r="H54" s="153"/>
      <c r="I54" s="153"/>
      <c r="J54" s="153"/>
      <c r="K54" s="153"/>
    </row>
    <row r="55" spans="1:12" x14ac:dyDescent="0.25">
      <c r="E55" s="21"/>
      <c r="F55" s="153"/>
      <c r="G55" s="153"/>
      <c r="H55" s="153"/>
      <c r="I55" s="153"/>
      <c r="J55" s="153"/>
      <c r="K55" s="153"/>
    </row>
    <row r="56" spans="1:12" x14ac:dyDescent="0.25">
      <c r="E56" s="21"/>
      <c r="F56" s="153"/>
      <c r="G56" s="153"/>
      <c r="H56" s="153"/>
      <c r="I56" s="153"/>
      <c r="J56" s="153"/>
      <c r="K56" s="153"/>
    </row>
    <row r="57" spans="1:12" x14ac:dyDescent="0.25">
      <c r="E57" s="21"/>
      <c r="F57" s="153"/>
      <c r="G57" s="153"/>
      <c r="H57" s="153"/>
      <c r="I57" s="153"/>
      <c r="J57" s="153"/>
      <c r="K57" s="153"/>
    </row>
    <row r="58" spans="1:12" x14ac:dyDescent="0.25">
      <c r="E58" s="21"/>
      <c r="F58" s="153"/>
      <c r="G58" s="153"/>
      <c r="H58" s="153"/>
      <c r="I58" s="153"/>
      <c r="J58" s="153"/>
      <c r="K58" s="153"/>
    </row>
    <row r="59" spans="1:12" x14ac:dyDescent="0.25">
      <c r="F59" s="334"/>
      <c r="G59" s="334"/>
      <c r="H59" s="335"/>
      <c r="I59" s="334"/>
      <c r="J59" s="15"/>
      <c r="K59" s="15"/>
    </row>
    <row r="60" spans="1:12" x14ac:dyDescent="0.25">
      <c r="F60" s="334"/>
      <c r="G60" s="334"/>
      <c r="H60" s="335"/>
      <c r="I60" s="334"/>
      <c r="J60" s="15"/>
      <c r="K60" s="15"/>
    </row>
  </sheetData>
  <mergeCells count="6">
    <mergeCell ref="K10:K11"/>
    <mergeCell ref="B10:C11"/>
    <mergeCell ref="E10:E11"/>
    <mergeCell ref="F10:F11"/>
    <mergeCell ref="G10:I10"/>
    <mergeCell ref="J10:J11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85" fitToWidth="0" orientation="portrait" r:id="rId1"/>
  <headerFooter>
    <oddHeader xml:space="preserve">&amp;R&amp;"-,Bold"
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0"/>
  <sheetViews>
    <sheetView showGridLines="0" tabSelected="1" zoomScale="80" zoomScaleNormal="80" zoomScaleSheetLayoutView="100" workbookViewId="0">
      <selection activeCell="D1" sqref="D1"/>
    </sheetView>
  </sheetViews>
  <sheetFormatPr defaultRowHeight="15" x14ac:dyDescent="0.25"/>
  <cols>
    <col min="1" max="1" width="16.42578125" style="3" customWidth="1"/>
    <col min="2" max="2" width="11" style="3" customWidth="1"/>
    <col min="3" max="3" width="10.140625" style="4" customWidth="1"/>
    <col min="4" max="4" width="10.5703125" style="5" customWidth="1"/>
    <col min="5" max="5" width="17.5703125" style="5" customWidth="1"/>
    <col min="6" max="6" width="20.42578125" style="185" customWidth="1"/>
    <col min="7" max="7" width="19.42578125" style="5" customWidth="1"/>
    <col min="8" max="8" width="10.28515625" style="2" customWidth="1"/>
    <col min="9" max="9" width="11.140625" style="2" customWidth="1"/>
    <col min="10" max="16384" width="9.140625" style="2"/>
  </cols>
  <sheetData>
    <row r="1" spans="1:9" s="102" customFormat="1" ht="69.75" customHeight="1" x14ac:dyDescent="0.2">
      <c r="A1" s="448" t="s">
        <v>269</v>
      </c>
      <c r="B1" s="404" t="s">
        <v>212</v>
      </c>
      <c r="C1" s="447" t="s">
        <v>213</v>
      </c>
      <c r="D1" s="421" t="s">
        <v>263</v>
      </c>
      <c r="E1" s="446" t="s">
        <v>264</v>
      </c>
      <c r="F1" s="446" t="s">
        <v>265</v>
      </c>
      <c r="G1" s="445" t="s">
        <v>266</v>
      </c>
      <c r="H1" s="421" t="s">
        <v>267</v>
      </c>
      <c r="I1" s="421" t="s">
        <v>268</v>
      </c>
    </row>
    <row r="2" spans="1:9" s="53" customFormat="1" ht="17.100000000000001" customHeight="1" x14ac:dyDescent="0.2">
      <c r="A2" s="124" t="s">
        <v>175</v>
      </c>
      <c r="B2" s="62">
        <v>2017</v>
      </c>
      <c r="C2" s="145">
        <f t="shared" ref="C2" si="0">SUM(D2:I2)</f>
        <v>9483</v>
      </c>
      <c r="D2" s="145">
        <f>SUM(D5,D8,D11,D14,D17,D20)</f>
        <v>1188</v>
      </c>
      <c r="E2" s="145">
        <f>SUM(E5,E8,E11,E14,E17,E20)</f>
        <v>291</v>
      </c>
      <c r="F2" s="145">
        <f>SUM(F5,F8,F11,F14,F17,F20)</f>
        <v>1548</v>
      </c>
      <c r="G2" s="145">
        <f>SUM(G5,G8,G11,G14,G17,G20)</f>
        <v>3328</v>
      </c>
      <c r="H2" s="145">
        <f>SUM(H5,H8,H11,H14,H17,H20)</f>
        <v>7</v>
      </c>
      <c r="I2" s="145">
        <f>SUM(I5,I8,I11,I14,I17,I20)</f>
        <v>3121</v>
      </c>
    </row>
    <row r="3" spans="1:9" s="53" customFormat="1" ht="17.100000000000001" customHeight="1" x14ac:dyDescent="0.2">
      <c r="A3" s="124" t="s">
        <v>175</v>
      </c>
      <c r="B3" s="62">
        <v>2018</v>
      </c>
      <c r="C3" s="145">
        <f>SUM(D3:I3)</f>
        <v>8990</v>
      </c>
      <c r="D3" s="145">
        <f>SUM(D6,D9,D12,D15,D18,D21)</f>
        <v>1104</v>
      </c>
      <c r="E3" s="145">
        <f>SUM(E6,E9,E12,E15,E18,E21)</f>
        <v>253</v>
      </c>
      <c r="F3" s="145">
        <f>SUM(F6,F9,F12,F15,F18,F21)</f>
        <v>1482</v>
      </c>
      <c r="G3" s="145">
        <f>SUM(G6,G9,G12,G15,G18,G21)</f>
        <v>3030</v>
      </c>
      <c r="H3" s="145">
        <f>SUM(H6,H9,H12,H15,H18,H21)</f>
        <v>3</v>
      </c>
      <c r="I3" s="145">
        <f>SUM(I6,I9,I12,I15,I18,I21)</f>
        <v>3118</v>
      </c>
    </row>
    <row r="4" spans="1:9" s="53" customFormat="1" ht="16.5" customHeight="1" x14ac:dyDescent="0.2">
      <c r="A4" s="124" t="s">
        <v>175</v>
      </c>
      <c r="B4" s="62">
        <v>2019</v>
      </c>
      <c r="C4" s="145">
        <f t="shared" ref="C4" si="1">SUM(D4:I4)</f>
        <v>8258</v>
      </c>
      <c r="D4" s="145">
        <f>SUM(D7,D10,D13,D16,D19,D22)</f>
        <v>1087</v>
      </c>
      <c r="E4" s="145">
        <f>SUM(E7,E10,E13,E16,E19,E22)</f>
        <v>254</v>
      </c>
      <c r="F4" s="145">
        <f>SUM(F7,F10,F13,F16,F19,F22)</f>
        <v>1423</v>
      </c>
      <c r="G4" s="145">
        <f>SUM(G7,G10,G13,G16,G19,G22)</f>
        <v>2763</v>
      </c>
      <c r="H4" s="145">
        <f>SUM(H7,H10,H13,H16,H19,H22)</f>
        <v>2</v>
      </c>
      <c r="I4" s="145">
        <f>SUM(I7,I10,I13,I16,I19,I22)</f>
        <v>2729</v>
      </c>
    </row>
    <row r="5" spans="1:9" s="102" customFormat="1" ht="17.100000000000001" customHeight="1" x14ac:dyDescent="0.2">
      <c r="A5" s="56" t="s">
        <v>81</v>
      </c>
      <c r="B5" s="141">
        <v>2017</v>
      </c>
      <c r="C5" s="146">
        <f t="shared" ref="C5" si="2">SUM(D5:I5)</f>
        <v>1441</v>
      </c>
      <c r="D5" s="276">
        <v>291</v>
      </c>
      <c r="E5" s="276">
        <v>48</v>
      </c>
      <c r="F5" s="276">
        <v>273</v>
      </c>
      <c r="G5" s="276">
        <v>453</v>
      </c>
      <c r="H5" s="293" t="s">
        <v>51</v>
      </c>
      <c r="I5" s="276">
        <v>376</v>
      </c>
    </row>
    <row r="6" spans="1:9" s="102" customFormat="1" ht="17.100000000000001" customHeight="1" x14ac:dyDescent="0.25">
      <c r="A6" s="56" t="s">
        <v>81</v>
      </c>
      <c r="B6" s="141">
        <v>2018</v>
      </c>
      <c r="C6" s="146">
        <f>SUM(D6:I6)</f>
        <v>1497</v>
      </c>
      <c r="D6" s="308">
        <v>292</v>
      </c>
      <c r="E6" s="308">
        <v>27</v>
      </c>
      <c r="F6" s="308">
        <v>280</v>
      </c>
      <c r="G6" s="308">
        <v>392</v>
      </c>
      <c r="H6" s="293" t="s">
        <v>51</v>
      </c>
      <c r="I6" s="308">
        <v>506</v>
      </c>
    </row>
    <row r="7" spans="1:9" s="102" customFormat="1" ht="17.100000000000001" customHeight="1" x14ac:dyDescent="0.2">
      <c r="A7" s="56" t="s">
        <v>81</v>
      </c>
      <c r="B7" s="141">
        <v>2019</v>
      </c>
      <c r="C7" s="146">
        <f>SUM(D7:I7)</f>
        <v>1492</v>
      </c>
      <c r="D7" s="276">
        <v>246</v>
      </c>
      <c r="E7" s="276">
        <v>49</v>
      </c>
      <c r="F7" s="276">
        <v>274</v>
      </c>
      <c r="G7" s="276">
        <v>355</v>
      </c>
      <c r="H7" s="293" t="s">
        <v>51</v>
      </c>
      <c r="I7" s="276">
        <v>568</v>
      </c>
    </row>
    <row r="8" spans="1:9" s="102" customFormat="1" ht="17.100000000000001" customHeight="1" x14ac:dyDescent="0.2">
      <c r="A8" s="56" t="s">
        <v>82</v>
      </c>
      <c r="B8" s="141">
        <v>2017</v>
      </c>
      <c r="C8" s="146">
        <f t="shared" ref="C8" si="3">SUM(D8:I8)</f>
        <v>1470</v>
      </c>
      <c r="D8" s="276">
        <v>150</v>
      </c>
      <c r="E8" s="276">
        <v>64</v>
      </c>
      <c r="F8" s="276">
        <v>316</v>
      </c>
      <c r="G8" s="276">
        <v>661</v>
      </c>
      <c r="H8" s="293" t="s">
        <v>51</v>
      </c>
      <c r="I8" s="276">
        <v>279</v>
      </c>
    </row>
    <row r="9" spans="1:9" s="116" customFormat="1" ht="17.100000000000001" customHeight="1" x14ac:dyDescent="0.25">
      <c r="A9" s="56" t="s">
        <v>82</v>
      </c>
      <c r="B9" s="141">
        <v>2018</v>
      </c>
      <c r="C9" s="146">
        <f>SUM(D9:I9)</f>
        <v>1370</v>
      </c>
      <c r="D9" s="286">
        <v>118</v>
      </c>
      <c r="E9" s="286">
        <v>66</v>
      </c>
      <c r="F9" s="286">
        <v>374</v>
      </c>
      <c r="G9" s="286">
        <v>592</v>
      </c>
      <c r="H9" s="286">
        <v>2</v>
      </c>
      <c r="I9" s="286">
        <v>218</v>
      </c>
    </row>
    <row r="10" spans="1:9" s="83" customFormat="1" ht="17.100000000000001" customHeight="1" x14ac:dyDescent="0.2">
      <c r="A10" s="56" t="s">
        <v>82</v>
      </c>
      <c r="B10" s="141">
        <v>2019</v>
      </c>
      <c r="C10" s="146">
        <f>SUM(D10:I10)</f>
        <v>1258</v>
      </c>
      <c r="D10" s="276">
        <v>86</v>
      </c>
      <c r="E10" s="276">
        <v>60</v>
      </c>
      <c r="F10" s="276">
        <v>366</v>
      </c>
      <c r="G10" s="276">
        <v>561</v>
      </c>
      <c r="H10" s="276">
        <v>2</v>
      </c>
      <c r="I10" s="276">
        <v>183</v>
      </c>
    </row>
    <row r="11" spans="1:9" s="53" customFormat="1" ht="17.100000000000001" customHeight="1" x14ac:dyDescent="0.2">
      <c r="A11" s="56" t="s">
        <v>83</v>
      </c>
      <c r="B11" s="141">
        <v>2017</v>
      </c>
      <c r="C11" s="146">
        <f t="shared" ref="C11" si="4">SUM(D11:I11)</f>
        <v>2254</v>
      </c>
      <c r="D11" s="276">
        <v>134</v>
      </c>
      <c r="E11" s="276">
        <v>15</v>
      </c>
      <c r="F11" s="276">
        <v>126</v>
      </c>
      <c r="G11" s="276">
        <v>525</v>
      </c>
      <c r="H11" s="276">
        <v>6</v>
      </c>
      <c r="I11" s="276">
        <v>1448</v>
      </c>
    </row>
    <row r="12" spans="1:9" s="53" customFormat="1" ht="17.100000000000001" customHeight="1" x14ac:dyDescent="0.25">
      <c r="A12" s="56" t="s">
        <v>83</v>
      </c>
      <c r="B12" s="141">
        <v>2018</v>
      </c>
      <c r="C12" s="146">
        <f>SUM(D12:I12)</f>
        <v>2162</v>
      </c>
      <c r="D12" s="308">
        <v>151</v>
      </c>
      <c r="E12" s="308">
        <v>17</v>
      </c>
      <c r="F12" s="308">
        <v>112</v>
      </c>
      <c r="G12" s="308">
        <v>496</v>
      </c>
      <c r="H12" s="293" t="s">
        <v>51</v>
      </c>
      <c r="I12" s="308">
        <v>1386</v>
      </c>
    </row>
    <row r="13" spans="1:9" s="53" customFormat="1" ht="17.100000000000001" customHeight="1" x14ac:dyDescent="0.2">
      <c r="A13" s="56" t="s">
        <v>83</v>
      </c>
      <c r="B13" s="141">
        <v>2019</v>
      </c>
      <c r="C13" s="146">
        <f>SUM(D13:I13)</f>
        <v>1649</v>
      </c>
      <c r="D13" s="276">
        <v>143</v>
      </c>
      <c r="E13" s="276">
        <v>15</v>
      </c>
      <c r="F13" s="276">
        <v>89</v>
      </c>
      <c r="G13" s="276">
        <v>409</v>
      </c>
      <c r="H13" s="293" t="s">
        <v>51</v>
      </c>
      <c r="I13" s="276">
        <v>993</v>
      </c>
    </row>
    <row r="14" spans="1:9" s="53" customFormat="1" ht="17.100000000000001" customHeight="1" x14ac:dyDescent="0.2">
      <c r="A14" s="56" t="s">
        <v>84</v>
      </c>
      <c r="B14" s="141">
        <v>2017</v>
      </c>
      <c r="C14" s="146">
        <f t="shared" ref="C14" si="5">SUM(D14:I14)</f>
        <v>2063</v>
      </c>
      <c r="D14" s="276">
        <v>283</v>
      </c>
      <c r="E14" s="276">
        <v>121</v>
      </c>
      <c r="F14" s="276">
        <v>506</v>
      </c>
      <c r="G14" s="276">
        <v>704</v>
      </c>
      <c r="H14" s="293" t="s">
        <v>51</v>
      </c>
      <c r="I14" s="276">
        <v>449</v>
      </c>
    </row>
    <row r="15" spans="1:9" s="53" customFormat="1" ht="17.100000000000001" customHeight="1" x14ac:dyDescent="0.25">
      <c r="A15" s="56" t="s">
        <v>84</v>
      </c>
      <c r="B15" s="141">
        <v>2018</v>
      </c>
      <c r="C15" s="146">
        <f>SUM(D15:I15)</f>
        <v>1850</v>
      </c>
      <c r="D15" s="308">
        <v>245</v>
      </c>
      <c r="E15" s="308">
        <v>87</v>
      </c>
      <c r="F15" s="308">
        <v>425</v>
      </c>
      <c r="G15" s="308">
        <v>612</v>
      </c>
      <c r="H15" s="308">
        <v>1</v>
      </c>
      <c r="I15" s="308">
        <v>480</v>
      </c>
    </row>
    <row r="16" spans="1:9" s="53" customFormat="1" ht="17.100000000000001" customHeight="1" x14ac:dyDescent="0.2">
      <c r="A16" s="56" t="s">
        <v>84</v>
      </c>
      <c r="B16" s="141">
        <v>2019</v>
      </c>
      <c r="C16" s="146">
        <f>SUM(D16:I16)</f>
        <v>2005</v>
      </c>
      <c r="D16" s="276">
        <v>259</v>
      </c>
      <c r="E16" s="276">
        <v>88</v>
      </c>
      <c r="F16" s="276">
        <v>448</v>
      </c>
      <c r="G16" s="276">
        <v>615</v>
      </c>
      <c r="H16" s="293" t="s">
        <v>51</v>
      </c>
      <c r="I16" s="276">
        <v>595</v>
      </c>
    </row>
    <row r="17" spans="1:9" s="53" customFormat="1" ht="17.100000000000001" customHeight="1" x14ac:dyDescent="0.2">
      <c r="A17" s="56" t="s">
        <v>85</v>
      </c>
      <c r="B17" s="141">
        <v>2017</v>
      </c>
      <c r="C17" s="146">
        <f t="shared" ref="C17" si="6">SUM(D17:I17)</f>
        <v>2019</v>
      </c>
      <c r="D17" s="276">
        <v>281</v>
      </c>
      <c r="E17" s="276">
        <v>41</v>
      </c>
      <c r="F17" s="276">
        <v>321</v>
      </c>
      <c r="G17" s="276">
        <v>894</v>
      </c>
      <c r="H17" s="276">
        <v>1</v>
      </c>
      <c r="I17" s="276">
        <v>481</v>
      </c>
    </row>
    <row r="18" spans="1:9" s="53" customFormat="1" ht="17.100000000000001" customHeight="1" x14ac:dyDescent="0.25">
      <c r="A18" s="56" t="s">
        <v>85</v>
      </c>
      <c r="B18" s="141">
        <v>2018</v>
      </c>
      <c r="C18" s="146">
        <f>SUM(D18:I18)</f>
        <v>1916</v>
      </c>
      <c r="D18" s="308">
        <v>247</v>
      </c>
      <c r="E18" s="308">
        <v>54</v>
      </c>
      <c r="F18" s="308">
        <v>283</v>
      </c>
      <c r="G18" s="308">
        <v>867</v>
      </c>
      <c r="H18" s="293" t="s">
        <v>51</v>
      </c>
      <c r="I18" s="308">
        <v>465</v>
      </c>
    </row>
    <row r="19" spans="1:9" s="53" customFormat="1" ht="17.100000000000001" customHeight="1" x14ac:dyDescent="0.2">
      <c r="A19" s="56" t="s">
        <v>85</v>
      </c>
      <c r="B19" s="141">
        <v>2019</v>
      </c>
      <c r="C19" s="146">
        <f>SUM(D19:I19)</f>
        <v>1631</v>
      </c>
      <c r="D19" s="276">
        <v>310</v>
      </c>
      <c r="E19" s="276">
        <v>42</v>
      </c>
      <c r="F19" s="276">
        <v>229</v>
      </c>
      <c r="G19" s="276">
        <v>755</v>
      </c>
      <c r="H19" s="293" t="s">
        <v>51</v>
      </c>
      <c r="I19" s="276">
        <v>295</v>
      </c>
    </row>
    <row r="20" spans="1:9" s="53" customFormat="1" ht="17.100000000000001" customHeight="1" x14ac:dyDescent="0.2">
      <c r="A20" s="56" t="s">
        <v>86</v>
      </c>
      <c r="B20" s="141">
        <v>2017</v>
      </c>
      <c r="C20" s="146">
        <f t="shared" ref="C20" si="7">SUM(D20:I20)</f>
        <v>236</v>
      </c>
      <c r="D20" s="276">
        <v>49</v>
      </c>
      <c r="E20" s="276">
        <v>2</v>
      </c>
      <c r="F20" s="276">
        <v>6</v>
      </c>
      <c r="G20" s="276">
        <v>91</v>
      </c>
      <c r="H20" s="293" t="s">
        <v>51</v>
      </c>
      <c r="I20" s="276">
        <v>88</v>
      </c>
    </row>
    <row r="21" spans="1:9" s="53" customFormat="1" ht="17.100000000000001" customHeight="1" x14ac:dyDescent="0.25">
      <c r="A21" s="56" t="s">
        <v>86</v>
      </c>
      <c r="B21" s="141">
        <v>2018</v>
      </c>
      <c r="C21" s="146">
        <f>SUM(D21:I21)</f>
        <v>195</v>
      </c>
      <c r="D21" s="308">
        <v>51</v>
      </c>
      <c r="E21" s="308">
        <v>2</v>
      </c>
      <c r="F21" s="308">
        <v>8</v>
      </c>
      <c r="G21" s="308">
        <v>71</v>
      </c>
      <c r="H21" s="293" t="s">
        <v>51</v>
      </c>
      <c r="I21" s="308">
        <v>63</v>
      </c>
    </row>
    <row r="22" spans="1:9" s="115" customFormat="1" ht="16.5" customHeight="1" x14ac:dyDescent="0.25">
      <c r="A22" s="56" t="s">
        <v>86</v>
      </c>
      <c r="B22" s="141">
        <v>2019</v>
      </c>
      <c r="C22" s="146">
        <f>SUM(D22:I22)</f>
        <v>223</v>
      </c>
      <c r="D22" s="308">
        <v>43</v>
      </c>
      <c r="E22" s="406" t="s">
        <v>51</v>
      </c>
      <c r="F22" s="308">
        <v>17</v>
      </c>
      <c r="G22" s="308">
        <v>68</v>
      </c>
      <c r="H22" s="406" t="s">
        <v>51</v>
      </c>
      <c r="I22" s="308">
        <v>95</v>
      </c>
    </row>
    <row r="23" spans="1:9" x14ac:dyDescent="0.25">
      <c r="A23" s="27"/>
    </row>
    <row r="24" spans="1:9" x14ac:dyDescent="0.25">
      <c r="A24" s="420"/>
    </row>
    <row r="25" spans="1:9" s="53" customFormat="1" ht="12.75" x14ac:dyDescent="0.2">
      <c r="A25" s="362"/>
      <c r="B25" s="115"/>
      <c r="C25" s="190"/>
      <c r="D25" s="189"/>
      <c r="E25" s="189"/>
      <c r="F25" s="191"/>
      <c r="G25" s="189"/>
    </row>
    <row r="26" spans="1:9" x14ac:dyDescent="0.25">
      <c r="C26" s="21"/>
      <c r="D26" s="153"/>
      <c r="E26" s="153"/>
      <c r="F26" s="153"/>
      <c r="G26" s="153"/>
      <c r="H26" s="153"/>
      <c r="I26" s="153"/>
    </row>
    <row r="27" spans="1:9" x14ac:dyDescent="0.25">
      <c r="C27" s="21"/>
      <c r="D27" s="153"/>
      <c r="E27" s="153"/>
      <c r="F27" s="153"/>
      <c r="G27" s="153"/>
      <c r="H27" s="153"/>
      <c r="I27" s="153"/>
    </row>
    <row r="28" spans="1:9" x14ac:dyDescent="0.25">
      <c r="C28" s="21"/>
      <c r="D28" s="153"/>
      <c r="E28" s="153"/>
      <c r="F28" s="153"/>
      <c r="G28" s="153"/>
      <c r="H28" s="153"/>
      <c r="I28" s="153"/>
    </row>
    <row r="29" spans="1:9" x14ac:dyDescent="0.25">
      <c r="C29" s="21"/>
      <c r="D29" s="153"/>
      <c r="E29" s="153"/>
      <c r="F29" s="153"/>
      <c r="G29" s="153"/>
      <c r="H29" s="153"/>
      <c r="I29" s="153"/>
    </row>
    <row r="30" spans="1:9" x14ac:dyDescent="0.25">
      <c r="C30" s="21"/>
      <c r="D30" s="153"/>
      <c r="E30" s="153"/>
      <c r="F30" s="153"/>
      <c r="G30" s="153"/>
      <c r="H30" s="153"/>
      <c r="I30" s="153"/>
    </row>
    <row r="31" spans="1:9" x14ac:dyDescent="0.25">
      <c r="C31" s="21"/>
      <c r="D31" s="153"/>
      <c r="E31" s="153"/>
      <c r="F31" s="153"/>
      <c r="G31" s="153"/>
      <c r="H31" s="153"/>
      <c r="I31" s="153"/>
    </row>
    <row r="32" spans="1:9" x14ac:dyDescent="0.25">
      <c r="C32" s="21"/>
      <c r="D32" s="153"/>
      <c r="E32" s="153"/>
      <c r="F32" s="153"/>
      <c r="G32" s="153"/>
      <c r="H32" s="153"/>
      <c r="I32" s="153"/>
    </row>
    <row r="33" spans="3:9" x14ac:dyDescent="0.25">
      <c r="C33" s="21"/>
      <c r="D33" s="153"/>
      <c r="E33" s="153"/>
      <c r="F33" s="153"/>
      <c r="G33" s="153"/>
      <c r="H33" s="153"/>
      <c r="I33" s="153"/>
    </row>
    <row r="34" spans="3:9" x14ac:dyDescent="0.25">
      <c r="C34" s="21"/>
      <c r="D34" s="153"/>
      <c r="E34" s="153"/>
      <c r="F34" s="153"/>
      <c r="G34" s="153"/>
      <c r="H34" s="153"/>
      <c r="I34" s="153"/>
    </row>
    <row r="35" spans="3:9" x14ac:dyDescent="0.25">
      <c r="C35" s="21"/>
      <c r="D35" s="153"/>
      <c r="E35" s="153"/>
      <c r="F35" s="153"/>
      <c r="G35" s="153"/>
      <c r="H35" s="153"/>
      <c r="I35" s="153"/>
    </row>
    <row r="36" spans="3:9" x14ac:dyDescent="0.25">
      <c r="C36" s="21"/>
      <c r="D36" s="153"/>
      <c r="E36" s="153"/>
      <c r="F36" s="153"/>
      <c r="G36" s="153"/>
      <c r="H36" s="153"/>
      <c r="I36" s="153"/>
    </row>
    <row r="37" spans="3:9" x14ac:dyDescent="0.25">
      <c r="C37" s="21"/>
      <c r="D37" s="153"/>
      <c r="E37" s="153"/>
      <c r="F37" s="153"/>
      <c r="G37" s="153"/>
      <c r="H37" s="153"/>
      <c r="I37" s="153"/>
    </row>
    <row r="38" spans="3:9" x14ac:dyDescent="0.25">
      <c r="C38" s="21"/>
      <c r="D38" s="153"/>
      <c r="E38" s="153"/>
      <c r="F38" s="153"/>
      <c r="G38" s="153"/>
      <c r="H38" s="153"/>
      <c r="I38" s="153"/>
    </row>
    <row r="39" spans="3:9" x14ac:dyDescent="0.25">
      <c r="D39" s="334"/>
      <c r="E39" s="334"/>
      <c r="F39" s="335"/>
      <c r="G39" s="334"/>
      <c r="H39" s="15"/>
      <c r="I39" s="15"/>
    </row>
    <row r="40" spans="3:9" x14ac:dyDescent="0.25">
      <c r="D40" s="334"/>
      <c r="E40" s="334"/>
      <c r="F40" s="335"/>
      <c r="G40" s="334"/>
      <c r="H40" s="15"/>
      <c r="I40" s="15"/>
    </row>
  </sheetData>
  <printOptions horizontalCentered="1"/>
  <pageMargins left="0.39370078740157483" right="0.39370078740157483" top="0.59055118110236227" bottom="0.59055118110236227" header="0.31496062992125984" footer="0.31496062992125984"/>
  <pageSetup paperSize="9" scale="85" fitToWidth="0" orientation="portrait" r:id="rId1"/>
  <headerFooter>
    <oddHeader xml:space="preserve">&amp;R&amp;"-,Bold"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showGridLines="0" zoomScaleNormal="100" zoomScaleSheetLayoutView="100" workbookViewId="0">
      <selection activeCell="AA22" sqref="AA22"/>
    </sheetView>
  </sheetViews>
  <sheetFormatPr defaultColWidth="9.140625" defaultRowHeight="15" x14ac:dyDescent="0.25"/>
  <cols>
    <col min="1" max="1" width="1.7109375" style="2" customWidth="1"/>
    <col min="2" max="2" width="11.140625" style="3" customWidth="1"/>
    <col min="3" max="3" width="12.28515625" style="3" customWidth="1"/>
    <col min="4" max="4" width="10.85546875" style="3" customWidth="1"/>
    <col min="5" max="5" width="15.7109375" style="21" customWidth="1"/>
    <col min="6" max="6" width="23.7109375" style="22" customWidth="1"/>
    <col min="7" max="7" width="23.7109375" style="153" customWidth="1"/>
    <col min="8" max="8" width="0.85546875" style="2" customWidth="1"/>
    <col min="9" max="16384" width="9.140625" style="2"/>
  </cols>
  <sheetData>
    <row r="1" spans="1:15" s="30" customFormat="1" ht="12" customHeight="1" x14ac:dyDescent="0.25">
      <c r="B1" s="27"/>
      <c r="C1" s="27"/>
      <c r="D1" s="27"/>
      <c r="E1" s="28"/>
      <c r="F1" s="29"/>
      <c r="G1" s="150" t="s">
        <v>179</v>
      </c>
    </row>
    <row r="2" spans="1:15" s="30" customFormat="1" ht="12" customHeight="1" x14ac:dyDescent="0.25">
      <c r="B2" s="27"/>
      <c r="C2" s="27"/>
      <c r="D2" s="27"/>
      <c r="E2" s="28"/>
      <c r="F2" s="29"/>
      <c r="G2" s="151" t="s">
        <v>180</v>
      </c>
    </row>
    <row r="3" spans="1:15" s="30" customFormat="1" ht="12" customHeight="1" x14ac:dyDescent="0.25">
      <c r="B3" s="27"/>
      <c r="C3" s="27"/>
      <c r="D3" s="27"/>
      <c r="E3" s="28"/>
      <c r="F3" s="29"/>
      <c r="G3" s="151"/>
    </row>
    <row r="4" spans="1:15" s="30" customFormat="1" ht="12" customHeight="1" x14ac:dyDescent="0.25">
      <c r="B4" s="27"/>
      <c r="C4" s="27"/>
      <c r="D4" s="27"/>
      <c r="E4" s="28"/>
      <c r="F4" s="29"/>
      <c r="G4" s="151"/>
    </row>
    <row r="5" spans="1:15" s="53" customFormat="1" ht="15" customHeight="1" x14ac:dyDescent="0.2">
      <c r="B5" s="63" t="s">
        <v>184</v>
      </c>
      <c r="C5" s="64" t="s">
        <v>243</v>
      </c>
      <c r="D5" s="64"/>
      <c r="E5" s="63"/>
      <c r="F5" s="64"/>
      <c r="G5" s="152"/>
      <c r="H5" s="64"/>
    </row>
    <row r="6" spans="1:15" s="65" customFormat="1" ht="15" customHeight="1" x14ac:dyDescent="0.2">
      <c r="B6" s="66" t="s">
        <v>185</v>
      </c>
      <c r="C6" s="422" t="s">
        <v>244</v>
      </c>
      <c r="D6" s="422"/>
      <c r="E6" s="422"/>
      <c r="F6" s="422"/>
      <c r="G6" s="422"/>
      <c r="H6" s="67"/>
    </row>
    <row r="7" spans="1:15" ht="9.9499999999999993" customHeight="1" thickBot="1" x14ac:dyDescent="0.3"/>
    <row r="8" spans="1:15" s="53" customFormat="1" ht="20.100000000000001" customHeight="1" thickTop="1" x14ac:dyDescent="0.2">
      <c r="A8" s="371"/>
      <c r="B8" s="429" t="s">
        <v>207</v>
      </c>
      <c r="C8" s="429"/>
      <c r="D8" s="423" t="s">
        <v>96</v>
      </c>
      <c r="E8" s="423" t="s">
        <v>92</v>
      </c>
      <c r="F8" s="425" t="s">
        <v>93</v>
      </c>
      <c r="G8" s="427" t="s">
        <v>94</v>
      </c>
      <c r="H8" s="372"/>
    </row>
    <row r="9" spans="1:15" s="53" customFormat="1" ht="33" customHeight="1" thickBot="1" x14ac:dyDescent="0.25">
      <c r="A9" s="373"/>
      <c r="B9" s="430"/>
      <c r="C9" s="430"/>
      <c r="D9" s="424"/>
      <c r="E9" s="424"/>
      <c r="F9" s="426"/>
      <c r="G9" s="428"/>
      <c r="H9" s="369"/>
    </row>
    <row r="10" spans="1:15" ht="8.1" customHeight="1" x14ac:dyDescent="0.2">
      <c r="A10" s="45"/>
      <c r="B10" s="47"/>
      <c r="C10" s="47"/>
      <c r="D10" s="47"/>
      <c r="E10" s="48"/>
      <c r="F10" s="48"/>
      <c r="G10" s="156"/>
      <c r="H10" s="45"/>
    </row>
    <row r="11" spans="1:15" s="24" customFormat="1" ht="15" customHeight="1" x14ac:dyDescent="0.25">
      <c r="B11" s="61" t="s">
        <v>176</v>
      </c>
      <c r="C11" s="61"/>
      <c r="D11" s="121">
        <v>2017</v>
      </c>
      <c r="E11" s="145">
        <f>SUM(E15,E19,E23,E27,E31,E35,E39,E43,E47,E51)</f>
        <v>4520</v>
      </c>
      <c r="F11" s="145">
        <f>SUM(F15,F19,F23,F27,F31,F35,F39,F43,F47,F51)</f>
        <v>600</v>
      </c>
      <c r="G11" s="145">
        <f>SUM(G15,G19,G23,G27,G31,G35,G39,G43,G47,G51)</f>
        <v>3920</v>
      </c>
      <c r="O11" s="6"/>
    </row>
    <row r="12" spans="1:15" s="24" customFormat="1" ht="15" customHeight="1" x14ac:dyDescent="0.25">
      <c r="B12" s="61"/>
      <c r="C12" s="61"/>
      <c r="D12" s="121">
        <v>2018</v>
      </c>
      <c r="E12" s="145">
        <f t="shared" ref="E12" si="0">SUM(E16,E20,E24,E28,E32,E36,E40,E44,E48,E52)</f>
        <v>3987</v>
      </c>
      <c r="F12" s="145">
        <f t="shared" ref="F12:G13" si="1">SUM(F16,F20,F24,F28,F32,F36,F40,F44,F48,F52)</f>
        <v>511</v>
      </c>
      <c r="G12" s="145">
        <f t="shared" si="1"/>
        <v>3476</v>
      </c>
      <c r="O12" s="6"/>
    </row>
    <row r="13" spans="1:15" s="24" customFormat="1" ht="15" customHeight="1" x14ac:dyDescent="0.25">
      <c r="B13" s="61"/>
      <c r="C13" s="61"/>
      <c r="D13" s="121">
        <v>2019</v>
      </c>
      <c r="E13" s="145">
        <f t="shared" ref="E13" si="2">SUM(E17,E21,E25,E29,E33,E37,E41,E45,E49,E53)</f>
        <v>3545</v>
      </c>
      <c r="F13" s="145">
        <f t="shared" si="1"/>
        <v>470</v>
      </c>
      <c r="G13" s="145">
        <f t="shared" si="1"/>
        <v>3075</v>
      </c>
      <c r="O13" s="6"/>
    </row>
    <row r="14" spans="1:15" s="7" customFormat="1" ht="8.1" customHeight="1" x14ac:dyDescent="0.2">
      <c r="B14" s="61"/>
      <c r="C14" s="61"/>
      <c r="D14" s="121"/>
      <c r="E14" s="54"/>
      <c r="F14" s="54"/>
      <c r="G14" s="54"/>
      <c r="O14" s="2"/>
    </row>
    <row r="15" spans="1:15" s="7" customFormat="1" ht="15" customHeight="1" x14ac:dyDescent="0.2">
      <c r="B15" s="56" t="s">
        <v>11</v>
      </c>
      <c r="C15" s="56"/>
      <c r="D15" s="148">
        <v>2017</v>
      </c>
      <c r="E15" s="146">
        <f>SUM(F15:G15)</f>
        <v>309</v>
      </c>
      <c r="F15" s="146">
        <f>'1.5Kelantan'!E19</f>
        <v>56</v>
      </c>
      <c r="G15" s="146">
        <f>'1.7Kelantan'!E17</f>
        <v>253</v>
      </c>
      <c r="O15" s="2"/>
    </row>
    <row r="16" spans="1:15" s="7" customFormat="1" ht="15" customHeight="1" x14ac:dyDescent="0.2">
      <c r="B16" s="56"/>
      <c r="C16" s="56"/>
      <c r="D16" s="148">
        <v>2018</v>
      </c>
      <c r="E16" s="146">
        <f>SUM(F16:G16)</f>
        <v>258</v>
      </c>
      <c r="F16" s="146">
        <f>'1.5Kelantan'!E20</f>
        <v>41</v>
      </c>
      <c r="G16" s="146">
        <f>'1.7Kelantan'!E18</f>
        <v>217</v>
      </c>
      <c r="O16" s="2"/>
    </row>
    <row r="17" spans="2:15" s="7" customFormat="1" ht="15" customHeight="1" x14ac:dyDescent="0.2">
      <c r="B17" s="56"/>
      <c r="C17" s="56"/>
      <c r="D17" s="148">
        <v>2019</v>
      </c>
      <c r="E17" s="146">
        <f>SUM(F17:G17)</f>
        <v>242</v>
      </c>
      <c r="F17" s="146">
        <f>'1.5Kelantan'!E21</f>
        <v>42</v>
      </c>
      <c r="G17" s="146">
        <f>'1.7Kelantan'!E19</f>
        <v>200</v>
      </c>
      <c r="O17" s="2"/>
    </row>
    <row r="18" spans="2:15" s="7" customFormat="1" ht="8.1" customHeight="1" x14ac:dyDescent="0.2">
      <c r="B18" s="56"/>
      <c r="C18" s="56"/>
      <c r="D18" s="148"/>
      <c r="E18" s="146"/>
      <c r="F18" s="146"/>
      <c r="G18" s="146"/>
      <c r="O18" s="2"/>
    </row>
    <row r="19" spans="2:15" s="7" customFormat="1" ht="15" customHeight="1" x14ac:dyDescent="0.2">
      <c r="B19" s="56" t="s">
        <v>18</v>
      </c>
      <c r="C19" s="56"/>
      <c r="D19" s="148">
        <v>2017</v>
      </c>
      <c r="E19" s="146">
        <f>SUM(F19:G19)</f>
        <v>198</v>
      </c>
      <c r="F19" s="146">
        <f>'1.5Kelantan'!E23</f>
        <v>34</v>
      </c>
      <c r="G19" s="146">
        <f>'1.7Kelantan'!E21</f>
        <v>164</v>
      </c>
      <c r="O19" s="2"/>
    </row>
    <row r="20" spans="2:15" s="7" customFormat="1" ht="15" customHeight="1" x14ac:dyDescent="0.2">
      <c r="B20" s="56"/>
      <c r="C20" s="56"/>
      <c r="D20" s="148">
        <v>2018</v>
      </c>
      <c r="E20" s="146">
        <f>SUM(F20:G20)</f>
        <v>149</v>
      </c>
      <c r="F20" s="146">
        <f>'1.5Kelantan'!E24</f>
        <v>26</v>
      </c>
      <c r="G20" s="146">
        <f>'1.7Kelantan'!E22</f>
        <v>123</v>
      </c>
      <c r="O20" s="2"/>
    </row>
    <row r="21" spans="2:15" s="7" customFormat="1" ht="15" customHeight="1" x14ac:dyDescent="0.2">
      <c r="B21" s="56"/>
      <c r="C21" s="56"/>
      <c r="D21" s="148">
        <v>2019</v>
      </c>
      <c r="E21" s="146">
        <f>SUM(F21:G21)</f>
        <v>152</v>
      </c>
      <c r="F21" s="146">
        <f>'1.5Kelantan'!E25</f>
        <v>30</v>
      </c>
      <c r="G21" s="146">
        <f>'1.7Kelantan'!E23</f>
        <v>122</v>
      </c>
      <c r="O21" s="2"/>
    </row>
    <row r="22" spans="2:15" s="7" customFormat="1" ht="8.1" customHeight="1" x14ac:dyDescent="0.2">
      <c r="B22" s="56"/>
      <c r="C22" s="56"/>
      <c r="D22" s="148"/>
      <c r="E22" s="146"/>
      <c r="F22" s="146"/>
      <c r="G22" s="146"/>
      <c r="O22" s="2"/>
    </row>
    <row r="23" spans="2:15" s="7" customFormat="1" ht="15" customHeight="1" x14ac:dyDescent="0.2">
      <c r="B23" s="56" t="s">
        <v>20</v>
      </c>
      <c r="C23" s="56"/>
      <c r="D23" s="148">
        <v>2017</v>
      </c>
      <c r="E23" s="146">
        <f>SUM(F23:G23)</f>
        <v>49</v>
      </c>
      <c r="F23" s="146">
        <f>'1.5Kelantan'!E27</f>
        <v>6</v>
      </c>
      <c r="G23" s="146">
        <f>'1.7Kelantan'!E25</f>
        <v>43</v>
      </c>
      <c r="O23" s="2"/>
    </row>
    <row r="24" spans="2:15" ht="15" customHeight="1" x14ac:dyDescent="0.2">
      <c r="B24" s="56"/>
      <c r="C24" s="56"/>
      <c r="D24" s="148">
        <v>2018</v>
      </c>
      <c r="E24" s="146">
        <f>SUM(F24:G24)</f>
        <v>52</v>
      </c>
      <c r="F24" s="146">
        <f>'1.5Kelantan'!E28</f>
        <v>9</v>
      </c>
      <c r="G24" s="146">
        <f>'1.7Kelantan'!E26</f>
        <v>43</v>
      </c>
      <c r="H24" s="7"/>
    </row>
    <row r="25" spans="2:15" ht="15" customHeight="1" x14ac:dyDescent="0.2">
      <c r="B25" s="56"/>
      <c r="C25" s="56"/>
      <c r="D25" s="148">
        <v>2019</v>
      </c>
      <c r="E25" s="146">
        <f>SUM(F25:G25)</f>
        <v>50</v>
      </c>
      <c r="F25" s="146">
        <f>'1.5Kelantan'!E29</f>
        <v>5</v>
      </c>
      <c r="G25" s="146">
        <f>'1.7Kelantan'!E27</f>
        <v>45</v>
      </c>
    </row>
    <row r="26" spans="2:15" ht="8.1" customHeight="1" x14ac:dyDescent="0.2">
      <c r="B26" s="56"/>
      <c r="C26" s="56"/>
      <c r="D26" s="148"/>
      <c r="E26" s="146"/>
      <c r="F26" s="146"/>
      <c r="G26" s="146"/>
    </row>
    <row r="27" spans="2:15" ht="15" customHeight="1" x14ac:dyDescent="0.2">
      <c r="B27" s="56" t="s">
        <v>12</v>
      </c>
      <c r="C27" s="56"/>
      <c r="D27" s="148">
        <v>2017</v>
      </c>
      <c r="E27" s="146">
        <f>SUM(F27:G27)</f>
        <v>2000</v>
      </c>
      <c r="F27" s="146">
        <f>'1.5Kelantan'!E31</f>
        <v>188</v>
      </c>
      <c r="G27" s="146">
        <f>'1.7Kelantan'!E29</f>
        <v>1812</v>
      </c>
    </row>
    <row r="28" spans="2:15" ht="15" customHeight="1" x14ac:dyDescent="0.2">
      <c r="B28" s="56"/>
      <c r="C28" s="56"/>
      <c r="D28" s="148">
        <v>2018</v>
      </c>
      <c r="E28" s="146">
        <f>SUM(F28:G28)</f>
        <v>1597</v>
      </c>
      <c r="F28" s="146">
        <f>'1.5Kelantan'!E32</f>
        <v>168</v>
      </c>
      <c r="G28" s="146">
        <f>'1.7Kelantan'!E30</f>
        <v>1429</v>
      </c>
    </row>
    <row r="29" spans="2:15" s="3" customFormat="1" ht="15" customHeight="1" x14ac:dyDescent="0.2">
      <c r="B29" s="56"/>
      <c r="C29" s="56"/>
      <c r="D29" s="148">
        <v>2019</v>
      </c>
      <c r="E29" s="146">
        <f>SUM(F29:G29)</f>
        <v>1484</v>
      </c>
      <c r="F29" s="146">
        <f>'1.5Kelantan'!E33</f>
        <v>133</v>
      </c>
      <c r="G29" s="146">
        <f>'1.7Kelantan'!E31</f>
        <v>1351</v>
      </c>
      <c r="H29" s="2"/>
      <c r="I29" s="2"/>
      <c r="J29" s="2"/>
      <c r="K29" s="2"/>
      <c r="L29" s="2"/>
    </row>
    <row r="30" spans="2:15" s="3" customFormat="1" ht="8.1" customHeight="1" x14ac:dyDescent="0.2">
      <c r="B30" s="56"/>
      <c r="C30" s="56"/>
      <c r="D30" s="148"/>
      <c r="E30" s="146"/>
      <c r="F30" s="146"/>
      <c r="G30" s="146"/>
      <c r="H30" s="2"/>
      <c r="I30" s="2"/>
      <c r="J30" s="2"/>
      <c r="K30" s="2"/>
      <c r="L30" s="2"/>
    </row>
    <row r="31" spans="2:15" ht="15" customHeight="1" x14ac:dyDescent="0.2">
      <c r="B31" s="56" t="s">
        <v>19</v>
      </c>
      <c r="C31" s="56"/>
      <c r="D31" s="148">
        <v>2017</v>
      </c>
      <c r="E31" s="146">
        <f>SUM(F31:G31)</f>
        <v>254</v>
      </c>
      <c r="F31" s="146">
        <f>'1.5Kelantan'!E35</f>
        <v>44</v>
      </c>
      <c r="G31" s="146">
        <f>'1.7Kelantan'!E33</f>
        <v>210</v>
      </c>
    </row>
    <row r="32" spans="2:15" ht="15" customHeight="1" x14ac:dyDescent="0.2">
      <c r="B32" s="56"/>
      <c r="C32" s="56"/>
      <c r="D32" s="148">
        <v>2018</v>
      </c>
      <c r="E32" s="146">
        <f>SUM(F32:G32)</f>
        <v>189</v>
      </c>
      <c r="F32" s="146">
        <f>'1.5Kelantan'!E36</f>
        <v>27</v>
      </c>
      <c r="G32" s="146">
        <f>'1.7Kelantan'!E34</f>
        <v>162</v>
      </c>
    </row>
    <row r="33" spans="2:7" ht="15" customHeight="1" x14ac:dyDescent="0.2">
      <c r="B33" s="56"/>
      <c r="C33" s="56"/>
      <c r="D33" s="148">
        <v>2019</v>
      </c>
      <c r="E33" s="146">
        <f>SUM(F33:G33)</f>
        <v>164</v>
      </c>
      <c r="F33" s="146">
        <f>'1.5Kelantan'!E37</f>
        <v>30</v>
      </c>
      <c r="G33" s="146">
        <f>'1.7Kelantan'!E35</f>
        <v>134</v>
      </c>
    </row>
    <row r="34" spans="2:7" ht="8.1" customHeight="1" x14ac:dyDescent="0.2">
      <c r="B34" s="56"/>
      <c r="C34" s="56"/>
      <c r="D34" s="148"/>
      <c r="E34" s="146"/>
      <c r="F34" s="146"/>
      <c r="G34" s="146"/>
    </row>
    <row r="35" spans="2:7" ht="15" customHeight="1" x14ac:dyDescent="0.2">
      <c r="B35" s="56" t="s">
        <v>13</v>
      </c>
      <c r="C35" s="56"/>
      <c r="D35" s="148">
        <v>2017</v>
      </c>
      <c r="E35" s="146">
        <f>SUM(F35:G35)</f>
        <v>215</v>
      </c>
      <c r="F35" s="146">
        <f>'1.5Kelantan'!E39</f>
        <v>38</v>
      </c>
      <c r="G35" s="146">
        <f>'1.7Kelantan'!E37</f>
        <v>177</v>
      </c>
    </row>
    <row r="36" spans="2:7" ht="15" customHeight="1" x14ac:dyDescent="0.2">
      <c r="B36" s="56"/>
      <c r="C36" s="56"/>
      <c r="D36" s="148">
        <v>2018</v>
      </c>
      <c r="E36" s="146">
        <f>SUM(F36:G36)</f>
        <v>380</v>
      </c>
      <c r="F36" s="146">
        <f>'1.5Kelantan'!E40</f>
        <v>29</v>
      </c>
      <c r="G36" s="146">
        <f>'1.7Kelantan'!E38</f>
        <v>351</v>
      </c>
    </row>
    <row r="37" spans="2:7" ht="15" customHeight="1" x14ac:dyDescent="0.2">
      <c r="B37" s="56"/>
      <c r="C37" s="56"/>
      <c r="D37" s="148">
        <v>2019</v>
      </c>
      <c r="E37" s="146">
        <f>SUM(F37:G37)</f>
        <v>188</v>
      </c>
      <c r="F37" s="146">
        <f>'1.5Kelantan'!E41</f>
        <v>19</v>
      </c>
      <c r="G37" s="146">
        <f>'1.7Kelantan'!E39</f>
        <v>169</v>
      </c>
    </row>
    <row r="38" spans="2:7" ht="8.1" customHeight="1" x14ac:dyDescent="0.2">
      <c r="B38" s="56"/>
      <c r="C38" s="56"/>
      <c r="D38" s="148"/>
      <c r="E38" s="146"/>
      <c r="F38" s="146"/>
      <c r="G38" s="146"/>
    </row>
    <row r="39" spans="2:7" ht="15" customHeight="1" x14ac:dyDescent="0.2">
      <c r="B39" s="56" t="s">
        <v>14</v>
      </c>
      <c r="C39" s="56"/>
      <c r="D39" s="148">
        <v>2017</v>
      </c>
      <c r="E39" s="146">
        <f>SUM(F39:G39)</f>
        <v>482</v>
      </c>
      <c r="F39" s="146">
        <f>'1.5Kelantan'!E43</f>
        <v>56</v>
      </c>
      <c r="G39" s="146">
        <f>'1.7Kelantan'!E41</f>
        <v>426</v>
      </c>
    </row>
    <row r="40" spans="2:7" ht="15" customHeight="1" x14ac:dyDescent="0.2">
      <c r="B40" s="56"/>
      <c r="C40" s="56"/>
      <c r="D40" s="148">
        <v>2018</v>
      </c>
      <c r="E40" s="146">
        <f>SUM(F40:G40)</f>
        <v>426</v>
      </c>
      <c r="F40" s="146">
        <f>'1.5Kelantan'!E44</f>
        <v>51</v>
      </c>
      <c r="G40" s="146">
        <f>'1.7Kelantan'!E42</f>
        <v>375</v>
      </c>
    </row>
    <row r="41" spans="2:7" ht="15" customHeight="1" x14ac:dyDescent="0.2">
      <c r="B41" s="56"/>
      <c r="C41" s="56"/>
      <c r="D41" s="148">
        <v>2019</v>
      </c>
      <c r="E41" s="146">
        <f>SUM(F41:G41)</f>
        <v>400</v>
      </c>
      <c r="F41" s="146">
        <f>'1.5Kelantan'!E45</f>
        <v>51</v>
      </c>
      <c r="G41" s="146">
        <f>'1.7Kelantan'!E43</f>
        <v>349</v>
      </c>
    </row>
    <row r="42" spans="2:7" ht="8.1" customHeight="1" x14ac:dyDescent="0.2">
      <c r="B42" s="56"/>
      <c r="C42" s="56"/>
      <c r="D42" s="148"/>
      <c r="E42" s="146"/>
      <c r="F42" s="146"/>
      <c r="G42" s="146"/>
    </row>
    <row r="43" spans="2:7" ht="15" customHeight="1" x14ac:dyDescent="0.2">
      <c r="B43" s="56" t="s">
        <v>15</v>
      </c>
      <c r="C43" s="56"/>
      <c r="D43" s="148">
        <v>2017</v>
      </c>
      <c r="E43" s="146">
        <f>SUM(F43:G43)</f>
        <v>398</v>
      </c>
      <c r="F43" s="146">
        <f>'1.5Kelantan'!E47</f>
        <v>61</v>
      </c>
      <c r="G43" s="146">
        <f>'1.7Kelantan'!E45</f>
        <v>337</v>
      </c>
    </row>
    <row r="44" spans="2:7" ht="15" customHeight="1" x14ac:dyDescent="0.2">
      <c r="B44" s="56"/>
      <c r="C44" s="56"/>
      <c r="D44" s="148">
        <v>2018</v>
      </c>
      <c r="E44" s="146">
        <f>SUM(F44:G44)</f>
        <v>390</v>
      </c>
      <c r="F44" s="146">
        <f>'1.5Kelantan'!E48</f>
        <v>48</v>
      </c>
      <c r="G44" s="146">
        <f>'1.7Kelantan'!E46</f>
        <v>342</v>
      </c>
    </row>
    <row r="45" spans="2:7" ht="15" customHeight="1" x14ac:dyDescent="0.2">
      <c r="B45" s="56"/>
      <c r="C45" s="56"/>
      <c r="D45" s="148">
        <v>2019</v>
      </c>
      <c r="E45" s="146">
        <f>SUM(F45:G45)</f>
        <v>328</v>
      </c>
      <c r="F45" s="146">
        <f>'1.5Kelantan'!E49</f>
        <v>58</v>
      </c>
      <c r="G45" s="146">
        <f>'1.7Kelantan'!E47</f>
        <v>270</v>
      </c>
    </row>
    <row r="46" spans="2:7" ht="8.1" customHeight="1" x14ac:dyDescent="0.2">
      <c r="B46" s="56"/>
      <c r="C46" s="56"/>
      <c r="D46" s="148"/>
      <c r="E46" s="146"/>
      <c r="F46" s="146"/>
      <c r="G46" s="146"/>
    </row>
    <row r="47" spans="2:7" ht="15" customHeight="1" x14ac:dyDescent="0.2">
      <c r="B47" s="56" t="s">
        <v>16</v>
      </c>
      <c r="C47" s="56"/>
      <c r="D47" s="148">
        <v>2017</v>
      </c>
      <c r="E47" s="146">
        <f>SUM(F47:G47)</f>
        <v>264</v>
      </c>
      <c r="F47" s="146">
        <f>'1.5Kelantan'!E51</f>
        <v>55</v>
      </c>
      <c r="G47" s="146">
        <f>'1.7Kelantan'!E49</f>
        <v>209</v>
      </c>
    </row>
    <row r="48" spans="2:7" ht="15" customHeight="1" x14ac:dyDescent="0.2">
      <c r="B48" s="56"/>
      <c r="C48" s="56"/>
      <c r="D48" s="148">
        <v>2018</v>
      </c>
      <c r="E48" s="146">
        <f>SUM(F48:G48)</f>
        <v>216</v>
      </c>
      <c r="F48" s="146">
        <f>'1.5Kelantan'!E52</f>
        <v>51</v>
      </c>
      <c r="G48" s="146">
        <f>'1.7Kelantan'!E50</f>
        <v>165</v>
      </c>
    </row>
    <row r="49" spans="1:15" ht="15" customHeight="1" x14ac:dyDescent="0.2">
      <c r="B49" s="56"/>
      <c r="C49" s="56"/>
      <c r="D49" s="148">
        <v>2019</v>
      </c>
      <c r="E49" s="146">
        <f>SUM(F49:G49)</f>
        <v>230</v>
      </c>
      <c r="F49" s="146">
        <f>'1.5Kelantan'!E53</f>
        <v>39</v>
      </c>
      <c r="G49" s="146">
        <f>'1.7Kelantan'!E51</f>
        <v>191</v>
      </c>
    </row>
    <row r="50" spans="1:15" ht="8.1" customHeight="1" x14ac:dyDescent="0.2">
      <c r="B50" s="56"/>
      <c r="C50" s="56"/>
      <c r="D50" s="148"/>
      <c r="E50" s="146"/>
      <c r="F50" s="146"/>
      <c r="G50" s="146"/>
    </row>
    <row r="51" spans="1:15" s="7" customFormat="1" ht="15" customHeight="1" x14ac:dyDescent="0.2">
      <c r="B51" s="56" t="s">
        <v>17</v>
      </c>
      <c r="C51" s="56"/>
      <c r="D51" s="148">
        <v>2017</v>
      </c>
      <c r="E51" s="146">
        <f>SUM(F51:G51)</f>
        <v>351</v>
      </c>
      <c r="F51" s="146">
        <f>'1.5Kelantan'!E55</f>
        <v>62</v>
      </c>
      <c r="G51" s="146">
        <f>'1.7Kelantan'!E53</f>
        <v>289</v>
      </c>
      <c r="O51" s="2"/>
    </row>
    <row r="52" spans="1:15" s="7" customFormat="1" ht="15" customHeight="1" x14ac:dyDescent="0.2">
      <c r="B52" s="56"/>
      <c r="C52" s="56"/>
      <c r="D52" s="148">
        <v>2018</v>
      </c>
      <c r="E52" s="146">
        <f>SUM(F52:G52)</f>
        <v>330</v>
      </c>
      <c r="F52" s="146">
        <f>'1.5Kelantan'!E56</f>
        <v>61</v>
      </c>
      <c r="G52" s="146">
        <f>'1.7Kelantan'!E54</f>
        <v>269</v>
      </c>
      <c r="H52" s="146">
        <f>'1.7Kelantan'!F54</f>
        <v>82</v>
      </c>
      <c r="O52" s="2"/>
    </row>
    <row r="53" spans="1:15" s="7" customFormat="1" ht="15" customHeight="1" x14ac:dyDescent="0.2">
      <c r="B53" s="56"/>
      <c r="C53" s="56"/>
      <c r="D53" s="148">
        <v>2019</v>
      </c>
      <c r="E53" s="146">
        <f>SUM(F53:G53)</f>
        <v>307</v>
      </c>
      <c r="F53" s="146">
        <f>'1.5Kelantan'!E57</f>
        <v>63</v>
      </c>
      <c r="G53" s="146">
        <f>'1.7Kelantan'!E55</f>
        <v>244</v>
      </c>
      <c r="O53" s="2"/>
    </row>
    <row r="54" spans="1:15" ht="8.1" customHeight="1" thickBot="1" x14ac:dyDescent="0.3">
      <c r="A54" s="34"/>
      <c r="B54" s="71"/>
      <c r="C54" s="71"/>
      <c r="D54" s="135"/>
      <c r="E54" s="72"/>
      <c r="F54" s="73"/>
      <c r="G54" s="157"/>
      <c r="H54" s="34"/>
    </row>
    <row r="55" spans="1:15" x14ac:dyDescent="0.25">
      <c r="D55" s="130"/>
      <c r="G55" s="154" t="s">
        <v>99</v>
      </c>
    </row>
    <row r="56" spans="1:15" x14ac:dyDescent="0.25">
      <c r="D56" s="130"/>
      <c r="G56" s="155" t="s">
        <v>1</v>
      </c>
    </row>
    <row r="57" spans="1:15" x14ac:dyDescent="0.25">
      <c r="D57" s="130"/>
    </row>
    <row r="58" spans="1:15" x14ac:dyDescent="0.25">
      <c r="D58" s="130"/>
    </row>
    <row r="59" spans="1:15" x14ac:dyDescent="0.25">
      <c r="D59" s="130"/>
    </row>
    <row r="60" spans="1:15" x14ac:dyDescent="0.25">
      <c r="D60" s="130"/>
    </row>
    <row r="61" spans="1:15" x14ac:dyDescent="0.25">
      <c r="D61" s="130"/>
    </row>
    <row r="62" spans="1:15" x14ac:dyDescent="0.25">
      <c r="D62" s="130"/>
    </row>
    <row r="63" spans="1:15" x14ac:dyDescent="0.25">
      <c r="D63" s="130"/>
    </row>
    <row r="64" spans="1:15" x14ac:dyDescent="0.25">
      <c r="D64" s="130"/>
    </row>
    <row r="65" spans="4:4" x14ac:dyDescent="0.25">
      <c r="D65" s="130"/>
    </row>
    <row r="66" spans="4:4" x14ac:dyDescent="0.25">
      <c r="D66" s="130"/>
    </row>
    <row r="67" spans="4:4" x14ac:dyDescent="0.25">
      <c r="D67" s="130"/>
    </row>
    <row r="68" spans="4:4" x14ac:dyDescent="0.25">
      <c r="D68" s="130"/>
    </row>
    <row r="69" spans="4:4" x14ac:dyDescent="0.25">
      <c r="D69" s="130"/>
    </row>
  </sheetData>
  <mergeCells count="6">
    <mergeCell ref="C6:G6"/>
    <mergeCell ref="E8:E9"/>
    <mergeCell ref="F8:F9"/>
    <mergeCell ref="G8:G9"/>
    <mergeCell ref="B8:C9"/>
    <mergeCell ref="D8:D9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90" fitToWidth="0" orientation="portrait" r:id="rId1"/>
  <headerFooter>
    <oddHeader xml:space="preserve">&amp;R&amp;"-,Bold"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showGridLines="0" zoomScale="90" zoomScaleNormal="90" zoomScaleSheetLayoutView="100" workbookViewId="0">
      <selection activeCell="AA22" sqref="AA22"/>
    </sheetView>
  </sheetViews>
  <sheetFormatPr defaultColWidth="9.140625" defaultRowHeight="15" x14ac:dyDescent="0.25"/>
  <cols>
    <col min="1" max="1" width="1.7109375" style="2" customWidth="1"/>
    <col min="2" max="2" width="10.85546875" style="3" customWidth="1"/>
    <col min="3" max="3" width="12" style="3" customWidth="1"/>
    <col min="4" max="4" width="10.85546875" style="3" customWidth="1"/>
    <col min="5" max="5" width="15.7109375" style="21" customWidth="1"/>
    <col min="6" max="6" width="23.7109375" style="22" customWidth="1"/>
    <col min="7" max="7" width="23.7109375" style="153" customWidth="1"/>
    <col min="8" max="8" width="0.85546875" style="2" customWidth="1"/>
    <col min="9" max="16384" width="9.140625" style="2"/>
  </cols>
  <sheetData>
    <row r="1" spans="1:8" s="30" customFormat="1" ht="12" customHeight="1" x14ac:dyDescent="0.25">
      <c r="B1" s="27"/>
      <c r="C1" s="27"/>
      <c r="D1" s="27"/>
      <c r="E1" s="28"/>
      <c r="F1" s="29"/>
      <c r="G1" s="150" t="s">
        <v>179</v>
      </c>
    </row>
    <row r="2" spans="1:8" s="30" customFormat="1" ht="12" customHeight="1" x14ac:dyDescent="0.25">
      <c r="B2" s="27"/>
      <c r="C2" s="27"/>
      <c r="D2" s="27"/>
      <c r="E2" s="28"/>
      <c r="F2" s="29"/>
      <c r="G2" s="151" t="s">
        <v>180</v>
      </c>
    </row>
    <row r="3" spans="1:8" s="30" customFormat="1" ht="12" customHeight="1" x14ac:dyDescent="0.25">
      <c r="B3" s="27"/>
      <c r="C3" s="27"/>
      <c r="D3" s="27"/>
      <c r="E3" s="28"/>
      <c r="F3" s="29"/>
      <c r="G3" s="151"/>
    </row>
    <row r="4" spans="1:8" s="30" customFormat="1" ht="12" customHeight="1" x14ac:dyDescent="0.25">
      <c r="B4" s="27"/>
      <c r="C4" s="27"/>
      <c r="D4" s="27"/>
      <c r="E4" s="28"/>
      <c r="F4" s="29"/>
      <c r="G4" s="151"/>
    </row>
    <row r="5" spans="1:8" s="53" customFormat="1" ht="15" customHeight="1" x14ac:dyDescent="0.2">
      <c r="B5" s="63" t="s">
        <v>184</v>
      </c>
      <c r="C5" s="64" t="s">
        <v>243</v>
      </c>
      <c r="D5" s="64"/>
      <c r="E5" s="63"/>
      <c r="F5" s="64"/>
      <c r="G5" s="152"/>
      <c r="H5" s="64"/>
    </row>
    <row r="6" spans="1:8" s="65" customFormat="1" ht="15" customHeight="1" x14ac:dyDescent="0.2">
      <c r="B6" s="66" t="s">
        <v>185</v>
      </c>
      <c r="C6" s="422" t="s">
        <v>244</v>
      </c>
      <c r="D6" s="422"/>
      <c r="E6" s="422"/>
      <c r="F6" s="422"/>
      <c r="G6" s="422"/>
      <c r="H6" s="67"/>
    </row>
    <row r="7" spans="1:8" ht="9.9499999999999993" customHeight="1" thickBot="1" x14ac:dyDescent="0.3"/>
    <row r="8" spans="1:8" s="53" customFormat="1" ht="20.100000000000001" customHeight="1" thickTop="1" x14ac:dyDescent="0.2">
      <c r="A8" s="371"/>
      <c r="B8" s="429" t="s">
        <v>207</v>
      </c>
      <c r="C8" s="429"/>
      <c r="D8" s="423" t="s">
        <v>96</v>
      </c>
      <c r="E8" s="423" t="s">
        <v>92</v>
      </c>
      <c r="F8" s="425" t="s">
        <v>93</v>
      </c>
      <c r="G8" s="427" t="s">
        <v>94</v>
      </c>
      <c r="H8" s="372"/>
    </row>
    <row r="9" spans="1:8" s="53" customFormat="1" ht="33" customHeight="1" x14ac:dyDescent="0.2">
      <c r="A9" s="373"/>
      <c r="B9" s="430"/>
      <c r="C9" s="430"/>
      <c r="D9" s="424"/>
      <c r="E9" s="424"/>
      <c r="F9" s="426"/>
      <c r="G9" s="428"/>
      <c r="H9" s="369"/>
    </row>
    <row r="10" spans="1:8" s="53" customFormat="1" ht="6.95" customHeight="1" x14ac:dyDescent="0.2">
      <c r="A10" s="86"/>
      <c r="B10" s="87"/>
      <c r="C10" s="87"/>
      <c r="D10" s="88"/>
      <c r="E10" s="88"/>
      <c r="F10" s="89"/>
      <c r="G10" s="158"/>
      <c r="H10" s="90"/>
    </row>
    <row r="11" spans="1:8" s="6" customFormat="1" ht="15" customHeight="1" x14ac:dyDescent="0.25">
      <c r="B11" s="61" t="s">
        <v>177</v>
      </c>
      <c r="C11" s="61"/>
      <c r="D11" s="109">
        <v>2017</v>
      </c>
      <c r="E11" s="145">
        <f>SUM(E15,E19,E23)</f>
        <v>3097</v>
      </c>
      <c r="F11" s="145">
        <f>SUM(F15,F19,F23)</f>
        <v>842</v>
      </c>
      <c r="G11" s="145">
        <f>SUM(G15,G19,G23)</f>
        <v>2255</v>
      </c>
    </row>
    <row r="12" spans="1:8" s="6" customFormat="1" ht="15" customHeight="1" x14ac:dyDescent="0.25">
      <c r="B12" s="61"/>
      <c r="C12" s="61"/>
      <c r="D12" s="109">
        <v>2018</v>
      </c>
      <c r="E12" s="145">
        <f t="shared" ref="E12" si="0">SUM(E16,E20,E24)</f>
        <v>2800</v>
      </c>
      <c r="F12" s="145">
        <f t="shared" ref="F12:G13" si="1">SUM(F16,F20,F24)</f>
        <v>621</v>
      </c>
      <c r="G12" s="145">
        <f t="shared" si="1"/>
        <v>2179</v>
      </c>
    </row>
    <row r="13" spans="1:8" s="6" customFormat="1" ht="15" customHeight="1" x14ac:dyDescent="0.25">
      <c r="B13" s="61"/>
      <c r="C13" s="61"/>
      <c r="D13" s="109">
        <v>2019</v>
      </c>
      <c r="E13" s="145">
        <f t="shared" ref="E13" si="2">SUM(E17,E21,E25)</f>
        <v>2561</v>
      </c>
      <c r="F13" s="145">
        <f t="shared" si="1"/>
        <v>460</v>
      </c>
      <c r="G13" s="145">
        <f t="shared" si="1"/>
        <v>2101</v>
      </c>
    </row>
    <row r="14" spans="1:8" s="6" customFormat="1" ht="6.95" customHeight="1" x14ac:dyDescent="0.25">
      <c r="B14" s="13"/>
      <c r="C14" s="13"/>
      <c r="D14" s="109"/>
      <c r="E14" s="9"/>
      <c r="F14" s="9"/>
      <c r="G14" s="9"/>
    </row>
    <row r="15" spans="1:8" ht="15" customHeight="1" x14ac:dyDescent="0.2">
      <c r="B15" s="56" t="s">
        <v>21</v>
      </c>
      <c r="C15" s="56"/>
      <c r="D15" s="108">
        <v>2017</v>
      </c>
      <c r="E15" s="146">
        <f>SUM(F15:G15)</f>
        <v>376</v>
      </c>
      <c r="F15" s="146">
        <f>'1.5Melaka'!E19</f>
        <v>80</v>
      </c>
      <c r="G15" s="146">
        <f>'1.7Melaka &amp; N9 '!E17</f>
        <v>296</v>
      </c>
    </row>
    <row r="16" spans="1:8" ht="15" customHeight="1" x14ac:dyDescent="0.2">
      <c r="B16" s="56"/>
      <c r="C16" s="56"/>
      <c r="D16" s="108">
        <v>2018</v>
      </c>
      <c r="E16" s="146">
        <f>SUM(F16:G16)</f>
        <v>334</v>
      </c>
      <c r="F16" s="146">
        <f>'1.5Melaka'!E20</f>
        <v>67</v>
      </c>
      <c r="G16" s="146">
        <f>'1.7Melaka &amp; N9 '!E18</f>
        <v>267</v>
      </c>
    </row>
    <row r="17" spans="1:10" ht="15" customHeight="1" x14ac:dyDescent="0.2">
      <c r="B17" s="56"/>
      <c r="C17" s="56"/>
      <c r="D17" s="108">
        <v>2019</v>
      </c>
      <c r="E17" s="146">
        <f>F17+G17</f>
        <v>341</v>
      </c>
      <c r="F17" s="146">
        <f>'1.5Melaka'!E21</f>
        <v>64</v>
      </c>
      <c r="G17" s="146">
        <f>'1.7Melaka &amp; N9 '!E19</f>
        <v>277</v>
      </c>
    </row>
    <row r="18" spans="1:10" ht="6.95" customHeight="1" x14ac:dyDescent="0.2">
      <c r="B18" s="56"/>
      <c r="C18" s="56"/>
      <c r="D18" s="108"/>
      <c r="E18" s="146"/>
      <c r="F18" s="146"/>
      <c r="G18" s="146"/>
    </row>
    <row r="19" spans="1:10" ht="15" customHeight="1" x14ac:dyDescent="0.2">
      <c r="B19" s="56" t="s">
        <v>22</v>
      </c>
      <c r="C19" s="56"/>
      <c r="D19" s="108">
        <v>2017</v>
      </c>
      <c r="E19" s="146">
        <f>SUM(F19:G19)</f>
        <v>258</v>
      </c>
      <c r="F19" s="146">
        <f>'1.5Melaka'!E23</f>
        <v>67</v>
      </c>
      <c r="G19" s="146">
        <f>'1.7Melaka &amp; N9 '!E21</f>
        <v>191</v>
      </c>
    </row>
    <row r="20" spans="1:10" ht="15" customHeight="1" x14ac:dyDescent="0.2">
      <c r="B20" s="56"/>
      <c r="C20" s="56"/>
      <c r="D20" s="108">
        <v>2018</v>
      </c>
      <c r="E20" s="146">
        <f>SUM(F20:G20)</f>
        <v>230</v>
      </c>
      <c r="F20" s="146">
        <f>'1.5Melaka'!E24</f>
        <v>39</v>
      </c>
      <c r="G20" s="146">
        <f>'1.7Melaka &amp; N9 '!E22</f>
        <v>191</v>
      </c>
    </row>
    <row r="21" spans="1:10" ht="15" customHeight="1" x14ac:dyDescent="0.2">
      <c r="B21" s="56"/>
      <c r="C21" s="56"/>
      <c r="D21" s="108">
        <v>2019</v>
      </c>
      <c r="E21" s="146">
        <f>F21+G21</f>
        <v>241</v>
      </c>
      <c r="F21" s="146">
        <f>'1.5Melaka'!E25</f>
        <v>43</v>
      </c>
      <c r="G21" s="146">
        <f>'1.7Melaka &amp; N9 '!E23</f>
        <v>198</v>
      </c>
    </row>
    <row r="22" spans="1:10" ht="6.95" customHeight="1" x14ac:dyDescent="0.2">
      <c r="B22" s="56"/>
      <c r="C22" s="56"/>
      <c r="D22" s="108"/>
      <c r="E22" s="146"/>
      <c r="F22" s="146"/>
      <c r="G22" s="146"/>
    </row>
    <row r="23" spans="1:10" ht="15" customHeight="1" x14ac:dyDescent="0.2">
      <c r="B23" s="56" t="s">
        <v>23</v>
      </c>
      <c r="C23" s="56"/>
      <c r="D23" s="108">
        <v>2017</v>
      </c>
      <c r="E23" s="146">
        <f>SUM(F23:G23)</f>
        <v>2463</v>
      </c>
      <c r="F23" s="146">
        <f>'1.5Melaka'!E27</f>
        <v>695</v>
      </c>
      <c r="G23" s="146">
        <f>'1.7Melaka &amp; N9 '!E25</f>
        <v>1768</v>
      </c>
    </row>
    <row r="24" spans="1:10" ht="15" customHeight="1" x14ac:dyDescent="0.2">
      <c r="B24" s="56"/>
      <c r="C24" s="56"/>
      <c r="D24" s="108">
        <v>2018</v>
      </c>
      <c r="E24" s="146">
        <f>SUM(F24:G24)</f>
        <v>2236</v>
      </c>
      <c r="F24" s="146">
        <f>'1.5Melaka'!E28</f>
        <v>515</v>
      </c>
      <c r="G24" s="146">
        <f>'1.7Melaka &amp; N9 '!E26</f>
        <v>1721</v>
      </c>
    </row>
    <row r="25" spans="1:10" ht="15" customHeight="1" x14ac:dyDescent="0.2">
      <c r="B25" s="56"/>
      <c r="C25" s="56"/>
      <c r="D25" s="108">
        <v>2019</v>
      </c>
      <c r="E25" s="146">
        <f>F25+G25</f>
        <v>1979</v>
      </c>
      <c r="F25" s="146">
        <f>'1.5Melaka'!E29</f>
        <v>353</v>
      </c>
      <c r="G25" s="146">
        <f>'1.7Melaka &amp; N9 '!E27</f>
        <v>1626</v>
      </c>
    </row>
    <row r="26" spans="1:10" ht="6.95" customHeight="1" x14ac:dyDescent="0.2">
      <c r="A26" s="35"/>
      <c r="B26" s="74"/>
      <c r="C26" s="74"/>
      <c r="D26" s="367"/>
      <c r="E26" s="75"/>
      <c r="F26" s="75"/>
      <c r="G26" s="75"/>
    </row>
    <row r="27" spans="1:10" ht="6.95" customHeight="1" x14ac:dyDescent="0.2">
      <c r="B27" s="76"/>
      <c r="C27" s="76"/>
      <c r="D27" s="110"/>
      <c r="E27" s="77"/>
      <c r="F27" s="77"/>
      <c r="G27" s="77"/>
      <c r="H27" s="78"/>
    </row>
    <row r="28" spans="1:10" s="6" customFormat="1" ht="15" customHeight="1" x14ac:dyDescent="0.25">
      <c r="B28" s="61" t="s">
        <v>31</v>
      </c>
      <c r="C28" s="61"/>
      <c r="D28" s="109">
        <v>2017</v>
      </c>
      <c r="E28" s="145">
        <f>E32+E36+E40+E44+E48+E52+E56+E60</f>
        <v>3973</v>
      </c>
      <c r="F28" s="137">
        <f t="shared" ref="F28:G30" si="3">SUM(F32,F36,F40,F44,F48,F52,F56,F60)</f>
        <v>884</v>
      </c>
      <c r="G28" s="137">
        <f t="shared" si="3"/>
        <v>3089</v>
      </c>
      <c r="H28" s="24"/>
      <c r="I28" s="42"/>
    </row>
    <row r="29" spans="1:10" s="6" customFormat="1" ht="15" customHeight="1" x14ac:dyDescent="0.25">
      <c r="B29" s="61"/>
      <c r="C29" s="61"/>
      <c r="D29" s="109">
        <v>2018</v>
      </c>
      <c r="E29" s="145">
        <f t="shared" ref="E29" si="4">E33+E37+E41+E45+E49+E53+E57+E61</f>
        <v>3673</v>
      </c>
      <c r="F29" s="137">
        <f t="shared" si="3"/>
        <v>831</v>
      </c>
      <c r="G29" s="137">
        <f t="shared" si="3"/>
        <v>2842</v>
      </c>
      <c r="H29" s="24"/>
      <c r="I29" s="42"/>
    </row>
    <row r="30" spans="1:10" s="6" customFormat="1" ht="15" customHeight="1" x14ac:dyDescent="0.25">
      <c r="B30" s="61"/>
      <c r="C30" s="61"/>
      <c r="D30" s="109">
        <v>2019</v>
      </c>
      <c r="E30" s="145">
        <f>F30+G30</f>
        <v>3327</v>
      </c>
      <c r="F30" s="137">
        <f t="shared" si="3"/>
        <v>778</v>
      </c>
      <c r="G30" s="137">
        <f t="shared" si="3"/>
        <v>2549</v>
      </c>
      <c r="H30" s="24"/>
      <c r="I30" s="42"/>
    </row>
    <row r="31" spans="1:10" ht="8.1" customHeight="1" x14ac:dyDescent="0.2">
      <c r="B31" s="61"/>
      <c r="C31" s="61"/>
      <c r="D31" s="109"/>
      <c r="E31" s="145"/>
      <c r="F31" s="145"/>
      <c r="G31" s="145"/>
      <c r="H31" s="7"/>
      <c r="I31" s="15"/>
      <c r="J31" s="15"/>
    </row>
    <row r="32" spans="1:10" ht="15" customHeight="1" x14ac:dyDescent="0.2">
      <c r="B32" s="56" t="s">
        <v>24</v>
      </c>
      <c r="C32" s="56"/>
      <c r="D32" s="108">
        <v>2017</v>
      </c>
      <c r="E32" s="146">
        <f>SUM(F32:G32)</f>
        <v>75</v>
      </c>
      <c r="F32" s="144">
        <f>'1.5Melaka'!E36</f>
        <v>19</v>
      </c>
      <c r="G32" s="146">
        <f>'1.7Melaka &amp; N9 '!E34</f>
        <v>56</v>
      </c>
      <c r="H32" s="7"/>
      <c r="I32" s="15"/>
    </row>
    <row r="33" spans="1:12" ht="15" customHeight="1" x14ac:dyDescent="0.2">
      <c r="B33" s="56"/>
      <c r="C33" s="56"/>
      <c r="D33" s="108">
        <v>2018</v>
      </c>
      <c r="E33" s="146">
        <f t="shared" ref="E33:E34" si="5">SUM(F33:G33)</f>
        <v>71</v>
      </c>
      <c r="F33" s="144">
        <f>'1.5Melaka'!E37</f>
        <v>13</v>
      </c>
      <c r="G33" s="146">
        <f>'1.7Melaka &amp; N9 '!E35</f>
        <v>58</v>
      </c>
      <c r="H33" s="7"/>
      <c r="I33" s="15"/>
    </row>
    <row r="34" spans="1:12" ht="15" customHeight="1" x14ac:dyDescent="0.2">
      <c r="B34" s="56"/>
      <c r="C34" s="56"/>
      <c r="D34" s="108">
        <v>2019</v>
      </c>
      <c r="E34" s="146">
        <f t="shared" si="5"/>
        <v>67</v>
      </c>
      <c r="F34" s="144">
        <f>'1.5Melaka'!E38</f>
        <v>17</v>
      </c>
      <c r="G34" s="146">
        <f>'1.7Melaka &amp; N9 '!E36</f>
        <v>50</v>
      </c>
      <c r="H34" s="7"/>
      <c r="I34" s="15"/>
    </row>
    <row r="35" spans="1:12" ht="6.95" customHeight="1" x14ac:dyDescent="0.2">
      <c r="B35" s="56"/>
      <c r="C35" s="56"/>
      <c r="D35" s="108"/>
      <c r="E35" s="146"/>
      <c r="F35" s="144"/>
      <c r="G35" s="146"/>
      <c r="H35" s="7"/>
      <c r="I35" s="15"/>
    </row>
    <row r="36" spans="1:12" ht="15" customHeight="1" x14ac:dyDescent="0.2">
      <c r="B36" s="56" t="s">
        <v>30</v>
      </c>
      <c r="C36" s="56"/>
      <c r="D36" s="108">
        <v>2017</v>
      </c>
      <c r="E36" s="146">
        <f>SUM(F36:G36)</f>
        <v>245</v>
      </c>
      <c r="F36" s="144">
        <f>'1.5Melaka'!E40</f>
        <v>69</v>
      </c>
      <c r="G36" s="146">
        <f>'1.7Melaka &amp; N9 '!E38</f>
        <v>176</v>
      </c>
      <c r="H36" s="7"/>
      <c r="I36" s="15"/>
    </row>
    <row r="37" spans="1:12" ht="15" customHeight="1" x14ac:dyDescent="0.2">
      <c r="B37" s="56"/>
      <c r="C37" s="56"/>
      <c r="D37" s="108">
        <v>2018</v>
      </c>
      <c r="E37" s="146">
        <f t="shared" ref="E37:E38" si="6">SUM(F37:G37)</f>
        <v>240</v>
      </c>
      <c r="F37" s="144">
        <f>'1.5Melaka'!E41</f>
        <v>51</v>
      </c>
      <c r="G37" s="146">
        <f>'1.7Melaka &amp; N9 '!E39</f>
        <v>189</v>
      </c>
      <c r="H37" s="7"/>
      <c r="I37" s="15"/>
    </row>
    <row r="38" spans="1:12" ht="15" customHeight="1" x14ac:dyDescent="0.2">
      <c r="B38" s="56"/>
      <c r="C38" s="56"/>
      <c r="D38" s="108">
        <v>2019</v>
      </c>
      <c r="E38" s="146">
        <f t="shared" si="6"/>
        <v>210</v>
      </c>
      <c r="F38" s="144">
        <f>'1.5Melaka'!E42</f>
        <v>49</v>
      </c>
      <c r="G38" s="146">
        <f>'1.7Melaka &amp; N9 '!E40</f>
        <v>161</v>
      </c>
      <c r="H38" s="7"/>
      <c r="I38" s="15"/>
    </row>
    <row r="39" spans="1:12" ht="6.95" customHeight="1" x14ac:dyDescent="0.2">
      <c r="B39" s="56"/>
      <c r="C39" s="56"/>
      <c r="D39" s="108"/>
      <c r="E39" s="146"/>
      <c r="F39" s="144"/>
      <c r="G39" s="146"/>
      <c r="H39" s="7"/>
      <c r="I39" s="15"/>
    </row>
    <row r="40" spans="1:12" ht="15" customHeight="1" x14ac:dyDescent="0.2">
      <c r="B40" s="56" t="s">
        <v>25</v>
      </c>
      <c r="C40" s="56"/>
      <c r="D40" s="108">
        <v>2017</v>
      </c>
      <c r="E40" s="146">
        <f>SUM(F40:G40)</f>
        <v>248</v>
      </c>
      <c r="F40" s="144">
        <f>'1.5Melaka'!E44</f>
        <v>50</v>
      </c>
      <c r="G40" s="146">
        <f>'1.7Melaka &amp; N9 '!E42</f>
        <v>198</v>
      </c>
      <c r="H40" s="7"/>
      <c r="I40" s="15"/>
    </row>
    <row r="41" spans="1:12" ht="15" customHeight="1" x14ac:dyDescent="0.2">
      <c r="A41" s="7"/>
      <c r="B41" s="56"/>
      <c r="C41" s="56"/>
      <c r="D41" s="108">
        <v>2018</v>
      </c>
      <c r="E41" s="146">
        <f t="shared" ref="E41:E42" si="7">SUM(F41:G41)</f>
        <v>195</v>
      </c>
      <c r="F41" s="144">
        <f>'1.5Melaka'!E45</f>
        <v>34</v>
      </c>
      <c r="G41" s="146">
        <f>'1.7Melaka &amp; N9 '!E43</f>
        <v>161</v>
      </c>
      <c r="H41" s="7"/>
      <c r="I41" s="15"/>
    </row>
    <row r="42" spans="1:12" ht="15" customHeight="1" x14ac:dyDescent="0.2">
      <c r="B42" s="56"/>
      <c r="C42" s="56"/>
      <c r="D42" s="108">
        <v>2019</v>
      </c>
      <c r="E42" s="146">
        <f t="shared" si="7"/>
        <v>195</v>
      </c>
      <c r="F42" s="144">
        <f>'1.5Melaka'!E46</f>
        <v>34</v>
      </c>
      <c r="G42" s="146">
        <f>'1.7Melaka &amp; N9 '!E44</f>
        <v>161</v>
      </c>
      <c r="H42" s="7"/>
    </row>
    <row r="43" spans="1:12" ht="6.95" customHeight="1" x14ac:dyDescent="0.2">
      <c r="B43" s="56"/>
      <c r="C43" s="56"/>
      <c r="D43" s="365"/>
      <c r="E43" s="146"/>
      <c r="F43" s="144"/>
      <c r="G43" s="146"/>
      <c r="H43" s="7"/>
    </row>
    <row r="44" spans="1:12" ht="15" customHeight="1" x14ac:dyDescent="0.2">
      <c r="B44" s="56" t="s">
        <v>68</v>
      </c>
      <c r="C44" s="56"/>
      <c r="D44" s="108">
        <v>2017</v>
      </c>
      <c r="E44" s="146">
        <f>SUM(F44:G44)</f>
        <v>1169</v>
      </c>
      <c r="F44" s="144">
        <f>'1.5Melaka'!E48</f>
        <v>276</v>
      </c>
      <c r="G44" s="146">
        <f>'1.7Melaka &amp; N9 '!E46</f>
        <v>893</v>
      </c>
      <c r="H44" s="7"/>
    </row>
    <row r="45" spans="1:12" ht="15" customHeight="1" x14ac:dyDescent="0.2">
      <c r="B45" s="56"/>
      <c r="C45" s="56"/>
      <c r="D45" s="108">
        <v>2018</v>
      </c>
      <c r="E45" s="146">
        <f t="shared" ref="E45:E46" si="8">SUM(F45:G45)</f>
        <v>983</v>
      </c>
      <c r="F45" s="144">
        <f>'1.5Melaka'!E49</f>
        <v>261</v>
      </c>
      <c r="G45" s="146">
        <f>'1.7Melaka &amp; N9 '!E47</f>
        <v>722</v>
      </c>
      <c r="H45" s="7"/>
    </row>
    <row r="46" spans="1:12" ht="15" customHeight="1" x14ac:dyDescent="0.2">
      <c r="B46" s="56"/>
      <c r="C46" s="56"/>
      <c r="D46" s="108">
        <v>2019</v>
      </c>
      <c r="E46" s="146">
        <f t="shared" si="8"/>
        <v>928</v>
      </c>
      <c r="F46" s="144">
        <f>'1.5Melaka'!E50</f>
        <v>220</v>
      </c>
      <c r="G46" s="146">
        <f>'1.7Melaka &amp; N9 '!E48</f>
        <v>708</v>
      </c>
      <c r="H46" s="7"/>
    </row>
    <row r="47" spans="1:12" ht="6.95" customHeight="1" x14ac:dyDescent="0.2">
      <c r="B47" s="56"/>
      <c r="C47" s="56"/>
      <c r="D47" s="108"/>
      <c r="E47" s="146"/>
      <c r="F47" s="144"/>
      <c r="G47" s="146"/>
      <c r="H47" s="7"/>
    </row>
    <row r="48" spans="1:12" s="3" customFormat="1" ht="15" customHeight="1" x14ac:dyDescent="0.2">
      <c r="B48" s="56" t="s">
        <v>26</v>
      </c>
      <c r="C48" s="56"/>
      <c r="D48" s="108">
        <v>2017</v>
      </c>
      <c r="E48" s="146">
        <f>SUM(F48:G48)</f>
        <v>342</v>
      </c>
      <c r="F48" s="144">
        <f>'1.5Melaka'!E52</f>
        <v>84</v>
      </c>
      <c r="G48" s="146">
        <f>'1.7Melaka &amp; N9 '!E50</f>
        <v>258</v>
      </c>
      <c r="H48" s="7"/>
      <c r="I48" s="2"/>
      <c r="J48" s="2"/>
      <c r="K48" s="2"/>
      <c r="L48" s="2"/>
    </row>
    <row r="49" spans="1:8" ht="15" customHeight="1" x14ac:dyDescent="0.2">
      <c r="B49" s="56"/>
      <c r="C49" s="56"/>
      <c r="D49" s="108">
        <v>2018</v>
      </c>
      <c r="E49" s="146">
        <f t="shared" ref="E49:E50" si="9">SUM(F49:G49)</f>
        <v>386</v>
      </c>
      <c r="F49" s="144">
        <f>'1.5Melaka'!E53</f>
        <v>96</v>
      </c>
      <c r="G49" s="146">
        <f>'1.7Melaka &amp; N9 '!E51</f>
        <v>290</v>
      </c>
      <c r="H49" s="7"/>
    </row>
    <row r="50" spans="1:8" ht="15" customHeight="1" x14ac:dyDescent="0.2">
      <c r="B50" s="56"/>
      <c r="C50" s="56"/>
      <c r="D50" s="108">
        <v>2019</v>
      </c>
      <c r="E50" s="146">
        <f t="shared" si="9"/>
        <v>372</v>
      </c>
      <c r="F50" s="144">
        <f>'1.5Melaka'!E54</f>
        <v>80</v>
      </c>
      <c r="G50" s="146">
        <f>'1.7Melaka &amp; N9 '!E52</f>
        <v>292</v>
      </c>
      <c r="H50" s="7"/>
    </row>
    <row r="51" spans="1:8" ht="6.95" customHeight="1" x14ac:dyDescent="0.2">
      <c r="B51" s="56"/>
      <c r="C51" s="56"/>
      <c r="D51" s="108"/>
      <c r="E51" s="146"/>
      <c r="F51" s="144"/>
      <c r="G51" s="146"/>
      <c r="H51" s="7"/>
    </row>
    <row r="52" spans="1:8" ht="15" customHeight="1" x14ac:dyDescent="0.2">
      <c r="B52" s="56" t="s">
        <v>27</v>
      </c>
      <c r="C52" s="56"/>
      <c r="D52" s="108">
        <v>2017</v>
      </c>
      <c r="E52" s="146">
        <f>SUM(F52:G52)</f>
        <v>154</v>
      </c>
      <c r="F52" s="144">
        <f>'1.5Melaka'!E56</f>
        <v>16</v>
      </c>
      <c r="G52" s="146">
        <f>'1.7Melaka &amp; N9 '!E54</f>
        <v>138</v>
      </c>
      <c r="H52" s="7"/>
    </row>
    <row r="53" spans="1:8" ht="15" customHeight="1" x14ac:dyDescent="0.2">
      <c r="B53" s="56"/>
      <c r="C53" s="56"/>
      <c r="D53" s="108">
        <v>2018</v>
      </c>
      <c r="E53" s="146">
        <f>SUM(F53:G53)</f>
        <v>158</v>
      </c>
      <c r="F53" s="144">
        <f>'1.5Melaka'!E57</f>
        <v>31</v>
      </c>
      <c r="G53" s="146">
        <f>'1.7Melaka &amp; N9 '!E55</f>
        <v>127</v>
      </c>
      <c r="H53" s="7"/>
    </row>
    <row r="54" spans="1:8" ht="15" customHeight="1" x14ac:dyDescent="0.2">
      <c r="B54" s="56"/>
      <c r="C54" s="56"/>
      <c r="D54" s="108">
        <v>2019</v>
      </c>
      <c r="E54" s="146">
        <f>SUM(F54:G54)</f>
        <v>119</v>
      </c>
      <c r="F54" s="144">
        <f>'1.5Melaka'!E58</f>
        <v>26</v>
      </c>
      <c r="G54" s="146">
        <f>'1.7Melaka &amp; N9 '!E56</f>
        <v>93</v>
      </c>
      <c r="H54" s="7"/>
    </row>
    <row r="55" spans="1:8" ht="6.95" customHeight="1" x14ac:dyDescent="0.2">
      <c r="B55" s="56"/>
      <c r="C55" s="56"/>
      <c r="D55" s="365"/>
      <c r="E55" s="146"/>
      <c r="F55" s="144"/>
      <c r="G55" s="146"/>
      <c r="H55" s="7"/>
    </row>
    <row r="56" spans="1:8" ht="15" customHeight="1" x14ac:dyDescent="0.2">
      <c r="B56" s="56" t="s">
        <v>28</v>
      </c>
      <c r="C56" s="56"/>
      <c r="D56" s="108">
        <v>2017</v>
      </c>
      <c r="E56" s="146">
        <f>SUM(F56:G56)</f>
        <v>1530</v>
      </c>
      <c r="F56" s="144">
        <f>'1.5Melaka'!E60</f>
        <v>331</v>
      </c>
      <c r="G56" s="146">
        <f>'1.7Melaka &amp; N9 '!E58</f>
        <v>1199</v>
      </c>
      <c r="H56" s="7"/>
    </row>
    <row r="57" spans="1:8" ht="15" customHeight="1" x14ac:dyDescent="0.2">
      <c r="B57" s="56"/>
      <c r="C57" s="56"/>
      <c r="D57" s="108">
        <v>2018</v>
      </c>
      <c r="E57" s="146">
        <f>SUM(F57:G57)</f>
        <v>1428</v>
      </c>
      <c r="F57" s="144">
        <f>'1.5Melaka'!E61</f>
        <v>310</v>
      </c>
      <c r="G57" s="146">
        <f>'1.7Melaka &amp; N9 '!E59</f>
        <v>1118</v>
      </c>
      <c r="H57" s="7"/>
    </row>
    <row r="58" spans="1:8" ht="15" customHeight="1" x14ac:dyDescent="0.2">
      <c r="B58" s="56"/>
      <c r="C58" s="56"/>
      <c r="D58" s="108">
        <v>2019</v>
      </c>
      <c r="E58" s="146">
        <f>SUM(F58:G58)</f>
        <v>1273</v>
      </c>
      <c r="F58" s="144">
        <f>'1.5Melaka'!E62</f>
        <v>329</v>
      </c>
      <c r="G58" s="146">
        <f>'1.7Melaka &amp; N9 '!E60</f>
        <v>944</v>
      </c>
      <c r="H58" s="7"/>
    </row>
    <row r="59" spans="1:8" ht="6.95" customHeight="1" x14ac:dyDescent="0.2">
      <c r="B59" s="56"/>
      <c r="C59" s="56"/>
      <c r="D59" s="108"/>
      <c r="E59" s="146"/>
      <c r="F59" s="144"/>
      <c r="G59" s="146"/>
      <c r="H59" s="7"/>
    </row>
    <row r="60" spans="1:8" ht="15" customHeight="1" x14ac:dyDescent="0.2">
      <c r="B60" s="56" t="s">
        <v>29</v>
      </c>
      <c r="C60" s="56"/>
      <c r="D60" s="108">
        <v>2017</v>
      </c>
      <c r="E60" s="146">
        <f>SUM(F60:G60)</f>
        <v>210</v>
      </c>
      <c r="F60" s="144">
        <f>'1.5Melaka'!E64</f>
        <v>39</v>
      </c>
      <c r="G60" s="146">
        <f>'1.7Melaka &amp; N9 '!E62</f>
        <v>171</v>
      </c>
      <c r="H60" s="7"/>
    </row>
    <row r="61" spans="1:8" ht="15" customHeight="1" x14ac:dyDescent="0.2">
      <c r="B61" s="56"/>
      <c r="C61" s="56"/>
      <c r="D61" s="108">
        <v>2018</v>
      </c>
      <c r="E61" s="146">
        <f>SUM(F61:G61)</f>
        <v>212</v>
      </c>
      <c r="F61" s="144">
        <f>'1.5Melaka'!E65</f>
        <v>35</v>
      </c>
      <c r="G61" s="146">
        <f>'1.7Melaka &amp; N9 '!E63</f>
        <v>177</v>
      </c>
      <c r="H61" s="7"/>
    </row>
    <row r="62" spans="1:8" ht="15" customHeight="1" x14ac:dyDescent="0.2">
      <c r="B62" s="56"/>
      <c r="C62" s="56"/>
      <c r="D62" s="108">
        <v>2019</v>
      </c>
      <c r="E62" s="146">
        <f>SUM(F62:G62)</f>
        <v>163</v>
      </c>
      <c r="F62" s="144">
        <f>'1.5Melaka'!E66</f>
        <v>23</v>
      </c>
      <c r="G62" s="146">
        <f>'1.7Melaka &amp; N9 '!E64</f>
        <v>140</v>
      </c>
      <c r="H62" s="7"/>
    </row>
    <row r="63" spans="1:8" ht="6.95" customHeight="1" thickBot="1" x14ac:dyDescent="0.25">
      <c r="A63" s="34"/>
      <c r="B63" s="16"/>
      <c r="C63" s="16"/>
      <c r="D63" s="131"/>
      <c r="E63" s="26"/>
      <c r="F63" s="12"/>
      <c r="G63" s="12"/>
      <c r="H63" s="34"/>
    </row>
    <row r="64" spans="1:8" x14ac:dyDescent="0.25">
      <c r="D64" s="130"/>
      <c r="E64" s="3"/>
      <c r="F64" s="21"/>
      <c r="G64" s="154"/>
      <c r="H64" s="8" t="s">
        <v>0</v>
      </c>
    </row>
    <row r="65" spans="4:8" x14ac:dyDescent="0.25">
      <c r="D65" s="130"/>
      <c r="E65" s="3"/>
      <c r="F65" s="21"/>
      <c r="H65" s="41" t="s">
        <v>1</v>
      </c>
    </row>
    <row r="66" spans="4:8" x14ac:dyDescent="0.25">
      <c r="D66" s="130"/>
    </row>
    <row r="67" spans="4:8" x14ac:dyDescent="0.25">
      <c r="D67" s="130"/>
    </row>
    <row r="68" spans="4:8" x14ac:dyDescent="0.25">
      <c r="D68" s="130"/>
    </row>
    <row r="69" spans="4:8" x14ac:dyDescent="0.25">
      <c r="D69" s="130"/>
    </row>
  </sheetData>
  <mergeCells count="6">
    <mergeCell ref="C6:G6"/>
    <mergeCell ref="E8:E9"/>
    <mergeCell ref="F8:F9"/>
    <mergeCell ref="G8:G9"/>
    <mergeCell ref="B8:C9"/>
    <mergeCell ref="D8:D9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90" fitToWidth="0" orientation="portrait" r:id="rId1"/>
  <headerFooter>
    <oddHeader xml:space="preserve">&amp;R&amp;"-,Bold"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showGridLines="0" zoomScaleNormal="100" zoomScaleSheetLayoutView="100" workbookViewId="0">
      <selection activeCell="AA22" sqref="AA22"/>
    </sheetView>
  </sheetViews>
  <sheetFormatPr defaultColWidth="9.140625" defaultRowHeight="15" x14ac:dyDescent="0.25"/>
  <cols>
    <col min="1" max="1" width="0.85546875" style="2" customWidth="1"/>
    <col min="2" max="2" width="11.5703125" style="3" customWidth="1"/>
    <col min="3" max="3" width="12.28515625" style="3" customWidth="1"/>
    <col min="4" max="4" width="10.85546875" style="3" customWidth="1"/>
    <col min="5" max="5" width="15.7109375" style="21" customWidth="1"/>
    <col min="6" max="6" width="23.7109375" style="22" customWidth="1"/>
    <col min="7" max="7" width="23.7109375" style="153" customWidth="1"/>
    <col min="8" max="8" width="0.85546875" style="2" customWidth="1"/>
    <col min="9" max="16384" width="9.140625" style="2"/>
  </cols>
  <sheetData>
    <row r="1" spans="1:11" s="30" customFormat="1" ht="12" customHeight="1" x14ac:dyDescent="0.25">
      <c r="B1" s="27"/>
      <c r="C1" s="27"/>
      <c r="D1" s="27"/>
      <c r="E1" s="28"/>
      <c r="F1" s="29"/>
      <c r="G1" s="150" t="s">
        <v>179</v>
      </c>
    </row>
    <row r="2" spans="1:11" s="30" customFormat="1" ht="12" customHeight="1" x14ac:dyDescent="0.25">
      <c r="B2" s="27"/>
      <c r="C2" s="27"/>
      <c r="D2" s="27"/>
      <c r="E2" s="28"/>
      <c r="F2" s="29"/>
      <c r="G2" s="151" t="s">
        <v>180</v>
      </c>
    </row>
    <row r="3" spans="1:11" s="30" customFormat="1" ht="12" customHeight="1" x14ac:dyDescent="0.25">
      <c r="B3" s="27"/>
      <c r="C3" s="27"/>
      <c r="D3" s="27"/>
      <c r="E3" s="28"/>
      <c r="F3" s="29"/>
      <c r="G3" s="151"/>
    </row>
    <row r="4" spans="1:11" s="30" customFormat="1" ht="12" customHeight="1" x14ac:dyDescent="0.25">
      <c r="B4" s="27"/>
      <c r="C4" s="27"/>
      <c r="D4" s="27"/>
      <c r="E4" s="28"/>
      <c r="F4" s="29"/>
      <c r="G4" s="151"/>
    </row>
    <row r="5" spans="1:11" s="53" customFormat="1" ht="15" customHeight="1" x14ac:dyDescent="0.2">
      <c r="B5" s="63" t="s">
        <v>184</v>
      </c>
      <c r="C5" s="64" t="s">
        <v>243</v>
      </c>
      <c r="D5" s="64"/>
      <c r="E5" s="63"/>
      <c r="F5" s="64"/>
      <c r="G5" s="152"/>
      <c r="H5" s="64"/>
    </row>
    <row r="6" spans="1:11" s="65" customFormat="1" ht="15" customHeight="1" x14ac:dyDescent="0.2">
      <c r="B6" s="66" t="s">
        <v>185</v>
      </c>
      <c r="C6" s="422" t="s">
        <v>244</v>
      </c>
      <c r="D6" s="422"/>
      <c r="E6" s="422"/>
      <c r="F6" s="422"/>
      <c r="G6" s="422"/>
      <c r="H6" s="67"/>
    </row>
    <row r="7" spans="1:11" ht="9.9499999999999993" customHeight="1" thickBot="1" x14ac:dyDescent="0.3"/>
    <row r="8" spans="1:11" s="53" customFormat="1" ht="20.100000000000001" customHeight="1" thickTop="1" x14ac:dyDescent="0.2">
      <c r="A8" s="371"/>
      <c r="B8" s="429" t="s">
        <v>207</v>
      </c>
      <c r="C8" s="429"/>
      <c r="D8" s="423" t="s">
        <v>96</v>
      </c>
      <c r="E8" s="423" t="s">
        <v>92</v>
      </c>
      <c r="F8" s="425" t="s">
        <v>93</v>
      </c>
      <c r="G8" s="427" t="s">
        <v>94</v>
      </c>
      <c r="H8" s="372"/>
    </row>
    <row r="9" spans="1:11" s="53" customFormat="1" ht="33" customHeight="1" x14ac:dyDescent="0.2">
      <c r="A9" s="373"/>
      <c r="B9" s="430"/>
      <c r="C9" s="430"/>
      <c r="D9" s="424"/>
      <c r="E9" s="424"/>
      <c r="F9" s="426"/>
      <c r="G9" s="428"/>
      <c r="H9" s="369"/>
    </row>
    <row r="10" spans="1:11" s="53" customFormat="1" ht="8.1" customHeight="1" x14ac:dyDescent="0.2">
      <c r="A10" s="86"/>
      <c r="B10" s="87"/>
      <c r="C10" s="87"/>
      <c r="D10" s="88"/>
      <c r="E10" s="88"/>
      <c r="F10" s="89"/>
      <c r="G10" s="158"/>
      <c r="H10" s="90"/>
    </row>
    <row r="11" spans="1:11" s="6" customFormat="1" ht="15" customHeight="1" x14ac:dyDescent="0.25">
      <c r="B11" s="61" t="s">
        <v>98</v>
      </c>
      <c r="C11" s="61"/>
      <c r="D11" s="109">
        <v>2017</v>
      </c>
      <c r="E11" s="145">
        <f>E15+E19+E23+E27+E31+E35+E39+E43+E47+E51+E55</f>
        <v>3607</v>
      </c>
      <c r="F11" s="145">
        <f>SUM(F15,F19,F23,F27,F31,F35,F39,F43,F47,F51,F55)</f>
        <v>656</v>
      </c>
      <c r="G11" s="145">
        <f>SUM(G15,G19,G23,G27,G31,G35,G39,G43,G47,G51,G55)</f>
        <v>2951</v>
      </c>
      <c r="I11" s="42"/>
    </row>
    <row r="12" spans="1:11" s="6" customFormat="1" ht="15" customHeight="1" x14ac:dyDescent="0.25">
      <c r="B12" s="61"/>
      <c r="C12" s="61"/>
      <c r="D12" s="109">
        <v>2018</v>
      </c>
      <c r="E12" s="145">
        <f t="shared" ref="E12" si="0">E16+E20+E24+E28+E32+E36+E40+E44+E48+E52+E56</f>
        <v>3584</v>
      </c>
      <c r="F12" s="145">
        <f>SUM(F16,F20,F24,F28,F32,F36,F40,F44,F48,F52,F56)</f>
        <v>572</v>
      </c>
      <c r="G12" s="145">
        <f t="shared" ref="G12:G13" si="1">SUM(G16,G20,G24,G28,G32,G36,G40,G44,G48,G52,G56)</f>
        <v>3012</v>
      </c>
      <c r="I12" s="42"/>
    </row>
    <row r="13" spans="1:11" s="6" customFormat="1" ht="15" customHeight="1" x14ac:dyDescent="0.25">
      <c r="B13" s="61"/>
      <c r="C13" s="61"/>
      <c r="D13" s="109">
        <v>2019</v>
      </c>
      <c r="E13" s="145">
        <f>F13+G13</f>
        <v>3271</v>
      </c>
      <c r="F13" s="145">
        <f>SUM(F17,F21,F25,F29,F33,F37,F41,F45,F49,F53,F57)</f>
        <v>595</v>
      </c>
      <c r="G13" s="145">
        <f t="shared" si="1"/>
        <v>2676</v>
      </c>
      <c r="I13" s="42"/>
    </row>
    <row r="14" spans="1:11" ht="8.1" customHeight="1" x14ac:dyDescent="0.2">
      <c r="B14" s="56"/>
      <c r="C14" s="56"/>
      <c r="D14" s="109"/>
      <c r="E14" s="146"/>
      <c r="F14" s="144"/>
      <c r="G14" s="146"/>
      <c r="I14" s="15"/>
    </row>
    <row r="15" spans="1:11" ht="15" customHeight="1" x14ac:dyDescent="0.2">
      <c r="B15" s="56" t="s">
        <v>32</v>
      </c>
      <c r="C15" s="56"/>
      <c r="D15" s="108">
        <v>2017</v>
      </c>
      <c r="E15" s="146">
        <f>SUM(F15:G15)</f>
        <v>327</v>
      </c>
      <c r="F15" s="146">
        <f>'1.5Pahang'!E19</f>
        <v>47</v>
      </c>
      <c r="G15" s="146">
        <f>'1.7Pahang'!E17</f>
        <v>280</v>
      </c>
      <c r="I15" s="15"/>
      <c r="K15" s="15"/>
    </row>
    <row r="16" spans="1:11" ht="15" customHeight="1" x14ac:dyDescent="0.2">
      <c r="B16" s="56"/>
      <c r="C16" s="56"/>
      <c r="D16" s="108">
        <v>2018</v>
      </c>
      <c r="E16" s="146">
        <f t="shared" ref="E16:E17" si="2">SUM(F16:G16)</f>
        <v>536</v>
      </c>
      <c r="F16" s="146">
        <f>'1.5Pahang'!E20</f>
        <v>55</v>
      </c>
      <c r="G16" s="146">
        <f>'1.7Pahang'!E18</f>
        <v>481</v>
      </c>
      <c r="I16" s="15"/>
      <c r="K16" s="15"/>
    </row>
    <row r="17" spans="1:12" ht="15" customHeight="1" x14ac:dyDescent="0.2">
      <c r="B17" s="56"/>
      <c r="C17" s="56"/>
      <c r="D17" s="108">
        <v>2019</v>
      </c>
      <c r="E17" s="146">
        <f t="shared" si="2"/>
        <v>524</v>
      </c>
      <c r="F17" s="146">
        <f>'1.5Pahang'!E21</f>
        <v>69</v>
      </c>
      <c r="G17" s="146">
        <f>'1.7Pahang'!E19</f>
        <v>455</v>
      </c>
      <c r="I17" s="15"/>
      <c r="K17" s="15"/>
    </row>
    <row r="18" spans="1:12" ht="8.1" customHeight="1" x14ac:dyDescent="0.2">
      <c r="B18" s="56"/>
      <c r="C18" s="56"/>
      <c r="D18" s="108"/>
      <c r="E18" s="146"/>
      <c r="F18" s="146"/>
      <c r="G18" s="146"/>
      <c r="I18" s="15"/>
      <c r="K18" s="15"/>
    </row>
    <row r="19" spans="1:12" ht="15" customHeight="1" x14ac:dyDescent="0.2">
      <c r="B19" s="56" t="s">
        <v>42</v>
      </c>
      <c r="C19" s="56"/>
      <c r="D19" s="108">
        <v>2017</v>
      </c>
      <c r="E19" s="146">
        <f>SUM(F19:G19)</f>
        <v>140</v>
      </c>
      <c r="F19" s="146">
        <f>'1.5Pahang'!E23</f>
        <v>40</v>
      </c>
      <c r="G19" s="146">
        <f>'1.7Pahang'!E21</f>
        <v>100</v>
      </c>
      <c r="I19" s="15"/>
      <c r="K19" s="15"/>
    </row>
    <row r="20" spans="1:12" ht="15" customHeight="1" x14ac:dyDescent="0.2">
      <c r="A20" s="7"/>
      <c r="B20" s="56"/>
      <c r="C20" s="56"/>
      <c r="D20" s="108">
        <v>2018</v>
      </c>
      <c r="E20" s="146">
        <f t="shared" ref="E20:E21" si="3">SUM(F20:G20)</f>
        <v>130</v>
      </c>
      <c r="F20" s="146">
        <f>'1.5Pahang'!E24</f>
        <v>21</v>
      </c>
      <c r="G20" s="146">
        <f>'1.7Pahang'!E22</f>
        <v>109</v>
      </c>
      <c r="H20" s="7"/>
      <c r="I20" s="15"/>
      <c r="K20" s="15"/>
    </row>
    <row r="21" spans="1:12" ht="15" customHeight="1" x14ac:dyDescent="0.2">
      <c r="A21" s="7"/>
      <c r="B21" s="56"/>
      <c r="C21" s="56"/>
      <c r="D21" s="108">
        <v>2019</v>
      </c>
      <c r="E21" s="146">
        <f t="shared" si="3"/>
        <v>125</v>
      </c>
      <c r="F21" s="146">
        <f>'1.5Pahang'!E25</f>
        <v>32</v>
      </c>
      <c r="G21" s="146">
        <f>'1.7Pahang'!E23</f>
        <v>93</v>
      </c>
      <c r="H21" s="7"/>
      <c r="K21" s="15"/>
    </row>
    <row r="22" spans="1:12" ht="8.1" customHeight="1" x14ac:dyDescent="0.2">
      <c r="A22" s="7"/>
      <c r="B22" s="56"/>
      <c r="C22" s="56"/>
      <c r="D22" s="108"/>
      <c r="E22" s="146"/>
      <c r="F22" s="146"/>
      <c r="G22" s="146"/>
      <c r="H22" s="7"/>
      <c r="K22" s="15"/>
    </row>
    <row r="23" spans="1:12" ht="15" customHeight="1" x14ac:dyDescent="0.2">
      <c r="A23" s="7"/>
      <c r="B23" s="56" t="s">
        <v>33</v>
      </c>
      <c r="C23" s="56"/>
      <c r="D23" s="108">
        <v>2017</v>
      </c>
      <c r="E23" s="146">
        <f>SUM(F23:G23)</f>
        <v>76</v>
      </c>
      <c r="F23" s="146">
        <f>'1.5Pahang'!E27</f>
        <v>13</v>
      </c>
      <c r="G23" s="146">
        <f>'1.7Pahang'!E25</f>
        <v>63</v>
      </c>
      <c r="H23" s="7"/>
      <c r="K23" s="15"/>
    </row>
    <row r="24" spans="1:12" ht="15" customHeight="1" x14ac:dyDescent="0.2">
      <c r="B24" s="56"/>
      <c r="C24" s="56"/>
      <c r="D24" s="108">
        <v>2018</v>
      </c>
      <c r="E24" s="146">
        <f t="shared" ref="E24:E25" si="4">SUM(F24:G24)</f>
        <v>66</v>
      </c>
      <c r="F24" s="146">
        <f>'1.5Pahang'!E28</f>
        <v>23</v>
      </c>
      <c r="G24" s="146">
        <f>'1.7Pahang'!E26</f>
        <v>43</v>
      </c>
      <c r="K24" s="15"/>
    </row>
    <row r="25" spans="1:12" ht="15" customHeight="1" x14ac:dyDescent="0.2">
      <c r="B25" s="56"/>
      <c r="C25" s="56"/>
      <c r="D25" s="108">
        <v>2019</v>
      </c>
      <c r="E25" s="146">
        <f t="shared" si="4"/>
        <v>45</v>
      </c>
      <c r="F25" s="146">
        <f>'1.5Pahang'!E29</f>
        <v>6</v>
      </c>
      <c r="G25" s="146">
        <f>'1.7Pahang'!E27</f>
        <v>39</v>
      </c>
      <c r="K25" s="15"/>
    </row>
    <row r="26" spans="1:12" ht="8.1" customHeight="1" x14ac:dyDescent="0.2">
      <c r="B26" s="56"/>
      <c r="C26" s="56"/>
      <c r="D26" s="108"/>
      <c r="E26" s="146"/>
      <c r="F26" s="146"/>
      <c r="G26" s="146"/>
      <c r="K26" s="15"/>
    </row>
    <row r="27" spans="1:12" ht="15" customHeight="1" x14ac:dyDescent="0.2">
      <c r="B27" s="56" t="s">
        <v>34</v>
      </c>
      <c r="C27" s="56"/>
      <c r="D27" s="108">
        <v>2017</v>
      </c>
      <c r="E27" s="146">
        <f>SUM(F27:G27)</f>
        <v>193</v>
      </c>
      <c r="F27" s="146">
        <f>'1.5Pahang'!E31</f>
        <v>31</v>
      </c>
      <c r="G27" s="146">
        <f>'1.7Pahang'!E29</f>
        <v>162</v>
      </c>
      <c r="K27" s="15"/>
    </row>
    <row r="28" spans="1:12" ht="15" customHeight="1" x14ac:dyDescent="0.2">
      <c r="B28" s="56"/>
      <c r="C28" s="56"/>
      <c r="D28" s="108">
        <v>2018</v>
      </c>
      <c r="E28" s="146">
        <f t="shared" ref="E28:E29" si="5">SUM(F28:G28)</f>
        <v>191</v>
      </c>
      <c r="F28" s="146">
        <f>'1.5Pahang'!E32</f>
        <v>35</v>
      </c>
      <c r="G28" s="146">
        <f>'1.7Pahang'!E30</f>
        <v>156</v>
      </c>
      <c r="K28" s="15"/>
    </row>
    <row r="29" spans="1:12" ht="15" customHeight="1" x14ac:dyDescent="0.2">
      <c r="B29" s="56"/>
      <c r="C29" s="56"/>
      <c r="D29" s="108">
        <v>2019</v>
      </c>
      <c r="E29" s="146">
        <f t="shared" si="5"/>
        <v>186</v>
      </c>
      <c r="F29" s="146">
        <f>'1.5Pahang'!E33</f>
        <v>36</v>
      </c>
      <c r="G29" s="146">
        <f>'1.7Pahang'!E31</f>
        <v>150</v>
      </c>
      <c r="K29" s="15"/>
    </row>
    <row r="30" spans="1:12" ht="8.1" customHeight="1" x14ac:dyDescent="0.2">
      <c r="B30" s="56"/>
      <c r="C30" s="56"/>
      <c r="D30" s="108"/>
      <c r="E30" s="146"/>
      <c r="F30" s="146"/>
      <c r="G30" s="146"/>
      <c r="K30" s="15"/>
    </row>
    <row r="31" spans="1:12" ht="15" customHeight="1" x14ac:dyDescent="0.2">
      <c r="B31" s="56" t="s">
        <v>36</v>
      </c>
      <c r="C31" s="56"/>
      <c r="D31" s="108">
        <v>2017</v>
      </c>
      <c r="E31" s="146">
        <f>SUM(F31:G31)</f>
        <v>125</v>
      </c>
      <c r="F31" s="146">
        <f>'1.5Pahang'!E35</f>
        <v>13</v>
      </c>
      <c r="G31" s="146">
        <f>'1.7Pahang'!E33</f>
        <v>112</v>
      </c>
      <c r="K31" s="15"/>
    </row>
    <row r="32" spans="1:12" s="3" customFormat="1" ht="15" customHeight="1" x14ac:dyDescent="0.2">
      <c r="B32" s="56"/>
      <c r="C32" s="56"/>
      <c r="D32" s="108">
        <v>2018</v>
      </c>
      <c r="E32" s="146">
        <f t="shared" ref="E32:E33" si="6">SUM(F32:G32)</f>
        <v>117</v>
      </c>
      <c r="F32" s="146">
        <f>'1.5Pahang'!E36</f>
        <v>13</v>
      </c>
      <c r="G32" s="146">
        <f>'1.7Pahang'!E34</f>
        <v>104</v>
      </c>
      <c r="H32" s="2"/>
      <c r="I32" s="2"/>
      <c r="J32" s="2"/>
      <c r="K32" s="15"/>
      <c r="L32" s="2"/>
    </row>
    <row r="33" spans="2:11" ht="15" customHeight="1" x14ac:dyDescent="0.2">
      <c r="B33" s="56"/>
      <c r="C33" s="56"/>
      <c r="D33" s="108">
        <v>2019</v>
      </c>
      <c r="E33" s="146">
        <f t="shared" si="6"/>
        <v>107</v>
      </c>
      <c r="F33" s="146">
        <f>'1.5Pahang'!E37</f>
        <v>18</v>
      </c>
      <c r="G33" s="146">
        <f>'1.7Pahang'!E35</f>
        <v>89</v>
      </c>
      <c r="K33" s="15"/>
    </row>
    <row r="34" spans="2:11" ht="8.1" customHeight="1" x14ac:dyDescent="0.2">
      <c r="B34" s="56"/>
      <c r="C34" s="56"/>
      <c r="D34" s="108"/>
      <c r="E34" s="146"/>
      <c r="F34" s="146"/>
      <c r="G34" s="146"/>
      <c r="K34" s="15"/>
    </row>
    <row r="35" spans="2:11" ht="15" customHeight="1" x14ac:dyDescent="0.2">
      <c r="B35" s="56" t="s">
        <v>35</v>
      </c>
      <c r="C35" s="56"/>
      <c r="D35" s="108">
        <v>2017</v>
      </c>
      <c r="E35" s="146">
        <f>SUM(F35:G35)</f>
        <v>1644</v>
      </c>
      <c r="F35" s="146">
        <f>'1.5Pahang'!E39</f>
        <v>324</v>
      </c>
      <c r="G35" s="146">
        <f>'1.7Pahang'!E37</f>
        <v>1320</v>
      </c>
      <c r="K35" s="15"/>
    </row>
    <row r="36" spans="2:11" ht="15" customHeight="1" x14ac:dyDescent="0.2">
      <c r="B36" s="56"/>
      <c r="C36" s="56"/>
      <c r="D36" s="108">
        <v>2018</v>
      </c>
      <c r="E36" s="146">
        <f t="shared" ref="E36:E37" si="7">SUM(F36:G36)</f>
        <v>1560</v>
      </c>
      <c r="F36" s="146">
        <f>'1.5Pahang'!E40</f>
        <v>247</v>
      </c>
      <c r="G36" s="146">
        <f>'1.7Pahang'!E38</f>
        <v>1313</v>
      </c>
      <c r="K36" s="15"/>
    </row>
    <row r="37" spans="2:11" ht="15" customHeight="1" x14ac:dyDescent="0.2">
      <c r="B37" s="56"/>
      <c r="C37" s="56"/>
      <c r="D37" s="108">
        <v>2019</v>
      </c>
      <c r="E37" s="146">
        <f t="shared" si="7"/>
        <v>1274</v>
      </c>
      <c r="F37" s="146">
        <f>'1.5Pahang'!E41</f>
        <v>257</v>
      </c>
      <c r="G37" s="146">
        <f>'1.7Pahang'!E39</f>
        <v>1017</v>
      </c>
      <c r="K37" s="15"/>
    </row>
    <row r="38" spans="2:11" ht="8.1" customHeight="1" x14ac:dyDescent="0.2">
      <c r="B38" s="56"/>
      <c r="C38" s="56"/>
      <c r="D38" s="108"/>
      <c r="E38" s="146"/>
      <c r="F38" s="146"/>
      <c r="G38" s="146"/>
      <c r="K38" s="15"/>
    </row>
    <row r="39" spans="2:11" ht="15" customHeight="1" x14ac:dyDescent="0.2">
      <c r="B39" s="56" t="s">
        <v>41</v>
      </c>
      <c r="C39" s="56"/>
      <c r="D39" s="108">
        <v>2017</v>
      </c>
      <c r="E39" s="146">
        <f>SUM(F39:G39)</f>
        <v>254</v>
      </c>
      <c r="F39" s="146">
        <f>'1.5Pahang'!E43</f>
        <v>36</v>
      </c>
      <c r="G39" s="146">
        <f>'1.7Pahang'!E41</f>
        <v>218</v>
      </c>
      <c r="K39" s="15"/>
    </row>
    <row r="40" spans="2:11" ht="15" customHeight="1" x14ac:dyDescent="0.2">
      <c r="B40" s="56"/>
      <c r="C40" s="56"/>
      <c r="D40" s="108">
        <v>2018</v>
      </c>
      <c r="E40" s="146">
        <f t="shared" ref="E40:E41" si="8">SUM(F40:G40)</f>
        <v>252</v>
      </c>
      <c r="F40" s="146">
        <f>'1.5Pahang'!E44</f>
        <v>35</v>
      </c>
      <c r="G40" s="146">
        <f>'1.7Pahang'!E42</f>
        <v>217</v>
      </c>
      <c r="K40" s="15"/>
    </row>
    <row r="41" spans="2:11" ht="15" customHeight="1" x14ac:dyDescent="0.2">
      <c r="B41" s="56"/>
      <c r="C41" s="56"/>
      <c r="D41" s="108">
        <v>2019</v>
      </c>
      <c r="E41" s="146">
        <f t="shared" si="8"/>
        <v>241</v>
      </c>
      <c r="F41" s="146">
        <f>'1.5Pahang'!E45</f>
        <v>29</v>
      </c>
      <c r="G41" s="146">
        <f>'1.7Pahang'!E43</f>
        <v>212</v>
      </c>
      <c r="K41" s="15"/>
    </row>
    <row r="42" spans="2:11" ht="8.1" customHeight="1" x14ac:dyDescent="0.2">
      <c r="B42" s="56"/>
      <c r="C42" s="56"/>
      <c r="D42" s="108"/>
      <c r="E42" s="146"/>
      <c r="F42" s="146"/>
      <c r="G42" s="146"/>
      <c r="K42" s="15"/>
    </row>
    <row r="43" spans="2:11" ht="15" customHeight="1" x14ac:dyDescent="0.2">
      <c r="B43" s="56" t="s">
        <v>37</v>
      </c>
      <c r="C43" s="56"/>
      <c r="D43" s="108">
        <v>2017</v>
      </c>
      <c r="E43" s="146">
        <f>SUM(F43:G43)</f>
        <v>171</v>
      </c>
      <c r="F43" s="146">
        <f>'1.5Pahang'!E47</f>
        <v>33</v>
      </c>
      <c r="G43" s="146">
        <f>'1.7Pahang'!E45</f>
        <v>138</v>
      </c>
      <c r="K43" s="15"/>
    </row>
    <row r="44" spans="2:11" ht="15" customHeight="1" x14ac:dyDescent="0.2">
      <c r="B44" s="56"/>
      <c r="C44" s="56"/>
      <c r="D44" s="108">
        <v>2018</v>
      </c>
      <c r="E44" s="146">
        <f t="shared" ref="E44:E45" si="9">SUM(F44:G44)</f>
        <v>142</v>
      </c>
      <c r="F44" s="146">
        <f>'1.5Pahang'!E48</f>
        <v>27</v>
      </c>
      <c r="G44" s="146">
        <f>'1.7Pahang'!E46</f>
        <v>115</v>
      </c>
      <c r="K44" s="15"/>
    </row>
    <row r="45" spans="2:11" ht="15" customHeight="1" x14ac:dyDescent="0.2">
      <c r="B45" s="56"/>
      <c r="C45" s="56"/>
      <c r="D45" s="108">
        <v>2019</v>
      </c>
      <c r="E45" s="146">
        <f t="shared" si="9"/>
        <v>198</v>
      </c>
      <c r="F45" s="146">
        <f>'1.5Pahang'!E49</f>
        <v>21</v>
      </c>
      <c r="G45" s="146">
        <f>'1.7Pahang'!E47</f>
        <v>177</v>
      </c>
      <c r="K45" s="15"/>
    </row>
    <row r="46" spans="2:11" ht="8.1" customHeight="1" x14ac:dyDescent="0.2">
      <c r="B46" s="56"/>
      <c r="C46" s="56"/>
      <c r="D46" s="108"/>
      <c r="E46" s="146"/>
      <c r="F46" s="146"/>
      <c r="G46" s="146"/>
      <c r="K46" s="15"/>
    </row>
    <row r="47" spans="2:11" ht="15" customHeight="1" x14ac:dyDescent="0.2">
      <c r="B47" s="56" t="s">
        <v>38</v>
      </c>
      <c r="C47" s="56"/>
      <c r="D47" s="108">
        <v>2017</v>
      </c>
      <c r="E47" s="146">
        <f>SUM(F47:G47)</f>
        <v>125</v>
      </c>
      <c r="F47" s="146">
        <f>'1.5Pahang'!E51</f>
        <v>22</v>
      </c>
      <c r="G47" s="146">
        <f>'1.7Pahang'!E49</f>
        <v>103</v>
      </c>
      <c r="K47" s="15"/>
    </row>
    <row r="48" spans="2:11" ht="15" customHeight="1" x14ac:dyDescent="0.2">
      <c r="B48" s="56"/>
      <c r="C48" s="56"/>
      <c r="D48" s="108">
        <v>2018</v>
      </c>
      <c r="E48" s="146">
        <f t="shared" ref="E48:E49" si="10">SUM(F48:G48)</f>
        <v>113</v>
      </c>
      <c r="F48" s="146">
        <f>'1.5Pahang'!E52</f>
        <v>26</v>
      </c>
      <c r="G48" s="146">
        <f>'1.7Pahang'!E50</f>
        <v>87</v>
      </c>
      <c r="K48" s="15"/>
    </row>
    <row r="49" spans="1:11" ht="15" customHeight="1" x14ac:dyDescent="0.2">
      <c r="B49" s="56"/>
      <c r="C49" s="56"/>
      <c r="D49" s="108">
        <v>2019</v>
      </c>
      <c r="E49" s="146">
        <f t="shared" si="10"/>
        <v>109</v>
      </c>
      <c r="F49" s="146">
        <f>'1.5Pahang'!E53</f>
        <v>26</v>
      </c>
      <c r="G49" s="146">
        <f>'1.7Pahang'!E51</f>
        <v>83</v>
      </c>
      <c r="K49" s="15"/>
    </row>
    <row r="50" spans="1:11" ht="8.1" customHeight="1" x14ac:dyDescent="0.2">
      <c r="B50" s="56"/>
      <c r="C50" s="56"/>
      <c r="D50" s="108"/>
      <c r="E50" s="146"/>
      <c r="F50" s="146"/>
      <c r="G50" s="146"/>
      <c r="K50" s="15"/>
    </row>
    <row r="51" spans="1:11" ht="15" customHeight="1" x14ac:dyDescent="0.2">
      <c r="B51" s="56" t="s">
        <v>40</v>
      </c>
      <c r="C51" s="56"/>
      <c r="D51" s="108">
        <v>2017</v>
      </c>
      <c r="E51" s="146">
        <f>SUM(F51:G51)</f>
        <v>224</v>
      </c>
      <c r="F51" s="146">
        <f>'1.5Pahang'!E55</f>
        <v>42</v>
      </c>
      <c r="G51" s="146">
        <f>'1.7Pahang'!E53</f>
        <v>182</v>
      </c>
      <c r="I51" s="15"/>
      <c r="K51" s="15"/>
    </row>
    <row r="52" spans="1:11" ht="15" customHeight="1" x14ac:dyDescent="0.2">
      <c r="B52" s="56"/>
      <c r="C52" s="56"/>
      <c r="D52" s="108">
        <v>2018</v>
      </c>
      <c r="E52" s="146">
        <f t="shared" ref="E52:E53" si="11">SUM(F52:G52)</f>
        <v>179</v>
      </c>
      <c r="F52" s="146">
        <f>'1.5Pahang'!E56</f>
        <v>37</v>
      </c>
      <c r="G52" s="146">
        <f>'1.7Pahang'!E54</f>
        <v>142</v>
      </c>
      <c r="I52" s="15"/>
      <c r="K52" s="15"/>
    </row>
    <row r="53" spans="1:11" ht="15" customHeight="1" x14ac:dyDescent="0.2">
      <c r="B53" s="56"/>
      <c r="C53" s="56"/>
      <c r="D53" s="108">
        <v>2019</v>
      </c>
      <c r="E53" s="146">
        <f t="shared" si="11"/>
        <v>161</v>
      </c>
      <c r="F53" s="146">
        <f>'1.5Pahang'!E57</f>
        <v>28</v>
      </c>
      <c r="G53" s="146">
        <f>'1.7Pahang'!E55</f>
        <v>133</v>
      </c>
      <c r="I53" s="15"/>
      <c r="K53" s="15"/>
    </row>
    <row r="54" spans="1:11" ht="8.1" customHeight="1" x14ac:dyDescent="0.2">
      <c r="B54" s="56"/>
      <c r="C54" s="56"/>
      <c r="D54" s="108"/>
      <c r="E54" s="146"/>
      <c r="F54" s="146"/>
      <c r="G54" s="146"/>
      <c r="I54" s="15"/>
      <c r="K54" s="15"/>
    </row>
    <row r="55" spans="1:11" ht="15" customHeight="1" x14ac:dyDescent="0.2">
      <c r="B55" s="56" t="s">
        <v>39</v>
      </c>
      <c r="C55" s="56"/>
      <c r="D55" s="108">
        <v>2017</v>
      </c>
      <c r="E55" s="146">
        <f>SUM(F55:G55)</f>
        <v>328</v>
      </c>
      <c r="F55" s="146">
        <f>'1.5Pahang'!E59</f>
        <v>55</v>
      </c>
      <c r="G55" s="146">
        <f>'1.7Pahang'!E57</f>
        <v>273</v>
      </c>
      <c r="I55" s="15"/>
      <c r="K55" s="15"/>
    </row>
    <row r="56" spans="1:11" ht="15" customHeight="1" x14ac:dyDescent="0.2">
      <c r="B56" s="56"/>
      <c r="C56" s="56"/>
      <c r="D56" s="108">
        <v>2018</v>
      </c>
      <c r="E56" s="146">
        <f t="shared" ref="E56:E57" si="12">SUM(F56:G56)</f>
        <v>298</v>
      </c>
      <c r="F56" s="146">
        <f>'1.5Pahang'!E60</f>
        <v>53</v>
      </c>
      <c r="G56" s="146">
        <f>'1.7Pahang'!E58</f>
        <v>245</v>
      </c>
      <c r="I56" s="15"/>
      <c r="K56" s="15"/>
    </row>
    <row r="57" spans="1:11" ht="15" customHeight="1" x14ac:dyDescent="0.2">
      <c r="A57" s="7"/>
      <c r="B57" s="56"/>
      <c r="C57" s="56"/>
      <c r="D57" s="108">
        <v>2019</v>
      </c>
      <c r="E57" s="146">
        <f t="shared" si="12"/>
        <v>301</v>
      </c>
      <c r="F57" s="146">
        <f>'1.5Pahang'!E61</f>
        <v>73</v>
      </c>
      <c r="G57" s="146">
        <f>'1.7Pahang'!E59</f>
        <v>228</v>
      </c>
      <c r="H57" s="7"/>
      <c r="I57" s="15"/>
      <c r="K57" s="15"/>
    </row>
    <row r="58" spans="1:11" ht="8.1" customHeight="1" thickBot="1" x14ac:dyDescent="0.25">
      <c r="A58" s="34"/>
      <c r="B58" s="16"/>
      <c r="C58" s="16"/>
      <c r="D58" s="131"/>
      <c r="E58" s="12"/>
      <c r="F58" s="33"/>
      <c r="G58" s="12"/>
      <c r="H58" s="34"/>
      <c r="I58" s="15"/>
    </row>
    <row r="59" spans="1:11" x14ac:dyDescent="0.25">
      <c r="D59" s="130"/>
      <c r="G59" s="154" t="s">
        <v>99</v>
      </c>
    </row>
    <row r="60" spans="1:11" x14ac:dyDescent="0.25">
      <c r="D60" s="130"/>
      <c r="G60" s="159" t="s">
        <v>1</v>
      </c>
    </row>
    <row r="61" spans="1:11" x14ac:dyDescent="0.25">
      <c r="D61" s="130"/>
    </row>
    <row r="62" spans="1:11" x14ac:dyDescent="0.25">
      <c r="D62" s="130"/>
    </row>
    <row r="63" spans="1:11" x14ac:dyDescent="0.25">
      <c r="D63" s="130"/>
    </row>
    <row r="64" spans="1:11" x14ac:dyDescent="0.25">
      <c r="D64" s="130"/>
    </row>
    <row r="65" spans="4:4" x14ac:dyDescent="0.25">
      <c r="D65" s="130"/>
    </row>
    <row r="66" spans="4:4" x14ac:dyDescent="0.25">
      <c r="D66" s="130"/>
    </row>
    <row r="67" spans="4:4" x14ac:dyDescent="0.25">
      <c r="D67" s="130"/>
    </row>
    <row r="68" spans="4:4" x14ac:dyDescent="0.25">
      <c r="D68" s="130"/>
    </row>
    <row r="69" spans="4:4" x14ac:dyDescent="0.25">
      <c r="D69" s="130"/>
    </row>
  </sheetData>
  <mergeCells count="6">
    <mergeCell ref="C6:G6"/>
    <mergeCell ref="E8:E9"/>
    <mergeCell ref="F8:F9"/>
    <mergeCell ref="G8:G9"/>
    <mergeCell ref="B8:C9"/>
    <mergeCell ref="D8:D9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90" fitToWidth="0" orientation="portrait" r:id="rId1"/>
  <headerFooter>
    <oddHeader xml:space="preserve">&amp;R&amp;"-,Bold"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showGridLines="0" zoomScaleNormal="100" zoomScaleSheetLayoutView="100" workbookViewId="0">
      <selection activeCell="AA22" sqref="AA22"/>
    </sheetView>
  </sheetViews>
  <sheetFormatPr defaultColWidth="9.140625" defaultRowHeight="15" x14ac:dyDescent="0.25"/>
  <cols>
    <col min="1" max="1" width="1.7109375" style="2" customWidth="1"/>
    <col min="2" max="2" width="10.7109375" style="3" customWidth="1"/>
    <col min="3" max="3" width="12.28515625" style="3" customWidth="1"/>
    <col min="4" max="4" width="10.85546875" style="3" customWidth="1"/>
    <col min="5" max="5" width="15.7109375" style="21" customWidth="1"/>
    <col min="6" max="7" width="23.7109375" style="22" customWidth="1"/>
    <col min="8" max="8" width="0.85546875" style="2" customWidth="1"/>
    <col min="9" max="16384" width="9.140625" style="2"/>
  </cols>
  <sheetData>
    <row r="1" spans="1:8" s="30" customFormat="1" ht="12" customHeight="1" x14ac:dyDescent="0.25">
      <c r="B1" s="27"/>
      <c r="C1" s="27"/>
      <c r="D1" s="27"/>
      <c r="E1" s="28"/>
      <c r="F1" s="29"/>
      <c r="G1" s="150" t="s">
        <v>179</v>
      </c>
    </row>
    <row r="2" spans="1:8" s="30" customFormat="1" ht="12" customHeight="1" x14ac:dyDescent="0.25">
      <c r="B2" s="27"/>
      <c r="C2" s="27"/>
      <c r="D2" s="27"/>
      <c r="E2" s="28"/>
      <c r="F2" s="29"/>
      <c r="G2" s="151" t="s">
        <v>180</v>
      </c>
    </row>
    <row r="3" spans="1:8" s="30" customFormat="1" ht="12" customHeight="1" x14ac:dyDescent="0.25">
      <c r="B3" s="27"/>
      <c r="C3" s="27"/>
      <c r="D3" s="27"/>
      <c r="E3" s="28"/>
      <c r="F3" s="29"/>
      <c r="G3" s="68"/>
    </row>
    <row r="4" spans="1:8" s="30" customFormat="1" ht="12" customHeight="1" x14ac:dyDescent="0.25">
      <c r="B4" s="27"/>
      <c r="C4" s="27"/>
      <c r="D4" s="27"/>
      <c r="E4" s="28"/>
      <c r="F4" s="29"/>
      <c r="G4" s="68"/>
    </row>
    <row r="5" spans="1:8" s="53" customFormat="1" ht="15" customHeight="1" x14ac:dyDescent="0.2">
      <c r="B5" s="63" t="s">
        <v>184</v>
      </c>
      <c r="C5" s="64" t="s">
        <v>243</v>
      </c>
      <c r="D5" s="64"/>
      <c r="E5" s="63"/>
      <c r="F5" s="64"/>
      <c r="G5" s="152"/>
      <c r="H5" s="64"/>
    </row>
    <row r="6" spans="1:8" s="65" customFormat="1" ht="15" customHeight="1" x14ac:dyDescent="0.2">
      <c r="B6" s="66" t="s">
        <v>185</v>
      </c>
      <c r="C6" s="422" t="s">
        <v>244</v>
      </c>
      <c r="D6" s="422"/>
      <c r="E6" s="422"/>
      <c r="F6" s="422"/>
      <c r="G6" s="422"/>
      <c r="H6" s="67"/>
    </row>
    <row r="7" spans="1:8" ht="9.9499999999999993" customHeight="1" thickBot="1" x14ac:dyDescent="0.3"/>
    <row r="8" spans="1:8" s="53" customFormat="1" ht="20.100000000000001" customHeight="1" thickTop="1" x14ac:dyDescent="0.2">
      <c r="A8" s="371"/>
      <c r="B8" s="429" t="s">
        <v>207</v>
      </c>
      <c r="C8" s="429"/>
      <c r="D8" s="423" t="s">
        <v>96</v>
      </c>
      <c r="E8" s="423" t="s">
        <v>92</v>
      </c>
      <c r="F8" s="425" t="s">
        <v>93</v>
      </c>
      <c r="G8" s="425" t="s">
        <v>94</v>
      </c>
      <c r="H8" s="372"/>
    </row>
    <row r="9" spans="1:8" s="53" customFormat="1" ht="33" customHeight="1" thickBot="1" x14ac:dyDescent="0.25">
      <c r="A9" s="373"/>
      <c r="B9" s="430"/>
      <c r="C9" s="430"/>
      <c r="D9" s="424"/>
      <c r="E9" s="424"/>
      <c r="F9" s="426"/>
      <c r="G9" s="426"/>
      <c r="H9" s="369"/>
    </row>
    <row r="10" spans="1:8" ht="6.95" customHeight="1" x14ac:dyDescent="0.2">
      <c r="A10" s="45"/>
      <c r="B10" s="46"/>
      <c r="C10" s="46"/>
      <c r="D10" s="46"/>
      <c r="E10" s="431"/>
      <c r="F10" s="431"/>
      <c r="G10" s="431"/>
      <c r="H10" s="45"/>
    </row>
    <row r="11" spans="1:8" s="6" customFormat="1" ht="12" customHeight="1" x14ac:dyDescent="0.25">
      <c r="B11" s="61" t="s">
        <v>174</v>
      </c>
      <c r="C11" s="61"/>
      <c r="D11" s="62">
        <v>2017</v>
      </c>
      <c r="E11" s="145">
        <f t="shared" ref="E11:G13" si="0">SUM(E15,E19,E23,E27,E31,E35,E39,E43,E47,,E51,E55,E59,E63,E67,E71,)</f>
        <v>5326</v>
      </c>
      <c r="F11" s="145">
        <f t="shared" si="0"/>
        <v>1140</v>
      </c>
      <c r="G11" s="145">
        <f t="shared" si="0"/>
        <v>4186</v>
      </c>
      <c r="H11" s="24"/>
    </row>
    <row r="12" spans="1:8" s="6" customFormat="1" ht="12" customHeight="1" x14ac:dyDescent="0.25">
      <c r="B12" s="61"/>
      <c r="C12" s="61"/>
      <c r="D12" s="62">
        <v>2018</v>
      </c>
      <c r="E12" s="145">
        <f t="shared" si="0"/>
        <v>5128</v>
      </c>
      <c r="F12" s="145">
        <f t="shared" si="0"/>
        <v>1005</v>
      </c>
      <c r="G12" s="145">
        <f t="shared" ref="G12" si="1">SUM(G16,G20,G24,G28,G32,G36,G40,G44,G48,,G52,G56,G60,G64,G68,G72,)</f>
        <v>4123</v>
      </c>
    </row>
    <row r="13" spans="1:8" s="6" customFormat="1" ht="12" customHeight="1" x14ac:dyDescent="0.25">
      <c r="B13" s="61"/>
      <c r="C13" s="61"/>
      <c r="D13" s="62">
        <v>2019</v>
      </c>
      <c r="E13" s="145">
        <f t="shared" si="0"/>
        <v>4912</v>
      </c>
      <c r="F13" s="145">
        <f t="shared" si="0"/>
        <v>1103</v>
      </c>
      <c r="G13" s="145">
        <f>SUM(G17,G21,G25,G29,G33,G37,G41,G45,G49,,G53,G57,G61,G65,G69,G73,)</f>
        <v>3809</v>
      </c>
    </row>
    <row r="14" spans="1:8" ht="6.95" customHeight="1" x14ac:dyDescent="0.2">
      <c r="A14" s="7"/>
      <c r="B14" s="122"/>
      <c r="C14" s="122"/>
      <c r="D14" s="62"/>
      <c r="E14" s="123"/>
      <c r="F14" s="123"/>
      <c r="G14" s="123"/>
      <c r="H14" s="7"/>
    </row>
    <row r="15" spans="1:8" ht="12" customHeight="1" x14ac:dyDescent="0.2">
      <c r="B15" s="56" t="s">
        <v>69</v>
      </c>
      <c r="C15" s="56"/>
      <c r="D15" s="141">
        <v>2017</v>
      </c>
      <c r="E15" s="146">
        <f>SUM(F15:G15)</f>
        <v>91</v>
      </c>
      <c r="F15" s="146">
        <f>'1.5Perak'!E19</f>
        <v>23</v>
      </c>
      <c r="G15" s="146">
        <f>'1.7Perak'!E17</f>
        <v>68</v>
      </c>
      <c r="H15" s="7"/>
    </row>
    <row r="16" spans="1:8" ht="12" customHeight="1" x14ac:dyDescent="0.2">
      <c r="B16" s="56"/>
      <c r="C16" s="56"/>
      <c r="D16" s="141">
        <v>2018</v>
      </c>
      <c r="E16" s="146">
        <f t="shared" ref="E16:E17" si="2">SUM(F16:G16)</f>
        <v>92</v>
      </c>
      <c r="F16" s="146">
        <f>'1.5Perak'!E20</f>
        <v>17</v>
      </c>
      <c r="G16" s="146">
        <f>'1.7Perak'!E18</f>
        <v>75</v>
      </c>
    </row>
    <row r="17" spans="2:8" ht="12" customHeight="1" x14ac:dyDescent="0.2">
      <c r="B17" s="56"/>
      <c r="C17" s="56"/>
      <c r="D17" s="141">
        <v>2019</v>
      </c>
      <c r="E17" s="146">
        <f t="shared" si="2"/>
        <v>105</v>
      </c>
      <c r="F17" s="146">
        <f>'1.5Perak'!E21</f>
        <v>25</v>
      </c>
      <c r="G17" s="146">
        <f>'1.7Perak'!E19</f>
        <v>80</v>
      </c>
    </row>
    <row r="18" spans="2:8" ht="6.95" customHeight="1" x14ac:dyDescent="0.2">
      <c r="B18" s="56"/>
      <c r="C18" s="56"/>
      <c r="D18" s="141"/>
      <c r="E18" s="146"/>
      <c r="F18" s="146"/>
      <c r="G18" s="146"/>
    </row>
    <row r="19" spans="2:8" ht="12" customHeight="1" x14ac:dyDescent="0.2">
      <c r="B19" s="56" t="s">
        <v>70</v>
      </c>
      <c r="C19" s="56"/>
      <c r="D19" s="141">
        <v>2017</v>
      </c>
      <c r="E19" s="146">
        <f>SUM(F19:G19)</f>
        <v>78</v>
      </c>
      <c r="F19" s="146">
        <f>'1.5Perak'!E23</f>
        <v>16</v>
      </c>
      <c r="G19" s="146">
        <f>'1.7Perak'!E21</f>
        <v>62</v>
      </c>
    </row>
    <row r="20" spans="2:8" ht="12" customHeight="1" x14ac:dyDescent="0.2">
      <c r="B20" s="56"/>
      <c r="C20" s="56"/>
      <c r="D20" s="141">
        <v>2018</v>
      </c>
      <c r="E20" s="146">
        <f t="shared" ref="E20:E21" si="3">SUM(F20:G20)</f>
        <v>69</v>
      </c>
      <c r="F20" s="146">
        <f>'1.5Perak'!E24</f>
        <v>15</v>
      </c>
      <c r="G20" s="146">
        <f>'1.7Perak'!E22</f>
        <v>54</v>
      </c>
    </row>
    <row r="21" spans="2:8" ht="12" customHeight="1" x14ac:dyDescent="0.2">
      <c r="B21" s="56"/>
      <c r="C21" s="56"/>
      <c r="D21" s="141">
        <v>2019</v>
      </c>
      <c r="E21" s="146">
        <f t="shared" si="3"/>
        <v>83</v>
      </c>
      <c r="F21" s="146">
        <f>'1.5Perak'!E25</f>
        <v>17</v>
      </c>
      <c r="G21" s="146">
        <f>'1.7Perak'!E23</f>
        <v>66</v>
      </c>
    </row>
    <row r="22" spans="2:8" ht="6.95" customHeight="1" x14ac:dyDescent="0.2">
      <c r="B22" s="56"/>
      <c r="C22" s="56"/>
      <c r="D22" s="141"/>
      <c r="E22" s="146"/>
      <c r="F22" s="146"/>
      <c r="G22" s="146"/>
    </row>
    <row r="23" spans="2:8" ht="12" customHeight="1" x14ac:dyDescent="0.2">
      <c r="B23" s="56" t="s">
        <v>46</v>
      </c>
      <c r="C23" s="56"/>
      <c r="D23" s="141">
        <v>2017</v>
      </c>
      <c r="E23" s="146">
        <f>SUM(F23:G23)</f>
        <v>560</v>
      </c>
      <c r="F23" s="146">
        <f>'1.5Perak'!E27</f>
        <v>128</v>
      </c>
      <c r="G23" s="146">
        <f>'1.7Perak'!E25</f>
        <v>432</v>
      </c>
    </row>
    <row r="24" spans="2:8" ht="12" customHeight="1" x14ac:dyDescent="0.2">
      <c r="B24" s="56"/>
      <c r="C24" s="56"/>
      <c r="D24" s="141">
        <v>2018</v>
      </c>
      <c r="E24" s="146">
        <f t="shared" ref="E24:E25" si="4">SUM(F24:G24)</f>
        <v>560</v>
      </c>
      <c r="F24" s="146">
        <f>'1.5Perak'!E28</f>
        <v>113</v>
      </c>
      <c r="G24" s="146">
        <f>'1.7Perak'!E26</f>
        <v>447</v>
      </c>
    </row>
    <row r="25" spans="2:8" ht="12" customHeight="1" x14ac:dyDescent="0.2">
      <c r="B25" s="56"/>
      <c r="C25" s="56"/>
      <c r="D25" s="141">
        <v>2019</v>
      </c>
      <c r="E25" s="146">
        <f t="shared" si="4"/>
        <v>554</v>
      </c>
      <c r="F25" s="146">
        <f>'1.5Perak'!E29</f>
        <v>113</v>
      </c>
      <c r="G25" s="146">
        <f>'1.7Perak'!E27</f>
        <v>441</v>
      </c>
    </row>
    <row r="26" spans="2:8" ht="6.95" customHeight="1" x14ac:dyDescent="0.2">
      <c r="B26" s="56"/>
      <c r="C26" s="56"/>
      <c r="D26" s="141"/>
      <c r="E26" s="146"/>
      <c r="F26" s="146"/>
      <c r="G26" s="146"/>
    </row>
    <row r="27" spans="2:8" ht="12" customHeight="1" x14ac:dyDescent="0.2">
      <c r="B27" s="56" t="s">
        <v>71</v>
      </c>
      <c r="C27" s="56"/>
      <c r="D27" s="141">
        <v>2017</v>
      </c>
      <c r="E27" s="146">
        <f>SUM(F27:G27)</f>
        <v>2081</v>
      </c>
      <c r="F27" s="146">
        <f>'1.5Perak'!E31</f>
        <v>450</v>
      </c>
      <c r="G27" s="146">
        <f>'1.7Perak'!E29</f>
        <v>1631</v>
      </c>
    </row>
    <row r="28" spans="2:8" s="3" customFormat="1" ht="12" customHeight="1" x14ac:dyDescent="0.2">
      <c r="B28" s="56"/>
      <c r="C28" s="56"/>
      <c r="D28" s="141">
        <v>2018</v>
      </c>
      <c r="E28" s="146">
        <f t="shared" ref="E28:E29" si="5">SUM(F28:G28)</f>
        <v>1964</v>
      </c>
      <c r="F28" s="146">
        <f>'1.5Perak'!E32</f>
        <v>377</v>
      </c>
      <c r="G28" s="146">
        <f>'1.7Perak'!E30</f>
        <v>1587</v>
      </c>
      <c r="H28" s="2"/>
    </row>
    <row r="29" spans="2:8" ht="12" customHeight="1" x14ac:dyDescent="0.2">
      <c r="B29" s="56"/>
      <c r="C29" s="56"/>
      <c r="D29" s="141">
        <v>2019</v>
      </c>
      <c r="E29" s="146">
        <f t="shared" si="5"/>
        <v>1865</v>
      </c>
      <c r="F29" s="146">
        <f>'1.5Perak'!E33</f>
        <v>445</v>
      </c>
      <c r="G29" s="146">
        <f>'1.7Perak'!E31</f>
        <v>1420</v>
      </c>
    </row>
    <row r="30" spans="2:8" ht="6.95" customHeight="1" x14ac:dyDescent="0.2">
      <c r="B30" s="56"/>
      <c r="C30" s="56"/>
      <c r="D30" s="141"/>
      <c r="E30" s="146"/>
      <c r="F30" s="146"/>
      <c r="G30" s="146"/>
    </row>
    <row r="31" spans="2:8" ht="12" customHeight="1" x14ac:dyDescent="0.2">
      <c r="B31" s="56" t="s">
        <v>48</v>
      </c>
      <c r="C31" s="56"/>
      <c r="D31" s="141">
        <v>2017</v>
      </c>
      <c r="E31" s="146">
        <f>SUM(F31:G31)</f>
        <v>182</v>
      </c>
      <c r="F31" s="146">
        <f>'1.5Perak'!E35</f>
        <v>36</v>
      </c>
      <c r="G31" s="146">
        <f>'1.7Perak'!E33</f>
        <v>146</v>
      </c>
    </row>
    <row r="32" spans="2:8" ht="12" customHeight="1" x14ac:dyDescent="0.2">
      <c r="B32" s="56"/>
      <c r="C32" s="56"/>
      <c r="D32" s="141">
        <v>2018</v>
      </c>
      <c r="E32" s="146">
        <f t="shared" ref="E32:E33" si="6">SUM(F32:G32)</f>
        <v>192</v>
      </c>
      <c r="F32" s="146">
        <f>'1.5Perak'!E36</f>
        <v>32</v>
      </c>
      <c r="G32" s="146">
        <f>'1.7Perak'!E34</f>
        <v>160</v>
      </c>
    </row>
    <row r="33" spans="2:7" ht="12" customHeight="1" x14ac:dyDescent="0.2">
      <c r="B33" s="56"/>
      <c r="C33" s="56"/>
      <c r="D33" s="141">
        <v>2019</v>
      </c>
      <c r="E33" s="146">
        <f t="shared" si="6"/>
        <v>201</v>
      </c>
      <c r="F33" s="146">
        <f>'1.5Perak'!E37</f>
        <v>34</v>
      </c>
      <c r="G33" s="146">
        <f>'1.7Perak'!E35</f>
        <v>167</v>
      </c>
    </row>
    <row r="34" spans="2:7" ht="6.95" customHeight="1" x14ac:dyDescent="0.2">
      <c r="B34" s="56"/>
      <c r="C34" s="56"/>
      <c r="D34" s="141"/>
      <c r="E34" s="146"/>
      <c r="F34" s="146"/>
      <c r="G34" s="146"/>
    </row>
    <row r="35" spans="2:7" ht="12" customHeight="1" x14ac:dyDescent="0.2">
      <c r="B35" s="56" t="s">
        <v>44</v>
      </c>
      <c r="C35" s="56"/>
      <c r="D35" s="141">
        <v>2017</v>
      </c>
      <c r="E35" s="146">
        <f>SUM(F35:G35)</f>
        <v>195</v>
      </c>
      <c r="F35" s="146">
        <f>'1.5Perak'!E39</f>
        <v>39</v>
      </c>
      <c r="G35" s="146">
        <f>'1.7Perak'!E37</f>
        <v>156</v>
      </c>
    </row>
    <row r="36" spans="2:7" ht="12" customHeight="1" x14ac:dyDescent="0.2">
      <c r="B36" s="56"/>
      <c r="C36" s="56"/>
      <c r="D36" s="141">
        <v>2018</v>
      </c>
      <c r="E36" s="146">
        <f t="shared" ref="E36:E37" si="7">SUM(F36:G36)</f>
        <v>192</v>
      </c>
      <c r="F36" s="146">
        <f>'1.5Perak'!E40</f>
        <v>37</v>
      </c>
      <c r="G36" s="146">
        <f>'1.7Perak'!E38</f>
        <v>155</v>
      </c>
    </row>
    <row r="37" spans="2:7" ht="12" customHeight="1" x14ac:dyDescent="0.2">
      <c r="B37" s="56"/>
      <c r="C37" s="56"/>
      <c r="D37" s="141">
        <v>2019</v>
      </c>
      <c r="E37" s="146">
        <f t="shared" si="7"/>
        <v>198</v>
      </c>
      <c r="F37" s="146">
        <f>'1.5Perak'!E41</f>
        <v>37</v>
      </c>
      <c r="G37" s="146">
        <f>'1.7Perak'!E39</f>
        <v>161</v>
      </c>
    </row>
    <row r="38" spans="2:7" ht="6.95" customHeight="1" x14ac:dyDescent="0.2">
      <c r="B38" s="56"/>
      <c r="C38" s="56"/>
      <c r="D38" s="141"/>
      <c r="E38" s="146"/>
      <c r="F38" s="146"/>
      <c r="G38" s="146"/>
    </row>
    <row r="39" spans="2:7" ht="12" customHeight="1" x14ac:dyDescent="0.2">
      <c r="B39" s="56" t="s">
        <v>45</v>
      </c>
      <c r="C39" s="56"/>
      <c r="D39" s="141">
        <v>2017</v>
      </c>
      <c r="E39" s="146">
        <f>SUM(F39:G39)</f>
        <v>139</v>
      </c>
      <c r="F39" s="146">
        <f>'1.5Perak'!E43</f>
        <v>21</v>
      </c>
      <c r="G39" s="146">
        <f>'1.7Perak'!E41</f>
        <v>118</v>
      </c>
    </row>
    <row r="40" spans="2:7" ht="12" customHeight="1" x14ac:dyDescent="0.2">
      <c r="B40" s="56"/>
      <c r="C40" s="56"/>
      <c r="D40" s="141">
        <v>2018</v>
      </c>
      <c r="E40" s="146">
        <f t="shared" ref="E40:E41" si="8">SUM(F40:G40)</f>
        <v>120</v>
      </c>
      <c r="F40" s="146">
        <f>'1.5Perak'!E44</f>
        <v>24</v>
      </c>
      <c r="G40" s="146">
        <f>'1.7Perak'!E42</f>
        <v>96</v>
      </c>
    </row>
    <row r="41" spans="2:7" ht="12" customHeight="1" x14ac:dyDescent="0.2">
      <c r="B41" s="56"/>
      <c r="C41" s="56"/>
      <c r="D41" s="141">
        <v>2019</v>
      </c>
      <c r="E41" s="146">
        <f t="shared" si="8"/>
        <v>121</v>
      </c>
      <c r="F41" s="146">
        <f>'1.5Perak'!E45</f>
        <v>26</v>
      </c>
      <c r="G41" s="146">
        <f>'1.7Perak'!E43</f>
        <v>95</v>
      </c>
    </row>
    <row r="42" spans="2:7" ht="6.95" customHeight="1" x14ac:dyDescent="0.2">
      <c r="B42" s="56"/>
      <c r="C42" s="56"/>
      <c r="D42" s="141"/>
      <c r="E42" s="146"/>
      <c r="F42" s="146"/>
      <c r="G42" s="146"/>
    </row>
    <row r="43" spans="2:7" ht="12" customHeight="1" x14ac:dyDescent="0.2">
      <c r="B43" s="56" t="s">
        <v>43</v>
      </c>
      <c r="C43" s="56"/>
      <c r="D43" s="141">
        <v>2017</v>
      </c>
      <c r="E43" s="146">
        <f>SUM(F43:G43)</f>
        <v>622</v>
      </c>
      <c r="F43" s="146">
        <f>'1.5Perak'!E47</f>
        <v>116</v>
      </c>
      <c r="G43" s="146">
        <f>'1.7Perak'!E45</f>
        <v>506</v>
      </c>
    </row>
    <row r="44" spans="2:7" ht="12" customHeight="1" x14ac:dyDescent="0.2">
      <c r="B44" s="56"/>
      <c r="C44" s="56"/>
      <c r="D44" s="141">
        <v>2018</v>
      </c>
      <c r="E44" s="146">
        <f t="shared" ref="E44:E45" si="9">SUM(F44:G44)</f>
        <v>614</v>
      </c>
      <c r="F44" s="146">
        <f>'1.5Perak'!E48</f>
        <v>99</v>
      </c>
      <c r="G44" s="146">
        <f>'1.7Perak'!E46</f>
        <v>515</v>
      </c>
    </row>
    <row r="45" spans="2:7" ht="12" customHeight="1" x14ac:dyDescent="0.2">
      <c r="B45" s="56"/>
      <c r="C45" s="56"/>
      <c r="D45" s="141">
        <v>2019</v>
      </c>
      <c r="E45" s="146">
        <f t="shared" si="9"/>
        <v>502</v>
      </c>
      <c r="F45" s="146">
        <f>'1.5Perak'!E49</f>
        <v>105</v>
      </c>
      <c r="G45" s="146">
        <f>'1.7Perak'!E47</f>
        <v>397</v>
      </c>
    </row>
    <row r="46" spans="2:7" ht="6.95" customHeight="1" x14ac:dyDescent="0.2">
      <c r="B46" s="56"/>
      <c r="C46" s="56"/>
      <c r="D46" s="141"/>
      <c r="E46" s="146"/>
      <c r="F46" s="146"/>
      <c r="G46" s="146"/>
    </row>
    <row r="47" spans="2:7" ht="12" customHeight="1" x14ac:dyDescent="0.2">
      <c r="B47" s="56" t="s">
        <v>72</v>
      </c>
      <c r="C47" s="56"/>
      <c r="D47" s="141">
        <v>2017</v>
      </c>
      <c r="E47" s="146">
        <f>SUM(F47:G47)</f>
        <v>15</v>
      </c>
      <c r="F47" s="146">
        <f>'1.5Perak'!E51</f>
        <v>2</v>
      </c>
      <c r="G47" s="146">
        <f>'1.7Perak'!E49</f>
        <v>13</v>
      </c>
    </row>
    <row r="48" spans="2:7" ht="12" customHeight="1" x14ac:dyDescent="0.2">
      <c r="B48" s="56"/>
      <c r="C48" s="56"/>
      <c r="D48" s="141">
        <v>2018</v>
      </c>
      <c r="E48" s="146">
        <f t="shared" ref="E48:E49" si="10">SUM(F48:G48)</f>
        <v>13</v>
      </c>
      <c r="F48" s="146">
        <f>'1.5Perak'!E52</f>
        <v>3</v>
      </c>
      <c r="G48" s="146">
        <f>'1.7Perak'!E50</f>
        <v>10</v>
      </c>
    </row>
    <row r="49" spans="2:7" ht="12" customHeight="1" x14ac:dyDescent="0.2">
      <c r="B49" s="56"/>
      <c r="C49" s="56"/>
      <c r="D49" s="141">
        <v>2019</v>
      </c>
      <c r="E49" s="146">
        <f t="shared" si="10"/>
        <v>13</v>
      </c>
      <c r="F49" s="146">
        <f>'1.5Perak'!E53</f>
        <v>1</v>
      </c>
      <c r="G49" s="146">
        <f>'1.7Perak'!E51</f>
        <v>12</v>
      </c>
    </row>
    <row r="50" spans="2:7" ht="6.95" customHeight="1" x14ac:dyDescent="0.2">
      <c r="B50" s="56"/>
      <c r="C50" s="56"/>
      <c r="D50" s="141"/>
      <c r="E50" s="146"/>
      <c r="F50" s="146"/>
      <c r="G50" s="146"/>
    </row>
    <row r="51" spans="2:7" ht="12" customHeight="1" x14ac:dyDescent="0.2">
      <c r="B51" s="56" t="s">
        <v>47</v>
      </c>
      <c r="C51" s="56"/>
      <c r="D51" s="141">
        <v>2017</v>
      </c>
      <c r="E51" s="146">
        <f>SUM(F51:G51)</f>
        <v>140</v>
      </c>
      <c r="F51" s="146">
        <f>'1.5Perak'!E55</f>
        <v>24</v>
      </c>
      <c r="G51" s="146">
        <f>'1.7Perak'!E53</f>
        <v>116</v>
      </c>
    </row>
    <row r="52" spans="2:7" ht="12" customHeight="1" x14ac:dyDescent="0.2">
      <c r="B52" s="56"/>
      <c r="C52" s="56"/>
      <c r="D52" s="141">
        <v>2018</v>
      </c>
      <c r="E52" s="146">
        <f t="shared" ref="E52:E53" si="11">SUM(F52:G52)</f>
        <v>92</v>
      </c>
      <c r="F52" s="146">
        <f>'1.5Perak'!E56</f>
        <v>11</v>
      </c>
      <c r="G52" s="146">
        <f>'1.7Perak'!E54</f>
        <v>81</v>
      </c>
    </row>
    <row r="53" spans="2:7" ht="12" customHeight="1" x14ac:dyDescent="0.2">
      <c r="B53" s="56"/>
      <c r="C53" s="56"/>
      <c r="D53" s="141">
        <v>2019</v>
      </c>
      <c r="E53" s="146">
        <f t="shared" si="11"/>
        <v>115</v>
      </c>
      <c r="F53" s="146">
        <f>'1.5Perak'!E57</f>
        <v>17</v>
      </c>
      <c r="G53" s="146">
        <f>'1.7Perak'!E55</f>
        <v>98</v>
      </c>
    </row>
    <row r="54" spans="2:7" ht="6.95" customHeight="1" x14ac:dyDescent="0.2">
      <c r="B54" s="56"/>
      <c r="C54" s="56"/>
      <c r="D54" s="141"/>
      <c r="E54" s="146"/>
      <c r="F54" s="146"/>
      <c r="G54" s="146"/>
    </row>
    <row r="55" spans="2:7" ht="12" customHeight="1" x14ac:dyDescent="0.2">
      <c r="B55" s="56" t="s">
        <v>73</v>
      </c>
      <c r="C55" s="56"/>
      <c r="D55" s="141">
        <v>2017</v>
      </c>
      <c r="E55" s="146">
        <f>SUM(F55:G55)</f>
        <v>26</v>
      </c>
      <c r="F55" s="146">
        <f>'1.5Perak'!E59</f>
        <v>3</v>
      </c>
      <c r="G55" s="146">
        <f>'1.7Perak'!E57</f>
        <v>23</v>
      </c>
    </row>
    <row r="56" spans="2:7" ht="12" customHeight="1" x14ac:dyDescent="0.2">
      <c r="B56" s="56"/>
      <c r="C56" s="56"/>
      <c r="D56" s="141">
        <v>2018</v>
      </c>
      <c r="E56" s="146">
        <f t="shared" ref="E56:E57" si="12">SUM(F56:G56)</f>
        <v>33</v>
      </c>
      <c r="F56" s="146">
        <f>'1.5Perak'!E60</f>
        <v>8</v>
      </c>
      <c r="G56" s="146">
        <f>'1.7Perak'!E58</f>
        <v>25</v>
      </c>
    </row>
    <row r="57" spans="2:7" ht="12" customHeight="1" x14ac:dyDescent="0.2">
      <c r="B57" s="56"/>
      <c r="C57" s="56"/>
      <c r="D57" s="141">
        <v>2019</v>
      </c>
      <c r="E57" s="146">
        <f t="shared" si="12"/>
        <v>40</v>
      </c>
      <c r="F57" s="146">
        <f>'1.5Perak'!E61</f>
        <v>7</v>
      </c>
      <c r="G57" s="146">
        <f>'1.7Perak'!E59</f>
        <v>33</v>
      </c>
    </row>
    <row r="58" spans="2:7" ht="6.95" customHeight="1" x14ac:dyDescent="0.2">
      <c r="B58" s="56"/>
      <c r="C58" s="56"/>
      <c r="D58" s="141"/>
      <c r="E58" s="146"/>
      <c r="F58" s="146"/>
      <c r="G58" s="146"/>
    </row>
    <row r="59" spans="2:7" ht="12" customHeight="1" x14ac:dyDescent="0.2">
      <c r="B59" s="56" t="s">
        <v>74</v>
      </c>
      <c r="C59" s="56"/>
      <c r="D59" s="141">
        <v>2017</v>
      </c>
      <c r="E59" s="146">
        <f>SUM(F59:G59)</f>
        <v>135</v>
      </c>
      <c r="F59" s="146">
        <f>'1.5Perak'!E63</f>
        <v>31</v>
      </c>
      <c r="G59" s="146">
        <f>'1.7Perak'!E61</f>
        <v>104</v>
      </c>
    </row>
    <row r="60" spans="2:7" ht="12" customHeight="1" x14ac:dyDescent="0.2">
      <c r="B60" s="56"/>
      <c r="C60" s="56"/>
      <c r="D60" s="141">
        <v>2018</v>
      </c>
      <c r="E60" s="146">
        <f t="shared" ref="E60:E61" si="13">SUM(F60:G60)</f>
        <v>119</v>
      </c>
      <c r="F60" s="146">
        <f>'1.5Perak'!E64</f>
        <v>35</v>
      </c>
      <c r="G60" s="146">
        <f>'1.7Perak'!E62</f>
        <v>84</v>
      </c>
    </row>
    <row r="61" spans="2:7" ht="12" customHeight="1" x14ac:dyDescent="0.2">
      <c r="B61" s="56"/>
      <c r="C61" s="56"/>
      <c r="D61" s="141">
        <v>2019</v>
      </c>
      <c r="E61" s="146">
        <f t="shared" si="13"/>
        <v>115</v>
      </c>
      <c r="F61" s="146">
        <f>'1.5Perak'!E65</f>
        <v>30</v>
      </c>
      <c r="G61" s="146">
        <f>'1.7Perak'!E63</f>
        <v>85</v>
      </c>
    </row>
    <row r="62" spans="2:7" ht="6.95" customHeight="1" x14ac:dyDescent="0.2">
      <c r="B62" s="56"/>
      <c r="C62" s="56"/>
      <c r="D62" s="141"/>
      <c r="E62" s="146"/>
      <c r="F62" s="146"/>
      <c r="G62" s="146"/>
    </row>
    <row r="63" spans="2:7" ht="12" customHeight="1" x14ac:dyDescent="0.2">
      <c r="B63" s="56" t="s">
        <v>75</v>
      </c>
      <c r="C63" s="56"/>
      <c r="D63" s="141">
        <v>2017</v>
      </c>
      <c r="E63" s="146">
        <f>SUM(F63:G63)</f>
        <v>731</v>
      </c>
      <c r="F63" s="146">
        <f>'1.5Perak'!E67</f>
        <v>170</v>
      </c>
      <c r="G63" s="146">
        <f>'1.7Perak'!E65</f>
        <v>561</v>
      </c>
    </row>
    <row r="64" spans="2:7" ht="12" customHeight="1" x14ac:dyDescent="0.2">
      <c r="B64" s="56"/>
      <c r="C64" s="56"/>
      <c r="D64" s="141">
        <v>2018</v>
      </c>
      <c r="E64" s="146">
        <f t="shared" ref="E64:E65" si="14">SUM(F64:G64)</f>
        <v>739</v>
      </c>
      <c r="F64" s="146">
        <f>'1.5Perak'!E68</f>
        <v>165</v>
      </c>
      <c r="G64" s="146">
        <f>'1.7Perak'!E66</f>
        <v>574</v>
      </c>
    </row>
    <row r="65" spans="1:8" ht="12" customHeight="1" x14ac:dyDescent="0.2">
      <c r="A65" s="7"/>
      <c r="B65" s="56"/>
      <c r="C65" s="56"/>
      <c r="D65" s="141">
        <v>2019</v>
      </c>
      <c r="E65" s="146">
        <f t="shared" si="14"/>
        <v>682</v>
      </c>
      <c r="F65" s="146">
        <f>'1.5Perak'!E69</f>
        <v>181</v>
      </c>
      <c r="G65" s="146">
        <f>'1.7Perak'!E67</f>
        <v>501</v>
      </c>
      <c r="H65" s="7"/>
    </row>
    <row r="66" spans="1:8" ht="6.95" customHeight="1" x14ac:dyDescent="0.2">
      <c r="A66" s="7"/>
      <c r="B66" s="56"/>
      <c r="C66" s="56"/>
      <c r="D66" s="141"/>
      <c r="E66" s="146"/>
      <c r="F66" s="146"/>
      <c r="G66" s="146"/>
      <c r="H66" s="7"/>
    </row>
    <row r="67" spans="1:8" s="19" customFormat="1" ht="12" customHeight="1" x14ac:dyDescent="0.2">
      <c r="A67" s="18"/>
      <c r="B67" s="56" t="s">
        <v>76</v>
      </c>
      <c r="C67" s="56"/>
      <c r="D67" s="141">
        <v>2017</v>
      </c>
      <c r="E67" s="146">
        <f>SUM(F67:G67)</f>
        <v>148</v>
      </c>
      <c r="F67" s="146">
        <f>'1.5Perak'!E71</f>
        <v>31</v>
      </c>
      <c r="G67" s="146">
        <f>'1.7Perak'!E69</f>
        <v>117</v>
      </c>
      <c r="H67" s="18"/>
    </row>
    <row r="68" spans="1:8" ht="12" customHeight="1" x14ac:dyDescent="0.2">
      <c r="B68" s="56"/>
      <c r="C68" s="56"/>
      <c r="D68" s="141">
        <v>2018</v>
      </c>
      <c r="E68" s="146">
        <f t="shared" ref="E68" si="15">SUM(F68:G68)</f>
        <v>142</v>
      </c>
      <c r="F68" s="146">
        <f>'1.5Perak'!E72</f>
        <v>20</v>
      </c>
      <c r="G68" s="146">
        <f>'1.7Perak'!E70</f>
        <v>122</v>
      </c>
    </row>
    <row r="69" spans="1:8" ht="12" customHeight="1" x14ac:dyDescent="0.2">
      <c r="B69" s="56"/>
      <c r="C69" s="56"/>
      <c r="D69" s="141">
        <v>2019</v>
      </c>
      <c r="E69" s="146">
        <f>SUM(F69:G69)</f>
        <v>140</v>
      </c>
      <c r="F69" s="146">
        <f>'1.5Perak'!E73</f>
        <v>23</v>
      </c>
      <c r="G69" s="146">
        <f>'1.7Perak'!E71</f>
        <v>117</v>
      </c>
    </row>
    <row r="70" spans="1:8" ht="6.95" customHeight="1" x14ac:dyDescent="0.2">
      <c r="B70" s="56"/>
      <c r="C70" s="56"/>
      <c r="D70" s="141"/>
      <c r="E70" s="146"/>
      <c r="F70" s="146"/>
      <c r="G70" s="146"/>
    </row>
    <row r="71" spans="1:8" ht="12" customHeight="1" x14ac:dyDescent="0.2">
      <c r="B71" s="56" t="s">
        <v>77</v>
      </c>
      <c r="C71" s="56"/>
      <c r="D71" s="141">
        <v>2017</v>
      </c>
      <c r="E71" s="146">
        <f t="shared" ref="E71" si="16">SUM(F71:G71)</f>
        <v>183</v>
      </c>
      <c r="F71" s="146">
        <f>'1.5Perak'!E75</f>
        <v>50</v>
      </c>
      <c r="G71" s="146">
        <f>'1.7Perak'!E73</f>
        <v>133</v>
      </c>
    </row>
    <row r="72" spans="1:8" ht="12" customHeight="1" x14ac:dyDescent="0.2">
      <c r="B72" s="56"/>
      <c r="C72" s="56"/>
      <c r="D72" s="141">
        <v>2018</v>
      </c>
      <c r="E72" s="146">
        <f t="shared" ref="E72:E73" si="17">SUM(F72:G72)</f>
        <v>187</v>
      </c>
      <c r="F72" s="146">
        <f>'1.5Perak'!E76</f>
        <v>49</v>
      </c>
      <c r="G72" s="146">
        <f>'1.7Perak'!E74</f>
        <v>138</v>
      </c>
    </row>
    <row r="73" spans="1:8" ht="12" customHeight="1" x14ac:dyDescent="0.2">
      <c r="B73" s="56"/>
      <c r="C73" s="56"/>
      <c r="D73" s="141">
        <v>2019</v>
      </c>
      <c r="E73" s="146">
        <f t="shared" si="17"/>
        <v>178</v>
      </c>
      <c r="F73" s="146">
        <f>'1.5Perak'!E77</f>
        <v>42</v>
      </c>
      <c r="G73" s="146">
        <f>'1.7Perak'!E75</f>
        <v>136</v>
      </c>
    </row>
    <row r="74" spans="1:8" ht="6.95" customHeight="1" thickBot="1" x14ac:dyDescent="0.25">
      <c r="A74" s="34"/>
      <c r="B74" s="57"/>
      <c r="C74" s="57"/>
      <c r="D74" s="57"/>
      <c r="E74" s="70"/>
      <c r="F74" s="58"/>
      <c r="G74" s="58"/>
      <c r="H74" s="34"/>
    </row>
    <row r="75" spans="1:8" x14ac:dyDescent="0.25">
      <c r="G75" s="8" t="s">
        <v>99</v>
      </c>
    </row>
    <row r="76" spans="1:8" x14ac:dyDescent="0.25">
      <c r="G76" s="41" t="s">
        <v>1</v>
      </c>
    </row>
  </sheetData>
  <mergeCells count="7">
    <mergeCell ref="C6:G6"/>
    <mergeCell ref="E10:G10"/>
    <mergeCell ref="E8:E9"/>
    <mergeCell ref="F8:F9"/>
    <mergeCell ref="G8:G9"/>
    <mergeCell ref="B8:C9"/>
    <mergeCell ref="D8:D9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90" fitToWidth="0" orientation="portrait" r:id="rId1"/>
  <headerFooter>
    <oddHeader xml:space="preserve">&amp;R&amp;"-,Bold"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showGridLines="0" zoomScaleNormal="100" zoomScaleSheetLayoutView="100" workbookViewId="0">
      <selection activeCell="AA22" sqref="AA22"/>
    </sheetView>
  </sheetViews>
  <sheetFormatPr defaultColWidth="9.140625" defaultRowHeight="15" x14ac:dyDescent="0.25"/>
  <cols>
    <col min="1" max="1" width="1.7109375" style="30" customWidth="1"/>
    <col min="2" max="2" width="11.28515625" style="27" customWidth="1"/>
    <col min="3" max="3" width="16.85546875" style="27" customWidth="1"/>
    <col min="4" max="4" width="10.85546875" style="27" customWidth="1"/>
    <col min="5" max="5" width="15.7109375" style="28" customWidth="1"/>
    <col min="6" max="7" width="23.7109375" style="29" customWidth="1"/>
    <col min="8" max="8" width="0.85546875" style="30" customWidth="1"/>
    <col min="9" max="16384" width="9.140625" style="30"/>
  </cols>
  <sheetData>
    <row r="1" spans="1:8" ht="12" customHeight="1" x14ac:dyDescent="0.25">
      <c r="G1" s="150" t="s">
        <v>179</v>
      </c>
    </row>
    <row r="2" spans="1:8" ht="12" customHeight="1" x14ac:dyDescent="0.25">
      <c r="G2" s="151" t="s">
        <v>180</v>
      </c>
    </row>
    <row r="3" spans="1:8" ht="12" customHeight="1" x14ac:dyDescent="0.25">
      <c r="G3" s="68"/>
    </row>
    <row r="4" spans="1:8" ht="12" customHeight="1" x14ac:dyDescent="0.25">
      <c r="G4" s="68"/>
    </row>
    <row r="5" spans="1:8" s="53" customFormat="1" ht="15" customHeight="1" x14ac:dyDescent="0.2">
      <c r="B5" s="63" t="s">
        <v>184</v>
      </c>
      <c r="C5" s="64" t="s">
        <v>243</v>
      </c>
      <c r="D5" s="64"/>
      <c r="E5" s="63"/>
      <c r="F5" s="64"/>
      <c r="G5" s="152"/>
      <c r="H5" s="64"/>
    </row>
    <row r="6" spans="1:8" s="65" customFormat="1" ht="15" customHeight="1" x14ac:dyDescent="0.2">
      <c r="B6" s="66" t="s">
        <v>185</v>
      </c>
      <c r="C6" s="422" t="s">
        <v>244</v>
      </c>
      <c r="D6" s="422"/>
      <c r="E6" s="422"/>
      <c r="F6" s="422"/>
      <c r="G6" s="422"/>
      <c r="H6" s="67"/>
    </row>
    <row r="7" spans="1:8" s="2" customFormat="1" ht="9.9499999999999993" customHeight="1" thickBot="1" x14ac:dyDescent="0.3">
      <c r="B7" s="3"/>
      <c r="C7" s="3"/>
      <c r="D7" s="3"/>
      <c r="E7" s="21"/>
      <c r="F7" s="22"/>
      <c r="G7" s="22"/>
    </row>
    <row r="8" spans="1:8" s="53" customFormat="1" ht="20.100000000000001" customHeight="1" thickTop="1" x14ac:dyDescent="0.2">
      <c r="A8" s="371"/>
      <c r="B8" s="429" t="s">
        <v>207</v>
      </c>
      <c r="C8" s="429"/>
      <c r="D8" s="423" t="s">
        <v>96</v>
      </c>
      <c r="E8" s="423" t="s">
        <v>92</v>
      </c>
      <c r="F8" s="425" t="s">
        <v>93</v>
      </c>
      <c r="G8" s="425" t="s">
        <v>94</v>
      </c>
      <c r="H8" s="372"/>
    </row>
    <row r="9" spans="1:8" s="53" customFormat="1" ht="33" customHeight="1" x14ac:dyDescent="0.2">
      <c r="A9" s="373"/>
      <c r="B9" s="430"/>
      <c r="C9" s="430"/>
      <c r="D9" s="424"/>
      <c r="E9" s="424"/>
      <c r="F9" s="426"/>
      <c r="G9" s="426"/>
      <c r="H9" s="369"/>
    </row>
    <row r="10" spans="1:8" s="53" customFormat="1" ht="8.1" customHeight="1" x14ac:dyDescent="0.2">
      <c r="A10" s="86"/>
      <c r="B10" s="87"/>
      <c r="C10" s="87"/>
      <c r="D10" s="88"/>
      <c r="E10" s="88"/>
      <c r="F10" s="89"/>
      <c r="G10" s="89"/>
      <c r="H10" s="90"/>
    </row>
    <row r="11" spans="1:8" s="31" customFormat="1" ht="15.95" customHeight="1" x14ac:dyDescent="0.25">
      <c r="A11" s="81"/>
      <c r="B11" s="124" t="s">
        <v>49</v>
      </c>
      <c r="C11" s="124"/>
      <c r="D11" s="109">
        <v>2017</v>
      </c>
      <c r="E11" s="145">
        <f>SUM(E15,E19,E23)</f>
        <v>604</v>
      </c>
      <c r="F11" s="145">
        <f>SUM(F15,F19,F23)</f>
        <v>132</v>
      </c>
      <c r="G11" s="145">
        <f>SUM(G15,G19,G23)</f>
        <v>472</v>
      </c>
    </row>
    <row r="12" spans="1:8" s="31" customFormat="1" ht="15.95" customHeight="1" x14ac:dyDescent="0.25">
      <c r="A12" s="81"/>
      <c r="B12" s="124"/>
      <c r="C12" s="124"/>
      <c r="D12" s="109">
        <v>2018</v>
      </c>
      <c r="E12" s="145">
        <f t="shared" ref="E12" si="0">SUM(E16,E20,E24)</f>
        <v>563</v>
      </c>
      <c r="F12" s="145">
        <f t="shared" ref="F12:G13" si="1">SUM(F16,F20,F24)</f>
        <v>126</v>
      </c>
      <c r="G12" s="145">
        <f t="shared" si="1"/>
        <v>437</v>
      </c>
    </row>
    <row r="13" spans="1:8" s="31" customFormat="1" ht="15.95" customHeight="1" x14ac:dyDescent="0.25">
      <c r="A13" s="81"/>
      <c r="B13" s="124"/>
      <c r="C13" s="124"/>
      <c r="D13" s="109">
        <v>2019</v>
      </c>
      <c r="E13" s="145">
        <f t="shared" ref="E13" si="2">SUM(E17,E21,E25)</f>
        <v>527</v>
      </c>
      <c r="F13" s="145">
        <f t="shared" si="1"/>
        <v>121</v>
      </c>
      <c r="G13" s="145">
        <f t="shared" si="1"/>
        <v>406</v>
      </c>
    </row>
    <row r="14" spans="1:8" s="31" customFormat="1" ht="8.1" customHeight="1" x14ac:dyDescent="0.25">
      <c r="B14" s="39"/>
      <c r="C14" s="40"/>
      <c r="D14" s="109"/>
      <c r="E14" s="9"/>
      <c r="F14" s="11"/>
      <c r="G14" s="10"/>
    </row>
    <row r="15" spans="1:8" s="31" customFormat="1" ht="15.95" customHeight="1" x14ac:dyDescent="0.25">
      <c r="A15" s="81"/>
      <c r="B15" s="82" t="s">
        <v>78</v>
      </c>
      <c r="C15" s="82"/>
      <c r="D15" s="108">
        <v>2017</v>
      </c>
      <c r="E15" s="146">
        <f>SUM(F15:G15)</f>
        <v>135</v>
      </c>
      <c r="F15" s="144">
        <f>'1.5Perlis'!E19</f>
        <v>37</v>
      </c>
      <c r="G15" s="146">
        <f>'1.7Perlis &amp; PP '!E17</f>
        <v>98</v>
      </c>
    </row>
    <row r="16" spans="1:8" s="31" customFormat="1" ht="15.95" customHeight="1" x14ac:dyDescent="0.25">
      <c r="A16" s="81"/>
      <c r="B16" s="82"/>
      <c r="C16" s="82"/>
      <c r="D16" s="108">
        <v>2018</v>
      </c>
      <c r="E16" s="146">
        <f t="shared" ref="E16:E17" si="3">SUM(F16:G16)</f>
        <v>142</v>
      </c>
      <c r="F16" s="144">
        <f>'1.5Perlis'!E20</f>
        <v>34</v>
      </c>
      <c r="G16" s="146">
        <f>'1.7Perlis &amp; PP '!E18</f>
        <v>108</v>
      </c>
    </row>
    <row r="17" spans="1:8" s="31" customFormat="1" ht="15.95" customHeight="1" x14ac:dyDescent="0.25">
      <c r="A17" s="81"/>
      <c r="B17" s="82"/>
      <c r="C17" s="82"/>
      <c r="D17" s="108">
        <v>2019</v>
      </c>
      <c r="E17" s="146">
        <f t="shared" si="3"/>
        <v>136</v>
      </c>
      <c r="F17" s="144">
        <f>'1.5Perlis'!E21</f>
        <v>29</v>
      </c>
      <c r="G17" s="146">
        <f>'1.7Perlis &amp; PP '!E19</f>
        <v>107</v>
      </c>
    </row>
    <row r="18" spans="1:8" s="31" customFormat="1" ht="8.1" customHeight="1" x14ac:dyDescent="0.25">
      <c r="A18" s="81"/>
      <c r="B18" s="82"/>
      <c r="C18" s="82"/>
      <c r="D18" s="108"/>
      <c r="E18" s="146"/>
      <c r="F18" s="144"/>
      <c r="G18" s="146"/>
    </row>
    <row r="19" spans="1:8" s="31" customFormat="1" ht="15.95" customHeight="1" x14ac:dyDescent="0.25">
      <c r="A19" s="81"/>
      <c r="B19" s="82" t="s">
        <v>79</v>
      </c>
      <c r="C19" s="82"/>
      <c r="D19" s="108">
        <v>2017</v>
      </c>
      <c r="E19" s="146">
        <f>SUM(F19:G19)</f>
        <v>361</v>
      </c>
      <c r="F19" s="144">
        <f>'1.5Perlis'!E23</f>
        <v>64</v>
      </c>
      <c r="G19" s="146">
        <f>'1.7Perlis &amp; PP '!E21</f>
        <v>297</v>
      </c>
    </row>
    <row r="20" spans="1:8" s="31" customFormat="1" ht="15.95" customHeight="1" x14ac:dyDescent="0.25">
      <c r="A20" s="81"/>
      <c r="B20" s="82"/>
      <c r="C20" s="82"/>
      <c r="D20" s="108">
        <v>2018</v>
      </c>
      <c r="E20" s="146">
        <f t="shared" ref="E20:E21" si="4">SUM(F20:G20)</f>
        <v>346</v>
      </c>
      <c r="F20" s="144">
        <f>'1.5Perlis'!E24</f>
        <v>79</v>
      </c>
      <c r="G20" s="146">
        <f>'1.7Perlis &amp; PP '!E22</f>
        <v>267</v>
      </c>
    </row>
    <row r="21" spans="1:8" s="31" customFormat="1" ht="15.95" customHeight="1" x14ac:dyDescent="0.25">
      <c r="A21" s="81"/>
      <c r="B21" s="82"/>
      <c r="C21" s="82"/>
      <c r="D21" s="108">
        <v>2019</v>
      </c>
      <c r="E21" s="146">
        <f t="shared" si="4"/>
        <v>319</v>
      </c>
      <c r="F21" s="144">
        <f>'1.5Perlis'!E25</f>
        <v>72</v>
      </c>
      <c r="G21" s="146">
        <f>'1.7Perlis &amp; PP '!E23</f>
        <v>247</v>
      </c>
    </row>
    <row r="22" spans="1:8" s="31" customFormat="1" ht="8.1" customHeight="1" x14ac:dyDescent="0.25">
      <c r="A22" s="81"/>
      <c r="B22" s="82"/>
      <c r="C22" s="82"/>
      <c r="D22" s="108"/>
      <c r="E22" s="146"/>
      <c r="F22" s="144"/>
      <c r="G22" s="146"/>
    </row>
    <row r="23" spans="1:8" s="31" customFormat="1" ht="15.95" customHeight="1" x14ac:dyDescent="0.25">
      <c r="A23" s="81"/>
      <c r="B23" s="82" t="s">
        <v>80</v>
      </c>
      <c r="C23" s="82"/>
      <c r="D23" s="108">
        <v>2017</v>
      </c>
      <c r="E23" s="146">
        <f>SUM(F23:G23)</f>
        <v>108</v>
      </c>
      <c r="F23" s="144">
        <f>'1.5Perlis'!E27</f>
        <v>31</v>
      </c>
      <c r="G23" s="146">
        <f>'1.7Perlis &amp; PP '!E25</f>
        <v>77</v>
      </c>
    </row>
    <row r="24" spans="1:8" s="31" customFormat="1" ht="15.95" customHeight="1" x14ac:dyDescent="0.25">
      <c r="A24" s="81"/>
      <c r="B24" s="82"/>
      <c r="C24" s="82"/>
      <c r="D24" s="108">
        <v>2018</v>
      </c>
      <c r="E24" s="146">
        <f t="shared" ref="E24:E25" si="5">SUM(F24:G24)</f>
        <v>75</v>
      </c>
      <c r="F24" s="144">
        <f>'1.5Perlis'!E28</f>
        <v>13</v>
      </c>
      <c r="G24" s="146">
        <f>'1.7Perlis &amp; PP '!E26</f>
        <v>62</v>
      </c>
    </row>
    <row r="25" spans="1:8" s="31" customFormat="1" ht="15.95" customHeight="1" x14ac:dyDescent="0.25">
      <c r="A25" s="81"/>
      <c r="B25" s="82"/>
      <c r="C25" s="82"/>
      <c r="D25" s="108">
        <v>2019</v>
      </c>
      <c r="E25" s="146">
        <f t="shared" si="5"/>
        <v>72</v>
      </c>
      <c r="F25" s="144">
        <f>'1.5Perlis'!E29</f>
        <v>20</v>
      </c>
      <c r="G25" s="146">
        <f>'1.7Perlis &amp; PP '!E27</f>
        <v>52</v>
      </c>
    </row>
    <row r="26" spans="1:8" s="31" customFormat="1" ht="8.1" customHeight="1" x14ac:dyDescent="0.25">
      <c r="A26" s="49"/>
      <c r="B26" s="20"/>
      <c r="C26" s="20"/>
      <c r="D26" s="366"/>
      <c r="E26" s="17"/>
      <c r="F26" s="23"/>
      <c r="G26" s="17"/>
    </row>
    <row r="27" spans="1:8" s="31" customFormat="1" ht="8.1" customHeight="1" x14ac:dyDescent="0.25">
      <c r="A27" s="38"/>
      <c r="B27" s="14"/>
      <c r="C27" s="14"/>
      <c r="D27" s="108"/>
      <c r="E27" s="10"/>
      <c r="F27" s="11"/>
      <c r="G27" s="10"/>
      <c r="H27" s="36"/>
    </row>
    <row r="28" spans="1:8" s="31" customFormat="1" ht="15.95" customHeight="1" x14ac:dyDescent="0.2">
      <c r="A28" s="38"/>
      <c r="B28" s="111" t="s">
        <v>50</v>
      </c>
      <c r="C28" s="124"/>
      <c r="D28" s="109">
        <v>2017</v>
      </c>
      <c r="E28" s="125">
        <f t="shared" ref="E28" si="6">SUM(E32,E36,E40,E44,E48)</f>
        <v>5551</v>
      </c>
      <c r="F28" s="125">
        <f t="shared" ref="F28:G29" si="7">SUM(F32,F36,F40,F44,F48)</f>
        <v>1078</v>
      </c>
      <c r="G28" s="125">
        <f t="shared" si="7"/>
        <v>4473</v>
      </c>
      <c r="H28" s="38"/>
    </row>
    <row r="29" spans="1:8" s="31" customFormat="1" ht="15.95" customHeight="1" x14ac:dyDescent="0.2">
      <c r="A29" s="38"/>
      <c r="B29" s="111"/>
      <c r="C29" s="124"/>
      <c r="D29" s="109">
        <v>2018</v>
      </c>
      <c r="E29" s="125">
        <f t="shared" ref="E29" si="8">SUM(E33,E37,E41,E45,E49)</f>
        <v>5017</v>
      </c>
      <c r="F29" s="125">
        <f t="shared" si="7"/>
        <v>890</v>
      </c>
      <c r="G29" s="125">
        <f t="shared" si="7"/>
        <v>4127</v>
      </c>
      <c r="H29" s="38"/>
    </row>
    <row r="30" spans="1:8" s="31" customFormat="1" ht="15.95" customHeight="1" x14ac:dyDescent="0.2">
      <c r="A30" s="38"/>
      <c r="B30" s="111"/>
      <c r="C30" s="124"/>
      <c r="D30" s="109">
        <v>2019</v>
      </c>
      <c r="E30" s="125">
        <f>SUM(E34,E38,E42,E46,E50)</f>
        <v>5218</v>
      </c>
      <c r="F30" s="125">
        <f>SUM(F34,F38,F42,F46,F50)</f>
        <v>1056</v>
      </c>
      <c r="G30" s="125">
        <f>SUM(G34,G38,G42,G46,G50)</f>
        <v>4162</v>
      </c>
      <c r="H30" s="38"/>
    </row>
    <row r="31" spans="1:8" ht="8.1" customHeight="1" x14ac:dyDescent="0.25">
      <c r="A31" s="37"/>
      <c r="B31" s="39"/>
      <c r="C31" s="39"/>
      <c r="D31" s="109"/>
      <c r="E31" s="10"/>
      <c r="F31" s="9"/>
      <c r="G31" s="9"/>
      <c r="H31" s="37"/>
    </row>
    <row r="32" spans="1:8" s="31" customFormat="1" ht="15.95" customHeight="1" x14ac:dyDescent="0.2">
      <c r="A32" s="38"/>
      <c r="B32" s="83" t="s">
        <v>87</v>
      </c>
      <c r="C32" s="82"/>
      <c r="D32" s="108">
        <v>2017</v>
      </c>
      <c r="E32" s="146">
        <f>SUM(F32:G32)</f>
        <v>521</v>
      </c>
      <c r="F32" s="146">
        <f>'1.5Perlis'!E36</f>
        <v>89</v>
      </c>
      <c r="G32" s="146">
        <f>'1.7Perlis &amp; PP '!E34</f>
        <v>432</v>
      </c>
      <c r="H32" s="38"/>
    </row>
    <row r="33" spans="1:8" s="31" customFormat="1" ht="15.95" customHeight="1" x14ac:dyDescent="0.2">
      <c r="A33" s="38"/>
      <c r="B33" s="83"/>
      <c r="C33" s="82"/>
      <c r="D33" s="108">
        <v>2018</v>
      </c>
      <c r="E33" s="146">
        <f t="shared" ref="E33:E34" si="9">SUM(F33:G33)</f>
        <v>491</v>
      </c>
      <c r="F33" s="146">
        <f>'1.5Perlis'!E37</f>
        <v>64</v>
      </c>
      <c r="G33" s="146">
        <f>'1.7Perlis &amp; PP '!E35</f>
        <v>427</v>
      </c>
      <c r="H33" s="38"/>
    </row>
    <row r="34" spans="1:8" s="31" customFormat="1" ht="15.95" customHeight="1" x14ac:dyDescent="0.2">
      <c r="A34" s="38"/>
      <c r="B34" s="83"/>
      <c r="C34" s="82"/>
      <c r="D34" s="108">
        <v>2019</v>
      </c>
      <c r="E34" s="146">
        <f t="shared" si="9"/>
        <v>508</v>
      </c>
      <c r="F34" s="146">
        <f>'1.5Perlis'!E38</f>
        <v>74</v>
      </c>
      <c r="G34" s="146">
        <f>'1.7Perlis &amp; PP '!E36</f>
        <v>434</v>
      </c>
      <c r="H34" s="38"/>
    </row>
    <row r="35" spans="1:8" s="31" customFormat="1" ht="8.1" customHeight="1" x14ac:dyDescent="0.2">
      <c r="A35" s="38"/>
      <c r="B35" s="84"/>
      <c r="C35" s="82"/>
      <c r="D35" s="108"/>
      <c r="E35" s="142"/>
      <c r="F35" s="146"/>
      <c r="G35" s="146"/>
      <c r="H35" s="38"/>
    </row>
    <row r="36" spans="1:8" s="31" customFormat="1" ht="15.95" customHeight="1" x14ac:dyDescent="0.2">
      <c r="A36" s="38"/>
      <c r="B36" s="83" t="s">
        <v>88</v>
      </c>
      <c r="C36" s="82"/>
      <c r="D36" s="108">
        <v>2017</v>
      </c>
      <c r="E36" s="146">
        <f>SUM(F36:G36)</f>
        <v>473</v>
      </c>
      <c r="F36" s="146">
        <f>'1.5Perlis'!E40</f>
        <v>138</v>
      </c>
      <c r="G36" s="146">
        <f>'1.7Perlis &amp; PP '!E38</f>
        <v>335</v>
      </c>
      <c r="H36" s="38"/>
    </row>
    <row r="37" spans="1:8" s="31" customFormat="1" ht="15.95" customHeight="1" x14ac:dyDescent="0.2">
      <c r="A37" s="38"/>
      <c r="B37" s="83"/>
      <c r="C37" s="82"/>
      <c r="D37" s="108">
        <v>2018</v>
      </c>
      <c r="E37" s="146">
        <f t="shared" ref="E37:E38" si="10">SUM(F37:G37)</f>
        <v>416</v>
      </c>
      <c r="F37" s="146">
        <f>'1.5Perlis'!E41</f>
        <v>125</v>
      </c>
      <c r="G37" s="146">
        <f>'1.7Perlis &amp; PP '!E39</f>
        <v>291</v>
      </c>
      <c r="H37" s="38"/>
    </row>
    <row r="38" spans="1:8" ht="15.95" customHeight="1" x14ac:dyDescent="0.2">
      <c r="B38" s="83"/>
      <c r="C38" s="85"/>
      <c r="D38" s="108">
        <v>2019</v>
      </c>
      <c r="E38" s="146">
        <f t="shared" si="10"/>
        <v>460</v>
      </c>
      <c r="F38" s="146">
        <f>'1.5Perlis'!E42</f>
        <v>120</v>
      </c>
      <c r="G38" s="146">
        <f>'1.7Perlis &amp; PP '!E40</f>
        <v>340</v>
      </c>
    </row>
    <row r="39" spans="1:8" ht="8.1" customHeight="1" x14ac:dyDescent="0.25">
      <c r="B39" s="84"/>
      <c r="C39" s="85"/>
      <c r="D39" s="108"/>
      <c r="E39" s="146"/>
      <c r="F39" s="146"/>
      <c r="G39" s="146"/>
    </row>
    <row r="40" spans="1:8" ht="15.95" customHeight="1" x14ac:dyDescent="0.2">
      <c r="B40" s="83" t="s">
        <v>89</v>
      </c>
      <c r="C40" s="85"/>
      <c r="D40" s="108">
        <v>2017</v>
      </c>
      <c r="E40" s="146">
        <f>SUM(F40:G40)</f>
        <v>1903</v>
      </c>
      <c r="F40" s="146">
        <f>'1.5Perlis'!E44</f>
        <v>322</v>
      </c>
      <c r="G40" s="146">
        <f>'1.7Perlis &amp; PP '!E42</f>
        <v>1581</v>
      </c>
    </row>
    <row r="41" spans="1:8" ht="15.95" customHeight="1" x14ac:dyDescent="0.2">
      <c r="B41" s="83"/>
      <c r="C41" s="85"/>
      <c r="D41" s="108">
        <v>2018</v>
      </c>
      <c r="E41" s="146">
        <f t="shared" ref="E41:E42" si="11">SUM(F41:G41)</f>
        <v>1744</v>
      </c>
      <c r="F41" s="146">
        <f>'1.5Perlis'!E45</f>
        <v>268</v>
      </c>
      <c r="G41" s="146">
        <f>'1.7Perlis &amp; PP '!E43</f>
        <v>1476</v>
      </c>
    </row>
    <row r="42" spans="1:8" ht="15.95" customHeight="1" x14ac:dyDescent="0.2">
      <c r="B42" s="83"/>
      <c r="C42" s="85"/>
      <c r="D42" s="108">
        <v>2019</v>
      </c>
      <c r="E42" s="146">
        <f t="shared" si="11"/>
        <v>1951</v>
      </c>
      <c r="F42" s="146">
        <f>'1.5Perlis'!E46</f>
        <v>422</v>
      </c>
      <c r="G42" s="146">
        <f>'1.7Perlis &amp; PP '!E44</f>
        <v>1529</v>
      </c>
    </row>
    <row r="43" spans="1:8" ht="8.1" customHeight="1" x14ac:dyDescent="0.25">
      <c r="B43" s="84"/>
      <c r="C43" s="85"/>
      <c r="D43" s="365"/>
      <c r="E43" s="146"/>
      <c r="F43" s="146"/>
      <c r="G43" s="146"/>
    </row>
    <row r="44" spans="1:8" ht="15.95" customHeight="1" x14ac:dyDescent="0.2">
      <c r="B44" s="83" t="s">
        <v>90</v>
      </c>
      <c r="C44" s="85"/>
      <c r="D44" s="108">
        <v>2017</v>
      </c>
      <c r="E44" s="146">
        <f>SUM(F44:G44)</f>
        <v>1107</v>
      </c>
      <c r="F44" s="146">
        <f>'1.5Perlis'!E48</f>
        <v>159</v>
      </c>
      <c r="G44" s="146">
        <f>'1.7Perlis &amp; PP '!E46</f>
        <v>948</v>
      </c>
    </row>
    <row r="45" spans="1:8" ht="15.95" customHeight="1" x14ac:dyDescent="0.2">
      <c r="B45" s="83"/>
      <c r="C45" s="85"/>
      <c r="D45" s="108">
        <v>2018</v>
      </c>
      <c r="E45" s="146">
        <f t="shared" ref="E45:E46" si="12">SUM(F45:G45)</f>
        <v>1003</v>
      </c>
      <c r="F45" s="146">
        <f>'1.5Perlis'!E49</f>
        <v>150</v>
      </c>
      <c r="G45" s="146">
        <f>'1.7Perlis &amp; PP '!E47</f>
        <v>853</v>
      </c>
    </row>
    <row r="46" spans="1:8" ht="15.95" customHeight="1" x14ac:dyDescent="0.2">
      <c r="B46" s="83"/>
      <c r="C46" s="85"/>
      <c r="D46" s="108">
        <v>2019</v>
      </c>
      <c r="E46" s="146">
        <f t="shared" si="12"/>
        <v>943</v>
      </c>
      <c r="F46" s="146">
        <f>'1.5Perlis'!E50</f>
        <v>129</v>
      </c>
      <c r="G46" s="146">
        <f>'1.7Perlis &amp; PP '!E48</f>
        <v>814</v>
      </c>
    </row>
    <row r="47" spans="1:8" ht="8.1" customHeight="1" x14ac:dyDescent="0.25">
      <c r="B47" s="84"/>
      <c r="C47" s="85"/>
      <c r="D47" s="108"/>
      <c r="E47" s="146"/>
      <c r="F47" s="146"/>
      <c r="G47" s="146"/>
    </row>
    <row r="48" spans="1:8" ht="15.95" customHeight="1" x14ac:dyDescent="0.2">
      <c r="B48" s="83" t="s">
        <v>91</v>
      </c>
      <c r="C48" s="85"/>
      <c r="D48" s="108">
        <v>2017</v>
      </c>
      <c r="E48" s="146">
        <f>SUM(F48:G48)</f>
        <v>1547</v>
      </c>
      <c r="F48" s="146">
        <f>'1.5Perlis'!E52</f>
        <v>370</v>
      </c>
      <c r="G48" s="146">
        <v>1177</v>
      </c>
    </row>
    <row r="49" spans="1:7" ht="15.95" customHeight="1" x14ac:dyDescent="0.2">
      <c r="B49" s="83"/>
      <c r="C49" s="85"/>
      <c r="D49" s="108">
        <v>2018</v>
      </c>
      <c r="E49" s="146">
        <f t="shared" ref="E49:E50" si="13">SUM(F49:G49)</f>
        <v>1363</v>
      </c>
      <c r="F49" s="146">
        <f>'1.5Perlis'!E53</f>
        <v>283</v>
      </c>
      <c r="G49" s="146">
        <f>'1.7Perlis &amp; PP '!E51</f>
        <v>1080</v>
      </c>
    </row>
    <row r="50" spans="1:7" ht="15.95" customHeight="1" x14ac:dyDescent="0.2">
      <c r="B50" s="83"/>
      <c r="C50" s="85"/>
      <c r="D50" s="108">
        <v>2019</v>
      </c>
      <c r="E50" s="146">
        <f t="shared" si="13"/>
        <v>1356</v>
      </c>
      <c r="F50" s="146">
        <f>'1.5Perlis'!E54</f>
        <v>311</v>
      </c>
      <c r="G50" s="146">
        <f>'1.7Perlis &amp; PP '!E52</f>
        <v>1045</v>
      </c>
    </row>
    <row r="51" spans="1:7" ht="8.1" customHeight="1" thickBot="1" x14ac:dyDescent="0.3">
      <c r="A51" s="50"/>
      <c r="B51" s="51"/>
      <c r="C51" s="32"/>
      <c r="D51" s="129"/>
      <c r="E51" s="26"/>
      <c r="F51" s="12"/>
      <c r="G51" s="12"/>
    </row>
    <row r="52" spans="1:7" s="2" customFormat="1" x14ac:dyDescent="0.25">
      <c r="B52" s="3"/>
      <c r="C52" s="3"/>
      <c r="D52" s="130"/>
      <c r="E52" s="21"/>
      <c r="F52" s="22"/>
      <c r="G52" s="8" t="s">
        <v>99</v>
      </c>
    </row>
    <row r="53" spans="1:7" s="2" customFormat="1" x14ac:dyDescent="0.25">
      <c r="B53" s="3"/>
      <c r="C53" s="3"/>
      <c r="D53" s="130"/>
      <c r="E53" s="21"/>
      <c r="F53" s="22"/>
      <c r="G53" s="25" t="s">
        <v>1</v>
      </c>
    </row>
    <row r="54" spans="1:7" s="2" customFormat="1" x14ac:dyDescent="0.25">
      <c r="B54" s="3"/>
      <c r="C54" s="3"/>
      <c r="D54" s="130"/>
      <c r="E54" s="21"/>
      <c r="F54" s="22"/>
      <c r="G54" s="22"/>
    </row>
    <row r="55" spans="1:7" s="2" customFormat="1" x14ac:dyDescent="0.25">
      <c r="B55" s="38"/>
      <c r="C55" s="43"/>
      <c r="D55" s="43"/>
      <c r="E55" s="21"/>
      <c r="F55" s="22"/>
      <c r="G55" s="22"/>
    </row>
    <row r="56" spans="1:7" s="2" customFormat="1" x14ac:dyDescent="0.25">
      <c r="B56" s="44"/>
      <c r="C56" s="43"/>
      <c r="D56" s="43"/>
      <c r="E56" s="21"/>
      <c r="F56" s="22"/>
      <c r="G56" s="22"/>
    </row>
    <row r="57" spans="1:7" x14ac:dyDescent="0.25">
      <c r="D57" s="134"/>
    </row>
    <row r="58" spans="1:7" x14ac:dyDescent="0.25">
      <c r="D58" s="134"/>
    </row>
    <row r="59" spans="1:7" x14ac:dyDescent="0.25">
      <c r="D59" s="134"/>
    </row>
    <row r="60" spans="1:7" x14ac:dyDescent="0.25">
      <c r="D60" s="134"/>
    </row>
    <row r="61" spans="1:7" x14ac:dyDescent="0.25">
      <c r="D61" s="134"/>
    </row>
    <row r="62" spans="1:7" x14ac:dyDescent="0.25">
      <c r="D62" s="134"/>
    </row>
    <row r="63" spans="1:7" x14ac:dyDescent="0.25">
      <c r="D63" s="134"/>
    </row>
    <row r="64" spans="1:7" x14ac:dyDescent="0.25">
      <c r="D64" s="134"/>
    </row>
    <row r="65" spans="4:4" x14ac:dyDescent="0.25">
      <c r="D65" s="134"/>
    </row>
    <row r="66" spans="4:4" x14ac:dyDescent="0.25">
      <c r="D66" s="134"/>
    </row>
    <row r="67" spans="4:4" x14ac:dyDescent="0.25">
      <c r="D67" s="134"/>
    </row>
    <row r="68" spans="4:4" x14ac:dyDescent="0.25">
      <c r="D68" s="134"/>
    </row>
  </sheetData>
  <mergeCells count="6">
    <mergeCell ref="C6:G6"/>
    <mergeCell ref="E8:E9"/>
    <mergeCell ref="F8:F9"/>
    <mergeCell ref="G8:G9"/>
    <mergeCell ref="B8:C9"/>
    <mergeCell ref="D8:D9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9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14</vt:i4>
      </vt:variant>
    </vt:vector>
  </HeadingPairs>
  <TitlesOfParts>
    <vt:vector size="63" baseType="lpstr">
      <vt:lpstr>1.1 Crime Index </vt:lpstr>
      <vt:lpstr>1.2 Crime Index Ratio</vt:lpstr>
      <vt:lpstr>1.3Joh</vt:lpstr>
      <vt:lpstr>1.3Ked</vt:lpstr>
      <vt:lpstr>1.3Kel</vt:lpstr>
      <vt:lpstr>1.3Mel &amp; N9</vt:lpstr>
      <vt:lpstr>1.3Phg</vt:lpstr>
      <vt:lpstr>1.3Prk</vt:lpstr>
      <vt:lpstr>1.3Pls_PP</vt:lpstr>
      <vt:lpstr>1.3Sbh</vt:lpstr>
      <vt:lpstr>1.3Sbh (2)</vt:lpstr>
      <vt:lpstr>1.3Swk</vt:lpstr>
      <vt:lpstr>1.3Swk (2)</vt:lpstr>
      <vt:lpstr>1.3Swk (3)</vt:lpstr>
      <vt:lpstr>1.3Sel</vt:lpstr>
      <vt:lpstr>1.3Trg</vt:lpstr>
      <vt:lpstr>1.3KL</vt:lpstr>
      <vt:lpstr>1.4 Type of Crime </vt:lpstr>
      <vt:lpstr>1.5Johor</vt:lpstr>
      <vt:lpstr>1.5Kedah</vt:lpstr>
      <vt:lpstr>1.5Kelantan</vt:lpstr>
      <vt:lpstr>1.5Melaka</vt:lpstr>
      <vt:lpstr>1.5Pahang</vt:lpstr>
      <vt:lpstr>1.5Perak</vt:lpstr>
      <vt:lpstr>1.5Perlis</vt:lpstr>
      <vt:lpstr>1.5Sabah</vt:lpstr>
      <vt:lpstr>1.5Sabah (2)</vt:lpstr>
      <vt:lpstr>1.5Sarawak</vt:lpstr>
      <vt:lpstr>1.5Sarawak (2)</vt:lpstr>
      <vt:lpstr>1.5Sarawak (3)</vt:lpstr>
      <vt:lpstr>1.5Selangor</vt:lpstr>
      <vt:lpstr>1.5Terengganu</vt:lpstr>
      <vt:lpstr>1.5W.P. KL</vt:lpstr>
      <vt:lpstr>1.6</vt:lpstr>
      <vt:lpstr>1.7Johor</vt:lpstr>
      <vt:lpstr>1.7Kedah</vt:lpstr>
      <vt:lpstr>1.7Kelantan</vt:lpstr>
      <vt:lpstr>1.7Melaka &amp; N9 </vt:lpstr>
      <vt:lpstr>1.7Pahang</vt:lpstr>
      <vt:lpstr>1.7Perak</vt:lpstr>
      <vt:lpstr>1.7Perlis &amp; PP </vt:lpstr>
      <vt:lpstr>1.7Sabah</vt:lpstr>
      <vt:lpstr>1.7Sabah (2)</vt:lpstr>
      <vt:lpstr>1.7Sarawak</vt:lpstr>
      <vt:lpstr>1.7Sarawak (2)</vt:lpstr>
      <vt:lpstr>1.7Sarawak (3)</vt:lpstr>
      <vt:lpstr>1.7Selangor</vt:lpstr>
      <vt:lpstr>1.7Terengganu</vt:lpstr>
      <vt:lpstr>1.7 KL</vt:lpstr>
      <vt:lpstr>'1.3Joh'!Print_Area</vt:lpstr>
      <vt:lpstr>'1.3Ked'!Print_Area</vt:lpstr>
      <vt:lpstr>'1.3Kel'!Print_Area</vt:lpstr>
      <vt:lpstr>'1.3KL'!Print_Area</vt:lpstr>
      <vt:lpstr>'1.3Mel &amp; N9'!Print_Area</vt:lpstr>
      <vt:lpstr>'1.3Phg'!Print_Area</vt:lpstr>
      <vt:lpstr>'1.3Pls_PP'!Print_Area</vt:lpstr>
      <vt:lpstr>'1.3Prk'!Print_Area</vt:lpstr>
      <vt:lpstr>'1.3Sel'!Print_Area</vt:lpstr>
      <vt:lpstr>'1.3Swk'!Print_Area</vt:lpstr>
      <vt:lpstr>'1.3Swk (2)'!Print_Area</vt:lpstr>
      <vt:lpstr>'1.3Swk (3)'!Print_Area</vt:lpstr>
      <vt:lpstr>'1.3Trg'!Print_Area</vt:lpstr>
      <vt:lpstr>'1.5Melaka'!Print_Area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intan</dc:creator>
  <cp:lastModifiedBy>USER</cp:lastModifiedBy>
  <cp:lastPrinted>2020-11-13T09:44:03Z</cp:lastPrinted>
  <dcterms:created xsi:type="dcterms:W3CDTF">2017-06-13T04:36:10Z</dcterms:created>
  <dcterms:modified xsi:type="dcterms:W3CDTF">2021-02-16T17:38:11Z</dcterms:modified>
</cp:coreProperties>
</file>