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1.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A CLIENTE" sheetId="1" r:id="rId4"/>
    <sheet state="visible" name="NO VEA CLIENTE" sheetId="2" r:id="rId5"/>
    <sheet state="visible" name="PR 100" sheetId="3" r:id="rId6"/>
    <sheet state="visible" name="Detail2-ESCOBA TCEP PERICO P-14" sheetId="4" r:id="rId7"/>
    <sheet state="visible" name="Detail1-CUBETA DE PLASTICO AZUL" sheetId="5" r:id="rId8"/>
    <sheet state="visible" name="CONTROL 100" sheetId="6" r:id="rId9"/>
    <sheet state="visible" name="Resumen" sheetId="7" r:id="rId10"/>
    <sheet state="visible" name="TC" sheetId="8" r:id="rId11"/>
  </sheets>
  <definedNames>
    <definedName name="Suma_material">#REF!</definedName>
    <definedName name="envio">#REF!</definedName>
    <definedName name="Correo">#REF!</definedName>
    <definedName name="sub_gral">#REF!</definedName>
    <definedName name="Telefono">#REF!</definedName>
    <definedName name="Direccion">#REF!</definedName>
    <definedName name="Empresa">#REF!</definedName>
    <definedName name="Suma_extras">#REF!</definedName>
    <definedName name="SegmentaciónDeDatos_TIPO1">#REF!</definedName>
    <definedName name="SegmentaciónDeDatos_TIPO">#REF!</definedName>
    <definedName name="margen">#REF!</definedName>
    <definedName name="Suma_mano_obra">#REF!</definedName>
    <definedName name="Extras">#REF!</definedName>
    <definedName name="factor">#REF!</definedName>
    <definedName name="No_cotizacion">#REF!</definedName>
    <definedName name="Contacto">#REF!</definedName>
    <definedName name="Fecha">#REF!</definedName>
    <definedName hidden="1" localSheetId="0" name="Z_777BA9CA_E8DE_4232_905B_894143FB4FE1_.wvu.FilterData">'VEA CLIENTE'!$A$12:$U$112</definedName>
    <definedName hidden="1" localSheetId="0" name="Z_4BB05055_FCD6_4C7E_BA81_608746F01C66_.wvu.FilterData">'VEA CLIENTE'!$A$12:$U$112</definedName>
    <definedName name="SlicerCache_Table_3_Col_1">#N/A</definedName>
  </definedNames>
  <calcPr/>
  <customWorkbookViews>
    <customWorkbookView activeSheetId="0" maximized="1" tabRatio="600" windowHeight="0" windowWidth="0" guid="{777BA9CA-E8DE-4232-905B-894143FB4FE1}" name="Filter 2"/>
    <customWorkbookView activeSheetId="0" maximized="1" tabRatio="600" windowHeight="0" windowWidth="0" guid="{4BB05055-FCD6-4C7E-BA81-608746F01C66}" name="Filter 1"/>
  </customWorkbookViews>
  <pivotCaches>
    <pivotCache cacheId="0" r:id="rId12"/>
  </pivotCaches>
  <extLst>
    <ext uri="{46BE6895-7355-4a93-B00E-2C351335B9C9}">
      <x15:slicerCaches>
        <x14:slicerCache r:id="rId13"/>
      </x15:slicerCaches>
    </ext>
  </extLst>
</workbook>
</file>

<file path=xl/sharedStrings.xml><?xml version="1.0" encoding="utf-8"?>
<sst xmlns="http://schemas.openxmlformats.org/spreadsheetml/2006/main" count="972" uniqueCount="190">
  <si>
    <t>TIPO</t>
  </si>
  <si>
    <t>T.C.</t>
  </si>
  <si>
    <t>MARGEN</t>
  </si>
  <si>
    <t>Factor de Seguridad</t>
  </si>
  <si>
    <t>INFLAR</t>
  </si>
  <si>
    <t>ACEPTAN PRORRATEO</t>
  </si>
  <si>
    <t>CANTIDAD A PRORRATEAR</t>
  </si>
  <si>
    <t>OCULTO</t>
  </si>
  <si>
    <t>Prorrateo</t>
  </si>
  <si>
    <t>PRODUCTO</t>
  </si>
  <si>
    <t>NO</t>
  </si>
  <si>
    <t>MANO DE OBRA</t>
  </si>
  <si>
    <t>UNIDAD</t>
  </si>
  <si>
    <t>MATERIAL INST</t>
  </si>
  <si>
    <t>PZA</t>
  </si>
  <si>
    <t>MUESTRA</t>
  </si>
  <si>
    <t>LITRO</t>
  </si>
  <si>
    <t>MONEDA</t>
  </si>
  <si>
    <t>SERVICIO</t>
  </si>
  <si>
    <t>HORA</t>
  </si>
  <si>
    <t>MXN</t>
  </si>
  <si>
    <t>CAJA</t>
  </si>
  <si>
    <t>USD</t>
  </si>
  <si>
    <t>PRODUCTOS/SERVICIOS/M.O./MATERIAL/ETC</t>
  </si>
  <si>
    <t>ENVÍO DE PROVEEDOR A GNA</t>
  </si>
  <si>
    <t>ENVÍO GNA A CLIENTE</t>
  </si>
  <si>
    <t>TOTAL COSTO MXN</t>
  </si>
  <si>
    <t>ITEM</t>
  </si>
  <si>
    <t>SKU</t>
  </si>
  <si>
    <t>DESCRIPCIÓN</t>
  </si>
  <si>
    <t>CANTIDAD / PERSONAL REQUERIDO</t>
  </si>
  <si>
    <t>TIEMPO 
ESTIMADO</t>
  </si>
  <si>
    <t>COSTO
UNITARIO</t>
  </si>
  <si>
    <t>COSTO
UNITARIO MXN</t>
  </si>
  <si>
    <t>COSTO TOTAL MXN</t>
  </si>
  <si>
    <t>MARGEN $</t>
  </si>
  <si>
    <t>MARGEN %</t>
  </si>
  <si>
    <t>FACTOR DE SEGURIDAD</t>
  </si>
  <si>
    <t>PRECIO TOTAL MXN</t>
  </si>
  <si>
    <t>RECIBE INCREMENTO POR PRORRATEO</t>
  </si>
  <si>
    <t>PRECIO TOTAL PARA CÁLCULO DE PRORRATEO</t>
  </si>
  <si>
    <t>PRECIO TOTAL MXN UNITARIO AL CLIENTE</t>
  </si>
  <si>
    <t>PRECIO TOTAL MXN AL CLIENTE</t>
  </si>
  <si>
    <t>OBSERVACIONES</t>
  </si>
  <si>
    <t>PAQUETERIA</t>
  </si>
  <si>
    <t>COSTO</t>
  </si>
  <si>
    <t>RECIBE INCREMENTO POR PRORRATEO?</t>
  </si>
  <si>
    <t>VALORES QUE VERÁ EL CLIENTE</t>
  </si>
  <si>
    <t>ESCOBETA PLASTICO REDONDO PERICO PE-1 VARIOS COLORES</t>
  </si>
  <si>
    <t>Envío 1</t>
  </si>
  <si>
    <t>DHL</t>
  </si>
  <si>
    <t>GNA</t>
  </si>
  <si>
    <t>ESCOBETA PLASTICO REDONDO PERICO PE-1 VARIOS COLORES USA</t>
  </si>
  <si>
    <t>SI</t>
  </si>
  <si>
    <t>BALA IP 4 MP / LENTE 1.68 MM / 20 MTS IR EXIR / WDR 120 DB / IP67 / H.265+ / METAL / IP67</t>
  </si>
  <si>
    <t>Cubo IP 4 Megapixel / Serie PRO / WiFi / Lente 2.8 mm / 10 mts IR EXIR / PoE / Sensor PIR / H.265+ / Interior / Micro SD / Audio de Dos Vías</t>
  </si>
  <si>
    <t>Cable HDMI de alta resolución en 4K de 1 m</t>
  </si>
  <si>
    <t>Punto de Acceso Mesh y Repetidor "WiFi" para Exterior MU-MIMO 2x2, Hasta 1267 Mbps, 500 mW de potencia, 250 Clientes Simultáneos, Doble Banda en 2.4 y 5 GHz.</t>
  </si>
  <si>
    <t>Monitor LED Full HD de 32" / Ideal para Videovigilancia / Uso 24-7 / Entrada HDMI-VGA / Compatible con Montaje VESA</t>
  </si>
  <si>
    <t>Montaje de pared articulado para monitor de 13 a 37", carga máxima 30Kg, Vesa 200x200</t>
  </si>
  <si>
    <t>NVR 12 Megapixel (4K) / 16 canales IP / 16 Puertos PoE+ / 4 Bahías de Disco Duro / Switch PoE 300 mts / HDMI en 4K / Soporta POS</t>
  </si>
  <si>
    <t>Disco duro WD de 8TB / 7200RPM / Optimizado para Videovigilancia</t>
  </si>
  <si>
    <t>Bobina de cable de 305 metros Cat6+, CALIBRE 23 ALTO RENDIMIENTO, ETL,UL, con garantía de por vida, color azul, super flexible, para aplicaciones de CCTV, video HD, y redes de datos. Uso interior.</t>
  </si>
  <si>
    <t>Bobina de cable de 152.5 Metros Cat6+ CALIBRE 23 ALTO DESEMPEÑO, super flexible, UL, color Azúl, para aplicaciones de CCTV, HD, y redes de datos. Uso interior.</t>
  </si>
  <si>
    <t>Gabinete Metálico de Seguridad para DVR/NVR. Tamaño Max. de DVR/NVR: 440 x 177 x 462 mm (An. x Al. x Prof.)</t>
  </si>
  <si>
    <t>Google Home Mini Asistente de Voz, Inalámbrico, WiFi, Bluetooth, Gris</t>
  </si>
  <si>
    <t>Plug Modular RJ45 Cat6 sin blindaje, chapado de oro a 30 micras para durabilidad extrema</t>
  </si>
  <si>
    <t>EXTENSOR HDMI Y CONTROL REMOTO POR CAT6 40M</t>
  </si>
  <si>
    <t>CABLE HDMI DE ALTA VELOCIDAD C/ETHERNET 3.6M</t>
  </si>
  <si>
    <t>Nest Hello Video</t>
  </si>
  <si>
    <t>Adaptador De Corriente Para Timbre De Vídeo 18 Vac Transform</t>
  </si>
  <si>
    <t>Material para instalación de cámaras (canaleta, tubo conduix, codos, cajas, tornillos, abrazadera, taquete, Duretan PTR</t>
  </si>
  <si>
    <t>Mano de Obra para instalación (8 DÍAS HÁBILES)</t>
  </si>
  <si>
    <t>PRODUCTO 99</t>
  </si>
  <si>
    <t>PRODUCTO 100</t>
  </si>
  <si>
    <t>ENVÍO TOTAL</t>
  </si>
  <si>
    <t>PRODUCTO INTERNO</t>
  </si>
  <si>
    <t>INDIRECTOS</t>
  </si>
  <si>
    <t/>
  </si>
  <si>
    <t>MANO OBRA USA</t>
  </si>
  <si>
    <t>BROCA DE CONCRETO 1/4 X 4</t>
  </si>
  <si>
    <t>PLACA CUADRADA 30 x 30 1/2 9 KG</t>
  </si>
  <si>
    <t>CINTA DE AISLAR NITTO NEGRA</t>
  </si>
  <si>
    <t>SELLADOR PARA JUNTAS DE POLIURETANO DURETAN GRIS</t>
  </si>
  <si>
    <t>CONECTOR AMERICANO CONDUIT PARED DELGADA 1 OMEGA GALVANIZADO LUZ</t>
  </si>
  <si>
    <t>CAJA TAQUETE DE PLASTICO 1/4 ROJO THORSMAN</t>
  </si>
  <si>
    <t>CURVA CONDUIT PARED DELGADA 1 OMEGA GALVANIZADO LUZ</t>
  </si>
  <si>
    <t>TAPA CUADRADA GALVANIZADA 1 SIN MARCA</t>
  </si>
  <si>
    <t>CAJA CUADRADA GALVANIZADA 1 SIN MARCA</t>
  </si>
  <si>
    <t>TORNILLO CABEZA DE GOTA 5/32 X 1</t>
  </si>
  <si>
    <t>ABRAZADERA OMEGA 1 ANCLA</t>
  </si>
  <si>
    <t>TUBO CONDUIT PARED DELGADA 3/4 OMEGA TRAMO GALVANIZADO LUZ</t>
  </si>
  <si>
    <t>TUBO CONDUIT PARED DELGADA 1 OMEGA TRAMO GALVANIZADO LUZ</t>
  </si>
  <si>
    <t>CANALETA 1720 CON PEGAMENTO SIN MARCA 1/2 x 1"</t>
  </si>
  <si>
    <t>PTR RECTANGULAR 2 1/2 X 1 1/2 CAL. 11 26.5 KG</t>
  </si>
  <si>
    <t>DE VEA CLIENTE</t>
  </si>
  <si>
    <t>FLETE A GNA</t>
  </si>
  <si>
    <t>FLETE A CLIENTE</t>
  </si>
  <si>
    <t>FECHA:</t>
  </si>
  <si>
    <t>Cotización:</t>
  </si>
  <si>
    <t>CM00016 C</t>
  </si>
  <si>
    <t>CLIENTE:</t>
  </si>
  <si>
    <t>AAAAA</t>
  </si>
  <si>
    <t>EMPRESA:</t>
  </si>
  <si>
    <t>BBBBBB</t>
  </si>
  <si>
    <t>DIRECCIÓN:</t>
  </si>
  <si>
    <t>RFC:</t>
  </si>
  <si>
    <t>CONTACTO:</t>
  </si>
  <si>
    <t>TELEFONO:</t>
  </si>
  <si>
    <t>TELÉFONO:</t>
  </si>
  <si>
    <t>EXTENSIÓN:</t>
  </si>
  <si>
    <t>ELABORÓ:</t>
  </si>
  <si>
    <t>EMAIL:</t>
  </si>
  <si>
    <t>AAAA@GMAIL.COM</t>
  </si>
  <si>
    <t>CELULAR:</t>
  </si>
  <si>
    <t>bbb@gmail.com</t>
  </si>
  <si>
    <t>RFC</t>
  </si>
  <si>
    <t>SUM of CANTIDAD / PERSONAL REQUERIDO</t>
  </si>
  <si>
    <t>SUM of PRECIO TOTAL MXN UNITARIO AL CLIENTE</t>
  </si>
  <si>
    <t>SUM of PRECIO TOTAL MXN AL CLIENTE</t>
  </si>
  <si>
    <t>Grand Total</t>
  </si>
  <si>
    <t>SUBTOTAL 1</t>
  </si>
  <si>
    <t>DESCUENTO</t>
  </si>
  <si>
    <t>ESTA COTIZACIÓN UTILIZÓ UN TIPO DE CAMBIO DE:</t>
  </si>
  <si>
    <t>SUBTOTAL 2</t>
  </si>
  <si>
    <t>MXN POR USD</t>
  </si>
  <si>
    <t>IVA</t>
  </si>
  <si>
    <t>Total</t>
  </si>
  <si>
    <t>OPCIONES DE PAGO</t>
  </si>
  <si>
    <t>De contado (depósito o transferencia bancaria)</t>
  </si>
  <si>
    <t xml:space="preserve">Tarjeta de Crédito o Pago en Tienda de Conveniencia </t>
  </si>
  <si>
    <t>1 pago de</t>
  </si>
  <si>
    <t xml:space="preserve">Sí el pago es por depósito o transferencia electrónica por favor enviar por correo electrónico el comprobante de pago. </t>
  </si>
  <si>
    <t>Tarjeta de Crédito a 3 meses</t>
  </si>
  <si>
    <t>3 pagos de</t>
  </si>
  <si>
    <t>Tarjeta de Crédito a 6 meses</t>
  </si>
  <si>
    <t>6 pagos de</t>
  </si>
  <si>
    <t>Tarjeta de Crédito a 9 meses</t>
  </si>
  <si>
    <t>9 pagos de</t>
  </si>
  <si>
    <t>Tarjeta de Crédito a 12 meses</t>
  </si>
  <si>
    <t>12 pagos de</t>
  </si>
  <si>
    <t>Tarjeta de Crédito a 18 meses</t>
  </si>
  <si>
    <t>18 pagos de</t>
  </si>
  <si>
    <t>Tarjeta de Crédito a 24 meses</t>
  </si>
  <si>
    <t>24 pagos de</t>
  </si>
  <si>
    <t>Si su pago es con transferencia o depósito bancario:</t>
  </si>
  <si>
    <t>Aceptamos las siguientes tarjetas bancarias:</t>
  </si>
  <si>
    <t>ESCOBA T/CEP PERICO P-140 VERDE OBSURO</t>
  </si>
  <si>
    <t>CUBETA DE PLASTICO AZUL REY DE 10LT TORINO</t>
  </si>
  <si>
    <t>Tarjeta de Crédito</t>
  </si>
  <si>
    <t>Costo VC</t>
  </si>
  <si>
    <t>Costo NVC</t>
  </si>
  <si>
    <t>Costo total</t>
  </si>
  <si>
    <t>Precio</t>
  </si>
  <si>
    <t>Margen</t>
  </si>
  <si>
    <t>BLA</t>
  </si>
  <si>
    <t>con IVA</t>
  </si>
  <si>
    <t>con Flete</t>
  </si>
  <si>
    <t>con ivas de flete</t>
  </si>
  <si>
    <t>MERCADO PAGO</t>
  </si>
  <si>
    <t>Visa o MC</t>
  </si>
  <si>
    <t>subtotal</t>
  </si>
  <si>
    <t>Precio con TC</t>
  </si>
  <si>
    <t>cuanto queda</t>
  </si>
  <si>
    <t>disminución</t>
  </si>
  <si>
    <t>fijo</t>
  </si>
  <si>
    <t>% extra 1</t>
  </si>
  <si>
    <t>sube precio por</t>
  </si>
  <si>
    <t>Plazo</t>
  </si>
  <si>
    <t>pago a meses</t>
  </si>
  <si>
    <t>Tienda conveniencia o T.C. A 1 solo pago</t>
  </si>
  <si>
    <t>% extra 2</t>
  </si>
  <si>
    <t>T.C. A meses</t>
  </si>
  <si>
    <t>porcentaje base</t>
  </si>
  <si>
    <t>Cobro</t>
  </si>
  <si>
    <t>% base</t>
  </si>
  <si>
    <t>fijo base</t>
  </si>
  <si>
    <t>sub total</t>
  </si>
  <si>
    <t>cobro con iva</t>
  </si>
  <si>
    <t>recibe GNA</t>
  </si>
  <si>
    <t>base</t>
  </si>
  <si>
    <t>meses</t>
  </si>
  <si>
    <t>Amex</t>
  </si>
  <si>
    <t>subtatal</t>
  </si>
  <si>
    <t>maquinita</t>
  </si>
  <si>
    <t>Sr. Pago</t>
  </si>
  <si>
    <t>Cualquiera</t>
  </si>
  <si>
    <t>Clip</t>
  </si>
  <si>
    <t>PayPal Mexico</t>
  </si>
  <si>
    <t></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</si>
</sst>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_-&quot;$&quot;* #,##0.00_-;\-&quot;$&quot;* #,##0.00_-;_-&quot;$&quot;* &quot;-&quot;??_-;_-@"/>
    <numFmt numFmtId="165" formatCode="_(&quot;$&quot;* #,##0.00_);_(&quot;$&quot;* \(#,##0.00\);_(&quot;$&quot;* &quot;-&quot;??_);_(@_)"/>
    <numFmt numFmtId="166" formatCode="&quot;$&quot;#,##0.00"/>
    <numFmt numFmtId="167" formatCode="&quot;$&quot;#,##0.00;[Red]\-&quot;$&quot;#,##0.00"/>
    <numFmt numFmtId="168" formatCode="_-&quot;$&quot;* #,##0.0_-;\-&quot;$&quot;* #,##0.0_-;_-&quot;$&quot;* &quot;-&quot;?_-;_-@"/>
    <numFmt numFmtId="169" formatCode="[$-F800]dddd\,\ mmmm\ dd\,\ yyyy"/>
    <numFmt numFmtId="170" formatCode="&quot;$&quot;#,##0"/>
    <numFmt numFmtId="171" formatCode="0.00000%"/>
    <numFmt numFmtId="172" formatCode="0.0000%"/>
    <numFmt numFmtId="173" formatCode="0.0%"/>
    <numFmt numFmtId="174" formatCode="_-* #,##0_-;\-* #,##0_-;_-* &quot;-&quot;??_-;_-@"/>
  </numFmts>
  <fonts count="43">
    <font>
      <sz val="11.0"/>
      <color theme="1"/>
      <name val="Arial"/>
    </font>
    <font>
      <b/>
      <sz val="10.0"/>
      <color theme="0"/>
      <name val="Calibri"/>
    </font>
    <font>
      <sz val="11.0"/>
      <color theme="1"/>
      <name val="Calibri"/>
    </font>
    <font>
      <b/>
      <sz val="9.0"/>
      <color theme="0"/>
      <name val="Arial"/>
    </font>
    <font>
      <b/>
      <sz val="10.0"/>
      <color theme="1"/>
      <name val="Calibri"/>
    </font>
    <font>
      <b/>
      <sz val="11.0"/>
      <color theme="1"/>
      <name val="Calibri"/>
    </font>
    <font>
      <b/>
      <sz val="72.0"/>
      <color theme="0"/>
      <name val="Calibri"/>
    </font>
    <font/>
    <font>
      <sz val="72.0"/>
      <color theme="0"/>
      <name val="Calibri"/>
    </font>
    <font>
      <sz val="9.0"/>
      <color theme="0"/>
      <name val="Arial"/>
    </font>
    <font>
      <sz val="9.0"/>
      <color theme="1"/>
      <name val="Arial"/>
    </font>
    <font>
      <sz val="9.0"/>
      <color rgb="FF000000"/>
      <name val="Arial"/>
    </font>
    <font>
      <sz val="11.0"/>
      <color rgb="FF000000"/>
      <name val="Calibri"/>
    </font>
    <font>
      <b/>
      <sz val="9.0"/>
      <color theme="1"/>
      <name val="Arial"/>
    </font>
    <font>
      <sz val="10.0"/>
      <color theme="1"/>
      <name val="Times New Roman"/>
    </font>
    <font>
      <sz val="8.0"/>
      <color theme="1"/>
      <name val="Arial"/>
    </font>
    <font>
      <b/>
      <sz val="8.0"/>
      <color theme="1"/>
      <name val="Arial"/>
    </font>
    <font>
      <sz val="12.0"/>
      <color theme="1"/>
      <name val="Calibri"/>
    </font>
    <font>
      <b/>
      <sz val="11.0"/>
      <color rgb="FFC00000"/>
      <name val="Calibri"/>
    </font>
    <font>
      <b/>
      <sz val="12.0"/>
      <color theme="1"/>
      <name val="Calibri"/>
    </font>
    <font>
      <u/>
      <sz val="11.0"/>
      <color theme="10"/>
    </font>
    <font>
      <u/>
      <sz val="11.0"/>
      <color theme="10"/>
    </font>
    <font>
      <u/>
      <sz val="10.0"/>
      <color theme="10"/>
      <name val="Calibri"/>
    </font>
    <font>
      <sz val="8.0"/>
      <color theme="1"/>
      <name val="Calibri"/>
    </font>
    <font>
      <sz val="9.0"/>
      <color theme="0"/>
      <name val="Calibri"/>
    </font>
    <font>
      <b/>
      <sz val="9.0"/>
      <color rgb="FF2F75B5"/>
      <name val="Calibri"/>
    </font>
    <font>
      <b/>
      <sz val="9.0"/>
      <color theme="1"/>
      <name val="Calibri"/>
    </font>
    <font>
      <b/>
      <sz val="14.0"/>
      <color theme="0"/>
      <name val="Arial"/>
    </font>
    <font>
      <b/>
      <sz val="16.0"/>
      <color theme="1"/>
      <name val="Calibri"/>
    </font>
    <font>
      <b/>
      <sz val="11.0"/>
      <color theme="0"/>
      <name val="Calibri"/>
    </font>
    <font>
      <b/>
      <color rgb="FFFFFFFF"/>
      <name val="Calibri"/>
    </font>
    <font>
      <color theme="1"/>
      <name val="Calibri"/>
    </font>
    <font>
      <u/>
      <sz val="11.0"/>
      <color theme="10"/>
    </font>
    <font>
      <u/>
      <sz val="11.0"/>
      <color theme="10"/>
    </font>
    <font>
      <u/>
      <sz val="10.0"/>
      <color theme="10"/>
      <name val="Calibri"/>
    </font>
    <font>
      <b/>
      <sz val="11.0"/>
      <color rgb="FF00FF00"/>
      <name val="Calibri"/>
    </font>
    <font>
      <b/>
      <sz val="12.0"/>
      <color theme="1"/>
      <name val="Arial"/>
    </font>
    <font>
      <b/>
      <sz val="22.0"/>
      <color theme="1"/>
      <name val="Calibri"/>
    </font>
    <font>
      <sz val="11.0"/>
      <color theme="1"/>
    </font>
    <font>
      <b/>
      <sz val="20.0"/>
      <color theme="1"/>
      <name val="Calibri"/>
    </font>
    <font>
      <b/>
      <sz val="14.0"/>
      <color theme="1"/>
      <name val="Calibri"/>
    </font>
    <font>
      <sz val="36.0"/>
      <color theme="1"/>
      <name val="Calibri"/>
    </font>
    <font>
      <b/>
      <sz val="48.0"/>
      <color theme="0"/>
      <name val="Calibri"/>
    </font>
  </fonts>
  <fills count="16">
    <fill>
      <patternFill patternType="none"/>
    </fill>
    <fill>
      <patternFill patternType="lightGray"/>
    </fill>
    <fill>
      <patternFill patternType="solid">
        <fgColor rgb="FFC55A11"/>
        <bgColor rgb="FFC55A11"/>
      </patternFill>
    </fill>
    <fill>
      <patternFill patternType="solid">
        <fgColor rgb="FF2E75B5"/>
        <bgColor rgb="FF2E75B5"/>
      </patternFill>
    </fill>
    <fill>
      <patternFill patternType="solid">
        <fgColor rgb="FF00B0F0"/>
        <bgColor rgb="FF00B0F0"/>
      </patternFill>
    </fill>
    <fill>
      <patternFill patternType="solid">
        <fgColor rgb="FFFFFF66"/>
        <bgColor rgb="FFFFFF66"/>
      </patternFill>
    </fill>
    <fill>
      <patternFill patternType="solid">
        <fgColor rgb="FFFFFF00"/>
        <bgColor rgb="FFFFFF00"/>
      </patternFill>
    </fill>
    <fill>
      <patternFill patternType="solid">
        <fgColor rgb="FF00FF00"/>
        <bgColor rgb="FF00FF00"/>
      </patternFill>
    </fill>
    <fill>
      <patternFill patternType="solid">
        <fgColor rgb="FFBF9000"/>
        <bgColor rgb="FFBF9000"/>
      </patternFill>
    </fill>
    <fill>
      <patternFill patternType="solid">
        <fgColor rgb="FFDEEAF6"/>
        <bgColor rgb="FFDEEAF6"/>
      </patternFill>
    </fill>
    <fill>
      <patternFill patternType="solid">
        <fgColor rgb="FF99FFCC"/>
        <bgColor rgb="FF99FFCC"/>
      </patternFill>
    </fill>
    <fill>
      <patternFill patternType="solid">
        <fgColor rgb="FFFFFFCC"/>
        <bgColor rgb="FFFFFFCC"/>
      </patternFill>
    </fill>
    <fill>
      <patternFill patternType="solid">
        <fgColor theme="0"/>
        <bgColor theme="0"/>
      </patternFill>
    </fill>
    <fill>
      <patternFill patternType="solid">
        <fgColor rgb="FF0070C0"/>
        <bgColor rgb="FF0070C0"/>
      </patternFill>
    </fill>
    <fill>
      <patternFill patternType="solid">
        <fgColor rgb="FFCEE1F2"/>
        <bgColor rgb="FFCEE1F2"/>
      </patternFill>
    </fill>
    <fill>
      <patternFill patternType="solid">
        <fgColor theme="8"/>
        <bgColor theme="8"/>
      </patternFill>
    </fill>
  </fills>
  <borders count="64">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top/>
      <bottom style="thin">
        <color rgb="FF000000"/>
      </bottom>
    </border>
    <border>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top/>
      <bottom/>
    </border>
    <border>
      <left/>
      <right style="thin">
        <color rgb="FF000000"/>
      </right>
      <top/>
      <bottom/>
    </border>
    <border>
      <left style="thin">
        <color rgb="FF000000"/>
      </left>
      <bottom style="thin">
        <color rgb="FF000000"/>
      </bottom>
    </border>
    <border>
      <left style="thin">
        <color rgb="FF000000"/>
      </left>
      <right/>
      <top/>
      <bottom style="thin">
        <color rgb="FF000000"/>
      </bottom>
    </border>
    <border>
      <left style="thin">
        <color rgb="FF000000"/>
      </left>
      <right style="thin">
        <color rgb="FF000000"/>
      </right>
      <bottom style="thin">
        <color rgb="FF000000"/>
      </bottom>
    </border>
    <border>
      <left/>
      <right style="thin">
        <color rgb="FF000000"/>
      </right>
      <top/>
      <bottom style="thin">
        <color rgb="FF000000"/>
      </bottom>
    </border>
    <border>
      <left/>
      <top style="thin">
        <color rgb="FF000000"/>
      </top>
      <bottom style="thin">
        <color rgb="FF000000"/>
      </bottom>
    </border>
    <border>
      <right style="thin">
        <color rgb="FF000000"/>
      </right>
      <top style="thin">
        <color rgb="FF000000"/>
      </top>
      <bottom style="thin">
        <color rgb="FF000000"/>
      </bottom>
    </border>
    <border>
      <left style="thin">
        <color rgb="FF9CC2E5"/>
      </left>
      <right style="thin">
        <color rgb="FF9CC2E5"/>
      </right>
      <top style="thin">
        <color rgb="FF000000"/>
      </top>
      <bottom/>
    </border>
    <border>
      <left style="thin">
        <color rgb="FF000000"/>
      </left>
      <top style="thin">
        <color rgb="FF000000"/>
      </top>
      <bottom style="thin">
        <color rgb="FF000000"/>
      </bottom>
    </border>
    <border>
      <top style="thin">
        <color rgb="FF000000"/>
      </top>
      <bottom style="thin">
        <color rgb="FF000000"/>
      </bottom>
    </border>
    <border>
      <left/>
      <top style="thin">
        <color rgb="FF000000"/>
      </top>
      <bottom/>
    </border>
    <border>
      <right/>
      <top style="thin">
        <color rgb="FF000000"/>
      </top>
      <bottom/>
    </border>
    <border>
      <right style="thin">
        <color rgb="FF000000"/>
      </right>
    </border>
    <border>
      <left style="thin">
        <color rgb="FF000000"/>
      </left>
    </border>
    <border>
      <bottom style="thin">
        <color rgb="FF000000"/>
      </bottom>
    </border>
    <border>
      <right style="thin">
        <color rgb="FF000000"/>
      </right>
      <bottom style="thin">
        <color rgb="FF000000"/>
      </bottom>
    </border>
    <border>
      <right/>
      <top style="thin">
        <color rgb="FF000000"/>
      </top>
      <bottom style="thin">
        <color rgb="FF000000"/>
      </bottom>
    </border>
    <border>
      <left style="thin">
        <color rgb="FF000000"/>
      </left>
      <top style="thin">
        <color rgb="FF000000"/>
      </top>
      <bottom/>
    </border>
    <border>
      <right style="thin">
        <color rgb="FF000000"/>
      </right>
      <top style="thin">
        <color rgb="FF000000"/>
      </top>
      <bottom/>
    </border>
    <border>
      <right style="thin">
        <color rgb="FFFFFFFF"/>
      </right>
      <bottom style="thin">
        <color rgb="FFA3B2CC"/>
      </bottom>
    </border>
    <border>
      <left style="thin">
        <color rgb="FFFFFFFF"/>
      </left>
      <right style="thin">
        <color rgb="FFFFFFFF"/>
      </right>
      <bottom style="thin">
        <color rgb="FFA3B2CC"/>
      </bottom>
    </border>
    <border>
      <left style="thin">
        <color rgb="FFFFFFFF"/>
      </left>
      <bottom style="thin">
        <color rgb="FFA3B2CC"/>
      </bottom>
    </border>
    <border>
      <right style="thin">
        <color rgb="FFFFFFFF"/>
      </right>
      <top style="thin">
        <color rgb="FFA3B2CC"/>
      </top>
      <bottom style="thin">
        <color rgb="FFA3B2CC"/>
      </bottom>
    </border>
    <border>
      <left style="thin">
        <color rgb="FFFFFFFF"/>
      </left>
      <right style="thin">
        <color rgb="FFFFFFFF"/>
      </right>
      <top style="thin">
        <color rgb="FFA3B2CC"/>
      </top>
      <bottom style="thin">
        <color rgb="FFA3B2CC"/>
      </bottom>
    </border>
    <border>
      <left style="thin">
        <color rgb="FFFFFFFF"/>
      </left>
      <top style="thin">
        <color rgb="FFA3B2CC"/>
      </top>
      <bottom style="thin">
        <color rgb="FFA3B2CC"/>
      </bottom>
    </border>
    <border>
      <left/>
      <top/>
      <bottom/>
    </border>
    <border>
      <right/>
      <top/>
      <bottom/>
    </border>
    <border>
      <left/>
      <right/>
      <top/>
      <bottom style="thin">
        <color rgb="FF9CC2E5"/>
      </bottom>
    </border>
    <border>
      <left style="medium">
        <color rgb="FF000000"/>
      </left>
    </border>
    <border>
      <right style="medium">
        <color rgb="FF000000"/>
      </right>
    </border>
    <border>
      <left style="thin">
        <color rgb="FF000000"/>
      </left>
      <right style="thin">
        <color rgb="FF000000"/>
      </right>
      <top style="thin">
        <color rgb="FF000000"/>
      </top>
    </border>
    <border>
      <left style="thin">
        <color rgb="FF000000"/>
      </left>
      <right style="thin">
        <color rgb="FF000000"/>
      </right>
    </border>
    <border>
      <left style="medium">
        <color rgb="FF000000"/>
      </left>
      <top style="thin">
        <color rgb="FF000000"/>
      </top>
      <bottom style="thin">
        <color rgb="FF000000"/>
      </bottom>
    </border>
    <border>
      <top style="thin">
        <color rgb="FF000000"/>
      </top>
    </border>
    <border>
      <right style="thin">
        <color rgb="FF000000"/>
      </right>
      <top style="thin">
        <color rgb="FF000000"/>
      </top>
    </border>
    <border>
      <left style="medium">
        <color rgb="FF000000"/>
      </left>
      <right style="medium">
        <color rgb="FF000000"/>
      </right>
    </border>
    <border>
      <left style="medium">
        <color rgb="FF000000"/>
      </left>
      <right style="thin">
        <color rgb="FF000000"/>
      </right>
    </border>
    <border>
      <left style="thin">
        <color rgb="FF000000"/>
      </left>
      <top style="thin">
        <color rgb="FF000000"/>
      </top>
    </border>
    <border>
      <left style="medium">
        <color rgb="FF000000"/>
      </left>
      <top style="thin">
        <color rgb="FF000000"/>
      </top>
    </border>
    <border>
      <right style="medium">
        <color rgb="FF000000"/>
      </right>
      <top style="thin">
        <color rgb="FF000000"/>
      </top>
    </border>
    <border>
      <left style="medium">
        <color rgb="FF000000"/>
      </left>
      <right style="thin">
        <color rgb="FF000000"/>
      </right>
      <bottom style="thin">
        <color rgb="FF000000"/>
      </bottom>
    </border>
    <border>
      <left style="medium">
        <color rgb="FF000000"/>
      </left>
      <bottom style="thin">
        <color rgb="FF000000"/>
      </bottom>
    </border>
    <border>
      <right style="medium">
        <color rgb="FF000000"/>
      </right>
      <bottom style="thin">
        <color rgb="FF000000"/>
      </bottom>
    </border>
    <border>
      <left style="medium">
        <color rgb="FF000000"/>
      </left>
      <bottom style="medium">
        <color rgb="FF000000"/>
      </bottom>
    </border>
    <border>
      <bottom style="medium">
        <color rgb="FF000000"/>
      </bottom>
    </border>
    <border>
      <left/>
      <right/>
      <top/>
      <bottom style="medium">
        <color rgb="FF000000"/>
      </bottom>
    </border>
    <border>
      <right style="medium">
        <color rgb="FF000000"/>
      </right>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s>
  <cellStyleXfs count="1">
    <xf borderId="0" fillId="0" fontId="0" numFmtId="0" applyAlignment="1" applyFont="1"/>
  </cellStyleXfs>
  <cellXfs count="303">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0" fontId="2" numFmtId="0" xfId="0" applyFont="1"/>
    <xf borderId="0" fillId="0" fontId="1" numFmtId="0" xfId="0" applyAlignment="1" applyFont="1">
      <alignment horizontal="center"/>
    </xf>
    <xf borderId="2" fillId="2" fontId="1" numFmtId="0" xfId="0" applyAlignment="1" applyBorder="1" applyFont="1">
      <alignment horizontal="center"/>
    </xf>
    <xf borderId="3" fillId="2" fontId="1" numFmtId="0" xfId="0" applyAlignment="1" applyBorder="1" applyFont="1">
      <alignment horizontal="center"/>
    </xf>
    <xf borderId="4" fillId="3" fontId="3" numFmtId="0" xfId="0" applyAlignment="1" applyBorder="1" applyFill="1" applyFont="1">
      <alignment horizontal="center" vertical="center"/>
    </xf>
    <xf borderId="1" fillId="4" fontId="1" numFmtId="0" xfId="0" applyBorder="1" applyFill="1" applyFont="1"/>
    <xf borderId="0" fillId="0" fontId="4" numFmtId="0" xfId="0" applyFont="1"/>
    <xf borderId="2" fillId="5" fontId="4" numFmtId="164" xfId="0" applyAlignment="1" applyBorder="1" applyFill="1" applyFont="1" applyNumberFormat="1">
      <alignment horizontal="center" readingOrder="0"/>
    </xf>
    <xf borderId="2" fillId="5" fontId="4" numFmtId="9" xfId="0" applyAlignment="1" applyBorder="1" applyFont="1" applyNumberFormat="1">
      <alignment horizontal="center"/>
    </xf>
    <xf borderId="2" fillId="6" fontId="4" numFmtId="9" xfId="0" applyAlignment="1" applyBorder="1" applyFill="1" applyFont="1" applyNumberFormat="1">
      <alignment horizontal="center"/>
    </xf>
    <xf borderId="3" fillId="7" fontId="2" numFmtId="165" xfId="0" applyBorder="1" applyFill="1" applyFont="1" applyNumberFormat="1"/>
    <xf borderId="0" fillId="0" fontId="2" numFmtId="165" xfId="0" applyFont="1" applyNumberFormat="1"/>
    <xf borderId="0" fillId="0" fontId="5" numFmtId="0" xfId="0" applyAlignment="1" applyFont="1">
      <alignment horizontal="center" shrinkToFit="0" vertical="center" wrapText="1"/>
    </xf>
    <xf borderId="0" fillId="0" fontId="2" numFmtId="166" xfId="0" applyAlignment="1" applyFont="1" applyNumberFormat="1">
      <alignment horizontal="center" vertical="center"/>
    </xf>
    <xf borderId="0" fillId="0" fontId="4" numFmtId="9" xfId="0" applyFont="1" applyNumberFormat="1"/>
    <xf borderId="3" fillId="6" fontId="2" numFmtId="0" xfId="0" applyAlignment="1" applyBorder="1" applyFont="1">
      <alignment horizontal="center"/>
    </xf>
    <xf borderId="0" fillId="0" fontId="2" numFmtId="164" xfId="0" applyFont="1" applyNumberFormat="1"/>
    <xf borderId="2" fillId="4" fontId="1" numFmtId="0" xfId="0" applyAlignment="1" applyBorder="1" applyFont="1">
      <alignment horizontal="center" vertical="center"/>
    </xf>
    <xf borderId="2" fillId="4" fontId="1" numFmtId="0" xfId="0" applyBorder="1" applyFont="1"/>
    <xf borderId="0" fillId="0" fontId="2" numFmtId="0" xfId="0" applyAlignment="1" applyFont="1">
      <alignment readingOrder="0"/>
    </xf>
    <xf borderId="5" fillId="3" fontId="6" numFmtId="0" xfId="0" applyAlignment="1" applyBorder="1" applyFont="1">
      <alignment horizontal="center"/>
    </xf>
    <xf borderId="6" fillId="0" fontId="7" numFmtId="0" xfId="0" applyBorder="1" applyFont="1"/>
    <xf borderId="7" fillId="0" fontId="7" numFmtId="0" xfId="0" applyBorder="1" applyFont="1"/>
    <xf borderId="5" fillId="2" fontId="8" numFmtId="0" xfId="0" applyAlignment="1" applyBorder="1" applyFont="1">
      <alignment horizontal="center"/>
    </xf>
    <xf borderId="5" fillId="8" fontId="8" numFmtId="0" xfId="0" applyAlignment="1" applyBorder="1" applyFill="1" applyFont="1">
      <alignment horizontal="center"/>
    </xf>
    <xf borderId="8" fillId="3" fontId="3" numFmtId="0" xfId="0" applyAlignment="1" applyBorder="1" applyFont="1">
      <alignment horizontal="center" vertical="center"/>
    </xf>
    <xf borderId="9" fillId="0" fontId="7" numFmtId="0" xfId="0" applyBorder="1" applyFont="1"/>
    <xf borderId="3" fillId="7" fontId="5" numFmtId="165" xfId="0" applyBorder="1" applyFont="1" applyNumberFormat="1"/>
    <xf borderId="10" fillId="3" fontId="9" numFmtId="0" xfId="0" applyAlignment="1" applyBorder="1" applyFont="1">
      <alignment horizontal="center" shrinkToFit="0" vertical="center" wrapText="1"/>
    </xf>
    <xf borderId="2" fillId="3" fontId="9" numFmtId="0" xfId="0" applyAlignment="1" applyBorder="1" applyFont="1">
      <alignment horizontal="center" shrinkToFit="0" vertical="center" wrapText="1"/>
    </xf>
    <xf borderId="11" fillId="3" fontId="9" numFmtId="0" xfId="0" applyAlignment="1" applyBorder="1" applyFont="1">
      <alignment horizontal="center" vertical="center"/>
    </xf>
    <xf borderId="12" fillId="3" fontId="9" numFmtId="0" xfId="0" applyAlignment="1" applyBorder="1" applyFont="1">
      <alignment horizontal="center" shrinkToFit="0" vertical="center" wrapText="1"/>
    </xf>
    <xf borderId="4" fillId="3" fontId="9" numFmtId="0" xfId="0" applyAlignment="1" applyBorder="1" applyFont="1">
      <alignment horizontal="center" shrinkToFit="0" vertical="center" wrapText="1"/>
    </xf>
    <xf borderId="13" fillId="3" fontId="9" numFmtId="0" xfId="0" applyAlignment="1" applyBorder="1" applyFont="1">
      <alignment horizontal="center" vertical="center"/>
    </xf>
    <xf borderId="0" fillId="0" fontId="10" numFmtId="0" xfId="0" applyFont="1"/>
    <xf borderId="14" fillId="2" fontId="9" numFmtId="0" xfId="0" applyAlignment="1" applyBorder="1" applyFont="1">
      <alignment horizontal="center" vertical="center"/>
    </xf>
    <xf borderId="2" fillId="2" fontId="9" numFmtId="0" xfId="0" applyAlignment="1" applyBorder="1" applyFont="1">
      <alignment horizontal="center" shrinkToFit="0" vertical="center" wrapText="1"/>
    </xf>
    <xf borderId="2" fillId="2" fontId="9" numFmtId="0" xfId="0" applyAlignment="1" applyBorder="1" applyFont="1">
      <alignment horizontal="center" vertical="center"/>
    </xf>
    <xf borderId="4" fillId="2" fontId="9" numFmtId="0" xfId="0" applyAlignment="1" applyBorder="1" applyFont="1">
      <alignment horizontal="center" shrinkToFit="0" vertical="center" wrapText="1"/>
    </xf>
    <xf borderId="11" fillId="2" fontId="9" numFmtId="0" xfId="0" applyAlignment="1" applyBorder="1" applyFont="1">
      <alignment horizontal="center" vertical="center"/>
    </xf>
    <xf borderId="10" fillId="8" fontId="9" numFmtId="0" xfId="0" applyAlignment="1" applyBorder="1" applyFont="1">
      <alignment horizontal="center" shrinkToFit="0" vertical="center" wrapText="1"/>
    </xf>
    <xf borderId="2" fillId="8" fontId="9" numFmtId="0" xfId="0" applyAlignment="1" applyBorder="1" applyFont="1">
      <alignment horizontal="center" vertical="center"/>
    </xf>
    <xf borderId="2" fillId="8" fontId="9" numFmtId="0" xfId="0" applyAlignment="1" applyBorder="1" applyFont="1">
      <alignment horizontal="center" shrinkToFit="0" vertical="center" wrapText="1"/>
    </xf>
    <xf borderId="4" fillId="8" fontId="9" numFmtId="0" xfId="0" applyAlignment="1" applyBorder="1" applyFont="1">
      <alignment horizontal="center" shrinkToFit="0" vertical="center" wrapText="1"/>
    </xf>
    <xf borderId="4" fillId="8" fontId="9" numFmtId="0" xfId="0" applyAlignment="1" applyBorder="1" applyFont="1">
      <alignment horizontal="center" vertical="center"/>
    </xf>
    <xf borderId="13" fillId="8" fontId="9" numFmtId="0" xfId="0" applyAlignment="1" applyBorder="1" applyFont="1">
      <alignment horizontal="center" vertical="center"/>
    </xf>
    <xf borderId="2" fillId="5" fontId="10" numFmtId="0" xfId="0" applyAlignment="1" applyBorder="1" applyFont="1">
      <alignment horizontal="left" readingOrder="0"/>
    </xf>
    <xf borderId="2" fillId="5" fontId="10" numFmtId="0" xfId="0" applyAlignment="1" applyBorder="1" applyFont="1">
      <alignment horizontal="center" readingOrder="0"/>
    </xf>
    <xf borderId="2" fillId="5" fontId="11" numFmtId="0" xfId="0" applyAlignment="1" applyBorder="1" applyFont="1">
      <alignment horizontal="center" readingOrder="0"/>
    </xf>
    <xf borderId="15" fillId="5" fontId="11" numFmtId="0" xfId="0" applyAlignment="1" applyBorder="1" applyFont="1">
      <alignment horizontal="center" readingOrder="0" shrinkToFit="0" wrapText="0"/>
    </xf>
    <xf borderId="2" fillId="5" fontId="11" numFmtId="167" xfId="0" applyAlignment="1" applyBorder="1" applyFont="1" applyNumberFormat="1">
      <alignment horizontal="center" readingOrder="0"/>
    </xf>
    <xf borderId="12" fillId="7" fontId="10" numFmtId="164" xfId="0" applyAlignment="1" applyBorder="1" applyFont="1" applyNumberFormat="1">
      <alignment horizontal="center" shrinkToFit="0" vertical="center" wrapText="1"/>
    </xf>
    <xf borderId="12" fillId="7" fontId="10" numFmtId="165" xfId="0" applyAlignment="1" applyBorder="1" applyFont="1" applyNumberFormat="1">
      <alignment horizontal="center" shrinkToFit="0" vertical="center" wrapText="1"/>
    </xf>
    <xf borderId="2" fillId="5" fontId="11" numFmtId="9" xfId="0" applyAlignment="1" applyBorder="1" applyFont="1" applyNumberFormat="1">
      <alignment horizontal="center" readingOrder="0"/>
    </xf>
    <xf borderId="2" fillId="6" fontId="11" numFmtId="0" xfId="0" applyAlignment="1" applyBorder="1" applyFont="1">
      <alignment horizontal="center" readingOrder="0"/>
    </xf>
    <xf borderId="16" fillId="5" fontId="10" numFmtId="168" xfId="0" applyAlignment="1" applyBorder="1" applyFont="1" applyNumberFormat="1">
      <alignment horizontal="center" shrinkToFit="0" vertical="center" wrapText="1"/>
    </xf>
    <xf borderId="10" fillId="5" fontId="2" numFmtId="0" xfId="0" applyBorder="1" applyFont="1"/>
    <xf borderId="2" fillId="5" fontId="10" numFmtId="0" xfId="0" applyAlignment="1" applyBorder="1" applyFont="1">
      <alignment horizontal="center" vertical="center"/>
    </xf>
    <xf borderId="2" fillId="5" fontId="2" numFmtId="166" xfId="0" applyAlignment="1" applyBorder="1" applyFont="1" applyNumberFormat="1">
      <alignment horizontal="center" readingOrder="0" shrinkToFit="0" wrapText="0"/>
    </xf>
    <xf borderId="2" fillId="5" fontId="12" numFmtId="166" xfId="0" applyAlignment="1" applyBorder="1" applyFont="1" applyNumberFormat="1">
      <alignment horizontal="center" readingOrder="0" shrinkToFit="0" wrapText="0"/>
    </xf>
    <xf borderId="12" fillId="7" fontId="2" numFmtId="166" xfId="0" applyAlignment="1" applyBorder="1" applyFont="1" applyNumberFormat="1">
      <alignment horizontal="center" vertical="center"/>
    </xf>
    <xf borderId="11" fillId="5" fontId="2" numFmtId="0" xfId="0" applyAlignment="1" applyBorder="1" applyFont="1">
      <alignment horizontal="center" vertical="center"/>
    </xf>
    <xf borderId="10" fillId="6" fontId="10" numFmtId="0" xfId="0" applyAlignment="1" applyBorder="1" applyFont="1">
      <alignment horizontal="center" vertical="center"/>
    </xf>
    <xf borderId="2" fillId="6" fontId="2" numFmtId="166" xfId="0" applyAlignment="1" applyBorder="1" applyFont="1" applyNumberFormat="1">
      <alignment horizontal="center" readingOrder="0" shrinkToFit="0" wrapText="0"/>
    </xf>
    <xf borderId="2" fillId="6" fontId="12" numFmtId="166" xfId="0" applyAlignment="1" applyBorder="1" applyFont="1" applyNumberFormat="1">
      <alignment horizontal="center" readingOrder="0" shrinkToFit="0" wrapText="0"/>
    </xf>
    <xf borderId="2" fillId="6" fontId="11" numFmtId="9" xfId="0" applyAlignment="1" applyBorder="1" applyFont="1" applyNumberFormat="1">
      <alignment horizontal="center" readingOrder="0"/>
    </xf>
    <xf borderId="16" fillId="6" fontId="10" numFmtId="49" xfId="0" applyAlignment="1" applyBorder="1" applyFont="1" applyNumberFormat="1">
      <alignment horizontal="center" shrinkToFit="0" vertical="center" wrapText="1"/>
    </xf>
    <xf borderId="17" fillId="5" fontId="2" numFmtId="166" xfId="0" applyAlignment="1" applyBorder="1" applyFont="1" applyNumberFormat="1">
      <alignment horizontal="center" readingOrder="0" shrinkToFit="0" wrapText="0"/>
    </xf>
    <xf borderId="17" fillId="6" fontId="2" numFmtId="166" xfId="0" applyAlignment="1" applyBorder="1" applyFont="1" applyNumberFormat="1">
      <alignment horizontal="center" shrinkToFit="0" wrapText="0"/>
    </xf>
    <xf borderId="2" fillId="5" fontId="2" numFmtId="166" xfId="0" applyAlignment="1" applyBorder="1" applyFont="1" applyNumberFormat="1">
      <alignment horizontal="center" vertical="center"/>
    </xf>
    <xf borderId="12" fillId="5" fontId="10" numFmtId="9" xfId="0" applyAlignment="1" applyBorder="1" applyFont="1" applyNumberFormat="1">
      <alignment horizontal="center" shrinkToFit="0" vertical="center" wrapText="1"/>
    </xf>
    <xf borderId="2" fillId="6" fontId="2" numFmtId="166" xfId="0" applyAlignment="1" applyBorder="1" applyFont="1" applyNumberFormat="1">
      <alignment horizontal="center" vertical="center"/>
    </xf>
    <xf borderId="12" fillId="6" fontId="10" numFmtId="9" xfId="0" applyAlignment="1" applyBorder="1" applyFont="1" applyNumberFormat="1">
      <alignment horizontal="center" shrinkToFit="0" vertical="center" wrapText="1"/>
    </xf>
    <xf borderId="2" fillId="6" fontId="10" numFmtId="0" xfId="0" applyAlignment="1" applyBorder="1" applyFont="1">
      <alignment horizontal="center" readingOrder="0"/>
    </xf>
    <xf borderId="12" fillId="6" fontId="10" numFmtId="0" xfId="0" applyAlignment="1" applyBorder="1" applyFont="1">
      <alignment horizontal="center" shrinkToFit="0" vertical="center" wrapText="1"/>
    </xf>
    <xf borderId="2" fillId="5" fontId="11" numFmtId="164" xfId="0" applyAlignment="1" applyBorder="1" applyFont="1" applyNumberFormat="1">
      <alignment horizontal="center" readingOrder="0"/>
    </xf>
    <xf borderId="18" fillId="5" fontId="10" numFmtId="0" xfId="0" applyAlignment="1" applyBorder="1" applyFont="1">
      <alignment horizontal="left" shrinkToFit="0" vertical="center" wrapText="1"/>
    </xf>
    <xf borderId="12" fillId="5" fontId="10" numFmtId="0" xfId="0" applyAlignment="1" applyBorder="1" applyFont="1">
      <alignment horizontal="center" shrinkToFit="0" vertical="center" wrapText="1"/>
    </xf>
    <xf borderId="16" fillId="5" fontId="10" numFmtId="0" xfId="0" applyAlignment="1" applyBorder="1" applyFont="1">
      <alignment horizontal="center" vertical="center"/>
    </xf>
    <xf borderId="12" fillId="5" fontId="10" numFmtId="164" xfId="0" applyAlignment="1" applyBorder="1" applyFont="1" applyNumberFormat="1">
      <alignment horizontal="center" shrinkToFit="0" vertical="center" wrapText="1"/>
    </xf>
    <xf borderId="1" fillId="5" fontId="2" numFmtId="166" xfId="0" applyAlignment="1" applyBorder="1" applyFont="1" applyNumberFormat="1">
      <alignment horizontal="center" vertical="center"/>
    </xf>
    <xf borderId="4" fillId="7" fontId="2" numFmtId="166" xfId="0" applyAlignment="1" applyBorder="1" applyFont="1" applyNumberFormat="1">
      <alignment horizontal="center" vertical="center"/>
    </xf>
    <xf borderId="1" fillId="6" fontId="2" numFmtId="166" xfId="0" applyAlignment="1" applyBorder="1" applyFont="1" applyNumberFormat="1">
      <alignment horizontal="center" vertical="center"/>
    </xf>
    <xf borderId="0" fillId="0" fontId="2" numFmtId="0" xfId="0" applyAlignment="1" applyFont="1">
      <alignment horizontal="center" vertical="center"/>
    </xf>
    <xf borderId="19" fillId="3" fontId="3" numFmtId="0" xfId="0" applyAlignment="1" applyBorder="1" applyFont="1">
      <alignment horizontal="center" vertical="center"/>
    </xf>
    <xf borderId="20" fillId="0" fontId="7" numFmtId="0" xfId="0" applyBorder="1" applyFont="1"/>
    <xf borderId="12" fillId="7" fontId="13" numFmtId="165" xfId="0" applyAlignment="1" applyBorder="1" applyFont="1" applyNumberFormat="1">
      <alignment horizontal="center" shrinkToFit="0" vertical="center" wrapText="1"/>
    </xf>
    <xf borderId="0" fillId="0" fontId="13" numFmtId="165" xfId="0" applyAlignment="1" applyFont="1" applyNumberFormat="1">
      <alignment horizontal="center" shrinkToFit="0" vertical="center" wrapText="1"/>
    </xf>
    <xf borderId="19" fillId="3" fontId="13" numFmtId="0" xfId="0" applyAlignment="1" applyBorder="1" applyFont="1">
      <alignment horizontal="center" vertical="center"/>
    </xf>
    <xf borderId="2" fillId="7" fontId="5" numFmtId="166" xfId="0" applyAlignment="1" applyBorder="1" applyFont="1" applyNumberFormat="1">
      <alignment horizontal="center" vertical="center"/>
    </xf>
    <xf borderId="2" fillId="7" fontId="5" numFmtId="164" xfId="0" applyAlignment="1" applyBorder="1" applyFont="1" applyNumberFormat="1">
      <alignment horizontal="center" vertical="center"/>
    </xf>
    <xf borderId="0" fillId="0" fontId="14" numFmtId="0" xfId="0" applyAlignment="1" applyFont="1">
      <alignment shrinkToFit="0" wrapText="1"/>
    </xf>
    <xf borderId="0" fillId="0" fontId="15" numFmtId="0" xfId="0" applyAlignment="1" applyFont="1">
      <alignment shrinkToFit="0" vertical="center" wrapText="1"/>
    </xf>
    <xf borderId="0" fillId="0" fontId="15" numFmtId="165" xfId="0" applyAlignment="1" applyFont="1" applyNumberFormat="1">
      <alignment shrinkToFit="0" vertical="center" wrapText="1"/>
    </xf>
    <xf borderId="0" fillId="0" fontId="2" numFmtId="3" xfId="0" applyAlignment="1" applyFont="1" applyNumberFormat="1">
      <alignment horizontal="center" vertical="center"/>
    </xf>
    <xf borderId="0" fillId="0" fontId="14" numFmtId="0" xfId="0" applyAlignment="1" applyFont="1">
      <alignment horizontal="left" vertical="center"/>
    </xf>
    <xf borderId="21" fillId="4" fontId="1" numFmtId="0" xfId="0" applyBorder="1" applyFont="1"/>
    <xf borderId="2" fillId="7" fontId="4" numFmtId="164" xfId="0" applyBorder="1" applyFont="1" applyNumberFormat="1"/>
    <xf borderId="5" fillId="2" fontId="6" numFmtId="0" xfId="0" applyAlignment="1" applyBorder="1" applyFont="1">
      <alignment horizontal="center"/>
    </xf>
    <xf borderId="5" fillId="8" fontId="6" numFmtId="0" xfId="0" applyAlignment="1" applyBorder="1" applyFont="1">
      <alignment horizontal="center"/>
    </xf>
    <xf borderId="0" fillId="0" fontId="5" numFmtId="0" xfId="0" applyFont="1"/>
    <xf borderId="12" fillId="7" fontId="5" numFmtId="166" xfId="0" applyAlignment="1" applyBorder="1" applyFont="1" applyNumberFormat="1">
      <alignment horizontal="center" vertical="center"/>
    </xf>
    <xf borderId="12" fillId="7" fontId="5" numFmtId="164" xfId="0" applyAlignment="1" applyBorder="1" applyFont="1" applyNumberFormat="1">
      <alignment horizontal="center" vertical="center"/>
    </xf>
    <xf borderId="0" fillId="0" fontId="5" numFmtId="3" xfId="0" applyAlignment="1" applyFont="1" applyNumberFormat="1">
      <alignment horizontal="center" vertical="center"/>
    </xf>
    <xf borderId="10" fillId="3" fontId="3" numFmtId="0" xfId="0" applyAlignment="1" applyBorder="1" applyFont="1">
      <alignment horizontal="center" shrinkToFit="0" vertical="center" wrapText="1"/>
    </xf>
    <xf borderId="2" fillId="3" fontId="3" numFmtId="0" xfId="0" applyAlignment="1" applyBorder="1" applyFont="1">
      <alignment horizontal="center" shrinkToFit="0" vertical="center" wrapText="1"/>
    </xf>
    <xf borderId="11" fillId="3" fontId="3" numFmtId="0" xfId="0" applyAlignment="1" applyBorder="1" applyFont="1">
      <alignment horizontal="center" vertical="center"/>
    </xf>
    <xf borderId="12" fillId="3" fontId="3" numFmtId="0" xfId="0" applyAlignment="1" applyBorder="1" applyFont="1">
      <alignment horizontal="center" shrinkToFit="0" vertical="center" wrapText="1"/>
    </xf>
    <xf borderId="4" fillId="3" fontId="3" numFmtId="0" xfId="0" applyAlignment="1" applyBorder="1" applyFont="1">
      <alignment horizontal="center" shrinkToFit="0" vertical="center" wrapText="1"/>
    </xf>
    <xf borderId="13" fillId="3" fontId="3" numFmtId="0" xfId="0" applyAlignment="1" applyBorder="1" applyFont="1">
      <alignment horizontal="center" vertical="center"/>
    </xf>
    <xf borderId="14" fillId="3" fontId="3" numFmtId="0" xfId="0" applyAlignment="1" applyBorder="1" applyFont="1">
      <alignment horizontal="center" vertical="center"/>
    </xf>
    <xf borderId="2" fillId="3" fontId="3" numFmtId="0" xfId="0" applyAlignment="1" applyBorder="1" applyFont="1">
      <alignment horizontal="center" vertical="center"/>
    </xf>
    <xf borderId="2" fillId="6" fontId="10" numFmtId="0" xfId="0" applyAlignment="1" applyBorder="1" applyFont="1">
      <alignment horizontal="left" readingOrder="0"/>
    </xf>
    <xf borderId="15" fillId="6" fontId="11" numFmtId="0" xfId="0" applyAlignment="1" applyBorder="1" applyFont="1">
      <alignment horizontal="center" readingOrder="0" shrinkToFit="0" wrapText="0"/>
    </xf>
    <xf borderId="2" fillId="6" fontId="11" numFmtId="1" xfId="0" applyAlignment="1" applyBorder="1" applyFont="1" applyNumberFormat="1">
      <alignment horizontal="center" readingOrder="0"/>
    </xf>
    <xf borderId="10" fillId="5" fontId="10" numFmtId="0" xfId="0" applyAlignment="1" applyBorder="1" applyFont="1">
      <alignment horizontal="center" vertical="center"/>
    </xf>
    <xf borderId="16" fillId="5" fontId="10" numFmtId="0" xfId="0" applyAlignment="1" applyBorder="1" applyFont="1">
      <alignment horizontal="center" shrinkToFit="0" vertical="center" wrapText="1"/>
    </xf>
    <xf borderId="2" fillId="6" fontId="10" numFmtId="0" xfId="0" applyAlignment="1" applyBorder="1" applyFont="1">
      <alignment horizontal="center"/>
    </xf>
    <xf borderId="2" fillId="6" fontId="10" numFmtId="0" xfId="0" applyAlignment="1" applyBorder="1" applyFont="1">
      <alignment horizontal="center"/>
    </xf>
    <xf borderId="2" fillId="6" fontId="11" numFmtId="164" xfId="0" applyAlignment="1" applyBorder="1" applyFont="1" applyNumberFormat="1">
      <alignment horizontal="center" readingOrder="0"/>
    </xf>
    <xf borderId="18" fillId="6" fontId="10" numFmtId="0" xfId="0" applyAlignment="1" applyBorder="1" applyFont="1">
      <alignment horizontal="left" shrinkToFit="0" vertical="center" wrapText="1"/>
    </xf>
    <xf borderId="16" fillId="6" fontId="10" numFmtId="0" xfId="0" applyAlignment="1" applyBorder="1" applyFont="1">
      <alignment horizontal="center" vertical="center"/>
    </xf>
    <xf borderId="12" fillId="6" fontId="10" numFmtId="164" xfId="0" applyAlignment="1" applyBorder="1" applyFont="1" applyNumberFormat="1">
      <alignment horizontal="center" shrinkToFit="0" vertical="center" wrapText="1"/>
    </xf>
    <xf borderId="1" fillId="5" fontId="10" numFmtId="0" xfId="0" applyAlignment="1" applyBorder="1" applyFont="1">
      <alignment horizontal="center" vertical="center"/>
    </xf>
    <xf borderId="0" fillId="0" fontId="5" numFmtId="0" xfId="0" applyAlignment="1" applyFont="1">
      <alignment horizontal="center" vertical="center"/>
    </xf>
    <xf borderId="3" fillId="9" fontId="5" numFmtId="0" xfId="0" applyBorder="1" applyFill="1" applyFont="1"/>
    <xf borderId="3" fillId="9" fontId="2" numFmtId="0" xfId="0" applyBorder="1" applyFont="1"/>
    <xf borderId="3" fillId="7" fontId="5" numFmtId="164" xfId="0" applyBorder="1" applyFont="1" applyNumberFormat="1"/>
    <xf borderId="3" fillId="10" fontId="5" numFmtId="0" xfId="0" applyBorder="1" applyFill="1" applyFont="1"/>
    <xf borderId="3" fillId="10" fontId="2" numFmtId="0" xfId="0" applyBorder="1" applyFont="1"/>
    <xf borderId="3" fillId="11" fontId="5" numFmtId="0" xfId="0" applyBorder="1" applyFill="1" applyFont="1"/>
    <xf borderId="0" fillId="0" fontId="16" numFmtId="0" xfId="0" applyAlignment="1" applyFont="1">
      <alignment vertical="center"/>
    </xf>
    <xf borderId="0" fillId="0" fontId="17" numFmtId="169" xfId="0" applyAlignment="1" applyFont="1" applyNumberFormat="1">
      <alignment horizontal="left"/>
    </xf>
    <xf borderId="0" fillId="0" fontId="18" numFmtId="0" xfId="0" applyAlignment="1" applyFont="1">
      <alignment horizontal="right"/>
    </xf>
    <xf borderId="0" fillId="0" fontId="18" numFmtId="0" xfId="0" applyAlignment="1" applyFont="1">
      <alignment horizontal="center" vertical="center"/>
    </xf>
    <xf borderId="0" fillId="0" fontId="19" numFmtId="0" xfId="0" applyAlignment="1" applyFont="1">
      <alignment shrinkToFit="0" wrapText="1"/>
    </xf>
    <xf borderId="0" fillId="0" fontId="19" numFmtId="0" xfId="0" applyAlignment="1" applyFont="1">
      <alignment horizontal="left" shrinkToFit="0" vertical="center" wrapText="1"/>
    </xf>
    <xf borderId="0" fillId="0" fontId="17" numFmtId="0" xfId="0" applyAlignment="1" applyFont="1">
      <alignment shrinkToFit="0" vertical="center" wrapText="1"/>
    </xf>
    <xf borderId="0" fillId="0" fontId="17" numFmtId="0" xfId="0" applyAlignment="1" applyFont="1">
      <alignment horizontal="center" shrinkToFit="0" vertical="center" wrapText="1"/>
    </xf>
    <xf borderId="0" fillId="0" fontId="2" numFmtId="0" xfId="0" applyAlignment="1" applyFont="1">
      <alignment vertical="center"/>
    </xf>
    <xf borderId="0" fillId="0" fontId="17" numFmtId="0" xfId="0" applyAlignment="1" applyFont="1">
      <alignment shrinkToFit="0" wrapText="1"/>
    </xf>
    <xf borderId="0" fillId="0" fontId="17" numFmtId="0" xfId="0" applyAlignment="1" applyFont="1">
      <alignment horizontal="left" shrinkToFit="0" wrapText="1"/>
    </xf>
    <xf borderId="0" fillId="0" fontId="20" numFmtId="0" xfId="0" applyAlignment="1" applyFont="1">
      <alignment horizontal="left" shrinkToFit="0" wrapText="1"/>
    </xf>
    <xf borderId="0" fillId="0" fontId="21" numFmtId="0" xfId="0" applyAlignment="1" applyFont="1">
      <alignment horizontal="center" shrinkToFit="0" wrapText="1"/>
    </xf>
    <xf borderId="0" fillId="0" fontId="22" numFmtId="0" xfId="0" applyFont="1"/>
    <xf borderId="0" fillId="0" fontId="23" numFmtId="0" xfId="0" applyFont="1"/>
    <xf borderId="0" fillId="12" fontId="3" numFmtId="0" xfId="0" applyAlignment="1" applyFill="1" applyFont="1">
      <alignment horizontal="center" vertical="center"/>
    </xf>
    <xf borderId="0" fillId="12" fontId="24" numFmtId="0" xfId="0" applyAlignment="1" applyFont="1">
      <alignment horizontal="center" vertical="center"/>
    </xf>
    <xf borderId="0" fillId="12" fontId="2" numFmtId="0" xfId="0" applyAlignment="1" applyFont="1">
      <alignment horizontal="center"/>
    </xf>
    <xf borderId="0" fillId="12" fontId="2" numFmtId="0" xfId="0" applyFont="1"/>
    <xf borderId="0" fillId="12" fontId="2" numFmtId="166" xfId="0" applyFont="1" applyNumberFormat="1"/>
    <xf borderId="0" fillId="12" fontId="2" numFmtId="164" xfId="0" applyAlignment="1" applyFont="1" applyNumberFormat="1">
      <alignment horizontal="center"/>
    </xf>
    <xf borderId="0" fillId="12" fontId="25" numFmtId="0" xfId="0" applyAlignment="1" applyFont="1">
      <alignment horizontal="center" vertical="center"/>
    </xf>
    <xf borderId="0" fillId="12" fontId="25" numFmtId="164" xfId="0" applyAlignment="1" applyFont="1" applyNumberFormat="1">
      <alignment horizontal="center" vertical="center"/>
    </xf>
    <xf borderId="0" fillId="12" fontId="25" numFmtId="166" xfId="0" applyAlignment="1" applyFont="1" applyNumberFormat="1">
      <alignment vertical="center"/>
    </xf>
    <xf borderId="0" fillId="0" fontId="2" numFmtId="0" xfId="0" applyAlignment="1" applyFont="1">
      <alignment horizontal="center"/>
    </xf>
    <xf borderId="0" fillId="0" fontId="26" numFmtId="0" xfId="0" applyAlignment="1" applyFont="1">
      <alignment horizontal="center" vertical="center"/>
    </xf>
    <xf borderId="0" fillId="0" fontId="26" numFmtId="164" xfId="0" applyAlignment="1" applyFont="1" applyNumberFormat="1">
      <alignment horizontal="center" vertical="center"/>
    </xf>
    <xf borderId="0" fillId="0" fontId="26" numFmtId="166" xfId="0" applyAlignment="1" applyFont="1" applyNumberFormat="1">
      <alignment vertical="center"/>
    </xf>
    <xf borderId="0" fillId="0" fontId="2" numFmtId="170" xfId="0" applyFont="1" applyNumberFormat="1"/>
    <xf borderId="2" fillId="3" fontId="3" numFmtId="0" xfId="0" applyAlignment="1" applyBorder="1" applyFont="1">
      <alignment horizontal="center" vertical="center"/>
    </xf>
    <xf borderId="2" fillId="0" fontId="2" numFmtId="166" xfId="0" applyAlignment="1" applyBorder="1" applyFont="1" applyNumberFormat="1">
      <alignment horizontal="right" vertical="center"/>
    </xf>
    <xf borderId="0" fillId="0" fontId="5" numFmtId="9" xfId="0" applyAlignment="1" applyFont="1" applyNumberFormat="1">
      <alignment horizontal="center"/>
    </xf>
    <xf borderId="3" fillId="6" fontId="2" numFmtId="9" xfId="0" applyBorder="1" applyFont="1" applyNumberFormat="1"/>
    <xf borderId="0" fillId="0" fontId="2" numFmtId="9" xfId="0" applyFont="1" applyNumberFormat="1"/>
    <xf borderId="2" fillId="3" fontId="27" numFmtId="0" xfId="0" applyAlignment="1" applyBorder="1" applyFont="1">
      <alignment horizontal="center" vertical="center"/>
    </xf>
    <xf borderId="2" fillId="0" fontId="28" numFmtId="166" xfId="0" applyAlignment="1" applyBorder="1" applyFont="1" applyNumberFormat="1">
      <alignment horizontal="right" vertical="center"/>
    </xf>
    <xf borderId="22" fillId="13" fontId="29" numFmtId="0" xfId="0" applyAlignment="1" applyBorder="1" applyFill="1" applyFont="1">
      <alignment horizontal="center"/>
    </xf>
    <xf borderId="23" fillId="0" fontId="7" numFmtId="0" xfId="0" applyBorder="1" applyFont="1"/>
    <xf borderId="13" fillId="14" fontId="2" numFmtId="0" xfId="0" applyAlignment="1" applyBorder="1" applyFill="1" applyFont="1">
      <alignment horizontal="center"/>
    </xf>
    <xf borderId="24" fillId="14" fontId="5" numFmtId="0" xfId="0" applyAlignment="1" applyBorder="1" applyFont="1">
      <alignment horizontal="right"/>
    </xf>
    <xf borderId="25" fillId="0" fontId="7" numFmtId="0" xfId="0" applyBorder="1" applyFont="1"/>
    <xf borderId="3" fillId="14" fontId="17" numFmtId="166" xfId="0" applyAlignment="1" applyBorder="1" applyFont="1" applyNumberFormat="1">
      <alignment horizontal="left"/>
    </xf>
    <xf borderId="26" fillId="0" fontId="17" numFmtId="0" xfId="0" applyBorder="1" applyFont="1"/>
    <xf borderId="27" fillId="0" fontId="2" numFmtId="0" xfId="0" applyAlignment="1" applyBorder="1" applyFont="1">
      <alignment horizontal="center"/>
    </xf>
    <xf borderId="0" fillId="0" fontId="5" numFmtId="0" xfId="0" applyAlignment="1" applyFont="1">
      <alignment horizontal="right"/>
    </xf>
    <xf borderId="0" fillId="0" fontId="2" numFmtId="0" xfId="0" applyAlignment="1" applyFont="1">
      <alignment horizontal="right"/>
    </xf>
    <xf borderId="0" fillId="0" fontId="17" numFmtId="170" xfId="0" applyAlignment="1" applyFont="1" applyNumberFormat="1">
      <alignment horizontal="left"/>
    </xf>
    <xf borderId="26" fillId="0" fontId="19" numFmtId="0" xfId="0" applyAlignment="1" applyBorder="1" applyFont="1">
      <alignment horizontal="center" shrinkToFit="0" vertical="center" wrapText="1"/>
    </xf>
    <xf borderId="3" fillId="14" fontId="5" numFmtId="0" xfId="0" applyAlignment="1" applyBorder="1" applyFont="1">
      <alignment horizontal="right"/>
    </xf>
    <xf borderId="3" fillId="14" fontId="2" numFmtId="0" xfId="0" applyAlignment="1" applyBorder="1" applyFont="1">
      <alignment horizontal="right"/>
    </xf>
    <xf borderId="3" fillId="14" fontId="17" numFmtId="170" xfId="0" applyAlignment="1" applyBorder="1" applyFont="1" applyNumberFormat="1">
      <alignment horizontal="left"/>
    </xf>
    <xf borderId="26" fillId="0" fontId="7" numFmtId="0" xfId="0" applyBorder="1" applyFont="1"/>
    <xf borderId="0" fillId="0" fontId="2" numFmtId="166" xfId="0" applyFont="1" applyNumberFormat="1"/>
    <xf borderId="0" fillId="0" fontId="17" numFmtId="166" xfId="0" applyAlignment="1" applyFont="1" applyNumberFormat="1">
      <alignment horizontal="left"/>
    </xf>
    <xf borderId="15" fillId="0" fontId="2" numFmtId="0" xfId="0" applyAlignment="1" applyBorder="1" applyFont="1">
      <alignment horizontal="center"/>
    </xf>
    <xf borderId="28" fillId="0" fontId="5" numFmtId="0" xfId="0" applyAlignment="1" applyBorder="1" applyFont="1">
      <alignment horizontal="right"/>
    </xf>
    <xf borderId="28" fillId="0" fontId="2" numFmtId="0" xfId="0" applyAlignment="1" applyBorder="1" applyFont="1">
      <alignment horizontal="right"/>
    </xf>
    <xf borderId="28" fillId="0" fontId="17" numFmtId="170" xfId="0" applyAlignment="1" applyBorder="1" applyFont="1" applyNumberFormat="1">
      <alignment horizontal="left"/>
    </xf>
    <xf borderId="29" fillId="0" fontId="7" numFmtId="0" xfId="0" applyBorder="1" applyFont="1"/>
    <xf borderId="30" fillId="0" fontId="7" numFmtId="0" xfId="0" applyBorder="1" applyFont="1"/>
    <xf borderId="27" fillId="0" fontId="2" numFmtId="0" xfId="0" applyBorder="1" applyFont="1"/>
    <xf borderId="26" fillId="0" fontId="2" numFmtId="0" xfId="0" applyBorder="1" applyFont="1"/>
    <xf borderId="15" fillId="0" fontId="2" numFmtId="0" xfId="0" applyBorder="1" applyFont="1"/>
    <xf borderId="29" fillId="0" fontId="2" numFmtId="0" xfId="0" applyBorder="1" applyFont="1"/>
    <xf borderId="31" fillId="13" fontId="29" numFmtId="0" xfId="0" applyAlignment="1" applyBorder="1" applyFont="1">
      <alignment horizontal="center"/>
    </xf>
    <xf borderId="32" fillId="0" fontId="7" numFmtId="0" xfId="0" applyBorder="1" applyFont="1"/>
    <xf borderId="33" fillId="0" fontId="30" numFmtId="0" xfId="0" applyAlignment="1" applyBorder="1" applyFont="1">
      <alignment horizontal="center" readingOrder="0"/>
    </xf>
    <xf borderId="34" fillId="0" fontId="30" numFmtId="0" xfId="0" applyAlignment="1" applyBorder="1" applyFont="1">
      <alignment horizontal="center" readingOrder="0"/>
    </xf>
    <xf borderId="35" fillId="0" fontId="30" numFmtId="0" xfId="0" applyAlignment="1" applyBorder="1" applyFont="1">
      <alignment horizontal="center" readingOrder="0"/>
    </xf>
    <xf borderId="36" fillId="0" fontId="31" numFmtId="0" xfId="0" applyAlignment="1" applyBorder="1" applyFont="1">
      <alignment readingOrder="0"/>
    </xf>
    <xf borderId="37" fillId="0" fontId="31" numFmtId="0" xfId="0" applyAlignment="1" applyBorder="1" applyFont="1">
      <alignment readingOrder="0"/>
    </xf>
    <xf borderId="37" fillId="0" fontId="31" numFmtId="167" xfId="0" applyAlignment="1" applyBorder="1" applyFont="1" applyNumberFormat="1">
      <alignment readingOrder="0"/>
    </xf>
    <xf borderId="37" fillId="0" fontId="31" numFmtId="164" xfId="0" applyAlignment="1" applyBorder="1" applyFont="1" applyNumberFormat="1">
      <alignment readingOrder="0"/>
    </xf>
    <xf borderId="37" fillId="0" fontId="31" numFmtId="165" xfId="0" applyAlignment="1" applyBorder="1" applyFont="1" applyNumberFormat="1">
      <alignment readingOrder="0"/>
    </xf>
    <xf borderId="37" fillId="0" fontId="31" numFmtId="9" xfId="0" applyAlignment="1" applyBorder="1" applyFont="1" applyNumberFormat="1">
      <alignment readingOrder="0"/>
    </xf>
    <xf borderId="38" fillId="0" fontId="31" numFmtId="0" xfId="0" applyBorder="1" applyFont="1"/>
    <xf borderId="3" fillId="7" fontId="16" numFmtId="0" xfId="0" applyAlignment="1" applyBorder="1" applyFont="1">
      <alignment vertical="center"/>
    </xf>
    <xf borderId="3" fillId="7" fontId="2" numFmtId="169" xfId="0" applyAlignment="1" applyBorder="1" applyFont="1" applyNumberFormat="1">
      <alignment horizontal="left"/>
    </xf>
    <xf borderId="3" fillId="7" fontId="2" numFmtId="0" xfId="0" applyBorder="1" applyFont="1"/>
    <xf borderId="3" fillId="7" fontId="18" numFmtId="0" xfId="0" applyAlignment="1" applyBorder="1" applyFont="1">
      <alignment horizontal="right"/>
    </xf>
    <xf borderId="3" fillId="7" fontId="18" numFmtId="0" xfId="0" applyAlignment="1" applyBorder="1" applyFont="1">
      <alignment horizontal="center" vertical="center"/>
    </xf>
    <xf borderId="3" fillId="7" fontId="23" numFmtId="0" xfId="0" applyBorder="1" applyFont="1"/>
    <xf borderId="39" fillId="7" fontId="23" numFmtId="0" xfId="0" applyAlignment="1" applyBorder="1" applyFont="1">
      <alignment horizontal="center" vertical="center"/>
    </xf>
    <xf borderId="40" fillId="0" fontId="7" numFmtId="0" xfId="0" applyBorder="1" applyFont="1"/>
    <xf borderId="3" fillId="7" fontId="23" numFmtId="0" xfId="0" applyAlignment="1" applyBorder="1" applyFont="1">
      <alignment shrinkToFit="0" vertical="center" wrapText="1"/>
    </xf>
    <xf borderId="3" fillId="7" fontId="23" numFmtId="0" xfId="0" applyAlignment="1" applyBorder="1" applyFont="1">
      <alignment horizontal="center" vertical="center"/>
    </xf>
    <xf borderId="3" fillId="7" fontId="23" numFmtId="0" xfId="0" applyAlignment="1" applyBorder="1" applyFont="1">
      <alignment horizontal="left"/>
    </xf>
    <xf borderId="39" fillId="7" fontId="23" numFmtId="0" xfId="0" applyAlignment="1" applyBorder="1" applyFont="1">
      <alignment horizontal="left"/>
    </xf>
    <xf borderId="3" fillId="7" fontId="32" numFmtId="0" xfId="0" applyAlignment="1" applyBorder="1" applyFont="1">
      <alignment horizontal="left"/>
    </xf>
    <xf borderId="39" fillId="7" fontId="33" numFmtId="0" xfId="0" applyAlignment="1" applyBorder="1" applyFont="1">
      <alignment horizontal="center"/>
    </xf>
    <xf borderId="3" fillId="7" fontId="34" numFmtId="0" xfId="0" applyBorder="1" applyFont="1"/>
    <xf borderId="41" fillId="7" fontId="5" numFmtId="0" xfId="0" applyAlignment="1" applyBorder="1" applyFont="1">
      <alignment horizontal="center" vertical="center"/>
    </xf>
    <xf borderId="3" fillId="7" fontId="2" numFmtId="0" xfId="0" applyAlignment="1" applyBorder="1" applyFont="1">
      <alignment horizontal="center"/>
    </xf>
    <xf borderId="0" fillId="0" fontId="31" numFmtId="0" xfId="0" applyFont="1"/>
    <xf borderId="0" fillId="0" fontId="31" numFmtId="164" xfId="0" applyFont="1" applyNumberFormat="1"/>
    <xf borderId="2" fillId="7" fontId="13" numFmtId="0" xfId="0" applyAlignment="1" applyBorder="1" applyFont="1">
      <alignment horizontal="center" vertical="center"/>
    </xf>
    <xf borderId="2" fillId="7" fontId="2" numFmtId="166" xfId="0" applyAlignment="1" applyBorder="1" applyFont="1" applyNumberFormat="1">
      <alignment horizontal="center" vertical="center"/>
    </xf>
    <xf borderId="3" fillId="7" fontId="35" numFmtId="9" xfId="0" applyAlignment="1" applyBorder="1" applyFont="1" applyNumberFormat="1">
      <alignment horizontal="center"/>
    </xf>
    <xf borderId="3" fillId="7" fontId="2" numFmtId="9" xfId="0" applyBorder="1" applyFont="1" applyNumberFormat="1"/>
    <xf borderId="2" fillId="7" fontId="36" numFmtId="0" xfId="0" applyAlignment="1" applyBorder="1" applyFont="1">
      <alignment horizontal="center" vertical="center"/>
    </xf>
    <xf borderId="2" fillId="7" fontId="17" numFmtId="166" xfId="0" applyAlignment="1" applyBorder="1" applyFont="1" applyNumberFormat="1">
      <alignment horizontal="center" vertical="center"/>
    </xf>
    <xf borderId="3" fillId="7" fontId="2" numFmtId="164" xfId="0" applyBorder="1" applyFont="1" applyNumberFormat="1"/>
    <xf borderId="3" fillId="7" fontId="2" numFmtId="0" xfId="0" applyAlignment="1" applyBorder="1" applyFont="1">
      <alignment horizontal="left"/>
    </xf>
    <xf borderId="3" fillId="7" fontId="2" numFmtId="166" xfId="0" applyBorder="1" applyFont="1" applyNumberFormat="1"/>
    <xf borderId="3" fillId="4" fontId="37" numFmtId="0" xfId="0" applyBorder="1" applyFont="1"/>
    <xf borderId="3" fillId="4" fontId="37" numFmtId="164" xfId="0" applyBorder="1" applyFont="1" applyNumberFormat="1"/>
    <xf borderId="3" fillId="4" fontId="37" numFmtId="10" xfId="0" applyBorder="1" applyFont="1" applyNumberFormat="1"/>
    <xf borderId="0" fillId="0" fontId="38" numFmtId="0" xfId="0" applyFont="1"/>
    <xf borderId="3" fillId="7" fontId="39" numFmtId="164" xfId="0" applyBorder="1" applyFont="1" applyNumberFormat="1"/>
    <xf borderId="5" fillId="0" fontId="40" numFmtId="0" xfId="0" applyAlignment="1" applyBorder="1" applyFont="1">
      <alignment horizontal="center"/>
    </xf>
    <xf borderId="42" fillId="0" fontId="17" numFmtId="0" xfId="0" applyBorder="1" applyFont="1"/>
    <xf borderId="0" fillId="0" fontId="17" numFmtId="0" xfId="0" applyFont="1"/>
    <xf borderId="43" fillId="0" fontId="17" numFmtId="0" xfId="0" applyBorder="1" applyFont="1"/>
    <xf borderId="42" fillId="0" fontId="17" numFmtId="10" xfId="0" applyBorder="1" applyFont="1" applyNumberFormat="1"/>
    <xf borderId="0" fillId="0" fontId="17" numFmtId="171" xfId="0" applyFont="1" applyNumberFormat="1"/>
    <xf borderId="43" fillId="0" fontId="17" numFmtId="164" xfId="0" applyBorder="1" applyFont="1" applyNumberFormat="1"/>
    <xf borderId="0" fillId="0" fontId="17" numFmtId="10" xfId="0" applyFont="1" applyNumberFormat="1"/>
    <xf borderId="0" fillId="0" fontId="17" numFmtId="164" xfId="0" applyFont="1" applyNumberFormat="1"/>
    <xf borderId="0" fillId="0" fontId="2" numFmtId="172" xfId="0" applyFont="1" applyNumberFormat="1"/>
    <xf borderId="44" fillId="0" fontId="17" numFmtId="0" xfId="0" applyAlignment="1" applyBorder="1" applyFont="1">
      <alignment horizontal="center"/>
    </xf>
    <xf borderId="0" fillId="0" fontId="17" numFmtId="0" xfId="0" applyAlignment="1" applyFont="1">
      <alignment horizontal="center"/>
    </xf>
    <xf borderId="45" fillId="0" fontId="17" numFmtId="0" xfId="0" applyAlignment="1" applyBorder="1" applyFont="1">
      <alignment horizontal="center"/>
    </xf>
    <xf borderId="46" fillId="0" fontId="17" numFmtId="0" xfId="0" applyBorder="1" applyFont="1"/>
    <xf borderId="47" fillId="0" fontId="17" numFmtId="0" xfId="0" applyAlignment="1" applyBorder="1" applyFont="1">
      <alignment horizontal="center"/>
    </xf>
    <xf borderId="47" fillId="0" fontId="17" numFmtId="0" xfId="0" applyBorder="1" applyFont="1"/>
    <xf borderId="47" fillId="0" fontId="17" numFmtId="164" xfId="0" applyBorder="1" applyFont="1" applyNumberFormat="1"/>
    <xf borderId="48" fillId="0" fontId="2" numFmtId="173" xfId="0" applyAlignment="1" applyBorder="1" applyFont="1" applyNumberFormat="1">
      <alignment horizontal="center"/>
    </xf>
    <xf borderId="49" fillId="0" fontId="17" numFmtId="0" xfId="0" applyBorder="1" applyFont="1"/>
    <xf borderId="0" fillId="0" fontId="2" numFmtId="173" xfId="0" applyFont="1" applyNumberFormat="1"/>
    <xf borderId="50" fillId="0" fontId="41" numFmtId="0" xfId="0" applyAlignment="1" applyBorder="1" applyFont="1">
      <alignment horizontal="center" vertical="center"/>
    </xf>
    <xf borderId="51" fillId="0" fontId="17" numFmtId="0" xfId="0" applyAlignment="1" applyBorder="1" applyFont="1">
      <alignment horizontal="center"/>
    </xf>
    <xf borderId="47" fillId="0" fontId="2" numFmtId="171" xfId="0" applyBorder="1" applyFont="1" applyNumberFormat="1"/>
    <xf borderId="47" fillId="0" fontId="2" numFmtId="164" xfId="0" applyBorder="1" applyFont="1" applyNumberFormat="1"/>
    <xf borderId="47" fillId="0" fontId="2" numFmtId="173" xfId="0" applyAlignment="1" applyBorder="1" applyFont="1" applyNumberFormat="1">
      <alignment horizontal="center"/>
    </xf>
    <xf borderId="52" fillId="0" fontId="2" numFmtId="10" xfId="0" applyBorder="1" applyFont="1" applyNumberFormat="1"/>
    <xf borderId="47" fillId="0" fontId="2" numFmtId="173" xfId="0" applyBorder="1" applyFont="1" applyNumberFormat="1"/>
    <xf borderId="47" fillId="0" fontId="2" numFmtId="10" xfId="0" applyBorder="1" applyFont="1" applyNumberFormat="1"/>
    <xf borderId="53" fillId="0" fontId="17" numFmtId="172" xfId="0" applyBorder="1" applyFont="1" applyNumberFormat="1"/>
    <xf borderId="50" fillId="0" fontId="7" numFmtId="0" xfId="0" applyBorder="1" applyFont="1"/>
    <xf borderId="27" fillId="0" fontId="17" numFmtId="0" xfId="0" applyAlignment="1" applyBorder="1" applyFont="1">
      <alignment horizontal="center"/>
    </xf>
    <xf borderId="0" fillId="0" fontId="2" numFmtId="171" xfId="0" applyFont="1" applyNumberFormat="1"/>
    <xf borderId="0" fillId="0" fontId="2" numFmtId="173" xfId="0" applyAlignment="1" applyFont="1" applyNumberFormat="1">
      <alignment horizontal="center"/>
    </xf>
    <xf borderId="42" fillId="0" fontId="2" numFmtId="10" xfId="0" applyBorder="1" applyFont="1" applyNumberFormat="1"/>
    <xf borderId="0" fillId="0" fontId="2" numFmtId="10" xfId="0" applyFont="1" applyNumberFormat="1"/>
    <xf borderId="43" fillId="0" fontId="17" numFmtId="172" xfId="0" applyBorder="1" applyFont="1" applyNumberFormat="1"/>
    <xf borderId="54" fillId="0" fontId="7" numFmtId="0" xfId="0" applyBorder="1" applyFont="1"/>
    <xf borderId="15" fillId="0" fontId="17" numFmtId="0" xfId="0" applyAlignment="1" applyBorder="1" applyFont="1">
      <alignment horizontal="center"/>
    </xf>
    <xf borderId="28" fillId="0" fontId="2" numFmtId="171" xfId="0" applyBorder="1" applyFont="1" applyNumberFormat="1"/>
    <xf borderId="28" fillId="0" fontId="2" numFmtId="164" xfId="0" applyBorder="1" applyFont="1" applyNumberFormat="1"/>
    <xf borderId="28" fillId="0" fontId="2" numFmtId="173" xfId="0" applyAlignment="1" applyBorder="1" applyFont="1" applyNumberFormat="1">
      <alignment horizontal="center"/>
    </xf>
    <xf borderId="55" fillId="0" fontId="2" numFmtId="10" xfId="0" applyBorder="1" applyFont="1" applyNumberFormat="1"/>
    <xf borderId="28" fillId="0" fontId="2" numFmtId="173" xfId="0" applyBorder="1" applyFont="1" applyNumberFormat="1"/>
    <xf borderId="28" fillId="0" fontId="2" numFmtId="10" xfId="0" applyBorder="1" applyFont="1" applyNumberFormat="1"/>
    <xf borderId="56" fillId="0" fontId="17" numFmtId="172" xfId="0" applyBorder="1" applyFont="1" applyNumberFormat="1"/>
    <xf borderId="42" fillId="0" fontId="2" numFmtId="0" xfId="0" applyBorder="1" applyFont="1"/>
    <xf borderId="43" fillId="0" fontId="2" numFmtId="0" xfId="0" applyBorder="1" applyFont="1"/>
    <xf borderId="42" fillId="0" fontId="2" numFmtId="164" xfId="0" applyBorder="1" applyFont="1" applyNumberFormat="1"/>
    <xf borderId="3" fillId="15" fontId="42" numFmtId="164" xfId="0" applyBorder="1" applyFill="1" applyFont="1" applyNumberFormat="1"/>
    <xf borderId="57" fillId="0" fontId="2" numFmtId="172" xfId="0" applyBorder="1" applyFont="1" applyNumberFormat="1"/>
    <xf borderId="58" fillId="0" fontId="2" numFmtId="0" xfId="0" applyBorder="1" applyFont="1"/>
    <xf borderId="58" fillId="0" fontId="2" numFmtId="164" xfId="0" applyBorder="1" applyFont="1" applyNumberFormat="1"/>
    <xf borderId="58" fillId="0" fontId="17" numFmtId="164" xfId="0" applyBorder="1" applyFont="1" applyNumberFormat="1"/>
    <xf borderId="59" fillId="6" fontId="2" numFmtId="174" xfId="0" applyBorder="1" applyFont="1" applyNumberFormat="1"/>
    <xf borderId="60" fillId="0" fontId="2" numFmtId="0" xfId="0" applyBorder="1" applyFont="1"/>
    <xf borderId="61" fillId="0" fontId="2" numFmtId="0" xfId="0" applyBorder="1" applyFont="1"/>
    <xf borderId="62" fillId="0" fontId="2" numFmtId="0" xfId="0" applyBorder="1" applyFont="1"/>
    <xf borderId="63" fillId="0" fontId="2" numFmtId="0" xfId="0" applyBorder="1" applyFont="1"/>
    <xf borderId="42" fillId="0" fontId="2" numFmtId="173" xfId="0" applyBorder="1" applyFont="1" applyNumberFormat="1"/>
    <xf borderId="43" fillId="0" fontId="2" numFmtId="172" xfId="0" applyBorder="1" applyFont="1" applyNumberFormat="1"/>
    <xf borderId="59" fillId="6" fontId="39" numFmtId="174" xfId="0" applyBorder="1" applyFont="1" applyNumberFormat="1"/>
  </cellXfs>
  <cellStyles count="1">
    <cellStyle xfId="0" name="Normal" builtinId="0"/>
  </cellStyles>
  <dxfs count="8">
    <dxf>
      <font/>
      <fill>
        <patternFill patternType="none"/>
      </fill>
      <border>
        <left style="thin">
          <color rgb="FF000000"/>
        </left>
        <right style="thin">
          <color rgb="FF000000"/>
        </right>
        <top style="thin">
          <color rgb="FF000000"/>
        </top>
        <bottom style="thin">
          <color rgb="FF000000"/>
        </bottom>
      </border>
    </dxf>
    <dxf>
      <font/>
      <fill>
        <patternFill patternType="none"/>
      </fill>
      <border/>
    </dxf>
    <dxf>
      <font/>
      <fill>
        <patternFill patternType="solid">
          <fgColor theme="4"/>
          <bgColor theme="4"/>
        </patternFill>
      </fill>
      <border/>
    </dxf>
    <dxf>
      <font/>
      <fill>
        <patternFill patternType="solid">
          <fgColor rgb="FFDEEAF6"/>
          <bgColor rgb="FFDEEAF6"/>
        </patternFill>
      </fill>
      <border/>
    </dxf>
    <dxf>
      <font>
        <color theme="0"/>
      </font>
      <fill>
        <patternFill patternType="none"/>
      </fill>
      <border/>
    </dxf>
    <dxf>
      <font/>
      <fill>
        <patternFill patternType="solid">
          <fgColor rgb="FF6C7687"/>
          <bgColor rgb="FF6C7687"/>
        </patternFill>
      </fill>
      <border/>
    </dxf>
    <dxf>
      <font/>
      <fill>
        <patternFill patternType="solid">
          <fgColor rgb="FFEBEFF1"/>
          <bgColor rgb="FFEBEFF1"/>
        </patternFill>
      </fill>
      <border/>
    </dxf>
    <dxf>
      <font/>
      <fill>
        <patternFill patternType="solid">
          <fgColor rgb="FFFFFFFF"/>
          <bgColor rgb="FFFFFFFF"/>
        </patternFill>
      </fill>
      <border/>
    </dxf>
  </dxfs>
  <tableStyles count="8">
    <tableStyle count="3" pivot="0" name="VEA CLIENTE-style">
      <tableStyleElement dxfId="2" type="headerRow"/>
      <tableStyleElement dxfId="3" type="firstRowStripe"/>
      <tableStyleElement dxfId="3" type="secondRowStripe"/>
    </tableStyle>
    <tableStyle count="3" pivot="0" name="VEA CLIENTE-style 2">
      <tableStyleElement dxfId="2" type="headerRow"/>
      <tableStyleElement dxfId="3" type="firstRowStripe"/>
      <tableStyleElement dxfId="3" type="secondRowStripe"/>
    </tableStyle>
    <tableStyle count="3" pivot="0" name="VEA CLIENTE-style 3">
      <tableStyleElement dxfId="2" type="headerRow"/>
      <tableStyleElement dxfId="3" type="firstRowStripe"/>
      <tableStyleElement dxfId="3" type="secondRowStripe"/>
    </tableStyle>
    <tableStyle count="3" pivot="0" name="NO VEA CLIENTE-style">
      <tableStyleElement dxfId="2" type="headerRow"/>
      <tableStyleElement dxfId="3" type="firstRowStripe"/>
      <tableStyleElement dxfId="3" type="secondRowStripe"/>
    </tableStyle>
    <tableStyle count="3" pivot="0" name="NO VEA CLIENTE-style 2">
      <tableStyleElement dxfId="2" type="headerRow"/>
      <tableStyleElement dxfId="3" type="firstRowStripe"/>
      <tableStyleElement dxfId="3" type="secondRowStripe"/>
    </tableStyle>
    <tableStyle count="3" pivot="0" name="NO VEA CLIENTE-style 3">
      <tableStyleElement dxfId="2" type="headerRow"/>
      <tableStyleElement dxfId="3" type="firstRowStripe"/>
      <tableStyleElement dxfId="3" type="secondRowStripe"/>
    </tableStyle>
    <tableStyle count="3" pivot="0" name="Detail2-ESCOBA TCEP PERICO P-14-style">
      <tableStyleElement dxfId="5" type="headerRow"/>
      <tableStyleElement dxfId="6" type="firstRowStripe"/>
      <tableStyleElement dxfId="7" type="secondRowStripe"/>
    </tableStyle>
    <tableStyle count="3" pivot="0" name="Detail1-CUBETA DE PLASTICO AZUL-style">
      <tableStyleElement dxfId="5" type="headerRow"/>
      <tableStyleElement dxfId="6"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microsoft.com/office/2007/relationships/slicerCache" Target="slicerCaches/slicerCache1.xml"/><Relationship Id="rId12" Type="http://schemas.openxmlformats.org/officeDocument/2006/relationships/pivotCacheDefinition" Target="pivotCache/pivotCacheDefinition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142875</xdr:colOff>
      <xdr:row>12</xdr:row>
      <xdr:rowOff>123825</xdr:rowOff>
    </xdr:from>
    <xdr:ext cx="2857500" cy="2857500"/>
    <mc:AlternateContent>
      <mc:Choice Requires="sle15">
        <xdr:graphicFrame>
          <xdr:nvGraphicFramePr>
            <xdr:cNvPr id="1" name="TIPO_1"/>
            <xdr:cNvGraphicFramePr/>
          </xdr:nvGraphicFramePr>
          <xdr:xfrm>
            <a:off x="0" y="0"/>
            <a:ext cx="0" cy="0"/>
          </xdr:xfrm>
          <a:graphic>
            <a:graphicData uri="http://schemas.microsoft.com/office/drawing/2010/slicer">
              <x3Unk:slicer name="TIPO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-19050</xdr:colOff>
      <xdr:row>4</xdr:row>
      <xdr:rowOff>57150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chemeClr val="dk1"/>
            </a:solidFill>
            <a:prstDash val="solid"/>
            <a:miter lim="800000"/>
            <a:headEnd len="sm" w="sm" type="none"/>
            <a:tailEnd len="sm" w="sm" type="none"/>
          </a:ln>
        </xdr:spPr>
      </xdr:cxnSp>
    </xdr:grpSp>
    <xdr:clientData fLocksWithSheet="0"/>
  </xdr:oneCellAnchor>
  <xdr:oneCellAnchor>
    <xdr:from>
      <xdr:col>6</xdr:col>
      <xdr:colOff>-19050</xdr:colOff>
      <xdr:row>5</xdr:row>
      <xdr:rowOff>66675</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chemeClr val="dk1"/>
            </a:solidFill>
            <a:prstDash val="solid"/>
            <a:miter lim="800000"/>
            <a:headEnd len="sm" w="sm" type="none"/>
            <a:tailEnd len="sm" w="sm" type="none"/>
          </a:ln>
        </xdr:spPr>
      </xdr:cxnSp>
    </xdr:grpSp>
    <xdr:clientData fLocksWithSheet="0"/>
  </xdr:oneCellAnchor>
  <xdr:oneCellAnchor>
    <xdr:from>
      <xdr:col>6</xdr:col>
      <xdr:colOff>-19050</xdr:colOff>
      <xdr:row>2</xdr:row>
      <xdr:rowOff>28575</xdr:rowOff>
    </xdr:from>
    <xdr:ext cx="38100" cy="0"/>
    <xdr:grpSp>
      <xdr:nvGrpSpPr>
        <xdr:cNvPr id="2" name="Shape 2"/>
        <xdr:cNvGrpSpPr/>
      </xdr:nvGrpSpPr>
      <xdr:grpSpPr>
        <a:xfrm>
          <a:off x="5346000" y="3780000"/>
          <a:ext cx="0" cy="0"/>
          <a:chOff x="5346000" y="3780000"/>
          <a:chExt cx="0" cy="0"/>
        </a:xfrm>
      </xdr:grpSpPr>
      <xdr:cxnSp>
        <xdr:nvCxnSpPr>
          <xdr:cNvPr id="4" name="Shape 4"/>
          <xdr:cNvCxnSpPr/>
        </xdr:nvCxnSpPr>
        <xdr:spPr>
          <a:xfrm>
            <a:off x="5346000" y="3780000"/>
            <a:ext cx="0" cy="0"/>
          </a:xfrm>
          <a:prstGeom prst="straightConnector1">
            <a:avLst/>
          </a:prstGeom>
          <a:noFill/>
          <a:ln cap="flat" cmpd="sng" w="9525">
            <a:solidFill>
              <a:srgbClr val="C00000"/>
            </a:solidFill>
            <a:prstDash val="solid"/>
            <a:miter lim="800000"/>
            <a:headEnd len="sm" w="sm" type="none"/>
            <a:tailEnd len="sm" w="sm" type="none"/>
          </a:ln>
        </xdr:spPr>
      </xdr:cxnSp>
    </xdr:grpSp>
    <xdr:clientData fLocksWithSheet="0"/>
  </xdr:oneCellAnchor>
  <xdr:oneCellAnchor>
    <xdr:from>
      <xdr:col>0</xdr:col>
      <xdr:colOff>104775</xdr:colOff>
      <xdr:row>72</xdr:row>
      <xdr:rowOff>28575</xdr:rowOff>
    </xdr:from>
    <xdr:ext cx="6819900" cy="1714500"/>
    <xdr:sp>
      <xdr:nvSpPr>
        <xdr:cNvPr id="5" name="Shape 5"/>
        <xdr:cNvSpPr txBox="1"/>
      </xdr:nvSpPr>
      <xdr:spPr>
        <a:xfrm>
          <a:off x="1936421" y="2924694"/>
          <a:ext cx="6819158" cy="1710613"/>
        </a:xfrm>
        <a:prstGeom prst="rect">
          <a:avLst/>
        </a:prstGeom>
        <a:solidFill>
          <a:schemeClr val="lt1"/>
        </a:solidFill>
        <a:ln cap="flat" cmpd="sng" w="9525">
          <a:solidFill>
            <a:schemeClr val="dk1"/>
          </a:solidFill>
          <a:prstDash val="solid"/>
          <a:round/>
          <a:headEnd len="sm" w="sm" type="none"/>
          <a:tailEnd len="sm" w="sm" type="none"/>
        </a:ln>
      </xdr:spPr>
      <xdr:txBody>
        <a:bodyPr anchorCtr="0" anchor="ctr" bIns="0" lIns="54000" spcFirstLastPara="1" rIns="54000" wrap="square" tIns="18000">
          <a:noAutofit/>
        </a:bodyPr>
        <a:lstStyle/>
        <a:p>
          <a:pPr indent="0" lvl="0" marL="0" rtl="0" algn="l">
            <a:spcBef>
              <a:spcPts val="0"/>
            </a:spcBef>
            <a:spcAft>
              <a:spcPts val="0"/>
            </a:spcAft>
            <a:buNone/>
          </a:pPr>
          <a:r>
            <a:rPr b="1" lang="en-US" sz="1400">
              <a:solidFill>
                <a:schemeClr val="dk1"/>
              </a:solidFill>
              <a:latin typeface="Calibri"/>
              <a:ea typeface="Calibri"/>
              <a:cs typeface="Calibri"/>
              <a:sym typeface="Calibri"/>
            </a:rPr>
            <a:t>Acepta</a:t>
          </a:r>
          <a:r>
            <a:rPr b="1" lang="en-US" sz="1400">
              <a:solidFill>
                <a:schemeClr val="dk1"/>
              </a:solidFill>
              <a:latin typeface="Calibri"/>
              <a:ea typeface="Calibri"/>
              <a:cs typeface="Calibri"/>
              <a:sym typeface="Calibri"/>
            </a:rPr>
            <a:t> cotización CM00016 G: </a:t>
          </a:r>
          <a:endParaRPr b="1" sz="1400"/>
        </a:p>
        <a:p>
          <a:pPr indent="0" lvl="0" marL="0" rtl="0" algn="l">
            <a:spcBef>
              <a:spcPts val="0"/>
            </a:spcBef>
            <a:spcAft>
              <a:spcPts val="0"/>
            </a:spcAft>
            <a:buNone/>
          </a:pPr>
          <a:r>
            <a:t/>
          </a:r>
          <a:endParaRPr b="1" sz="800"/>
        </a:p>
        <a:p>
          <a:pPr indent="0" lvl="0" marL="0" rtl="0" algn="l">
            <a:spcBef>
              <a:spcPts val="0"/>
            </a:spcBef>
            <a:spcAft>
              <a:spcPts val="0"/>
            </a:spcAft>
            <a:buNone/>
          </a:pPr>
          <a:r>
            <a:rPr b="1" lang="en-US" sz="1400">
              <a:solidFill>
                <a:schemeClr val="dk1"/>
              </a:solidFill>
              <a:latin typeface="Calibri"/>
              <a:ea typeface="Calibri"/>
              <a:cs typeface="Calibri"/>
              <a:sym typeface="Calibri"/>
            </a:rPr>
            <a:t>Nombre: _____________________________________________________________</a:t>
          </a:r>
          <a:endParaRPr sz="1400"/>
        </a:p>
        <a:p>
          <a:pPr indent="0" lvl="0" marL="0" rtl="0" algn="l">
            <a:spcBef>
              <a:spcPts val="0"/>
            </a:spcBef>
            <a:spcAft>
              <a:spcPts val="0"/>
            </a:spcAft>
            <a:buNone/>
          </a:pPr>
          <a:r>
            <a:t/>
          </a:r>
          <a:endParaRPr b="1" sz="800"/>
        </a:p>
        <a:p>
          <a:pPr indent="0" lvl="0" marL="0" rtl="0" algn="l">
            <a:spcBef>
              <a:spcPts val="0"/>
            </a:spcBef>
            <a:spcAft>
              <a:spcPts val="0"/>
            </a:spcAft>
            <a:buNone/>
          </a:pPr>
          <a:r>
            <a:rPr b="1" lang="en-US" sz="1400">
              <a:solidFill>
                <a:schemeClr val="dk1"/>
              </a:solidFill>
              <a:latin typeface="Calibri"/>
              <a:ea typeface="Calibri"/>
              <a:cs typeface="Calibri"/>
              <a:sym typeface="Calibri"/>
            </a:rPr>
            <a:t>Fecha de aprobación: ______________________        Cargo: ___________________</a:t>
          </a:r>
          <a:endParaRPr sz="1400"/>
        </a:p>
        <a:p>
          <a:pPr indent="0" lvl="0" marL="0" rtl="0" algn="l">
            <a:spcBef>
              <a:spcPts val="0"/>
            </a:spcBef>
            <a:spcAft>
              <a:spcPts val="0"/>
            </a:spcAft>
            <a:buNone/>
          </a:pPr>
          <a:r>
            <a:t/>
          </a:r>
          <a:endParaRPr b="1" sz="800"/>
        </a:p>
        <a:p>
          <a:pPr indent="0" lvl="0" marL="0" rtl="0" algn="l">
            <a:spcBef>
              <a:spcPts val="0"/>
            </a:spcBef>
            <a:spcAft>
              <a:spcPts val="0"/>
            </a:spcAft>
            <a:buNone/>
          </a:pPr>
          <a:r>
            <a:rPr b="1" lang="en-US" sz="1400">
              <a:solidFill>
                <a:schemeClr val="dk1"/>
              </a:solidFill>
              <a:latin typeface="Calibri"/>
              <a:ea typeface="Calibri"/>
              <a:cs typeface="Calibri"/>
              <a:sym typeface="Calibri"/>
            </a:rPr>
            <a:t>Firma: _______________________________________________________________</a:t>
          </a:r>
          <a:endParaRPr sz="1400"/>
        </a:p>
        <a:p>
          <a:pPr indent="0" lvl="0" marL="0" rtl="0" algn="l">
            <a:spcBef>
              <a:spcPts val="0"/>
            </a:spcBef>
            <a:spcAft>
              <a:spcPts val="0"/>
            </a:spcAft>
            <a:buNone/>
          </a:pPr>
          <a:r>
            <a:t/>
          </a:r>
          <a:endParaRPr b="1" sz="800"/>
        </a:p>
        <a:p>
          <a:pPr indent="0" lvl="0" marL="0" rtl="0" algn="l">
            <a:spcBef>
              <a:spcPts val="0"/>
            </a:spcBef>
            <a:spcAft>
              <a:spcPts val="0"/>
            </a:spcAft>
            <a:buNone/>
          </a:pPr>
          <a:r>
            <a:rPr b="0" lang="en-US" sz="1100">
              <a:solidFill>
                <a:schemeClr val="dk1"/>
              </a:solidFill>
              <a:latin typeface="Calibri"/>
              <a:ea typeface="Calibri"/>
              <a:cs typeface="Calibri"/>
              <a:sym typeface="Calibri"/>
            </a:rPr>
            <a:t>Al estar llenos los campos de este recuadro, esta cotización tiene los mismos alcances de una orden de compra.</a:t>
          </a:r>
          <a:endParaRPr sz="1400"/>
        </a:p>
      </xdr:txBody>
    </xdr:sp>
    <xdr:clientData fLocksWithSheet="0"/>
  </xdr:oneCellAnchor>
  <xdr:oneCellAnchor>
    <xdr:from>
      <xdr:col>0</xdr:col>
      <xdr:colOff>95250</xdr:colOff>
      <xdr:row>55</xdr:row>
      <xdr:rowOff>66675</xdr:rowOff>
    </xdr:from>
    <xdr:ext cx="6219825" cy="3343275"/>
    <xdr:sp>
      <xdr:nvSpPr>
        <xdr:cNvPr id="6" name="Shape 6"/>
        <xdr:cNvSpPr txBox="1"/>
      </xdr:nvSpPr>
      <xdr:spPr>
        <a:xfrm>
          <a:off x="2240850" y="2113125"/>
          <a:ext cx="6210300" cy="3333750"/>
        </a:xfrm>
        <a:prstGeom prst="rect">
          <a:avLst/>
        </a:prstGeom>
        <a:solidFill>
          <a:schemeClr val="lt1"/>
        </a:solidFill>
        <a:ln>
          <a:noFill/>
        </a:ln>
      </xdr:spPr>
      <xdr:txBody>
        <a:bodyPr anchorCtr="0" anchor="t" bIns="0" lIns="0" spcFirstLastPara="1" rIns="0" wrap="square" tIns="0">
          <a:noAutofit/>
        </a:bodyPr>
        <a:lstStyle/>
        <a:p>
          <a:pPr indent="0" lvl="0" marL="0" rtl="0" algn="l">
            <a:spcBef>
              <a:spcPts val="0"/>
            </a:spcBef>
            <a:spcAft>
              <a:spcPts val="0"/>
            </a:spcAft>
            <a:buNone/>
          </a:pPr>
          <a:r>
            <a:rPr b="1" lang="en-US" sz="1000">
              <a:solidFill>
                <a:srgbClr val="000000"/>
              </a:solidFill>
              <a:latin typeface="Calibri"/>
              <a:ea typeface="Calibri"/>
              <a:cs typeface="Calibri"/>
              <a:sym typeface="Calibri"/>
            </a:rPr>
            <a:t>CONDICIONES GENERALES</a:t>
          </a:r>
          <a:br>
            <a:rPr b="0" lang="en-US" sz="1000">
              <a:solidFill>
                <a:srgbClr val="000000"/>
              </a:solidFill>
              <a:latin typeface="Calibri"/>
              <a:ea typeface="Calibri"/>
              <a:cs typeface="Calibri"/>
              <a:sym typeface="Calibri"/>
            </a:rPr>
          </a:br>
          <a:r>
            <a:rPr b="0" lang="en-US" sz="1000">
              <a:solidFill>
                <a:srgbClr val="000000"/>
              </a:solidFill>
              <a:latin typeface="Calibri"/>
              <a:ea typeface="Calibri"/>
              <a:cs typeface="Calibri"/>
              <a:sym typeface="Calibri"/>
            </a:rPr>
            <a:t>Esta cotización tiene una vigencia de 3 días hábiles.</a:t>
          </a:r>
          <a:endParaRPr sz="1400"/>
        </a:p>
        <a:p>
          <a:pPr indent="0" lvl="0" marL="0" rtl="0" algn="l">
            <a:spcBef>
              <a:spcPts val="0"/>
            </a:spcBef>
            <a:spcAft>
              <a:spcPts val="0"/>
            </a:spcAft>
            <a:buNone/>
          </a:pPr>
          <a:r>
            <a:rPr b="0" lang="en-US" sz="1000">
              <a:solidFill>
                <a:srgbClr val="000000"/>
              </a:solidFill>
              <a:latin typeface="Calibri"/>
              <a:ea typeface="Calibri"/>
              <a:cs typeface="Calibri"/>
              <a:sym typeface="Calibri"/>
            </a:rPr>
            <a:t>*Estos precios estarán vigentes hasta nuevo aviso, ya que en virtud de las fluctuaciones que pueden existir, estos precios serán modificados, por lo cuál comuníquese con nosotros cuando vaya a hacer su pedido.</a:t>
          </a:r>
          <a:endParaRPr sz="1400"/>
        </a:p>
        <a:p>
          <a:pPr indent="0" lvl="0" marL="0" rtl="0" algn="l">
            <a:spcBef>
              <a:spcPts val="0"/>
            </a:spcBef>
            <a:spcAft>
              <a:spcPts val="0"/>
            </a:spcAft>
            <a:buNone/>
          </a:pPr>
          <a:r>
            <a:rPr b="0" lang="en-US" sz="1000">
              <a:solidFill>
                <a:srgbClr val="000000"/>
              </a:solidFill>
              <a:latin typeface="Calibri"/>
              <a:ea typeface="Calibri"/>
              <a:cs typeface="Calibri"/>
              <a:sym typeface="Calibri"/>
            </a:rPr>
            <a:t>*Tiempo de entrega del trabajo, 8 días hábiles.</a:t>
          </a:r>
          <a:endParaRPr sz="1400"/>
        </a:p>
        <a:p>
          <a:pPr indent="0" lvl="0" marL="0" rtl="0" algn="l">
            <a:spcBef>
              <a:spcPts val="0"/>
            </a:spcBef>
            <a:spcAft>
              <a:spcPts val="0"/>
            </a:spcAft>
            <a:buNone/>
          </a:pPr>
          <a:r>
            <a:rPr b="0" lang="en-US" sz="1000">
              <a:solidFill>
                <a:srgbClr val="000000"/>
              </a:solidFill>
              <a:latin typeface="Calibri"/>
              <a:ea typeface="Calibri"/>
              <a:cs typeface="Calibri"/>
              <a:sym typeface="Calibri"/>
            </a:rPr>
            <a:t>*El cliente proporcionará el archivo editable para poder imprimir los vinilos.</a:t>
          </a:r>
          <a:endParaRPr sz="1400"/>
        </a:p>
        <a:p>
          <a:pPr indent="0" lvl="0" marL="0" rtl="0" algn="l">
            <a:spcBef>
              <a:spcPts val="0"/>
            </a:spcBef>
            <a:spcAft>
              <a:spcPts val="0"/>
            </a:spcAft>
            <a:buNone/>
          </a:pPr>
          <a:r>
            <a:rPr b="0" lang="en-US" sz="1000">
              <a:solidFill>
                <a:srgbClr val="000000"/>
              </a:solidFill>
              <a:latin typeface="Calibri"/>
              <a:ea typeface="Calibri"/>
              <a:cs typeface="Calibri"/>
              <a:sym typeface="Calibri"/>
            </a:rPr>
            <a:t>*Pago, de contado.</a:t>
          </a:r>
          <a:endParaRPr sz="1400"/>
        </a:p>
        <a:p>
          <a:pPr indent="0" lvl="0" marL="0" rtl="0" algn="l">
            <a:spcBef>
              <a:spcPts val="0"/>
            </a:spcBef>
            <a:spcAft>
              <a:spcPts val="0"/>
            </a:spcAft>
            <a:buNone/>
          </a:pPr>
          <a:r>
            <a:rPr b="0" lang="en-US" sz="1000">
              <a:solidFill>
                <a:srgbClr val="000000"/>
              </a:solidFill>
              <a:latin typeface="Calibri"/>
              <a:ea typeface="Calibri"/>
              <a:cs typeface="Calibri"/>
              <a:sym typeface="Calibri"/>
            </a:rPr>
            <a:t>* Forma de pago: (Depósito o transferencia). Al momento de mandar su comprobante de pago favor de indicar:</a:t>
          </a:r>
          <a:endParaRPr sz="1400"/>
        </a:p>
        <a:p>
          <a:pPr indent="0" lvl="0" marL="0" rtl="0" algn="l">
            <a:spcBef>
              <a:spcPts val="0"/>
            </a:spcBef>
            <a:spcAft>
              <a:spcPts val="0"/>
            </a:spcAft>
            <a:buNone/>
          </a:pPr>
          <a:r>
            <a:rPr b="0" lang="en-US" sz="1000">
              <a:solidFill>
                <a:srgbClr val="000000"/>
              </a:solidFill>
              <a:latin typeface="Calibri"/>
              <a:ea typeface="Calibri"/>
              <a:cs typeface="Calibri"/>
              <a:sym typeface="Calibri"/>
            </a:rPr>
            <a:t>   Forma de pago, banco de origen, número de cuenta, sucursal y uso de CFDI.</a:t>
          </a:r>
          <a:endParaRPr sz="1400"/>
        </a:p>
        <a:p>
          <a:pPr indent="0" lvl="0" marL="0" rtl="0" algn="l">
            <a:spcBef>
              <a:spcPts val="0"/>
            </a:spcBef>
            <a:spcAft>
              <a:spcPts val="0"/>
            </a:spcAft>
            <a:buNone/>
          </a:pPr>
          <a:r>
            <a:rPr b="0" lang="en-US" sz="1000">
              <a:solidFill>
                <a:srgbClr val="000000"/>
              </a:solidFill>
              <a:latin typeface="Calibri"/>
              <a:ea typeface="Calibri"/>
              <a:cs typeface="Calibri"/>
              <a:sym typeface="Calibri"/>
            </a:rPr>
            <a:t>*La eventual producción de cualquier elemento no tomado en cuenta en está propuesta, será cotizado por separado.</a:t>
          </a:r>
          <a:endParaRPr sz="1400"/>
        </a:p>
        <a:p>
          <a:pPr indent="0" lvl="0" marL="0" rtl="0" algn="l">
            <a:spcBef>
              <a:spcPts val="0"/>
            </a:spcBef>
            <a:spcAft>
              <a:spcPts val="0"/>
            </a:spcAft>
            <a:buNone/>
          </a:pPr>
          <a:r>
            <a:rPr b="0" lang="en-US" sz="1000">
              <a:solidFill>
                <a:srgbClr val="000000"/>
              </a:solidFill>
              <a:latin typeface="Calibri"/>
              <a:ea typeface="Calibri"/>
              <a:cs typeface="Calibri"/>
              <a:sym typeface="Calibri"/>
            </a:rPr>
            <a:t>*Una vez iniciado el proyecto, la cancelación del mismo por causas ajenas a GNA,  independientemente del trabajo hasta el momento realizado, tendrá un cargo del 100% de las fases del proceso.</a:t>
          </a:r>
          <a:br>
            <a:rPr b="0" lang="en-US" sz="1000">
              <a:solidFill>
                <a:srgbClr val="000000"/>
              </a:solidFill>
              <a:latin typeface="Calibri"/>
              <a:ea typeface="Calibri"/>
              <a:cs typeface="Calibri"/>
              <a:sym typeface="Calibri"/>
            </a:rPr>
          </a:br>
          <a:r>
            <a:rPr b="0" lang="en-US" sz="1000">
              <a:solidFill>
                <a:srgbClr val="000000"/>
              </a:solidFill>
              <a:latin typeface="Calibri"/>
              <a:ea typeface="Calibri"/>
              <a:cs typeface="Calibri"/>
              <a:sym typeface="Calibri"/>
            </a:rPr>
            <a:t>*Será responsabilidad del cliente, la revisión final del producto.</a:t>
          </a:r>
          <a:endParaRPr sz="1400"/>
        </a:p>
        <a:p>
          <a:pPr indent="0" lvl="0" marL="0" rtl="0" algn="l">
            <a:spcBef>
              <a:spcPts val="0"/>
            </a:spcBef>
            <a:spcAft>
              <a:spcPts val="0"/>
            </a:spcAft>
            <a:buNone/>
          </a:pPr>
          <a:r>
            <a:rPr b="0" lang="en-US" sz="1000">
              <a:solidFill>
                <a:srgbClr val="000000"/>
              </a:solidFill>
              <a:latin typeface="Calibri"/>
              <a:ea typeface="Calibri"/>
              <a:cs typeface="Calibri"/>
              <a:sym typeface="Calibri"/>
            </a:rPr>
            <a:t>*El trabajo requerido y explicado en este documento, se iniciará cuando dicha cotización haya sido autorizada, firmada y el anticipo haya sido recibido en firme.</a:t>
          </a:r>
          <a:br>
            <a:rPr b="0" lang="en-US" sz="1000">
              <a:solidFill>
                <a:srgbClr val="000000"/>
              </a:solidFill>
              <a:latin typeface="Calibri"/>
              <a:ea typeface="Calibri"/>
              <a:cs typeface="Calibri"/>
              <a:sym typeface="Calibri"/>
            </a:rPr>
          </a:br>
          <a:r>
            <a:rPr b="0" lang="en-US" sz="1000">
              <a:solidFill>
                <a:srgbClr val="000000"/>
              </a:solidFill>
              <a:latin typeface="Calibri"/>
              <a:ea typeface="Calibri"/>
              <a:cs typeface="Calibri"/>
              <a:sym typeface="Calibri"/>
            </a:rPr>
            <a:t>* Este documento es sólo de carácter informativo, no tiene validez oficial como </a:t>
          </a:r>
          <a:r>
            <a:rPr b="0" lang="en-US" sz="900">
              <a:solidFill>
                <a:srgbClr val="000000"/>
              </a:solidFill>
              <a:latin typeface="Calibri"/>
              <a:ea typeface="Calibri"/>
              <a:cs typeface="Calibri"/>
              <a:sym typeface="Calibri"/>
            </a:rPr>
            <a:t>comprbante legal o fiscal.</a:t>
          </a:r>
          <a:endParaRPr sz="1400"/>
        </a:p>
      </xdr:txBody>
    </xdr:sp>
    <xdr:clientData fLocksWithSheet="0"/>
  </xdr:oneCellAnchor>
  <xdr:oneCellAnchor>
    <xdr:from>
      <xdr:col>3</xdr:col>
      <xdr:colOff>914400</xdr:colOff>
      <xdr:row>66</xdr:row>
      <xdr:rowOff>57150</xdr:rowOff>
    </xdr:from>
    <xdr:ext cx="1943100" cy="28860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304800</xdr:colOff>
      <xdr:row>132</xdr:row>
      <xdr:rowOff>142875</xdr:rowOff>
    </xdr:from>
    <xdr:ext cx="2857500" cy="2857500"/>
    <mc:AlternateContent>
      <mc:Choice Requires="sle15">
        <xdr:graphicFrame>
          <xdr:nvGraphicFramePr>
            <xdr:cNvPr id="2" name="TIPO_2"/>
            <xdr:cNvGraphicFramePr/>
          </xdr:nvGraphicFramePr>
          <xdr:xfrm>
            <a:off x="0" y="0"/>
            <a:ext cx="0" cy="0"/>
          </xdr:xfrm>
          <a:graphic>
            <a:graphicData uri="http://schemas.microsoft.com/office/drawing/2010/slicer">
              <x3Unk:slicer name="TIPO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-19050</xdr:colOff>
      <xdr:row>5</xdr:row>
      <xdr:rowOff>57150</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chemeClr val="dk1"/>
            </a:solidFill>
            <a:prstDash val="solid"/>
            <a:miter lim="800000"/>
            <a:headEnd len="sm" w="sm" type="none"/>
            <a:tailEnd len="sm" w="sm" type="none"/>
          </a:ln>
        </xdr:spPr>
      </xdr:cxnSp>
    </xdr:grpSp>
    <xdr:clientData fLocksWithSheet="0"/>
  </xdr:oneCellAnchor>
  <xdr:oneCellAnchor>
    <xdr:from>
      <xdr:col>6</xdr:col>
      <xdr:colOff>-19050</xdr:colOff>
      <xdr:row>6</xdr:row>
      <xdr:rowOff>66675</xdr:rowOff>
    </xdr:from>
    <xdr:ext cx="38100" cy="0"/>
    <xdr:grpSp>
      <xdr:nvGrpSpPr>
        <xdr:cNvPr id="2" name="Shape 2"/>
        <xdr:cNvGrpSpPr/>
      </xdr:nvGrpSpPr>
      <xdr:grpSpPr>
        <a:xfrm>
          <a:off x="5346000" y="3780000"/>
          <a:ext cx="0" cy="0"/>
          <a:chOff x="5346000" y="3780000"/>
          <a:chExt cx="0" cy="0"/>
        </a:xfrm>
      </xdr:grpSpPr>
      <xdr:cxnSp>
        <xdr:nvCxnSpPr>
          <xdr:cNvPr id="3" name="Shape 3"/>
          <xdr:cNvCxnSpPr/>
        </xdr:nvCxnSpPr>
        <xdr:spPr>
          <a:xfrm>
            <a:off x="5346000" y="3780000"/>
            <a:ext cx="0" cy="0"/>
          </a:xfrm>
          <a:prstGeom prst="straightConnector1">
            <a:avLst/>
          </a:prstGeom>
          <a:noFill/>
          <a:ln cap="flat" cmpd="sng" w="9525">
            <a:solidFill>
              <a:schemeClr val="dk1"/>
            </a:solidFill>
            <a:prstDash val="solid"/>
            <a:miter lim="800000"/>
            <a:headEnd len="sm" w="sm" type="none"/>
            <a:tailEnd len="sm" w="sm" type="none"/>
          </a:ln>
        </xdr:spPr>
      </xdr:cxnSp>
    </xdr:grpSp>
    <xdr:clientData fLocksWithSheet="0"/>
  </xdr:oneCellAnchor>
  <xdr:oneCellAnchor>
    <xdr:from>
      <xdr:col>6</xdr:col>
      <xdr:colOff>-19050</xdr:colOff>
      <xdr:row>3</xdr:row>
      <xdr:rowOff>28575</xdr:rowOff>
    </xdr:from>
    <xdr:ext cx="38100" cy="0"/>
    <xdr:grpSp>
      <xdr:nvGrpSpPr>
        <xdr:cNvPr id="2" name="Shape 2"/>
        <xdr:cNvGrpSpPr/>
      </xdr:nvGrpSpPr>
      <xdr:grpSpPr>
        <a:xfrm>
          <a:off x="5346000" y="3780000"/>
          <a:ext cx="0" cy="0"/>
          <a:chOff x="5346000" y="3780000"/>
          <a:chExt cx="0" cy="0"/>
        </a:xfrm>
      </xdr:grpSpPr>
      <xdr:cxnSp>
        <xdr:nvCxnSpPr>
          <xdr:cNvPr id="4" name="Shape 4"/>
          <xdr:cNvCxnSpPr/>
        </xdr:nvCxnSpPr>
        <xdr:spPr>
          <a:xfrm>
            <a:off x="5346000" y="3780000"/>
            <a:ext cx="0" cy="0"/>
          </a:xfrm>
          <a:prstGeom prst="straightConnector1">
            <a:avLst/>
          </a:prstGeom>
          <a:noFill/>
          <a:ln cap="flat" cmpd="sng" w="9525">
            <a:solidFill>
              <a:srgbClr val="C00000"/>
            </a:solidFill>
            <a:prstDash val="solid"/>
            <a:miter lim="800000"/>
            <a:headEnd len="sm" w="sm" type="none"/>
            <a:tailEnd len="sm" w="sm" type="none"/>
          </a:ln>
        </xdr:spPr>
      </xdr:cxnSp>
    </xdr:grpSp>
    <xdr:clientData fLocksWithSheet="0"/>
  </xdr:oneCellAnchor>
  <xdr:oneCellAnchor>
    <xdr:from>
      <xdr:col>0</xdr:col>
      <xdr:colOff>57150</xdr:colOff>
      <xdr:row>174</xdr:row>
      <xdr:rowOff>0</xdr:rowOff>
    </xdr:from>
    <xdr:ext cx="4057650" cy="1876425"/>
    <xdr:sp>
      <xdr:nvSpPr>
        <xdr:cNvPr id="7" name="Shape 7"/>
        <xdr:cNvSpPr txBox="1"/>
      </xdr:nvSpPr>
      <xdr:spPr>
        <a:xfrm>
          <a:off x="3320263" y="2845705"/>
          <a:ext cx="4051474" cy="1868591"/>
        </a:xfrm>
        <a:prstGeom prst="rect">
          <a:avLst/>
        </a:prstGeom>
        <a:solidFill>
          <a:schemeClr val="lt1"/>
        </a:solidFill>
        <a:ln cap="flat" cmpd="sng" w="9525">
          <a:solidFill>
            <a:schemeClr val="dk1"/>
          </a:solidFill>
          <a:prstDash val="solid"/>
          <a:round/>
          <a:headEnd len="sm" w="sm" type="none"/>
          <a:tailEnd len="sm" w="sm" type="none"/>
        </a:ln>
      </xdr:spPr>
      <xdr:txBody>
        <a:bodyPr anchorCtr="0" anchor="ctr" bIns="0" lIns="54000" spcFirstLastPara="1" rIns="54000" wrap="square" tIns="18000">
          <a:noAutofit/>
        </a:bodyPr>
        <a:lstStyle/>
        <a:p>
          <a:pPr indent="0" lvl="0" marL="0" rtl="0" algn="l">
            <a:spcBef>
              <a:spcPts val="0"/>
            </a:spcBef>
            <a:spcAft>
              <a:spcPts val="0"/>
            </a:spcAft>
            <a:buNone/>
          </a:pPr>
          <a:r>
            <a:rPr b="1" lang="en-US" sz="900">
              <a:solidFill>
                <a:schemeClr val="dk1"/>
              </a:solidFill>
              <a:latin typeface="Calibri"/>
              <a:ea typeface="Calibri"/>
              <a:cs typeface="Calibri"/>
              <a:sym typeface="Calibri"/>
            </a:rPr>
            <a:t>Acepta</a:t>
          </a:r>
          <a:r>
            <a:rPr b="1" lang="en-US" sz="900">
              <a:solidFill>
                <a:schemeClr val="dk1"/>
              </a:solidFill>
              <a:latin typeface="Calibri"/>
              <a:ea typeface="Calibri"/>
              <a:cs typeface="Calibri"/>
              <a:sym typeface="Calibri"/>
            </a:rPr>
            <a:t> cotización CM00016 G: </a:t>
          </a:r>
          <a:endParaRPr b="1" sz="900"/>
        </a:p>
        <a:p>
          <a:pPr indent="0" lvl="0" marL="0" rtl="0" algn="l">
            <a:spcBef>
              <a:spcPts val="0"/>
            </a:spcBef>
            <a:spcAft>
              <a:spcPts val="0"/>
            </a:spcAft>
            <a:buNone/>
          </a:pPr>
          <a:r>
            <a:t/>
          </a:r>
          <a:endParaRPr b="1" sz="300"/>
        </a:p>
        <a:p>
          <a:pPr indent="0" lvl="0" marL="0" rtl="0" algn="l">
            <a:spcBef>
              <a:spcPts val="0"/>
            </a:spcBef>
            <a:spcAft>
              <a:spcPts val="0"/>
            </a:spcAft>
            <a:buNone/>
          </a:pPr>
          <a:r>
            <a:rPr b="1" lang="en-US" sz="900">
              <a:solidFill>
                <a:schemeClr val="dk1"/>
              </a:solidFill>
              <a:latin typeface="Calibri"/>
              <a:ea typeface="Calibri"/>
              <a:cs typeface="Calibri"/>
              <a:sym typeface="Calibri"/>
            </a:rPr>
            <a:t>Nombre: _____________________________________________________________</a:t>
          </a:r>
          <a:endParaRPr sz="1400"/>
        </a:p>
        <a:p>
          <a:pPr indent="0" lvl="0" marL="0" rtl="0" algn="l">
            <a:spcBef>
              <a:spcPts val="0"/>
            </a:spcBef>
            <a:spcAft>
              <a:spcPts val="0"/>
            </a:spcAft>
            <a:buNone/>
          </a:pPr>
          <a:r>
            <a:t/>
          </a:r>
          <a:endParaRPr b="1" sz="300"/>
        </a:p>
        <a:p>
          <a:pPr indent="0" lvl="0" marL="0" rtl="0" algn="l">
            <a:spcBef>
              <a:spcPts val="0"/>
            </a:spcBef>
            <a:spcAft>
              <a:spcPts val="0"/>
            </a:spcAft>
            <a:buNone/>
          </a:pPr>
          <a:r>
            <a:rPr b="1" lang="en-US" sz="900">
              <a:solidFill>
                <a:schemeClr val="dk1"/>
              </a:solidFill>
              <a:latin typeface="Calibri"/>
              <a:ea typeface="Calibri"/>
              <a:cs typeface="Calibri"/>
              <a:sym typeface="Calibri"/>
            </a:rPr>
            <a:t>Fecha de aprobación: ______________________        Cargo: ___________________</a:t>
          </a:r>
          <a:endParaRPr sz="1400"/>
        </a:p>
        <a:p>
          <a:pPr indent="0" lvl="0" marL="0" rtl="0" algn="l">
            <a:spcBef>
              <a:spcPts val="0"/>
            </a:spcBef>
            <a:spcAft>
              <a:spcPts val="0"/>
            </a:spcAft>
            <a:buNone/>
          </a:pPr>
          <a:r>
            <a:t/>
          </a:r>
          <a:endParaRPr b="1" sz="300"/>
        </a:p>
        <a:p>
          <a:pPr indent="0" lvl="0" marL="0" rtl="0" algn="l">
            <a:spcBef>
              <a:spcPts val="0"/>
            </a:spcBef>
            <a:spcAft>
              <a:spcPts val="0"/>
            </a:spcAft>
            <a:buNone/>
          </a:pPr>
          <a:r>
            <a:rPr b="1" lang="en-US" sz="900">
              <a:solidFill>
                <a:schemeClr val="dk1"/>
              </a:solidFill>
              <a:latin typeface="Calibri"/>
              <a:ea typeface="Calibri"/>
              <a:cs typeface="Calibri"/>
              <a:sym typeface="Calibri"/>
            </a:rPr>
            <a:t>Firma: _______________________________________________________________</a:t>
          </a:r>
          <a:endParaRPr sz="1400"/>
        </a:p>
        <a:p>
          <a:pPr indent="0" lvl="0" marL="0" rtl="0" algn="l">
            <a:spcBef>
              <a:spcPts val="0"/>
            </a:spcBef>
            <a:spcAft>
              <a:spcPts val="0"/>
            </a:spcAft>
            <a:buNone/>
          </a:pPr>
          <a:r>
            <a:t/>
          </a:r>
          <a:endParaRPr b="1" sz="300"/>
        </a:p>
        <a:p>
          <a:pPr indent="0" lvl="0" marL="0" rtl="0" algn="l">
            <a:spcBef>
              <a:spcPts val="0"/>
            </a:spcBef>
            <a:spcAft>
              <a:spcPts val="0"/>
            </a:spcAft>
            <a:buNone/>
          </a:pPr>
          <a:r>
            <a:rPr b="0" lang="en-US" sz="800">
              <a:solidFill>
                <a:schemeClr val="dk1"/>
              </a:solidFill>
              <a:latin typeface="Calibri"/>
              <a:ea typeface="Calibri"/>
              <a:cs typeface="Calibri"/>
              <a:sym typeface="Calibri"/>
            </a:rPr>
            <a:t>Al estar llenos los campos de este recuadro, esta cotización tiene los mismos alcances de una orden de compra</a:t>
          </a:r>
          <a:endParaRPr sz="1400"/>
        </a:p>
      </xdr:txBody>
    </xdr:sp>
    <xdr:clientData fLocksWithSheet="0"/>
  </xdr:oneCellAnchor>
  <xdr:oneCellAnchor>
    <xdr:from>
      <xdr:col>0</xdr:col>
      <xdr:colOff>76200</xdr:colOff>
      <xdr:row>158</xdr:row>
      <xdr:rowOff>57150</xdr:rowOff>
    </xdr:from>
    <xdr:ext cx="5438775" cy="2981325"/>
    <xdr:sp>
      <xdr:nvSpPr>
        <xdr:cNvPr id="8" name="Shape 8"/>
        <xdr:cNvSpPr txBox="1"/>
      </xdr:nvSpPr>
      <xdr:spPr>
        <a:xfrm>
          <a:off x="2631375" y="2294100"/>
          <a:ext cx="5429250" cy="2971800"/>
        </a:xfrm>
        <a:prstGeom prst="rect">
          <a:avLst/>
        </a:prstGeom>
        <a:solidFill>
          <a:schemeClr val="lt1"/>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900">
              <a:solidFill>
                <a:srgbClr val="000000"/>
              </a:solidFill>
              <a:latin typeface="Calibri"/>
              <a:ea typeface="Calibri"/>
              <a:cs typeface="Calibri"/>
              <a:sym typeface="Calibri"/>
            </a:rPr>
            <a:t>CONDICIONES GENERALES</a:t>
          </a:r>
          <a:br>
            <a:rPr b="0" lang="en-US" sz="900">
              <a:solidFill>
                <a:srgbClr val="000000"/>
              </a:solidFill>
              <a:latin typeface="Calibri"/>
              <a:ea typeface="Calibri"/>
              <a:cs typeface="Calibri"/>
              <a:sym typeface="Calibri"/>
            </a:rPr>
          </a:br>
          <a:r>
            <a:rPr b="0" lang="en-US" sz="900">
              <a:solidFill>
                <a:srgbClr val="000000"/>
              </a:solidFill>
              <a:latin typeface="Calibri"/>
              <a:ea typeface="Calibri"/>
              <a:cs typeface="Calibri"/>
              <a:sym typeface="Calibri"/>
            </a:rPr>
            <a:t>*Esta cotización tiene una vigencia de 5 días hábiles.</a:t>
          </a:r>
          <a:endParaRPr sz="1400"/>
        </a:p>
        <a:p>
          <a:pPr indent="0" lvl="0" marL="0" rtl="0" algn="l">
            <a:spcBef>
              <a:spcPts val="0"/>
            </a:spcBef>
            <a:spcAft>
              <a:spcPts val="0"/>
            </a:spcAft>
            <a:buNone/>
          </a:pPr>
          <a:r>
            <a:rPr b="0" lang="en-US" sz="900">
              <a:solidFill>
                <a:srgbClr val="000000"/>
              </a:solidFill>
              <a:latin typeface="Calibri"/>
              <a:ea typeface="Calibri"/>
              <a:cs typeface="Calibri"/>
              <a:sym typeface="Calibri"/>
            </a:rPr>
            <a:t>*Estos precios estarán vigentes hasta nuevo aviso, ya que en virtud de las fluctuaciones que pueden existir, estos precios serán modificados, por lo cuál comuníquese con nosotros cuando vaya a ser su pedido.</a:t>
          </a:r>
          <a:endParaRPr sz="1400"/>
        </a:p>
        <a:p>
          <a:pPr indent="0" lvl="0" marL="0" rtl="0" algn="l">
            <a:spcBef>
              <a:spcPts val="0"/>
            </a:spcBef>
            <a:spcAft>
              <a:spcPts val="0"/>
            </a:spcAft>
            <a:buNone/>
          </a:pPr>
          <a:r>
            <a:rPr b="0" lang="en-US" sz="900">
              <a:solidFill>
                <a:srgbClr val="000000"/>
              </a:solidFill>
              <a:latin typeface="Calibri"/>
              <a:ea typeface="Calibri"/>
              <a:cs typeface="Calibri"/>
              <a:sym typeface="Calibri"/>
            </a:rPr>
            <a:t>*Tiempo de entrega del trabajo, 1 día hábil.</a:t>
          </a:r>
          <a:endParaRPr sz="1400"/>
        </a:p>
        <a:p>
          <a:pPr indent="0" lvl="0" marL="0" rtl="0" algn="l">
            <a:spcBef>
              <a:spcPts val="0"/>
            </a:spcBef>
            <a:spcAft>
              <a:spcPts val="0"/>
            </a:spcAft>
            <a:buNone/>
          </a:pPr>
          <a:r>
            <a:rPr b="0" lang="en-US" sz="900">
              <a:solidFill>
                <a:srgbClr val="000000"/>
              </a:solidFill>
              <a:latin typeface="Calibri"/>
              <a:ea typeface="Calibri"/>
              <a:cs typeface="Calibri"/>
              <a:sym typeface="Calibri"/>
            </a:rPr>
            <a:t>*Pago, de contado.</a:t>
          </a:r>
          <a:endParaRPr sz="1400"/>
        </a:p>
        <a:p>
          <a:pPr indent="0" lvl="0" marL="0" rtl="0" algn="l">
            <a:spcBef>
              <a:spcPts val="0"/>
            </a:spcBef>
            <a:spcAft>
              <a:spcPts val="0"/>
            </a:spcAft>
            <a:buNone/>
          </a:pPr>
          <a:r>
            <a:rPr b="0" lang="en-US" sz="900">
              <a:solidFill>
                <a:srgbClr val="000000"/>
              </a:solidFill>
              <a:latin typeface="Calibri"/>
              <a:ea typeface="Calibri"/>
              <a:cs typeface="Calibri"/>
              <a:sym typeface="Calibri"/>
            </a:rPr>
            <a:t>* Forma de pago: (Depósito o transferencia). Al momento de mandar su comprobante de pago favor de indicar:</a:t>
          </a:r>
          <a:endParaRPr sz="1400"/>
        </a:p>
        <a:p>
          <a:pPr indent="0" lvl="0" marL="0" rtl="0" algn="l">
            <a:spcBef>
              <a:spcPts val="0"/>
            </a:spcBef>
            <a:spcAft>
              <a:spcPts val="0"/>
            </a:spcAft>
            <a:buNone/>
          </a:pPr>
          <a:r>
            <a:rPr b="0" lang="en-US" sz="900">
              <a:solidFill>
                <a:srgbClr val="000000"/>
              </a:solidFill>
              <a:latin typeface="Calibri"/>
              <a:ea typeface="Calibri"/>
              <a:cs typeface="Calibri"/>
              <a:sym typeface="Calibri"/>
            </a:rPr>
            <a:t>   Forma de pago, banco de origen, número de cuenta, sucursal y uso de CFDI.</a:t>
          </a:r>
          <a:endParaRPr sz="1400"/>
        </a:p>
        <a:p>
          <a:pPr indent="0" lvl="0" marL="0" rtl="0" algn="l">
            <a:spcBef>
              <a:spcPts val="0"/>
            </a:spcBef>
            <a:spcAft>
              <a:spcPts val="0"/>
            </a:spcAft>
            <a:buNone/>
          </a:pPr>
          <a:r>
            <a:rPr b="0" lang="en-US" sz="900">
              <a:solidFill>
                <a:srgbClr val="000000"/>
              </a:solidFill>
              <a:latin typeface="Calibri"/>
              <a:ea typeface="Calibri"/>
              <a:cs typeface="Calibri"/>
              <a:sym typeface="Calibri"/>
            </a:rPr>
            <a:t>*La eventual producción de cualquier elemento no tomado en cuenta en está propuesta, será cotizado por separado.</a:t>
          </a:r>
          <a:endParaRPr sz="1400"/>
        </a:p>
        <a:p>
          <a:pPr indent="0" lvl="0" marL="0" rtl="0" algn="l">
            <a:spcBef>
              <a:spcPts val="0"/>
            </a:spcBef>
            <a:spcAft>
              <a:spcPts val="0"/>
            </a:spcAft>
            <a:buNone/>
          </a:pPr>
          <a:r>
            <a:rPr b="0" lang="en-US" sz="900">
              <a:solidFill>
                <a:srgbClr val="000000"/>
              </a:solidFill>
              <a:latin typeface="Calibri"/>
              <a:ea typeface="Calibri"/>
              <a:cs typeface="Calibri"/>
              <a:sym typeface="Calibri"/>
            </a:rPr>
            <a:t>*Una vez iniciado el proyecto, la cancelación del mismo por causas ajenas a GNA,  independientemente del trabajo hasta el momento realizado, tendrá un cargo del 100% de las fases del proceso.</a:t>
          </a:r>
          <a:br>
            <a:rPr b="0" lang="en-US" sz="900">
              <a:solidFill>
                <a:srgbClr val="000000"/>
              </a:solidFill>
              <a:latin typeface="Calibri"/>
              <a:ea typeface="Calibri"/>
              <a:cs typeface="Calibri"/>
              <a:sym typeface="Calibri"/>
            </a:rPr>
          </a:br>
          <a:r>
            <a:rPr b="0" lang="en-US" sz="900">
              <a:solidFill>
                <a:srgbClr val="000000"/>
              </a:solidFill>
              <a:latin typeface="Calibri"/>
              <a:ea typeface="Calibri"/>
              <a:cs typeface="Calibri"/>
              <a:sym typeface="Calibri"/>
            </a:rPr>
            <a:t>*Será responsabilidad del cliente, la revisión final del producto.</a:t>
          </a:r>
          <a:endParaRPr sz="1400"/>
        </a:p>
        <a:p>
          <a:pPr indent="0" lvl="0" marL="0" rtl="0" algn="l">
            <a:spcBef>
              <a:spcPts val="0"/>
            </a:spcBef>
            <a:spcAft>
              <a:spcPts val="0"/>
            </a:spcAft>
            <a:buNone/>
          </a:pPr>
          <a:r>
            <a:rPr b="0" lang="en-US" sz="900">
              <a:solidFill>
                <a:srgbClr val="000000"/>
              </a:solidFill>
              <a:latin typeface="Calibri"/>
              <a:ea typeface="Calibri"/>
              <a:cs typeface="Calibri"/>
              <a:sym typeface="Calibri"/>
            </a:rPr>
            <a:t>*El trabajo requerido y explicado en este documento, se iniciará cuando dicha cotización haya sido autorizada, firmada y el anticipo haya sido recibido en firme.</a:t>
          </a:r>
          <a:br>
            <a:rPr b="0" lang="en-US" sz="900">
              <a:solidFill>
                <a:srgbClr val="000000"/>
              </a:solidFill>
              <a:latin typeface="Calibri"/>
              <a:ea typeface="Calibri"/>
              <a:cs typeface="Calibri"/>
              <a:sym typeface="Calibri"/>
            </a:rPr>
          </a:br>
          <a:r>
            <a:rPr b="0" lang="en-US" sz="900">
              <a:solidFill>
                <a:srgbClr val="000000"/>
              </a:solidFill>
              <a:latin typeface="Calibri"/>
              <a:ea typeface="Calibri"/>
              <a:cs typeface="Calibri"/>
              <a:sym typeface="Calibri"/>
            </a:rPr>
            <a:t>*El cliente proporcionará la energía eléctrica para la instalación</a:t>
          </a:r>
          <a:endParaRPr sz="1400"/>
        </a:p>
        <a:p>
          <a:pPr indent="0" lvl="0" marL="0" marR="0" rtl="0" algn="l">
            <a:lnSpc>
              <a:spcPct val="100000"/>
            </a:lnSpc>
            <a:spcBef>
              <a:spcPts val="0"/>
            </a:spcBef>
            <a:spcAft>
              <a:spcPts val="0"/>
            </a:spcAft>
            <a:buClr>
              <a:srgbClr val="000000"/>
            </a:buClr>
            <a:buSzPts val="900"/>
            <a:buFont typeface="Calibri"/>
            <a:buNone/>
          </a:pPr>
          <a:r>
            <a:rPr b="0" lang="en-US" sz="900">
              <a:solidFill>
                <a:srgbClr val="000000"/>
              </a:solidFill>
              <a:latin typeface="Calibri"/>
              <a:ea typeface="Calibri"/>
              <a:cs typeface="Calibri"/>
              <a:sym typeface="Calibri"/>
            </a:rPr>
            <a:t>* Este documento es sólo de carácter informativo, no tiene validez oficial como comprobante legal o fiscal.</a:t>
          </a:r>
          <a:endParaRPr b="0" sz="900">
            <a:solidFill>
              <a:schemeClr val="dk1"/>
            </a:solidFill>
            <a:latin typeface="Calibri"/>
            <a:ea typeface="Calibri"/>
            <a:cs typeface="Calibri"/>
            <a:sym typeface="Calibri"/>
          </a:endParaRPr>
        </a:p>
        <a:p>
          <a:pPr indent="0" lvl="0" marL="0" rtl="0" algn="l">
            <a:spcBef>
              <a:spcPts val="0"/>
            </a:spcBef>
            <a:spcAft>
              <a:spcPts val="0"/>
            </a:spcAft>
            <a:buNone/>
          </a:pPr>
          <a:r>
            <a:t/>
          </a:r>
          <a:endParaRPr sz="500"/>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2:U112" sheet="VEA CLIENTE"/>
  </cacheSource>
  <cacheFields>
    <cacheField name="TIPO" numFmtId="0">
      <sharedItems containsBlank="1">
        <s v="PRODUCTO"/>
        <m/>
      </sharedItems>
    </cacheField>
    <cacheField name="ITEM" numFmtId="0">
      <sharedItems containsString="0" containsBlank="1" containsNumber="1" containsInteger="1">
        <n v="1.0"/>
        <n v="2.0"/>
        <n v="3.0"/>
        <n v="4.0"/>
        <n v="5.0"/>
        <n v="6.0"/>
        <n v="7.0"/>
        <n v="8.0"/>
        <n v="9.0"/>
        <n v="10.0"/>
        <n v="11.0"/>
        <n v="12.0"/>
        <n v="13.0"/>
        <n v="14.0"/>
        <n v="15.0"/>
        <n v="16.0"/>
        <n v="17.0"/>
        <n v="18.0"/>
        <n v="19.0"/>
        <n v="20.0"/>
        <n v="21.0"/>
        <n v="22.0"/>
        <m/>
      </sharedItems>
    </cacheField>
    <cacheField name="SKU" numFmtId="0">
      <sharedItems containsString="0" containsBlank="1" containsNumber="1" containsInteger="1">
        <n v="2.3456789E7"/>
        <m/>
      </sharedItems>
    </cacheField>
    <cacheField name="DESCRIPCIÓN" numFmtId="0">
      <sharedItems containsBlank="1">
        <s v="ESCOBETA PLASTICO REDONDO PERICO PE-1 VARIOS COLORES"/>
        <s v="ESCOBETA PLASTICO REDONDO PERICO PE-1 VARIOS COLORES USA"/>
        <s v="MANO DE OBRA"/>
        <s v="BALA IP 4 MP / LENTE 1.68 MM / 20 MTS IR EXIR / WDR 120 DB / IP67 / H.265+ / METAL / IP67"/>
        <s v="Cubo IP 4 Megapixel / Serie PRO / WiFi / Lente 2.8 mm / 10 mts IR EXIR / PoE / Sensor PIR / H.265+ / Interior / Micro SD / Audio de Dos Vías"/>
        <s v="Cable HDMI de alta resolución en 4K de 1 m"/>
        <s v="Punto de Acceso Mesh y Repetidor &quot;WiFi&quot; para Exterior MU-MIMO 2x2, Hasta 1267 Mbps, 500 mW de potencia, 250 Clientes Simultáneos, Doble Banda en 2.4 y 5 GHz."/>
        <s v="Monitor LED Full HD de 32&quot; / Ideal para Videovigilancia / Uso 24-7 / Entrada HDMI-VGA / Compatible con Montaje VESA"/>
        <s v="Montaje de pared articulado para monitor de 13 a 37&quot;, carga máxima 30Kg, Vesa 200x200"/>
        <s v="NVR 12 Megapixel (4K) / 16 canales IP / 16 Puertos PoE+ / 4 Bahías de Disco Duro / Switch PoE 300 mts / HDMI en 4K / Soporta POS"/>
        <s v="Disco duro WD de 8TB / 7200RPM / Optimizado para Videovigilancia"/>
        <s v="Bobina de cable de 305 metros Cat6+, CALIBRE 23 ALTO RENDIMIENTO, ETL,UL, con garantía de por vida, color azul, super flexible, para aplicaciones de CCTV, video HD, y redes de datos. Uso interior."/>
        <s v="Bobina de cable de 152.5 Metros Cat6+ CALIBRE 23 ALTO DESEMPEÑO, super flexible, UL, color Azúl, para aplicaciones de CCTV, HD, y redes de datos. Uso interior."/>
        <s v="Gabinete Metálico de Seguridad para DVR/NVR. Tamaño Max. de DVR/NVR: 440 x 177 x 462 mm (An. x Al. x Prof.)"/>
        <s v="Google Home Mini Asistente de Voz, Inalámbrico, WiFi, Bluetooth, Gris"/>
        <s v="Plug Modular RJ45 Cat6 sin blindaje, chapado de oro a 30 micras para durabilidad extrema"/>
        <s v="EXTENSOR HDMI Y CONTROL REMOTO POR CAT6 40M"/>
        <s v="CABLE HDMI DE ALTA VELOCIDAD C/ETHERNET 3.6M"/>
        <s v="Nest Hello Video"/>
        <s v="Adaptador De Corriente Para Timbre De Vídeo 18 Vac Transform"/>
        <s v="Material para instalación de cámaras (canaleta, tubo conduix, codos, cajas, tornillos, abrazadera, taquete, Duretan PTR"/>
        <s v="Mano de Obra para instalación (8 DÍAS HÁBILES)"/>
        <m/>
        <s v="PRODUCTO 99"/>
        <s v="PRODUCTO 100"/>
      </sharedItems>
    </cacheField>
    <cacheField name="CANTIDAD / PERSONAL REQUERIDO" numFmtId="0">
      <sharedItems containsString="0" containsBlank="1" containsNumber="1" containsInteger="1">
        <n v="1.0"/>
        <n v="7.0"/>
        <n v="8.0"/>
        <n v="2.0"/>
        <n v="50.0"/>
        <m/>
        <n v="95.0"/>
        <n v="96.0"/>
      </sharedItems>
    </cacheField>
    <cacheField name="UNIDAD" numFmtId="0">
      <sharedItems>
        <s v="PZA"/>
      </sharedItems>
    </cacheField>
    <cacheField name="TIEMPO &#10;ESTIMADO" numFmtId="0">
      <sharedItems containsSemiMixedTypes="0" containsString="0" containsNumber="1" containsInteger="1">
        <n v="0.0"/>
        <n v="8.0"/>
      </sharedItems>
    </cacheField>
    <cacheField name="COSTO&#10;UNITARIO" numFmtId="167">
      <sharedItems containsSemiMixedTypes="0" containsString="0" containsNumber="1">
        <n v="100.0"/>
        <n v="50.0"/>
        <n v="126.8"/>
        <n v="65.32"/>
        <n v="2.16"/>
        <n v="164.14"/>
        <n v="232.48"/>
        <n v="10.62"/>
        <n v="621.61"/>
        <n v="94.49"/>
        <n v="49.32"/>
        <n v="56.55"/>
        <n v="29.39"/>
        <n v="0.32"/>
        <n v="1112.07"/>
        <n v="198.28"/>
        <n v="4499.0"/>
        <n v="1453.45"/>
        <n v="8475.85"/>
        <n v="14539.52"/>
        <n v="0.0"/>
      </sharedItems>
    </cacheField>
    <cacheField name="MONEDA" numFmtId="0">
      <sharedItems>
        <s v="MXN"/>
        <s v="USD"/>
      </sharedItems>
    </cacheField>
    <cacheField name="COSTO&#10;UNITARIO MXN" numFmtId="164">
      <sharedItems containsSemiMixedTypes="0" containsString="0" containsNumber="1">
        <n v="100.0"/>
        <n v="1025.0"/>
        <n v="50.0"/>
        <n v="2599.4"/>
        <n v="1339.06"/>
        <n v="44.28"/>
        <n v="3364.87"/>
        <n v="4765.84"/>
        <n v="217.70999999999998"/>
        <n v="12743.005000000001"/>
        <n v="1937.0449999999998"/>
        <n v="1011.0600000000001"/>
        <n v="1159.2749999999999"/>
        <n v="602.495"/>
        <n v="6.5600000000000005"/>
        <n v="1112.07"/>
        <n v="198.28"/>
        <n v="4499.0"/>
        <n v="1453.45"/>
        <n v="8475.85"/>
        <n v="14539.52"/>
        <n v="0.0"/>
      </sharedItems>
    </cacheField>
    <cacheField name="COSTO TOTAL MXN" numFmtId="165">
      <sharedItems containsSemiMixedTypes="0" containsString="0" containsNumber="1">
        <n v="100.0"/>
        <n v="1025.0"/>
        <n v="400.0"/>
        <n v="18195.8"/>
        <n v="10712.48"/>
        <n v="88.56"/>
        <n v="3364.87"/>
        <n v="4765.84"/>
        <n v="217.70999999999998"/>
        <n v="12743.005000000001"/>
        <n v="3874.0899999999997"/>
        <n v="1011.0600000000001"/>
        <n v="1159.2749999999999"/>
        <n v="1204.99"/>
        <n v="328.0"/>
        <n v="1112.07"/>
        <n v="198.28"/>
        <n v="8998.0"/>
        <n v="2906.9"/>
        <n v="8475.85"/>
        <n v="116316.16"/>
        <n v="0.0"/>
      </sharedItems>
    </cacheField>
    <cacheField name="MARGEN $" numFmtId="165">
      <sharedItems containsSemiMixedTypes="0" containsString="0" containsNumber="1">
        <n v="25.0"/>
        <n v="439.28571428571445"/>
        <n v="44.44444444444446"/>
        <n v="2021.7555555555555"/>
        <n v="1190.275555555556"/>
        <n v="9.840000000000003"/>
        <n v="373.8744444444442"/>
        <n v="529.5377777777776"/>
        <n v="24.189999999999998"/>
        <n v="1904.1271839080455"/>
        <n v="712.1370114942529"/>
        <n v="578.8870114942524"/>
        <n v="151.07793103448273"/>
        <n v="173.2249999999999"/>
        <n v="180.05597701149418"/>
        <n v="49.01149425287355"/>
        <n v="166.17137931034472"/>
        <n v="29.62804597701148"/>
        <n v="1344.5287356321842"/>
        <n v="434.364367816092"/>
        <n v="1266.5063218390806"/>
        <n v="17380.5756321839"/>
        <n v="0.0"/>
      </sharedItems>
    </cacheField>
    <cacheField name="MARGEN %" numFmtId="9">
      <sharedItems containsSemiMixedTypes="0" containsString="0" containsNumber="1">
        <n v="0.2"/>
        <n v="0.3"/>
        <n v="0.1"/>
        <n v="0.13"/>
      </sharedItems>
    </cacheField>
    <cacheField name="FACTOR DE SEGURIDAD" numFmtId="9">
      <sharedItems containsSemiMixedTypes="0" containsString="0" containsNumber="1">
        <n v="0.2"/>
        <n v="0.0"/>
      </sharedItems>
    </cacheField>
    <cacheField name="INFLAR" numFmtId="9">
      <sharedItems containsSemiMixedTypes="0" containsString="0" containsNumber="1">
        <n v="0.0"/>
        <n v="0.04"/>
        <n v="0.23"/>
        <n v="0.05"/>
      </sharedItems>
    </cacheField>
    <cacheField name="PRECIO TOTAL MXN" numFmtId="164">
      <sharedItems containsSemiMixedTypes="0" containsString="0" containsNumber="1">
        <n v="156.25"/>
        <n v="1525.2976190476193"/>
        <n v="444.44444444444446"/>
        <n v="20217.555555555555"/>
        <n v="11902.755555555555"/>
        <n v="98.4"/>
        <n v="4855.512265512265"/>
        <n v="5295.377777777778"/>
        <n v="241.89999999999998"/>
        <n v="14647.132183908046"/>
        <n v="5477.977011494253"/>
        <n v="4452.977011494252"/>
        <n v="1162.1379310344828"/>
        <n v="1402.6315789473683"/>
        <n v="1385.0459770114942"/>
        <n v="377.01149425287355"/>
        <n v="1278.2413793103447"/>
        <n v="227.90804597701148"/>
        <n v="10342.528735632184"/>
        <n v="3341.264367816092"/>
        <n v="9742.356321839081"/>
        <n v="133696.7356321839"/>
        <n v="0.0"/>
      </sharedItems>
    </cacheField>
    <cacheField name="RECIBE INCREMENTO POR PRORRATEO" numFmtId="0">
      <sharedItems>
        <s v="NO"/>
        <s v="SI"/>
      </sharedItems>
    </cacheField>
    <cacheField name="PRECIO TOTAL PARA CÁLCULO DE PRORRATEO" numFmtId="164">
      <sharedItems containsSemiMixedTypes="0" containsString="0" containsNumber="1">
        <n v="0.0"/>
        <n v="1525.2976190476193"/>
        <n v="444.44444444444446"/>
        <n v="11902.755555555555"/>
        <n v="98.4"/>
        <n v="4855.512265512265"/>
        <n v="5295.377777777778"/>
        <n v="14647.132183908046"/>
        <n v="5477.977011494253"/>
        <n v="4452.977011494252"/>
        <n v="1162.1379310344828"/>
        <n v="1402.6315789473683"/>
        <n v="1385.0459770114942"/>
        <n v="377.01149425287355"/>
        <n v="1278.2413793103447"/>
        <n v="227.90804597701148"/>
        <n v="10342.528735632184"/>
        <n v="3341.264367816092"/>
        <n v="9742.356321839081"/>
      </sharedItems>
    </cacheField>
    <cacheField name="PRECIO TOTAL MXN UNITARIO AL CLIENTE" numFmtId="164">
      <sharedItems containsSemiMixedTypes="0" containsString="0" containsNumber="1">
        <n v="157.0"/>
        <n v="2074.0"/>
        <n v="605.0"/>
        <n v="2888.285714285714"/>
        <n v="2023.0"/>
        <n v="67.0"/>
        <n v="6602.0"/>
        <n v="7200.0"/>
        <n v="242.0"/>
        <n v="19915.0"/>
        <n v="7449.0"/>
        <n v="3027.5"/>
        <n v="1581.0"/>
        <n v="1908.0"/>
        <n v="942.0"/>
        <n v="10.26"/>
        <n v="1738.0"/>
        <n v="310.0"/>
        <n v="7031.5"/>
        <n v="2271.5"/>
        <n v="13247.0"/>
        <n v="133697.0"/>
        <n v="0.0"/>
      </sharedItems>
    </cacheField>
    <cacheField name="PRECIO TOTAL MXN AL CLIENTE" numFmtId="164">
      <sharedItems containsSemiMixedTypes="0" containsString="0" containsNumber="1" containsInteger="1">
        <n v="157.0"/>
        <n v="2074.0"/>
        <n v="605.0"/>
        <n v="20218.0"/>
        <n v="16184.0"/>
        <n v="134.0"/>
        <n v="6602.0"/>
        <n v="7200.0"/>
        <n v="242.0"/>
        <n v="19915.0"/>
        <n v="7449.0"/>
        <n v="6055.0"/>
        <n v="1581.0"/>
        <n v="1908.0"/>
        <n v="1884.0"/>
        <n v="513.0"/>
        <n v="1738.0"/>
        <n v="310.0"/>
        <n v="14063.0"/>
        <n v="4543.0"/>
        <n v="13247.0"/>
        <n v="133697.0"/>
        <n v="0.0"/>
      </sharedItems>
    </cacheField>
    <cacheField name="OBSERVACIONES" numFmtId="0">
      <sharedItems containsString="0" containsBlank="1">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R 100" cacheId="0" dataCaption="" compact="0" compactData="0">
  <location ref="A13:D36" firstHeaderRow="0" firstDataRow="2" firstDataCol="0" rowPageCount="1" colPageCount="1"/>
  <pivotFields>
    <pivotField name="TIPO" axis="axisPage" compact="0" outline="0" multipleItemSelectionAllowed="1" showAll="0">
      <items>
        <item x="0"/>
        <item h="1" x="1"/>
        <item t="default"/>
      </items>
    </pivotField>
    <pivotField name="ITEM"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SKU" compact="0" outline="0" multipleItemSelectionAllowed="1" showAll="0">
      <items>
        <item x="0"/>
        <item x="1"/>
        <item t="default"/>
      </items>
    </pivotField>
    <pivotField name="DESCRIPCIÓN" axis="axisRow" compact="0" outline="0" multipleItemSelectionAllowed="1" showAll="0" sortType="ascending">
      <items>
        <item x="22"/>
        <item x="19"/>
        <item x="3"/>
        <item x="12"/>
        <item x="11"/>
        <item x="5"/>
        <item x="17"/>
        <item x="4"/>
        <item x="10"/>
        <item x="0"/>
        <item x="1"/>
        <item x="16"/>
        <item x="13"/>
        <item x="14"/>
        <item x="2"/>
        <item x="21"/>
        <item x="20"/>
        <item x="7"/>
        <item x="8"/>
        <item x="18"/>
        <item x="9"/>
        <item x="15"/>
        <item x="24"/>
        <item x="23"/>
        <item x="6"/>
        <item t="default"/>
      </items>
    </pivotField>
    <pivotField name="CANTIDAD / PERSONAL REQUERIDO" dataField="1" compact="0" outline="0" multipleItemSelectionAllowed="1" showAll="0">
      <items>
        <item x="0"/>
        <item x="1"/>
        <item x="2"/>
        <item x="3"/>
        <item x="4"/>
        <item x="5"/>
        <item x="6"/>
        <item x="7"/>
        <item t="default"/>
      </items>
    </pivotField>
    <pivotField name="UNIDAD" compact="0" outline="0" multipleItemSelectionAllowed="1" showAll="0">
      <items>
        <item x="0"/>
        <item t="default"/>
      </items>
    </pivotField>
    <pivotField name="TIEMPO &#10;ESTIMADO" compact="0" outline="0" multipleItemSelectionAllowed="1" showAll="0">
      <items>
        <item x="0"/>
        <item x="1"/>
        <item t="default"/>
      </items>
    </pivotField>
    <pivotField name="COSTO&#10;UNITARIO" compact="0" numFmtId="167"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MONEDA" compact="0" outline="0" multipleItemSelectionAllowed="1" showAll="0">
      <items>
        <item x="0"/>
        <item x="1"/>
        <item t="default"/>
      </items>
    </pivotField>
    <pivotField name="COSTO&#10;UNITARIO MXN" compact="0" numFmtId="164"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COSTO TOTAL MXN" compact="0" numFmtId="165"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MARGEN $" compact="0" numFmtId="165"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MARGEN %" compact="0" numFmtId="9" outline="0" multipleItemSelectionAllowed="1" showAll="0">
      <items>
        <item x="0"/>
        <item x="1"/>
        <item x="2"/>
        <item x="3"/>
        <item t="default"/>
      </items>
    </pivotField>
    <pivotField name="FACTOR DE SEGURIDAD" compact="0" numFmtId="9" outline="0" multipleItemSelectionAllowed="1" showAll="0">
      <items>
        <item x="0"/>
        <item x="1"/>
        <item t="default"/>
      </items>
    </pivotField>
    <pivotField name="INFLAR" compact="0" numFmtId="9" outline="0" multipleItemSelectionAllowed="1" showAll="0">
      <items>
        <item x="0"/>
        <item x="1"/>
        <item x="2"/>
        <item x="3"/>
        <item t="default"/>
      </items>
    </pivotField>
    <pivotField name="PRECIO TOTAL MXN" compact="0" numFmtId="164"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RECIBE INCREMENTO POR PRORRATEO" compact="0" outline="0" multipleItemSelectionAllowed="1" showAll="0">
      <items>
        <item x="0"/>
        <item x="1"/>
        <item t="default"/>
      </items>
    </pivotField>
    <pivotField name="PRECIO TOTAL PARA CÁLCULO DE PRORRATEO" compact="0" numFmtId="164" outline="0" multipleItemSelectionAllowed="1" showAll="0">
      <items>
        <item x="0"/>
        <item x="1"/>
        <item x="2"/>
        <item x="3"/>
        <item x="4"/>
        <item x="5"/>
        <item x="6"/>
        <item x="7"/>
        <item x="8"/>
        <item x="9"/>
        <item x="10"/>
        <item x="11"/>
        <item x="12"/>
        <item x="13"/>
        <item x="14"/>
        <item x="15"/>
        <item x="16"/>
        <item x="17"/>
        <item x="18"/>
        <item t="default"/>
      </items>
    </pivotField>
    <pivotField name="PRECIO TOTAL MXN UNITARIO AL CLIENTE"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PRECIO TOTAL MXN AL CLIENTE"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OBSERVACIONES" compact="0" outline="0" multipleItemSelectionAllowed="1" showAll="0">
      <items>
        <item x="0"/>
        <item t="default"/>
      </items>
    </pivotField>
  </pivotFields>
  <rowFields>
    <field x="3"/>
  </rowFields>
  <colFields>
    <field x="-2"/>
  </colFields>
  <pageFields>
    <pageField fld="0"/>
  </pageFields>
  <dataFields>
    <dataField name="SUM of CANTIDAD / PERSONAL REQUERIDO" fld="4" baseField="0"/>
    <dataField name="SUM of PRECIO TOTAL MXN UNITARIO AL CLIENTE" fld="18" baseField="0"/>
    <dataField name="SUM of PRECIO TOTAL MXN AL CLIENTE" fld="19" baseField="0"/>
  </dataFields>
</pivotTableDefinition>
</file>

<file path=xl/pivotTables/pivotTable2.xml><?xml version="1.0" encoding="utf-8"?>
<pivotTableDefinition xmlns="http://schemas.openxmlformats.org/spreadsheetml/2006/main" name="CONTROL 100" cacheId="0" dataCaption="" compact="0" compactData="0">
  <location ref="B13:E39" firstHeaderRow="0" firstDataRow="2" firstDataCol="0"/>
  <pivotFields>
    <pivotField name="TIPO" compact="0" outline="0" multipleItemSelectionAllowed="1" showAll="0">
      <items>
        <item x="0"/>
        <item x="1"/>
        <item t="default"/>
      </items>
    </pivotField>
    <pivotField name="ITEM"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SKU" compact="0" outline="0" multipleItemSelectionAllowed="1" showAll="0">
      <items>
        <item x="0"/>
        <item x="1"/>
        <item t="default"/>
      </items>
    </pivotField>
    <pivotField name="DESCRIPCIÓN" axis="axisRow" compact="0" outline="0" multipleItemSelectionAllowed="1" showAll="0" sortType="ascending">
      <items>
        <item x="22"/>
        <item x="19"/>
        <item x="3"/>
        <item x="12"/>
        <item x="11"/>
        <item x="5"/>
        <item x="17"/>
        <item x="4"/>
        <item x="10"/>
        <item x="0"/>
        <item x="1"/>
        <item x="16"/>
        <item x="13"/>
        <item x="14"/>
        <item x="2"/>
        <item x="21"/>
        <item x="20"/>
        <item x="7"/>
        <item x="8"/>
        <item x="18"/>
        <item x="9"/>
        <item x="15"/>
        <item x="24"/>
        <item x="23"/>
        <item x="6"/>
        <item t="default"/>
      </items>
    </pivotField>
    <pivotField name="CANTIDAD / PERSONAL REQUERIDO" dataField="1" compact="0" outline="0" multipleItemSelectionAllowed="1" showAll="0">
      <items>
        <item x="0"/>
        <item x="1"/>
        <item x="2"/>
        <item x="3"/>
        <item x="4"/>
        <item x="5"/>
        <item x="6"/>
        <item x="7"/>
        <item t="default"/>
      </items>
    </pivotField>
    <pivotField name="UNIDAD" compact="0" outline="0" multipleItemSelectionAllowed="1" showAll="0">
      <items>
        <item x="0"/>
        <item t="default"/>
      </items>
    </pivotField>
    <pivotField name="TIEMPO &#10;ESTIMADO" compact="0" outline="0" multipleItemSelectionAllowed="1" showAll="0">
      <items>
        <item x="0"/>
        <item x="1"/>
        <item t="default"/>
      </items>
    </pivotField>
    <pivotField name="COSTO&#10;UNITARIO" compact="0" numFmtId="167"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MONEDA" compact="0" outline="0" multipleItemSelectionAllowed="1" showAll="0">
      <items>
        <item x="0"/>
        <item x="1"/>
        <item t="default"/>
      </items>
    </pivotField>
    <pivotField name="COSTO&#10;UNITARIO MXN" compact="0" numFmtId="164"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COSTO TOTAL MXN" compact="0" numFmtId="165"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MARGEN $" compact="0" numFmtId="165"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MARGEN %" compact="0" numFmtId="9" outline="0" multipleItemSelectionAllowed="1" showAll="0">
      <items>
        <item x="0"/>
        <item x="1"/>
        <item x="2"/>
        <item x="3"/>
        <item t="default"/>
      </items>
    </pivotField>
    <pivotField name="FACTOR DE SEGURIDAD" compact="0" numFmtId="9" outline="0" multipleItemSelectionAllowed="1" showAll="0">
      <items>
        <item x="0"/>
        <item x="1"/>
        <item t="default"/>
      </items>
    </pivotField>
    <pivotField name="INFLAR" compact="0" numFmtId="9" outline="0" multipleItemSelectionAllowed="1" showAll="0">
      <items>
        <item x="0"/>
        <item x="1"/>
        <item x="2"/>
        <item x="3"/>
        <item t="default"/>
      </items>
    </pivotField>
    <pivotField name="PRECIO TOTAL MXN" compact="0" numFmtId="164"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RECIBE INCREMENTO POR PRORRATEO" compact="0" outline="0" multipleItemSelectionAllowed="1" showAll="0">
      <items>
        <item x="0"/>
        <item x="1"/>
        <item t="default"/>
      </items>
    </pivotField>
    <pivotField name="PRECIO TOTAL PARA CÁLCULO DE PRORRATEO" compact="0" numFmtId="164" outline="0" multipleItemSelectionAllowed="1" showAll="0">
      <items>
        <item x="0"/>
        <item x="1"/>
        <item x="2"/>
        <item x="3"/>
        <item x="4"/>
        <item x="5"/>
        <item x="6"/>
        <item x="7"/>
        <item x="8"/>
        <item x="9"/>
        <item x="10"/>
        <item x="11"/>
        <item x="12"/>
        <item x="13"/>
        <item x="14"/>
        <item x="15"/>
        <item x="16"/>
        <item x="17"/>
        <item x="18"/>
        <item t="default"/>
      </items>
    </pivotField>
    <pivotField name="PRECIO TOTAL MXN UNITARIO AL CLIENTE"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PRECIO TOTAL MXN AL CLIENTE"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OBSERVACIONES" compact="0" outline="0" multipleItemSelectionAllowed="1" showAll="0">
      <items>
        <item x="0"/>
        <item t="default"/>
      </items>
    </pivotField>
  </pivotFields>
  <rowFields>
    <field x="3"/>
  </rowFields>
  <colFields>
    <field x="-2"/>
  </colFields>
  <dataFields>
    <dataField name="SUM of CANTIDAD / PERSONAL REQUERIDO" fld="4" baseField="0"/>
    <dataField name="SUM of PRECIO TOTAL MXN UNITARIO AL CLIENTE" fld="18" baseField="0"/>
    <dataField name="SUM of PRECIO TOTAL MXN AL CLIENTE" fld="19"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3_Col_1" sourceName="TIPO">
  <x14:extLst>
    <ext uri="{2F2917AC-EB37-4324-AD4E-5DD8C200BD13}">
      <x15:tableSlicerCache tableId="3"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TIPO_1" cache="SlicerCache_Table_3_Col_1" caption="TIPO"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TIPO_2" cache="SlicerCache_Table_3_Col_1" caption="TIPO" rowHeight="247650"/>
</x14:slicers>
</file>

<file path=xl/tables/table1.xml><?xml version="1.0" encoding="utf-8"?>
<table xmlns="http://schemas.openxmlformats.org/spreadsheetml/2006/main" ref="AH12:AU112" displayName="Table_1" id="1">
  <tableColumns count="14">
    <tableColumn name="ENVÍO GNA A CLIENTE" id="1"/>
    <tableColumn name="PAQUETERIA" id="2"/>
    <tableColumn name="COSTO" id="3"/>
    <tableColumn name="MARGEN $" id="4"/>
    <tableColumn name="MARGEN %" id="5"/>
    <tableColumn name="FACTOR DE SEGURIDAD" id="6"/>
    <tableColumn name="INFLAR" id="7"/>
    <tableColumn name="PRECIO TOTAL MXN" id="8"/>
    <tableColumn name="OCULTO" id="9"/>
    <tableColumn name="RECIBE INCREMENTO POR PRORRATEO?" id="10"/>
    <tableColumn name="VALORES QUE VERÁ EL CLIENTE" id="11"/>
    <tableColumn name="PRECIO TOTAL PARA CÁLCULO DE PRORRATEO" id="12"/>
    <tableColumn name="PRECIO TOTAL MXN AL CLIENTE" id="13"/>
    <tableColumn name="OBSERVACIONES" id="14"/>
  </tableColumns>
  <tableStyleInfo name="VEA CLIENTE-style" showColumnStripes="0" showFirstColumn="1" showLastColumn="1" showRowStripes="1"/>
</table>
</file>

<file path=xl/tables/table2.xml><?xml version="1.0" encoding="utf-8"?>
<table xmlns="http://schemas.openxmlformats.org/spreadsheetml/2006/main" ref="W12:AF112" displayName="Table_2" id="2">
  <tableColumns count="10">
    <tableColumn name="ITEM" id="1"/>
    <tableColumn name="ENVÍO DE PROVEEDOR A GNA" id="2"/>
    <tableColumn name="PAQUETERIA" id="3"/>
    <tableColumn name="COSTO" id="4"/>
    <tableColumn name="MARGEN $" id="5"/>
    <tableColumn name="MARGEN %" id="6"/>
    <tableColumn name="FACTOR DE SEGURIDAD" id="7"/>
    <tableColumn name="INFLAR" id="8"/>
    <tableColumn name="PRECIO TOTAL MXN" id="9"/>
    <tableColumn name="OBSERVACIONES" id="10"/>
  </tableColumns>
  <tableStyleInfo name="VEA CLIENTE-style 2" showColumnStripes="0" showFirstColumn="1" showLastColumn="1" showRowStripes="1"/>
</table>
</file>

<file path=xl/tables/table3.xml><?xml version="1.0" encoding="utf-8"?>
<table xmlns="http://schemas.openxmlformats.org/spreadsheetml/2006/main" ref="A12:U112" displayName="Table_3" id="3">
  <autoFilter ref="$A$12:$U$112">
    <filterColumn colId="0">
      <filters>
        <filter val="PRODUCTO"/>
      </filters>
    </filterColumn>
  </autoFilter>
  <tableColumns count="21">
    <tableColumn name="TIPO" id="1"/>
    <tableColumn name="ITEM" id="2"/>
    <tableColumn name="SKU" id="3"/>
    <tableColumn name="DESCRIPCIÓN" id="4"/>
    <tableColumn name="CANTIDAD / PERSONAL REQUERIDO" id="5"/>
    <tableColumn name="UNIDAD" id="6"/>
    <tableColumn name="TIEMPO _x000a_ESTIMADO" id="7"/>
    <tableColumn name="COSTO_x000a_UNITARIO" id="8"/>
    <tableColumn name="MONEDA" id="9"/>
    <tableColumn name="COSTO_x000a_UNITARIO MXN" id="10"/>
    <tableColumn name="COSTO TOTAL MXN" id="11"/>
    <tableColumn name="MARGEN $" id="12"/>
    <tableColumn name="MARGEN %" id="13"/>
    <tableColumn name="FACTOR DE SEGURIDAD" id="14"/>
    <tableColumn name="INFLAR" id="15"/>
    <tableColumn name="PRECIO TOTAL MXN" id="16"/>
    <tableColumn name="RECIBE INCREMENTO POR PRORRATEO" id="17"/>
    <tableColumn name="PRECIO TOTAL PARA CÁLCULO DE PRORRATEO" id="18"/>
    <tableColumn name="PRECIO TOTAL MXN UNITARIO AL CLIENTE" id="19"/>
    <tableColumn name="PRECIO TOTAL MXN AL CLIENTE" id="20"/>
    <tableColumn name="OBSERVACIONES" id="21"/>
  </tableColumns>
  <tableStyleInfo name="VEA CLIENTE-style 3" showColumnStripes="0" showFirstColumn="1" showLastColumn="1" showRowStripes="1"/>
</table>
</file>

<file path=xl/tables/table4.xml><?xml version="1.0" encoding="utf-8"?>
<table xmlns="http://schemas.openxmlformats.org/spreadsheetml/2006/main" ref="AD12:AL112" displayName="Table_4" id="4">
  <tableColumns count="9">
    <tableColumn name="ENVÍO GNA A CLIENTE" id="1"/>
    <tableColumn name="PAQUETERIA" id="2"/>
    <tableColumn name="COSTO" id="3"/>
    <tableColumn name="MARGEN $" id="4"/>
    <tableColumn name="MARGEN %" id="5"/>
    <tableColumn name="FACTOR DE SEGURIDAD" id="6"/>
    <tableColumn name="INFLAR" id="7"/>
    <tableColumn name="PRECIO TOTAL MXN" id="8"/>
    <tableColumn name="OBSERVACIONES" id="9"/>
  </tableColumns>
  <tableStyleInfo name="NO VEA CLIENTE-style" showColumnStripes="0" showFirstColumn="1" showLastColumn="1" showRowStripes="1"/>
</table>
</file>

<file path=xl/tables/table5.xml><?xml version="1.0" encoding="utf-8"?>
<table xmlns="http://schemas.openxmlformats.org/spreadsheetml/2006/main" ref="A12:Q112" displayName="Table_5" id="5">
  <tableColumns count="17">
    <tableColumn name="TIPO" id="1"/>
    <tableColumn name="ITEM" id="2"/>
    <tableColumn name="SKU" id="3"/>
    <tableColumn name="DESCRIPCIÓN" id="4"/>
    <tableColumn name="CANTIDAD / PERSONAL REQUERIDO" id="5"/>
    <tableColumn name="UNIDAD" id="6"/>
    <tableColumn name="TIEMPO _x000a_ESTIMADO" id="7"/>
    <tableColumn name="COSTO_x000a_UNITARIO" id="8"/>
    <tableColumn name="MONEDA" id="9"/>
    <tableColumn name="COSTO_x000a_UNITARIO MXN" id="10"/>
    <tableColumn name="COSTO TOTAL MXN" id="11"/>
    <tableColumn name="MARGEN $" id="12"/>
    <tableColumn name="MARGEN %" id="13"/>
    <tableColumn name="FACTOR DE SEGURIDAD" id="14"/>
    <tableColumn name="INFLAR" id="15"/>
    <tableColumn name="PRECIO TOTAL MXN" id="16"/>
    <tableColumn name="OBSERVACIONES" id="17"/>
  </tableColumns>
  <tableStyleInfo name="NO VEA CLIENTE-style 2" showColumnStripes="0" showFirstColumn="1" showLastColumn="1" showRowStripes="1"/>
</table>
</file>

<file path=xl/tables/table6.xml><?xml version="1.0" encoding="utf-8"?>
<table xmlns="http://schemas.openxmlformats.org/spreadsheetml/2006/main" ref="S12:AB112" displayName="Table_6" id="6">
  <tableColumns count="10">
    <tableColumn name="ITEM" id="1"/>
    <tableColumn name="ENVÍO DE PROVEEDOR A GNA" id="2"/>
    <tableColumn name="PAQUETERIA" id="3"/>
    <tableColumn name="COSTO" id="4"/>
    <tableColumn name="MARGEN $" id="5"/>
    <tableColumn name="MARGEN %" id="6"/>
    <tableColumn name="FACTOR DE SEGURIDAD" id="7"/>
    <tableColumn name="INFLAR" id="8"/>
    <tableColumn name="PRECIO TOTAL MXN" id="9"/>
    <tableColumn name="OBSERVACIONES" id="10"/>
  </tableColumns>
  <tableStyleInfo name="NO VEA CLIENTE-style 3" showColumnStripes="0" showFirstColumn="1" showLastColumn="1" showRowStripes="1"/>
</table>
</file>

<file path=xl/tables/table7.xml><?xml version="1.0" encoding="utf-8"?>
<table xmlns="http://schemas.openxmlformats.org/spreadsheetml/2006/main" ref="A1:U2" displayName="Table_7" id="7">
  <tableColumns count="21">
    <tableColumn name="TIPO" id="1"/>
    <tableColumn name="ITEM" id="2"/>
    <tableColumn name="SKU" id="3"/>
    <tableColumn name="DESCRIPCIÓN" id="4"/>
    <tableColumn name="CANTIDAD / PERSONAL REQUERIDO" id="5"/>
    <tableColumn name="UNIDAD" id="6"/>
    <tableColumn name="TIEMPO _x000a_ESTIMADO" id="7"/>
    <tableColumn name="COSTO_x000a_UNITARIO" id="8"/>
    <tableColumn name="MONEDA" id="9"/>
    <tableColumn name="COSTO_x000a_UNITARIO MXN" id="10"/>
    <tableColumn name="COSTO TOTAL MXN" id="11"/>
    <tableColumn name="MARGEN $" id="12"/>
    <tableColumn name="MARGEN %" id="13"/>
    <tableColumn name="FACTOR DE SEGURIDAD" id="14"/>
    <tableColumn name="INFLAR" id="15"/>
    <tableColumn name="PRECIO TOTAL MXN" id="16"/>
    <tableColumn name="RECIBE INCREMENTO POR PRORRATEO" id="17"/>
    <tableColumn name="PRECIO TOTAL PARA CÁLCULO DE PRORRATEO" id="18"/>
    <tableColumn name="PRECIO TOTAL MXN UNITARIO AL CLIENTE" id="19"/>
    <tableColumn name="PRECIO TOTAL MXN AL CLIENTE" id="20"/>
    <tableColumn name="OBSERVACIONES" id="21"/>
  </tableColumns>
  <tableStyleInfo name="Detail2-ESCOBA TCEP PERICO P-14-style" showColumnStripes="0" showFirstColumn="1" showLastColumn="1" showRowStripes="1"/>
</table>
</file>

<file path=xl/tables/table8.xml><?xml version="1.0" encoding="utf-8"?>
<table xmlns="http://schemas.openxmlformats.org/spreadsheetml/2006/main" ref="A1:U2" displayName="Table_8" id="8">
  <tableColumns count="21">
    <tableColumn name="TIPO" id="1"/>
    <tableColumn name="ITEM" id="2"/>
    <tableColumn name="SKU" id="3"/>
    <tableColumn name="DESCRIPCIÓN" id="4"/>
    <tableColumn name="CANTIDAD / PERSONAL REQUERIDO" id="5"/>
    <tableColumn name="UNIDAD" id="6"/>
    <tableColumn name="TIEMPO _x000a_ESTIMADO" id="7"/>
    <tableColumn name="COSTO_x000a_UNITARIO" id="8"/>
    <tableColumn name="MONEDA" id="9"/>
    <tableColumn name="COSTO_x000a_UNITARIO MXN" id="10"/>
    <tableColumn name="COSTO TOTAL MXN" id="11"/>
    <tableColumn name="MARGEN $" id="12"/>
    <tableColumn name="MARGEN %" id="13"/>
    <tableColumn name="FACTOR DE SEGURIDAD" id="14"/>
    <tableColumn name="INFLAR" id="15"/>
    <tableColumn name="PRECIO TOTAL MXN" id="16"/>
    <tableColumn name="RECIBE INCREMENTO POR PRORRATEO" id="17"/>
    <tableColumn name="PRECIO TOTAL PARA CÁLCULO DE PRORRATEO" id="18"/>
    <tableColumn name="PRECIO TOTAL MXN UNITARIO AL CLIENTE" id="19"/>
    <tableColumn name="PRECIO TOTAL MXN AL CLIENTE" id="20"/>
    <tableColumn name="OBSERVACIONES" id="21"/>
  </tableColumns>
  <tableStyleInfo name="Detail1-CUBETA DE PLASTICO AZUL-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5" Type="http://schemas.openxmlformats.org/officeDocument/2006/relationships/table" Target="../tables/table4.xml"/><Relationship Id="rId6" Type="http://schemas.openxmlformats.org/officeDocument/2006/relationships/table" Target="../tables/table5.xml"/><Relationship Id="rId7" Type="http://schemas.openxmlformats.org/officeDocument/2006/relationships/table" Target="../tables/table6.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hyperlink" Target="mailto:AAAA@GMAIL.COM" TargetMode="External"/><Relationship Id="rId3" Type="http://schemas.openxmlformats.org/officeDocument/2006/relationships/hyperlink" Target="mailto:bbb@gmail.com" TargetMode="External"/><Relationship Id="rId4" Type="http://schemas.openxmlformats.org/officeDocument/2006/relationships/drawing" Target="../drawings/drawing3.xml"/><Relationship Id="rId5"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7.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8.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6.xml"/><Relationship Id="rId3" Type="http://schemas.microsoft.com/office/2007/relationships/slicer" Target="../slicers/slicer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63"/>
    <col customWidth="1" min="2" max="2" width="8.0"/>
    <col customWidth="1" min="3" max="3" width="12.88"/>
    <col customWidth="1" min="4" max="4" width="48.5"/>
    <col customWidth="1" min="5" max="5" width="30.5"/>
    <col customWidth="1" min="6" max="6" width="14.88"/>
    <col customWidth="1" min="7" max="9" width="10.25"/>
    <col customWidth="1" min="10" max="10" width="17.0"/>
    <col customWidth="1" min="11" max="11" width="17.5"/>
    <col customWidth="1" min="12" max="12" width="10.88"/>
    <col customWidth="1" min="13" max="13" width="20.75"/>
    <col customWidth="1" min="14" max="14" width="10.25"/>
    <col customWidth="1" min="15" max="15" width="21.25"/>
    <col customWidth="1" min="16" max="16" width="38.88"/>
    <col customWidth="1" min="17" max="17" width="37.63"/>
    <col customWidth="1" min="18" max="18" width="26.5"/>
    <col customWidth="1" min="19" max="19" width="28.13"/>
    <col customWidth="1" min="20" max="20" width="44.5"/>
    <col customWidth="1" min="21" max="21" width="28.63"/>
    <col customWidth="1" min="22" max="22" width="13.88"/>
    <col customWidth="1" min="23" max="23" width="26.88"/>
    <col customWidth="1" min="24" max="24" width="11.38"/>
    <col customWidth="1" min="25" max="25" width="10.75"/>
    <col customWidth="1" min="26" max="26" width="33.88"/>
    <col customWidth="1" min="27" max="27" width="38.0"/>
    <col customWidth="1" min="28" max="28" width="10.25"/>
    <col customWidth="1" min="29" max="29" width="19.0"/>
    <col customWidth="1" min="30" max="30" width="46.13"/>
    <col customWidth="1" min="31" max="31" width="15.0"/>
    <col customWidth="1" min="32" max="32" width="39.38"/>
    <col customWidth="1" min="33" max="33" width="11.38"/>
    <col customWidth="1" min="34" max="34" width="14.13"/>
    <col customWidth="1" min="35" max="35" width="10.25"/>
    <col customWidth="1" min="36" max="36" width="19.13"/>
    <col customWidth="1" min="37" max="37" width="19.63"/>
    <col customWidth="1" min="38" max="38" width="19.0"/>
    <col customWidth="1" min="39" max="39" width="11.75"/>
    <col customWidth="1" min="40" max="40" width="35.63"/>
    <col customWidth="1" min="41" max="41" width="24.0"/>
    <col customWidth="1" min="42" max="42" width="41.5"/>
    <col customWidth="1" min="43" max="43" width="28.75"/>
    <col customWidth="1" min="44" max="44" width="50.0"/>
    <col customWidth="1" min="45" max="45" width="18.63"/>
    <col customWidth="1" min="46" max="46" width="22.75"/>
    <col customWidth="1" min="47" max="47" width="27.13"/>
    <col customWidth="1" min="48" max="48" width="10.25"/>
  </cols>
  <sheetData>
    <row r="1">
      <c r="A1" s="1" t="s">
        <v>0</v>
      </c>
      <c r="B1" s="2"/>
      <c r="C1" s="2"/>
      <c r="D1" s="3"/>
      <c r="E1" s="2"/>
      <c r="F1" s="3"/>
      <c r="G1" s="3"/>
      <c r="H1" s="3"/>
      <c r="I1" s="4" t="s">
        <v>1</v>
      </c>
      <c r="J1" s="2"/>
      <c r="K1" s="2"/>
      <c r="L1" s="2"/>
      <c r="M1" s="1" t="s">
        <v>2</v>
      </c>
      <c r="N1" s="5" t="s">
        <v>3</v>
      </c>
      <c r="O1" s="5" t="s">
        <v>4</v>
      </c>
      <c r="P1" s="2"/>
      <c r="Q1" s="5" t="s">
        <v>5</v>
      </c>
      <c r="R1" s="5"/>
      <c r="S1" s="5" t="s">
        <v>6</v>
      </c>
      <c r="T1" s="2"/>
      <c r="U1" s="2"/>
      <c r="V1" s="2"/>
      <c r="W1" s="2"/>
      <c r="X1" s="2"/>
      <c r="Y1" s="2"/>
      <c r="Z1" s="2"/>
      <c r="AA1" s="2"/>
      <c r="AB1" s="4" t="s">
        <v>2</v>
      </c>
      <c r="AC1" s="5" t="s">
        <v>3</v>
      </c>
      <c r="AD1" s="5" t="s">
        <v>4</v>
      </c>
      <c r="AE1" s="2"/>
      <c r="AF1" s="2"/>
      <c r="AG1" s="2"/>
      <c r="AH1" s="2"/>
      <c r="AI1" s="2"/>
      <c r="AJ1" s="2"/>
      <c r="AK1" s="2"/>
      <c r="AL1" s="4" t="s">
        <v>2</v>
      </c>
      <c r="AM1" s="5" t="s">
        <v>3</v>
      </c>
      <c r="AN1" s="5" t="s">
        <v>4</v>
      </c>
      <c r="AO1" s="3"/>
      <c r="AP1" s="6" t="s">
        <v>7</v>
      </c>
      <c r="AQ1" s="6" t="s">
        <v>8</v>
      </c>
      <c r="AR1" s="2"/>
      <c r="AS1" s="2"/>
      <c r="AT1" s="2"/>
      <c r="AU1" s="2"/>
      <c r="AV1" s="2"/>
    </row>
    <row r="2">
      <c r="A2" s="7" t="s">
        <v>9</v>
      </c>
      <c r="B2" s="2"/>
      <c r="C2" s="2"/>
      <c r="D2" s="8"/>
      <c r="E2" s="2"/>
      <c r="F2" s="8"/>
      <c r="G2" s="8"/>
      <c r="H2" s="8"/>
      <c r="I2" s="9">
        <v>20.5</v>
      </c>
      <c r="J2" s="2"/>
      <c r="K2" s="2"/>
      <c r="L2" s="2"/>
      <c r="M2" s="10">
        <v>0.13</v>
      </c>
      <c r="N2" s="11">
        <v>0.0</v>
      </c>
      <c r="O2" s="11">
        <v>0.0</v>
      </c>
      <c r="P2" s="2"/>
      <c r="Q2" s="12">
        <f>SUM('VEA CLIENTE'!$R$13:$R$112)+IF(COUNTIFS('VEA CLIENTE'!$AS$13:$AS$112,"ERROR")=0,SUM('VEA CLIENTE'!$AS$13:$AS$112),"error")</f>
        <v>78131.41349</v>
      </c>
      <c r="R2" s="13"/>
      <c r="S2" s="12">
        <f>'NO VEA CLIENTE'!O119</f>
        <v>28099.82083</v>
      </c>
      <c r="T2" s="2"/>
      <c r="U2" s="2"/>
      <c r="V2" s="14"/>
      <c r="W2" s="15"/>
      <c r="X2" s="2"/>
      <c r="Y2" s="2"/>
      <c r="Z2" s="2"/>
      <c r="AA2" s="2"/>
      <c r="AB2" s="11">
        <v>0.13</v>
      </c>
      <c r="AC2" s="11">
        <v>0.0</v>
      </c>
      <c r="AD2" s="11">
        <v>0.0</v>
      </c>
      <c r="AE2" s="2"/>
      <c r="AF2" s="2"/>
      <c r="AG2" s="2"/>
      <c r="AH2" s="2"/>
      <c r="AI2" s="2"/>
      <c r="AJ2" s="2"/>
      <c r="AK2" s="2"/>
      <c r="AL2" s="11">
        <v>0.13</v>
      </c>
      <c r="AM2" s="11">
        <v>0.0</v>
      </c>
      <c r="AN2" s="11">
        <v>0.0</v>
      </c>
      <c r="AO2" s="16"/>
      <c r="AP2" s="17" t="s">
        <v>10</v>
      </c>
      <c r="AQ2" s="17" t="s">
        <v>10</v>
      </c>
      <c r="AR2" s="2"/>
      <c r="AS2" s="2"/>
      <c r="AT2" s="2"/>
      <c r="AU2" s="2"/>
      <c r="AV2" s="2"/>
    </row>
    <row r="3">
      <c r="A3" s="7" t="s">
        <v>11</v>
      </c>
      <c r="B3" s="8"/>
      <c r="C3" s="2"/>
      <c r="D3" s="8"/>
      <c r="E3" s="2"/>
      <c r="F3" s="1" t="s">
        <v>12</v>
      </c>
      <c r="G3" s="8"/>
      <c r="H3" s="8"/>
      <c r="I3" s="2"/>
      <c r="J3" s="2"/>
      <c r="K3" s="2"/>
      <c r="L3" s="2"/>
      <c r="M3" s="2"/>
      <c r="N3" s="2"/>
      <c r="O3" s="2"/>
      <c r="P3" s="2"/>
      <c r="Q3" s="18"/>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row>
    <row r="4">
      <c r="A4" s="7" t="s">
        <v>13</v>
      </c>
      <c r="B4" s="8"/>
      <c r="C4" s="2"/>
      <c r="D4" s="8"/>
      <c r="E4" s="2"/>
      <c r="F4" s="19" t="s">
        <v>14</v>
      </c>
      <c r="G4" s="8"/>
      <c r="H4" s="8"/>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row>
    <row r="5">
      <c r="A5" s="20" t="s">
        <v>15</v>
      </c>
      <c r="B5" s="8"/>
      <c r="C5" s="2"/>
      <c r="D5" s="8"/>
      <c r="E5" s="21"/>
      <c r="F5" s="19" t="s">
        <v>16</v>
      </c>
      <c r="G5" s="8"/>
      <c r="H5" s="8"/>
      <c r="I5" s="1" t="s">
        <v>17</v>
      </c>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row>
    <row r="6">
      <c r="A6" s="20" t="s">
        <v>18</v>
      </c>
      <c r="B6" s="8"/>
      <c r="C6" s="2"/>
      <c r="D6" s="8"/>
      <c r="E6" s="2"/>
      <c r="F6" s="19" t="s">
        <v>19</v>
      </c>
      <c r="G6" s="8"/>
      <c r="H6" s="8"/>
      <c r="I6" s="19" t="s">
        <v>20</v>
      </c>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row>
    <row r="7">
      <c r="A7" s="20"/>
      <c r="B7" s="8"/>
      <c r="C7" s="2"/>
      <c r="D7" s="8"/>
      <c r="E7" s="2"/>
      <c r="F7" s="19" t="s">
        <v>21</v>
      </c>
      <c r="G7" s="8"/>
      <c r="H7" s="8"/>
      <c r="I7" s="19" t="s">
        <v>22</v>
      </c>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row>
    <row r="8">
      <c r="A8" s="8"/>
      <c r="B8" s="8"/>
      <c r="C8" s="2"/>
      <c r="D8" s="8"/>
      <c r="E8" s="2"/>
      <c r="F8" s="19"/>
      <c r="G8" s="8"/>
      <c r="H8" s="8"/>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row>
    <row r="9">
      <c r="A9" s="8"/>
      <c r="B9" s="8"/>
      <c r="C9" s="8"/>
      <c r="D9" s="8"/>
      <c r="E9" s="8"/>
      <c r="F9" s="8"/>
      <c r="G9" s="8"/>
      <c r="H9" s="8"/>
      <c r="I9" s="8"/>
      <c r="J9" s="8"/>
      <c r="K9" s="8"/>
      <c r="L9" s="8"/>
      <c r="M9" s="8"/>
      <c r="N9" s="8"/>
      <c r="O9" s="8"/>
      <c r="P9" s="8"/>
      <c r="Q9" s="8"/>
      <c r="R9" s="8"/>
      <c r="S9" s="8"/>
      <c r="T9" s="8"/>
      <c r="U9" s="8"/>
      <c r="V9" s="2"/>
      <c r="W9" s="8"/>
      <c r="X9" s="8"/>
      <c r="Y9" s="8"/>
      <c r="Z9" s="8"/>
      <c r="AA9" s="8"/>
      <c r="AB9" s="8"/>
      <c r="AC9" s="8"/>
      <c r="AD9" s="8"/>
      <c r="AE9" s="8"/>
      <c r="AF9" s="8"/>
      <c r="AG9" s="2"/>
      <c r="AH9" s="8"/>
      <c r="AI9" s="8"/>
      <c r="AJ9" s="8"/>
      <c r="AK9" s="8"/>
      <c r="AL9" s="8"/>
      <c r="AM9" s="8"/>
      <c r="AN9" s="8"/>
      <c r="AO9" s="8"/>
      <c r="AP9" s="8"/>
      <c r="AQ9" s="8"/>
      <c r="AR9" s="8"/>
      <c r="AS9" s="8"/>
      <c r="AT9" s="8"/>
      <c r="AU9" s="8"/>
      <c r="AV9" s="2"/>
    </row>
    <row r="10">
      <c r="A10" s="22" t="s">
        <v>23</v>
      </c>
      <c r="B10" s="23"/>
      <c r="C10" s="23"/>
      <c r="D10" s="23"/>
      <c r="E10" s="23"/>
      <c r="F10" s="23"/>
      <c r="G10" s="23"/>
      <c r="H10" s="23"/>
      <c r="I10" s="23"/>
      <c r="J10" s="23"/>
      <c r="K10" s="23"/>
      <c r="L10" s="23"/>
      <c r="M10" s="23"/>
      <c r="N10" s="23"/>
      <c r="O10" s="23"/>
      <c r="P10" s="23"/>
      <c r="Q10" s="23"/>
      <c r="R10" s="23"/>
      <c r="S10" s="23"/>
      <c r="T10" s="23"/>
      <c r="U10" s="24"/>
      <c r="V10" s="2"/>
      <c r="W10" s="25" t="s">
        <v>24</v>
      </c>
      <c r="X10" s="23"/>
      <c r="Y10" s="23"/>
      <c r="Z10" s="23"/>
      <c r="AA10" s="23"/>
      <c r="AB10" s="23"/>
      <c r="AC10" s="23"/>
      <c r="AD10" s="23"/>
      <c r="AE10" s="23"/>
      <c r="AF10" s="24"/>
      <c r="AG10" s="2"/>
      <c r="AH10" s="26" t="s">
        <v>25</v>
      </c>
      <c r="AI10" s="23"/>
      <c r="AJ10" s="23"/>
      <c r="AK10" s="23"/>
      <c r="AL10" s="23"/>
      <c r="AM10" s="23"/>
      <c r="AN10" s="23"/>
      <c r="AO10" s="23"/>
      <c r="AP10" s="23"/>
      <c r="AQ10" s="23"/>
      <c r="AR10" s="23"/>
      <c r="AS10" s="23"/>
      <c r="AT10" s="23"/>
      <c r="AU10" s="24"/>
      <c r="AV10" s="2"/>
    </row>
    <row r="11">
      <c r="A11" s="8"/>
      <c r="B11" s="8"/>
      <c r="C11" s="2"/>
      <c r="D11" s="8"/>
      <c r="E11" s="2"/>
      <c r="F11" s="8"/>
      <c r="G11" s="8"/>
      <c r="H11" s="8"/>
      <c r="I11" s="27" t="s">
        <v>26</v>
      </c>
      <c r="J11" s="28"/>
      <c r="K11" s="12">
        <f>K113</f>
        <v>201963.78</v>
      </c>
      <c r="L11" s="2"/>
      <c r="M11" s="2"/>
      <c r="N11" s="2"/>
      <c r="O11" s="2"/>
      <c r="P11" s="29">
        <f>P113</f>
        <v>232271.4409</v>
      </c>
      <c r="Q11" s="2"/>
      <c r="R11" s="29">
        <f>R113</f>
        <v>77958.9997</v>
      </c>
      <c r="S11" s="2"/>
      <c r="T11" s="29">
        <f>T113</f>
        <v>260319</v>
      </c>
      <c r="U11" s="2"/>
      <c r="V11" s="2"/>
      <c r="W11" s="2"/>
      <c r="X11" s="2"/>
      <c r="Y11" s="2"/>
      <c r="Z11" s="29">
        <f>Z113</f>
        <v>570</v>
      </c>
      <c r="AA11" s="2"/>
      <c r="AB11" s="2"/>
      <c r="AC11" s="2"/>
      <c r="AD11" s="2"/>
      <c r="AE11" s="29">
        <f>AE113</f>
        <v>993.9970157</v>
      </c>
      <c r="AF11" s="2"/>
      <c r="AG11" s="2"/>
      <c r="AH11" s="2"/>
      <c r="AI11" s="2"/>
      <c r="AJ11" s="29">
        <f>AJ113</f>
        <v>2300</v>
      </c>
      <c r="AK11" s="2"/>
      <c r="AL11" s="2"/>
      <c r="AM11" s="2"/>
      <c r="AN11" s="2"/>
      <c r="AO11" s="29">
        <f>AO113</f>
        <v>2828.134686</v>
      </c>
      <c r="AP11" s="2"/>
      <c r="AQ11" s="2"/>
      <c r="AR11" s="29">
        <f t="shared" ref="AR11:AT11" si="1">AR113</f>
        <v>378.17511</v>
      </c>
      <c r="AS11" s="29">
        <f t="shared" si="1"/>
        <v>172.4137931</v>
      </c>
      <c r="AT11" s="29">
        <f t="shared" si="1"/>
        <v>441</v>
      </c>
      <c r="AU11" s="2"/>
      <c r="AV11" s="2"/>
    </row>
    <row r="12">
      <c r="A12" s="30" t="s">
        <v>0</v>
      </c>
      <c r="B12" s="31" t="s">
        <v>27</v>
      </c>
      <c r="C12" s="32" t="s">
        <v>28</v>
      </c>
      <c r="D12" s="32" t="s">
        <v>29</v>
      </c>
      <c r="E12" s="31" t="s">
        <v>30</v>
      </c>
      <c r="F12" s="31" t="s">
        <v>12</v>
      </c>
      <c r="G12" s="33" t="s">
        <v>31</v>
      </c>
      <c r="H12" s="31" t="s">
        <v>32</v>
      </c>
      <c r="I12" s="31" t="s">
        <v>17</v>
      </c>
      <c r="J12" s="31" t="s">
        <v>33</v>
      </c>
      <c r="K12" s="31" t="s">
        <v>34</v>
      </c>
      <c r="L12" s="34" t="s">
        <v>35</v>
      </c>
      <c r="M12" s="34" t="s">
        <v>36</v>
      </c>
      <c r="N12" s="34" t="s">
        <v>37</v>
      </c>
      <c r="O12" s="34" t="s">
        <v>4</v>
      </c>
      <c r="P12" s="34" t="s">
        <v>38</v>
      </c>
      <c r="Q12" s="34" t="s">
        <v>39</v>
      </c>
      <c r="R12" s="34" t="s">
        <v>40</v>
      </c>
      <c r="S12" s="34" t="s">
        <v>41</v>
      </c>
      <c r="T12" s="34" t="s">
        <v>42</v>
      </c>
      <c r="U12" s="35" t="s">
        <v>43</v>
      </c>
      <c r="V12" s="36"/>
      <c r="W12" s="37" t="s">
        <v>27</v>
      </c>
      <c r="X12" s="38" t="s">
        <v>24</v>
      </c>
      <c r="Y12" s="39" t="s">
        <v>44</v>
      </c>
      <c r="Z12" s="38" t="s">
        <v>45</v>
      </c>
      <c r="AA12" s="40" t="s">
        <v>35</v>
      </c>
      <c r="AB12" s="40" t="s">
        <v>36</v>
      </c>
      <c r="AC12" s="40" t="s">
        <v>37</v>
      </c>
      <c r="AD12" s="40" t="s">
        <v>4</v>
      </c>
      <c r="AE12" s="40" t="s">
        <v>38</v>
      </c>
      <c r="AF12" s="41" t="s">
        <v>43</v>
      </c>
      <c r="AG12" s="36"/>
      <c r="AH12" s="42" t="s">
        <v>25</v>
      </c>
      <c r="AI12" s="43" t="s">
        <v>44</v>
      </c>
      <c r="AJ12" s="44" t="s">
        <v>45</v>
      </c>
      <c r="AK12" s="45" t="s">
        <v>35</v>
      </c>
      <c r="AL12" s="45" t="s">
        <v>36</v>
      </c>
      <c r="AM12" s="45" t="s">
        <v>37</v>
      </c>
      <c r="AN12" s="45" t="s">
        <v>4</v>
      </c>
      <c r="AO12" s="45" t="s">
        <v>38</v>
      </c>
      <c r="AP12" s="46" t="s">
        <v>7</v>
      </c>
      <c r="AQ12" s="45" t="s">
        <v>46</v>
      </c>
      <c r="AR12" s="45" t="s">
        <v>47</v>
      </c>
      <c r="AS12" s="45" t="s">
        <v>40</v>
      </c>
      <c r="AT12" s="45" t="s">
        <v>42</v>
      </c>
      <c r="AU12" s="47" t="s">
        <v>43</v>
      </c>
      <c r="AV12" s="36"/>
    </row>
    <row r="13" ht="15.0" customHeight="1">
      <c r="A13" s="48" t="s">
        <v>9</v>
      </c>
      <c r="B13" s="49">
        <v>1.0</v>
      </c>
      <c r="C13" s="49">
        <v>2.3456789E7</v>
      </c>
      <c r="D13" s="50" t="s">
        <v>48</v>
      </c>
      <c r="E13" s="51">
        <v>1.0</v>
      </c>
      <c r="F13" s="50" t="s">
        <v>14</v>
      </c>
      <c r="G13" s="50">
        <v>0.0</v>
      </c>
      <c r="H13" s="52">
        <v>100.0</v>
      </c>
      <c r="I13" s="50" t="s">
        <v>20</v>
      </c>
      <c r="J13" s="53">
        <f t="shared" ref="J13:J112" si="2">IF(I13="MXN",H13,H13*I$2)</f>
        <v>100</v>
      </c>
      <c r="K13" s="54">
        <f t="shared" ref="K13:K112" si="3">IF(G13=0,J13*E13,J13*E13*G13)</f>
        <v>100</v>
      </c>
      <c r="L13" s="54">
        <f>('VEA CLIENTE'!$K13/(1-'VEA CLIENTE'!$M13))-'VEA CLIENTE'!$K13</f>
        <v>25</v>
      </c>
      <c r="M13" s="55">
        <v>0.2</v>
      </c>
      <c r="N13" s="55">
        <v>0.2</v>
      </c>
      <c r="O13" s="55">
        <v>0.0</v>
      </c>
      <c r="P13" s="53">
        <f t="shared" ref="P13:P112" si="4">(K13/(1-N13))/(1-M13)/(1-O13)</f>
        <v>156.25</v>
      </c>
      <c r="Q13" s="56" t="s">
        <v>10</v>
      </c>
      <c r="R13" s="53">
        <f t="shared" ref="R13:R112" si="5">IF(Q13="SI",P13,0)</f>
        <v>0</v>
      </c>
      <c r="S13" s="53">
        <f>IF('VEA CLIENTE'!$E13&gt;0,'VEA CLIENTE'!$T13/'VEA CLIENTE'!$E13,0)</f>
        <v>157</v>
      </c>
      <c r="T13" s="53">
        <f t="shared" ref="T13:T112" si="6">ROUNDUP(R13/Q$2*S$2+P13,0)</f>
        <v>157</v>
      </c>
      <c r="U13" s="57"/>
      <c r="V13" s="2"/>
      <c r="W13" s="58">
        <v>1.0</v>
      </c>
      <c r="X13" s="59" t="s">
        <v>49</v>
      </c>
      <c r="Y13" s="60" t="s">
        <v>50</v>
      </c>
      <c r="Z13" s="61">
        <v>20.0</v>
      </c>
      <c r="AA13" s="62">
        <f>'VEA CLIENTE'!$Z13/(1-'VEA CLIENTE'!$AB13)-'VEA CLIENTE'!$Z13</f>
        <v>2.222222222</v>
      </c>
      <c r="AB13" s="55">
        <v>0.1</v>
      </c>
      <c r="AC13" s="55">
        <v>0.1</v>
      </c>
      <c r="AD13" s="55">
        <v>0.1</v>
      </c>
      <c r="AE13" s="53">
        <f t="shared" ref="AE13:AE112" si="7">(Z13/(1-AC13))/(1-AB13)/(1-AD13)</f>
        <v>27.43484225</v>
      </c>
      <c r="AF13" s="63"/>
      <c r="AG13" s="2"/>
      <c r="AH13" s="64" t="s">
        <v>49</v>
      </c>
      <c r="AI13" s="65" t="s">
        <v>51</v>
      </c>
      <c r="AJ13" s="66">
        <v>150.0</v>
      </c>
      <c r="AK13" s="62">
        <f>'VEA CLIENTE'!$AJ13/(1-'VEA CLIENTE'!$AL13)-'VEA CLIENTE'!$AJ13</f>
        <v>16.66666667</v>
      </c>
      <c r="AL13" s="67">
        <v>0.1</v>
      </c>
      <c r="AM13" s="67">
        <v>0.1</v>
      </c>
      <c r="AN13" s="67">
        <v>0.1</v>
      </c>
      <c r="AO13" s="53">
        <f t="shared" ref="AO13:AO112" si="8">(AJ13/(1-AM13))/(1-AL13)/(1-AN13)</f>
        <v>205.7613169</v>
      </c>
      <c r="AP13" s="56" t="s">
        <v>10</v>
      </c>
      <c r="AQ13" s="56" t="s">
        <v>10</v>
      </c>
      <c r="AR13" s="53">
        <f t="shared" ref="AR13:AR112" si="9">IF(AP13="NO",AO13,0)</f>
        <v>205.7613169</v>
      </c>
      <c r="AS13" s="53">
        <f t="shared" ref="AS13:AS112" si="10">IF(AND(AP13="SI",AQ13="SI"),"ERROR",IF(AND(AP13="NO",AQ13="SI"),AR13,0))</f>
        <v>0</v>
      </c>
      <c r="AT13" s="54">
        <f t="shared" ref="AT13:AT112" si="11">ROUNDUP(AS13/Q$2*S$2+AR13,0)</f>
        <v>206</v>
      </c>
      <c r="AU13" s="68"/>
      <c r="AV13" s="2"/>
    </row>
    <row r="14" ht="15.0" customHeight="1">
      <c r="A14" s="48" t="s">
        <v>9</v>
      </c>
      <c r="B14" s="49">
        <v>2.0</v>
      </c>
      <c r="C14" s="49">
        <v>2.3456789E7</v>
      </c>
      <c r="D14" s="50" t="s">
        <v>52</v>
      </c>
      <c r="E14" s="51">
        <v>1.0</v>
      </c>
      <c r="F14" s="50" t="s">
        <v>14</v>
      </c>
      <c r="G14" s="50">
        <v>0.0</v>
      </c>
      <c r="H14" s="52">
        <v>50.0</v>
      </c>
      <c r="I14" s="50" t="s">
        <v>22</v>
      </c>
      <c r="J14" s="53">
        <f t="shared" si="2"/>
        <v>1025</v>
      </c>
      <c r="K14" s="54">
        <f t="shared" si="3"/>
        <v>1025</v>
      </c>
      <c r="L14" s="54">
        <f>('VEA CLIENTE'!$K14/(1-'VEA CLIENTE'!$M14))-'VEA CLIENTE'!$K14</f>
        <v>439.2857143</v>
      </c>
      <c r="M14" s="55">
        <v>0.3</v>
      </c>
      <c r="N14" s="55">
        <v>0.0</v>
      </c>
      <c r="O14" s="55">
        <v>0.04</v>
      </c>
      <c r="P14" s="53">
        <f t="shared" si="4"/>
        <v>1525.297619</v>
      </c>
      <c r="Q14" s="56" t="s">
        <v>53</v>
      </c>
      <c r="R14" s="53">
        <f t="shared" si="5"/>
        <v>1525.297619</v>
      </c>
      <c r="S14" s="53">
        <f>IF('VEA CLIENTE'!$E14&gt;0,'VEA CLIENTE'!$T14/'VEA CLIENTE'!$E14,0)</f>
        <v>2074</v>
      </c>
      <c r="T14" s="53">
        <f t="shared" si="6"/>
        <v>2074</v>
      </c>
      <c r="U14" s="57"/>
      <c r="V14" s="2"/>
      <c r="W14" s="58"/>
      <c r="X14" s="59"/>
      <c r="Y14" s="69" t="s">
        <v>50</v>
      </c>
      <c r="Z14" s="61">
        <v>50.0</v>
      </c>
      <c r="AA14" s="62">
        <f>'VEA CLIENTE'!$Z14/(1-'VEA CLIENTE'!$AB14)-'VEA CLIENTE'!$Z14</f>
        <v>7.471264368</v>
      </c>
      <c r="AB14" s="55">
        <v>0.13</v>
      </c>
      <c r="AC14" s="55">
        <v>0.0</v>
      </c>
      <c r="AD14" s="55">
        <v>0.0</v>
      </c>
      <c r="AE14" s="53">
        <f t="shared" si="7"/>
        <v>57.47126437</v>
      </c>
      <c r="AF14" s="63"/>
      <c r="AG14" s="2"/>
      <c r="AH14" s="64"/>
      <c r="AI14" s="70"/>
      <c r="AJ14" s="66">
        <v>150.0</v>
      </c>
      <c r="AK14" s="62">
        <f>'VEA CLIENTE'!$AJ14/(1-'VEA CLIENTE'!$AL14)-'VEA CLIENTE'!$AJ14</f>
        <v>22.4137931</v>
      </c>
      <c r="AL14" s="67">
        <v>0.13</v>
      </c>
      <c r="AM14" s="67">
        <v>0.0</v>
      </c>
      <c r="AN14" s="67">
        <v>0.0</v>
      </c>
      <c r="AO14" s="53">
        <f t="shared" si="8"/>
        <v>172.4137931</v>
      </c>
      <c r="AP14" s="56" t="s">
        <v>10</v>
      </c>
      <c r="AQ14" s="56" t="s">
        <v>53</v>
      </c>
      <c r="AR14" s="53">
        <f t="shared" si="9"/>
        <v>172.4137931</v>
      </c>
      <c r="AS14" s="53">
        <f t="shared" si="10"/>
        <v>172.4137931</v>
      </c>
      <c r="AT14" s="54">
        <f t="shared" si="11"/>
        <v>235</v>
      </c>
      <c r="AU14" s="68"/>
      <c r="AV14" s="2"/>
    </row>
    <row r="15" ht="15.0" customHeight="1">
      <c r="A15" s="48" t="s">
        <v>9</v>
      </c>
      <c r="B15" s="49">
        <v>3.0</v>
      </c>
      <c r="C15" s="49">
        <v>2.3456789E7</v>
      </c>
      <c r="D15" s="50" t="s">
        <v>11</v>
      </c>
      <c r="E15" s="51">
        <v>1.0</v>
      </c>
      <c r="F15" s="50" t="s">
        <v>14</v>
      </c>
      <c r="G15" s="50">
        <v>8.0</v>
      </c>
      <c r="H15" s="52">
        <v>50.0</v>
      </c>
      <c r="I15" s="50" t="s">
        <v>20</v>
      </c>
      <c r="J15" s="53">
        <f t="shared" si="2"/>
        <v>50</v>
      </c>
      <c r="K15" s="54">
        <f t="shared" si="3"/>
        <v>400</v>
      </c>
      <c r="L15" s="54">
        <f>('VEA CLIENTE'!$K15/(1-'VEA CLIENTE'!$M15))-'VEA CLIENTE'!$K15</f>
        <v>44.44444444</v>
      </c>
      <c r="M15" s="55">
        <v>0.1</v>
      </c>
      <c r="N15" s="55">
        <v>0.0</v>
      </c>
      <c r="O15" s="55">
        <v>0.0</v>
      </c>
      <c r="P15" s="53">
        <f t="shared" si="4"/>
        <v>444.4444444</v>
      </c>
      <c r="Q15" s="56" t="s">
        <v>53</v>
      </c>
      <c r="R15" s="53">
        <f t="shared" si="5"/>
        <v>444.4444444</v>
      </c>
      <c r="S15" s="53">
        <f>IF('VEA CLIENTE'!$E15&gt;0,'VEA CLIENTE'!$T15/'VEA CLIENTE'!$E15,0)</f>
        <v>605</v>
      </c>
      <c r="T15" s="53">
        <f t="shared" si="6"/>
        <v>605</v>
      </c>
      <c r="U15" s="57"/>
      <c r="V15" s="2"/>
      <c r="W15" s="58"/>
      <c r="X15" s="59"/>
      <c r="Y15" s="69" t="s">
        <v>50</v>
      </c>
      <c r="Z15" s="61">
        <v>500.0</v>
      </c>
      <c r="AA15" s="62">
        <f>'VEA CLIENTE'!$Z15/(1-'VEA CLIENTE'!$AB15)-'VEA CLIENTE'!$Z15</f>
        <v>409.0909091</v>
      </c>
      <c r="AB15" s="55">
        <v>0.45</v>
      </c>
      <c r="AC15" s="55">
        <v>0.0</v>
      </c>
      <c r="AD15" s="55">
        <v>0.0</v>
      </c>
      <c r="AE15" s="53">
        <f t="shared" si="7"/>
        <v>909.0909091</v>
      </c>
      <c r="AF15" s="63"/>
      <c r="AG15" s="2"/>
      <c r="AH15" s="64"/>
      <c r="AI15" s="70"/>
      <c r="AJ15" s="66">
        <v>2000.0</v>
      </c>
      <c r="AK15" s="62">
        <f>'VEA CLIENTE'!$AJ15/(1-'VEA CLIENTE'!$AL15)-'VEA CLIENTE'!$AJ15</f>
        <v>352.9411765</v>
      </c>
      <c r="AL15" s="67">
        <v>0.15</v>
      </c>
      <c r="AM15" s="67">
        <v>0.02</v>
      </c>
      <c r="AN15" s="67">
        <v>0.02</v>
      </c>
      <c r="AO15" s="53">
        <f t="shared" si="8"/>
        <v>2449.959576</v>
      </c>
      <c r="AP15" s="56" t="s">
        <v>53</v>
      </c>
      <c r="AQ15" s="56" t="s">
        <v>10</v>
      </c>
      <c r="AR15" s="53">
        <f t="shared" si="9"/>
        <v>0</v>
      </c>
      <c r="AS15" s="53">
        <f t="shared" si="10"/>
        <v>0</v>
      </c>
      <c r="AT15" s="54">
        <f t="shared" si="11"/>
        <v>0</v>
      </c>
      <c r="AU15" s="68"/>
      <c r="AV15" s="2"/>
    </row>
    <row r="16" ht="15.0" customHeight="1">
      <c r="A16" s="48" t="s">
        <v>9</v>
      </c>
      <c r="B16" s="49">
        <v>4.0</v>
      </c>
      <c r="C16" s="49">
        <v>2.3456789E7</v>
      </c>
      <c r="D16" s="50" t="s">
        <v>54</v>
      </c>
      <c r="E16" s="51">
        <v>7.0</v>
      </c>
      <c r="F16" s="50" t="s">
        <v>14</v>
      </c>
      <c r="G16" s="50">
        <v>0.0</v>
      </c>
      <c r="H16" s="52">
        <v>126.8</v>
      </c>
      <c r="I16" s="50" t="s">
        <v>22</v>
      </c>
      <c r="J16" s="53">
        <f t="shared" si="2"/>
        <v>2599.4</v>
      </c>
      <c r="K16" s="54">
        <f t="shared" si="3"/>
        <v>18195.8</v>
      </c>
      <c r="L16" s="54">
        <f>('VEA CLIENTE'!$K16/(1-'VEA CLIENTE'!$M16))-'VEA CLIENTE'!$K16</f>
        <v>2021.755556</v>
      </c>
      <c r="M16" s="55">
        <v>0.1</v>
      </c>
      <c r="N16" s="55">
        <v>0.0</v>
      </c>
      <c r="O16" s="55">
        <v>0.0</v>
      </c>
      <c r="P16" s="53">
        <f t="shared" si="4"/>
        <v>20217.55556</v>
      </c>
      <c r="Q16" s="56" t="s">
        <v>10</v>
      </c>
      <c r="R16" s="53">
        <f t="shared" si="5"/>
        <v>0</v>
      </c>
      <c r="S16" s="53">
        <f>IF('VEA CLIENTE'!$E16&gt;0,'VEA CLIENTE'!$T16/'VEA CLIENTE'!$E16,0)</f>
        <v>2888.285714</v>
      </c>
      <c r="T16" s="53">
        <f t="shared" si="6"/>
        <v>20218</v>
      </c>
      <c r="U16" s="57"/>
      <c r="V16" s="2"/>
      <c r="W16" s="58"/>
      <c r="X16" s="59"/>
      <c r="Y16" s="71"/>
      <c r="Z16" s="71"/>
      <c r="AA16" s="62">
        <f>'VEA CLIENTE'!$Z16/(1-'VEA CLIENTE'!$AB16)-'VEA CLIENTE'!$Z16</f>
        <v>0</v>
      </c>
      <c r="AB16" s="72">
        <f t="shared" ref="AB16:AD16" si="12">AB$2</f>
        <v>0.13</v>
      </c>
      <c r="AC16" s="72">
        <f t="shared" si="12"/>
        <v>0</v>
      </c>
      <c r="AD16" s="72">
        <f t="shared" si="12"/>
        <v>0</v>
      </c>
      <c r="AE16" s="53">
        <f t="shared" si="7"/>
        <v>0</v>
      </c>
      <c r="AF16" s="63"/>
      <c r="AG16" s="2"/>
      <c r="AH16" s="64"/>
      <c r="AI16" s="73"/>
      <c r="AJ16" s="73"/>
      <c r="AK16" s="62">
        <f>'VEA CLIENTE'!$AJ16/(1-'VEA CLIENTE'!$AL16)-'VEA CLIENTE'!$AJ16</f>
        <v>0</v>
      </c>
      <c r="AL16" s="74">
        <f t="shared" ref="AL16:AN16" si="13">AL$2</f>
        <v>0.13</v>
      </c>
      <c r="AM16" s="74">
        <f t="shared" si="13"/>
        <v>0</v>
      </c>
      <c r="AN16" s="74">
        <f t="shared" si="13"/>
        <v>0</v>
      </c>
      <c r="AO16" s="53">
        <f t="shared" si="8"/>
        <v>0</v>
      </c>
      <c r="AP16" s="75" t="s">
        <v>10</v>
      </c>
      <c r="AQ16" s="75" t="s">
        <v>10</v>
      </c>
      <c r="AR16" s="53">
        <f t="shared" si="9"/>
        <v>0</v>
      </c>
      <c r="AS16" s="53">
        <f t="shared" si="10"/>
        <v>0</v>
      </c>
      <c r="AT16" s="54">
        <f t="shared" si="11"/>
        <v>0</v>
      </c>
      <c r="AU16" s="68"/>
      <c r="AV16" s="2"/>
    </row>
    <row r="17" ht="15.0" customHeight="1">
      <c r="A17" s="48" t="s">
        <v>9</v>
      </c>
      <c r="B17" s="49">
        <v>5.0</v>
      </c>
      <c r="C17" s="49">
        <v>2.3456789E7</v>
      </c>
      <c r="D17" s="50" t="s">
        <v>55</v>
      </c>
      <c r="E17" s="51">
        <v>8.0</v>
      </c>
      <c r="F17" s="50" t="s">
        <v>14</v>
      </c>
      <c r="G17" s="50">
        <v>0.0</v>
      </c>
      <c r="H17" s="52">
        <v>65.32</v>
      </c>
      <c r="I17" s="50" t="s">
        <v>22</v>
      </c>
      <c r="J17" s="53">
        <f t="shared" si="2"/>
        <v>1339.06</v>
      </c>
      <c r="K17" s="54">
        <f t="shared" si="3"/>
        <v>10712.48</v>
      </c>
      <c r="L17" s="54">
        <f>('VEA CLIENTE'!$K17/(1-'VEA CLIENTE'!$M17))-'VEA CLIENTE'!$K17</f>
        <v>1190.275556</v>
      </c>
      <c r="M17" s="55">
        <v>0.1</v>
      </c>
      <c r="N17" s="55">
        <v>0.0</v>
      </c>
      <c r="O17" s="55">
        <v>0.0</v>
      </c>
      <c r="P17" s="53">
        <f t="shared" si="4"/>
        <v>11902.75556</v>
      </c>
      <c r="Q17" s="56" t="s">
        <v>53</v>
      </c>
      <c r="R17" s="53">
        <f t="shared" si="5"/>
        <v>11902.75556</v>
      </c>
      <c r="S17" s="53">
        <f>IF('VEA CLIENTE'!$E17&gt;0,'VEA CLIENTE'!$T17/'VEA CLIENTE'!$E17,0)</f>
        <v>2023</v>
      </c>
      <c r="T17" s="53">
        <f t="shared" si="6"/>
        <v>16184</v>
      </c>
      <c r="U17" s="57"/>
      <c r="V17" s="2"/>
      <c r="W17" s="58"/>
      <c r="X17" s="59"/>
      <c r="Y17" s="71"/>
      <c r="Z17" s="71"/>
      <c r="AA17" s="62">
        <f>'VEA CLIENTE'!$Z17/(1-'VEA CLIENTE'!$AB17)-'VEA CLIENTE'!$Z17</f>
        <v>0</v>
      </c>
      <c r="AB17" s="72">
        <f t="shared" ref="AB17:AD17" si="14">AB$2</f>
        <v>0.13</v>
      </c>
      <c r="AC17" s="72">
        <f t="shared" si="14"/>
        <v>0</v>
      </c>
      <c r="AD17" s="72">
        <f t="shared" si="14"/>
        <v>0</v>
      </c>
      <c r="AE17" s="53">
        <f t="shared" si="7"/>
        <v>0</v>
      </c>
      <c r="AF17" s="63"/>
      <c r="AG17" s="2"/>
      <c r="AH17" s="64"/>
      <c r="AI17" s="73"/>
      <c r="AJ17" s="73"/>
      <c r="AK17" s="62">
        <f>'VEA CLIENTE'!$AJ17/(1-'VEA CLIENTE'!$AL17)-'VEA CLIENTE'!$AJ17</f>
        <v>0</v>
      </c>
      <c r="AL17" s="74">
        <f t="shared" ref="AL17:AN17" si="15">AL$2</f>
        <v>0.13</v>
      </c>
      <c r="AM17" s="74">
        <f t="shared" si="15"/>
        <v>0</v>
      </c>
      <c r="AN17" s="74">
        <f t="shared" si="15"/>
        <v>0</v>
      </c>
      <c r="AO17" s="53">
        <f t="shared" si="8"/>
        <v>0</v>
      </c>
      <c r="AP17" s="76" t="str">
        <f t="shared" ref="AP17:AQ17" si="16">AP$2</f>
        <v>NO</v>
      </c>
      <c r="AQ17" s="76" t="str">
        <f t="shared" si="16"/>
        <v>NO</v>
      </c>
      <c r="AR17" s="53">
        <f t="shared" si="9"/>
        <v>0</v>
      </c>
      <c r="AS17" s="53">
        <f t="shared" si="10"/>
        <v>0</v>
      </c>
      <c r="AT17" s="54">
        <f t="shared" si="11"/>
        <v>0</v>
      </c>
      <c r="AU17" s="68"/>
      <c r="AV17" s="2"/>
    </row>
    <row r="18" ht="15.0" customHeight="1">
      <c r="A18" s="48" t="s">
        <v>9</v>
      </c>
      <c r="B18" s="49">
        <v>6.0</v>
      </c>
      <c r="C18" s="49">
        <v>2.3456789E7</v>
      </c>
      <c r="D18" s="50" t="s">
        <v>56</v>
      </c>
      <c r="E18" s="51">
        <v>2.0</v>
      </c>
      <c r="F18" s="50" t="s">
        <v>14</v>
      </c>
      <c r="G18" s="50">
        <v>0.0</v>
      </c>
      <c r="H18" s="52">
        <v>2.16</v>
      </c>
      <c r="I18" s="50" t="s">
        <v>22</v>
      </c>
      <c r="J18" s="53">
        <f t="shared" si="2"/>
        <v>44.28</v>
      </c>
      <c r="K18" s="54">
        <f t="shared" si="3"/>
        <v>88.56</v>
      </c>
      <c r="L18" s="54">
        <f>('VEA CLIENTE'!$K18/(1-'VEA CLIENTE'!$M18))-'VEA CLIENTE'!$K18</f>
        <v>9.84</v>
      </c>
      <c r="M18" s="55">
        <v>0.1</v>
      </c>
      <c r="N18" s="55">
        <v>0.0</v>
      </c>
      <c r="O18" s="55">
        <v>0.0</v>
      </c>
      <c r="P18" s="53">
        <f t="shared" si="4"/>
        <v>98.4</v>
      </c>
      <c r="Q18" s="56" t="s">
        <v>53</v>
      </c>
      <c r="R18" s="53">
        <f t="shared" si="5"/>
        <v>98.4</v>
      </c>
      <c r="S18" s="53">
        <f>IF('VEA CLIENTE'!$E18&gt;0,'VEA CLIENTE'!$T18/'VEA CLIENTE'!$E18,0)</f>
        <v>67</v>
      </c>
      <c r="T18" s="53">
        <f t="shared" si="6"/>
        <v>134</v>
      </c>
      <c r="U18" s="57"/>
      <c r="V18" s="2"/>
      <c r="W18" s="58"/>
      <c r="X18" s="59"/>
      <c r="Y18" s="71"/>
      <c r="Z18" s="71"/>
      <c r="AA18" s="62">
        <f>'VEA CLIENTE'!$Z18/(1-'VEA CLIENTE'!$AB18)-'VEA CLIENTE'!$Z18</f>
        <v>0</v>
      </c>
      <c r="AB18" s="72">
        <f t="shared" ref="AB18:AD18" si="17">AB$2</f>
        <v>0.13</v>
      </c>
      <c r="AC18" s="72">
        <f t="shared" si="17"/>
        <v>0</v>
      </c>
      <c r="AD18" s="72">
        <f t="shared" si="17"/>
        <v>0</v>
      </c>
      <c r="AE18" s="53">
        <f t="shared" si="7"/>
        <v>0</v>
      </c>
      <c r="AF18" s="63"/>
      <c r="AG18" s="2"/>
      <c r="AH18" s="64"/>
      <c r="AI18" s="73"/>
      <c r="AJ18" s="73"/>
      <c r="AK18" s="62">
        <f>'VEA CLIENTE'!$AJ18/(1-'VEA CLIENTE'!$AL18)-'VEA CLIENTE'!$AJ18</f>
        <v>0</v>
      </c>
      <c r="AL18" s="74">
        <f t="shared" ref="AL18:AN18" si="18">AL$2</f>
        <v>0.13</v>
      </c>
      <c r="AM18" s="74">
        <f t="shared" si="18"/>
        <v>0</v>
      </c>
      <c r="AN18" s="74">
        <f t="shared" si="18"/>
        <v>0</v>
      </c>
      <c r="AO18" s="53">
        <f t="shared" si="8"/>
        <v>0</v>
      </c>
      <c r="AP18" s="76" t="str">
        <f t="shared" ref="AP18:AQ18" si="19">AP$2</f>
        <v>NO</v>
      </c>
      <c r="AQ18" s="76" t="str">
        <f t="shared" si="19"/>
        <v>NO</v>
      </c>
      <c r="AR18" s="53">
        <f t="shared" si="9"/>
        <v>0</v>
      </c>
      <c r="AS18" s="53">
        <f t="shared" si="10"/>
        <v>0</v>
      </c>
      <c r="AT18" s="54">
        <f t="shared" si="11"/>
        <v>0</v>
      </c>
      <c r="AU18" s="68"/>
      <c r="AV18" s="2"/>
    </row>
    <row r="19" ht="15.0" customHeight="1">
      <c r="A19" s="48" t="s">
        <v>9</v>
      </c>
      <c r="B19" s="49">
        <v>7.0</v>
      </c>
      <c r="C19" s="49">
        <v>2.3456789E7</v>
      </c>
      <c r="D19" s="50" t="s">
        <v>57</v>
      </c>
      <c r="E19" s="51">
        <v>1.0</v>
      </c>
      <c r="F19" s="50" t="s">
        <v>14</v>
      </c>
      <c r="G19" s="50">
        <v>0.0</v>
      </c>
      <c r="H19" s="52">
        <v>164.14</v>
      </c>
      <c r="I19" s="50" t="s">
        <v>22</v>
      </c>
      <c r="J19" s="53">
        <f t="shared" si="2"/>
        <v>3364.87</v>
      </c>
      <c r="K19" s="54">
        <f t="shared" si="3"/>
        <v>3364.87</v>
      </c>
      <c r="L19" s="54">
        <f>('VEA CLIENTE'!$K19/(1-'VEA CLIENTE'!$M19))-'VEA CLIENTE'!$K19</f>
        <v>373.8744444</v>
      </c>
      <c r="M19" s="55">
        <v>0.1</v>
      </c>
      <c r="N19" s="55">
        <v>0.0</v>
      </c>
      <c r="O19" s="55">
        <v>0.23</v>
      </c>
      <c r="P19" s="53">
        <f t="shared" si="4"/>
        <v>4855.512266</v>
      </c>
      <c r="Q19" s="56" t="s">
        <v>53</v>
      </c>
      <c r="R19" s="53">
        <f t="shared" si="5"/>
        <v>4855.512266</v>
      </c>
      <c r="S19" s="53">
        <f>IF('VEA CLIENTE'!$E19&gt;0,'VEA CLIENTE'!$T19/'VEA CLIENTE'!$E19,0)</f>
        <v>6602</v>
      </c>
      <c r="T19" s="53">
        <f t="shared" si="6"/>
        <v>6602</v>
      </c>
      <c r="U19" s="57"/>
      <c r="V19" s="2"/>
      <c r="W19" s="58"/>
      <c r="X19" s="59"/>
      <c r="Y19" s="71"/>
      <c r="Z19" s="71"/>
      <c r="AA19" s="62">
        <f>'VEA CLIENTE'!$Z19/(1-'VEA CLIENTE'!$AB19)-'VEA CLIENTE'!$Z19</f>
        <v>0</v>
      </c>
      <c r="AB19" s="72">
        <f t="shared" ref="AB19:AD19" si="20">AB$2</f>
        <v>0.13</v>
      </c>
      <c r="AC19" s="72">
        <f t="shared" si="20"/>
        <v>0</v>
      </c>
      <c r="AD19" s="72">
        <f t="shared" si="20"/>
        <v>0</v>
      </c>
      <c r="AE19" s="53">
        <f t="shared" si="7"/>
        <v>0</v>
      </c>
      <c r="AF19" s="63"/>
      <c r="AG19" s="2"/>
      <c r="AH19" s="64"/>
      <c r="AI19" s="73"/>
      <c r="AJ19" s="73"/>
      <c r="AK19" s="62">
        <f>'VEA CLIENTE'!$AJ19/(1-'VEA CLIENTE'!$AL19)-'VEA CLIENTE'!$AJ19</f>
        <v>0</v>
      </c>
      <c r="AL19" s="74">
        <f t="shared" ref="AL19:AN19" si="21">AL$2</f>
        <v>0.13</v>
      </c>
      <c r="AM19" s="74">
        <f t="shared" si="21"/>
        <v>0</v>
      </c>
      <c r="AN19" s="74">
        <f t="shared" si="21"/>
        <v>0</v>
      </c>
      <c r="AO19" s="53">
        <f t="shared" si="8"/>
        <v>0</v>
      </c>
      <c r="AP19" s="76" t="str">
        <f t="shared" ref="AP19:AQ19" si="22">AP$2</f>
        <v>NO</v>
      </c>
      <c r="AQ19" s="76" t="str">
        <f t="shared" si="22"/>
        <v>NO</v>
      </c>
      <c r="AR19" s="53">
        <f t="shared" si="9"/>
        <v>0</v>
      </c>
      <c r="AS19" s="53">
        <f t="shared" si="10"/>
        <v>0</v>
      </c>
      <c r="AT19" s="54">
        <f t="shared" si="11"/>
        <v>0</v>
      </c>
      <c r="AU19" s="68"/>
      <c r="AV19" s="2"/>
    </row>
    <row r="20" ht="15.0" customHeight="1">
      <c r="A20" s="48" t="s">
        <v>9</v>
      </c>
      <c r="B20" s="49">
        <v>8.0</v>
      </c>
      <c r="C20" s="49">
        <v>2.3456789E7</v>
      </c>
      <c r="D20" s="50" t="s">
        <v>58</v>
      </c>
      <c r="E20" s="51">
        <v>1.0</v>
      </c>
      <c r="F20" s="50" t="s">
        <v>14</v>
      </c>
      <c r="G20" s="50">
        <v>0.0</v>
      </c>
      <c r="H20" s="52">
        <v>232.48</v>
      </c>
      <c r="I20" s="50" t="s">
        <v>22</v>
      </c>
      <c r="J20" s="53">
        <f t="shared" si="2"/>
        <v>4765.84</v>
      </c>
      <c r="K20" s="54">
        <f t="shared" si="3"/>
        <v>4765.84</v>
      </c>
      <c r="L20" s="54">
        <f>('VEA CLIENTE'!$K20/(1-'VEA CLIENTE'!$M20))-'VEA CLIENTE'!$K20</f>
        <v>529.5377778</v>
      </c>
      <c r="M20" s="55">
        <v>0.1</v>
      </c>
      <c r="N20" s="55">
        <v>0.0</v>
      </c>
      <c r="O20" s="55">
        <v>0.0</v>
      </c>
      <c r="P20" s="53">
        <f t="shared" si="4"/>
        <v>5295.377778</v>
      </c>
      <c r="Q20" s="56" t="s">
        <v>53</v>
      </c>
      <c r="R20" s="53">
        <f t="shared" si="5"/>
        <v>5295.377778</v>
      </c>
      <c r="S20" s="53">
        <f>IF('VEA CLIENTE'!$E20&gt;0,'VEA CLIENTE'!$T20/'VEA CLIENTE'!$E20,0)</f>
        <v>7200</v>
      </c>
      <c r="T20" s="53">
        <f t="shared" si="6"/>
        <v>7200</v>
      </c>
      <c r="U20" s="57"/>
      <c r="V20" s="2"/>
      <c r="W20" s="58"/>
      <c r="X20" s="59"/>
      <c r="Y20" s="71"/>
      <c r="Z20" s="71"/>
      <c r="AA20" s="62">
        <f>'VEA CLIENTE'!$Z20/(1-'VEA CLIENTE'!$AB20)-'VEA CLIENTE'!$Z20</f>
        <v>0</v>
      </c>
      <c r="AB20" s="72">
        <f t="shared" ref="AB20:AD20" si="23">AB$2</f>
        <v>0.13</v>
      </c>
      <c r="AC20" s="72">
        <f t="shared" si="23"/>
        <v>0</v>
      </c>
      <c r="AD20" s="72">
        <f t="shared" si="23"/>
        <v>0</v>
      </c>
      <c r="AE20" s="53">
        <f t="shared" si="7"/>
        <v>0</v>
      </c>
      <c r="AF20" s="63"/>
      <c r="AG20" s="2"/>
      <c r="AH20" s="64"/>
      <c r="AI20" s="73"/>
      <c r="AJ20" s="73"/>
      <c r="AK20" s="62">
        <f>'VEA CLIENTE'!$AJ20/(1-'VEA CLIENTE'!$AL20)-'VEA CLIENTE'!$AJ20</f>
        <v>0</v>
      </c>
      <c r="AL20" s="74">
        <f t="shared" ref="AL20:AN20" si="24">AL$2</f>
        <v>0.13</v>
      </c>
      <c r="AM20" s="74">
        <f t="shared" si="24"/>
        <v>0</v>
      </c>
      <c r="AN20" s="74">
        <f t="shared" si="24"/>
        <v>0</v>
      </c>
      <c r="AO20" s="53">
        <f t="shared" si="8"/>
        <v>0</v>
      </c>
      <c r="AP20" s="76" t="str">
        <f t="shared" ref="AP20:AQ20" si="25">AP$2</f>
        <v>NO</v>
      </c>
      <c r="AQ20" s="76" t="str">
        <f t="shared" si="25"/>
        <v>NO</v>
      </c>
      <c r="AR20" s="53">
        <f t="shared" si="9"/>
        <v>0</v>
      </c>
      <c r="AS20" s="53">
        <f t="shared" si="10"/>
        <v>0</v>
      </c>
      <c r="AT20" s="54">
        <f t="shared" si="11"/>
        <v>0</v>
      </c>
      <c r="AU20" s="68"/>
      <c r="AV20" s="2"/>
    </row>
    <row r="21" ht="15.0" customHeight="1">
      <c r="A21" s="48" t="s">
        <v>9</v>
      </c>
      <c r="B21" s="49">
        <v>9.0</v>
      </c>
      <c r="C21" s="49">
        <v>2.3456789E7</v>
      </c>
      <c r="D21" s="50" t="s">
        <v>59</v>
      </c>
      <c r="E21" s="51">
        <v>1.0</v>
      </c>
      <c r="F21" s="50" t="s">
        <v>14</v>
      </c>
      <c r="G21" s="50">
        <v>0.0</v>
      </c>
      <c r="H21" s="52">
        <v>10.62</v>
      </c>
      <c r="I21" s="50" t="s">
        <v>22</v>
      </c>
      <c r="J21" s="53">
        <f t="shared" si="2"/>
        <v>217.71</v>
      </c>
      <c r="K21" s="54">
        <f t="shared" si="3"/>
        <v>217.71</v>
      </c>
      <c r="L21" s="54">
        <f>('VEA CLIENTE'!$K21/(1-'VEA CLIENTE'!$M21))-'VEA CLIENTE'!$K21</f>
        <v>24.19</v>
      </c>
      <c r="M21" s="55">
        <v>0.1</v>
      </c>
      <c r="N21" s="55">
        <v>0.0</v>
      </c>
      <c r="O21" s="55">
        <v>0.0</v>
      </c>
      <c r="P21" s="53">
        <f t="shared" si="4"/>
        <v>241.9</v>
      </c>
      <c r="Q21" s="56" t="s">
        <v>10</v>
      </c>
      <c r="R21" s="53">
        <f t="shared" si="5"/>
        <v>0</v>
      </c>
      <c r="S21" s="53">
        <f>IF('VEA CLIENTE'!$E21&gt;0,'VEA CLIENTE'!$T21/'VEA CLIENTE'!$E21,0)</f>
        <v>242</v>
      </c>
      <c r="T21" s="53">
        <f t="shared" si="6"/>
        <v>242</v>
      </c>
      <c r="U21" s="57"/>
      <c r="V21" s="2"/>
      <c r="W21" s="58"/>
      <c r="X21" s="59"/>
      <c r="Y21" s="71"/>
      <c r="Z21" s="71"/>
      <c r="AA21" s="62">
        <f>'VEA CLIENTE'!$Z21/(1-'VEA CLIENTE'!$AB21)-'VEA CLIENTE'!$Z21</f>
        <v>0</v>
      </c>
      <c r="AB21" s="72">
        <f t="shared" ref="AB21:AD21" si="26">AB$2</f>
        <v>0.13</v>
      </c>
      <c r="AC21" s="72">
        <f t="shared" si="26"/>
        <v>0</v>
      </c>
      <c r="AD21" s="72">
        <f t="shared" si="26"/>
        <v>0</v>
      </c>
      <c r="AE21" s="53">
        <f t="shared" si="7"/>
        <v>0</v>
      </c>
      <c r="AF21" s="63"/>
      <c r="AG21" s="2"/>
      <c r="AH21" s="64"/>
      <c r="AI21" s="73"/>
      <c r="AJ21" s="73"/>
      <c r="AK21" s="62">
        <f>'VEA CLIENTE'!$AJ21/(1-'VEA CLIENTE'!$AL21)-'VEA CLIENTE'!$AJ21</f>
        <v>0</v>
      </c>
      <c r="AL21" s="74">
        <f t="shared" ref="AL21:AN21" si="27">AL$2</f>
        <v>0.13</v>
      </c>
      <c r="AM21" s="74">
        <f t="shared" si="27"/>
        <v>0</v>
      </c>
      <c r="AN21" s="74">
        <f t="shared" si="27"/>
        <v>0</v>
      </c>
      <c r="AO21" s="53">
        <f t="shared" si="8"/>
        <v>0</v>
      </c>
      <c r="AP21" s="76" t="str">
        <f t="shared" ref="AP21:AQ21" si="28">AP$2</f>
        <v>NO</v>
      </c>
      <c r="AQ21" s="76" t="str">
        <f t="shared" si="28"/>
        <v>NO</v>
      </c>
      <c r="AR21" s="53">
        <f t="shared" si="9"/>
        <v>0</v>
      </c>
      <c r="AS21" s="53">
        <f t="shared" si="10"/>
        <v>0</v>
      </c>
      <c r="AT21" s="54">
        <f t="shared" si="11"/>
        <v>0</v>
      </c>
      <c r="AU21" s="68"/>
      <c r="AV21" s="2"/>
    </row>
    <row r="22" ht="15.75" customHeight="1">
      <c r="A22" s="48" t="s">
        <v>9</v>
      </c>
      <c r="B22" s="49">
        <v>10.0</v>
      </c>
      <c r="C22" s="49">
        <v>2.3456789E7</v>
      </c>
      <c r="D22" s="50" t="s">
        <v>60</v>
      </c>
      <c r="E22" s="51">
        <v>1.0</v>
      </c>
      <c r="F22" s="50" t="s">
        <v>14</v>
      </c>
      <c r="G22" s="50">
        <v>0.0</v>
      </c>
      <c r="H22" s="77">
        <v>621.61</v>
      </c>
      <c r="I22" s="50" t="s">
        <v>22</v>
      </c>
      <c r="J22" s="53">
        <f t="shared" si="2"/>
        <v>12743.005</v>
      </c>
      <c r="K22" s="54">
        <f t="shared" si="3"/>
        <v>12743.005</v>
      </c>
      <c r="L22" s="54">
        <f>('VEA CLIENTE'!$K22/(1-'VEA CLIENTE'!$M22))-'VEA CLIENTE'!$K22</f>
        <v>1904.127184</v>
      </c>
      <c r="M22" s="55">
        <v>0.13</v>
      </c>
      <c r="N22" s="55">
        <v>0.0</v>
      </c>
      <c r="O22" s="55">
        <v>0.0</v>
      </c>
      <c r="P22" s="53">
        <f t="shared" si="4"/>
        <v>14647.13218</v>
      </c>
      <c r="Q22" s="56" t="s">
        <v>53</v>
      </c>
      <c r="R22" s="53">
        <f t="shared" si="5"/>
        <v>14647.13218</v>
      </c>
      <c r="S22" s="53">
        <f>IF('VEA CLIENTE'!$E22&gt;0,'VEA CLIENTE'!$T22/'VEA CLIENTE'!$E22,0)</f>
        <v>19915</v>
      </c>
      <c r="T22" s="53">
        <f t="shared" si="6"/>
        <v>19915</v>
      </c>
      <c r="U22" s="57"/>
      <c r="V22" s="2"/>
      <c r="W22" s="58"/>
      <c r="X22" s="59"/>
      <c r="Y22" s="71"/>
      <c r="Z22" s="71"/>
      <c r="AA22" s="62">
        <f>'VEA CLIENTE'!$Z22/(1-'VEA CLIENTE'!$AB22)-'VEA CLIENTE'!$Z22</f>
        <v>0</v>
      </c>
      <c r="AB22" s="72">
        <f t="shared" ref="AB22:AD22" si="29">AB$2</f>
        <v>0.13</v>
      </c>
      <c r="AC22" s="72">
        <f t="shared" si="29"/>
        <v>0</v>
      </c>
      <c r="AD22" s="72">
        <f t="shared" si="29"/>
        <v>0</v>
      </c>
      <c r="AE22" s="53">
        <f t="shared" si="7"/>
        <v>0</v>
      </c>
      <c r="AF22" s="63"/>
      <c r="AG22" s="2"/>
      <c r="AH22" s="64"/>
      <c r="AI22" s="73"/>
      <c r="AJ22" s="73"/>
      <c r="AK22" s="62">
        <f>'VEA CLIENTE'!$AJ22/(1-'VEA CLIENTE'!$AL22)-'VEA CLIENTE'!$AJ22</f>
        <v>0</v>
      </c>
      <c r="AL22" s="74">
        <f t="shared" ref="AL22:AN22" si="30">AL$2</f>
        <v>0.13</v>
      </c>
      <c r="AM22" s="74">
        <f t="shared" si="30"/>
        <v>0</v>
      </c>
      <c r="AN22" s="74">
        <f t="shared" si="30"/>
        <v>0</v>
      </c>
      <c r="AO22" s="53">
        <f t="shared" si="8"/>
        <v>0</v>
      </c>
      <c r="AP22" s="76" t="str">
        <f t="shared" ref="AP22:AQ22" si="31">AP$2</f>
        <v>NO</v>
      </c>
      <c r="AQ22" s="76" t="str">
        <f t="shared" si="31"/>
        <v>NO</v>
      </c>
      <c r="AR22" s="53">
        <f t="shared" si="9"/>
        <v>0</v>
      </c>
      <c r="AS22" s="53">
        <f t="shared" si="10"/>
        <v>0</v>
      </c>
      <c r="AT22" s="54">
        <f t="shared" si="11"/>
        <v>0</v>
      </c>
      <c r="AU22" s="68"/>
      <c r="AV22" s="2"/>
    </row>
    <row r="23" ht="15.75" customHeight="1">
      <c r="A23" s="48" t="s">
        <v>9</v>
      </c>
      <c r="B23" s="49">
        <v>11.0</v>
      </c>
      <c r="C23" s="49">
        <v>2.3456789E7</v>
      </c>
      <c r="D23" s="50" t="s">
        <v>61</v>
      </c>
      <c r="E23" s="51">
        <v>1.0</v>
      </c>
      <c r="F23" s="50" t="s">
        <v>14</v>
      </c>
      <c r="G23" s="50">
        <v>0.0</v>
      </c>
      <c r="H23" s="77">
        <v>232.48</v>
      </c>
      <c r="I23" s="50" t="s">
        <v>22</v>
      </c>
      <c r="J23" s="53">
        <f t="shared" si="2"/>
        <v>4765.84</v>
      </c>
      <c r="K23" s="54">
        <f t="shared" si="3"/>
        <v>4765.84</v>
      </c>
      <c r="L23" s="54">
        <f>('VEA CLIENTE'!$K23/(1-'VEA CLIENTE'!$M23))-'VEA CLIENTE'!$K23</f>
        <v>712.1370115</v>
      </c>
      <c r="M23" s="55">
        <v>0.13</v>
      </c>
      <c r="N23" s="55">
        <v>0.0</v>
      </c>
      <c r="O23" s="55">
        <v>0.0</v>
      </c>
      <c r="P23" s="53">
        <f t="shared" si="4"/>
        <v>5477.977011</v>
      </c>
      <c r="Q23" s="56" t="s">
        <v>53</v>
      </c>
      <c r="R23" s="53">
        <f t="shared" si="5"/>
        <v>5477.977011</v>
      </c>
      <c r="S23" s="53">
        <f>IF('VEA CLIENTE'!$E23&gt;0,'VEA CLIENTE'!$T23/'VEA CLIENTE'!$E23,0)</f>
        <v>7449</v>
      </c>
      <c r="T23" s="53">
        <f t="shared" si="6"/>
        <v>7449</v>
      </c>
      <c r="U23" s="57"/>
      <c r="V23" s="2"/>
      <c r="W23" s="58"/>
      <c r="X23" s="59"/>
      <c r="Y23" s="71"/>
      <c r="Z23" s="71"/>
      <c r="AA23" s="62">
        <f>'VEA CLIENTE'!$Z23/(1-'VEA CLIENTE'!$AB23)-'VEA CLIENTE'!$Z23</f>
        <v>0</v>
      </c>
      <c r="AB23" s="72">
        <f t="shared" ref="AB23:AD23" si="32">AB$2</f>
        <v>0.13</v>
      </c>
      <c r="AC23" s="72">
        <f t="shared" si="32"/>
        <v>0</v>
      </c>
      <c r="AD23" s="72">
        <f t="shared" si="32"/>
        <v>0</v>
      </c>
      <c r="AE23" s="53">
        <f t="shared" si="7"/>
        <v>0</v>
      </c>
      <c r="AF23" s="63"/>
      <c r="AG23" s="2"/>
      <c r="AH23" s="64"/>
      <c r="AI23" s="73"/>
      <c r="AJ23" s="73"/>
      <c r="AK23" s="62">
        <f>'VEA CLIENTE'!$AJ23/(1-'VEA CLIENTE'!$AL23)-'VEA CLIENTE'!$AJ23</f>
        <v>0</v>
      </c>
      <c r="AL23" s="74">
        <f t="shared" ref="AL23:AN23" si="33">AL$2</f>
        <v>0.13</v>
      </c>
      <c r="AM23" s="74">
        <f t="shared" si="33"/>
        <v>0</v>
      </c>
      <c r="AN23" s="74">
        <f t="shared" si="33"/>
        <v>0</v>
      </c>
      <c r="AO23" s="53">
        <f t="shared" si="8"/>
        <v>0</v>
      </c>
      <c r="AP23" s="76" t="str">
        <f t="shared" ref="AP23:AQ23" si="34">AP$2</f>
        <v>NO</v>
      </c>
      <c r="AQ23" s="76" t="str">
        <f t="shared" si="34"/>
        <v>NO</v>
      </c>
      <c r="AR23" s="53">
        <f t="shared" si="9"/>
        <v>0</v>
      </c>
      <c r="AS23" s="53">
        <f t="shared" si="10"/>
        <v>0</v>
      </c>
      <c r="AT23" s="54">
        <f t="shared" si="11"/>
        <v>0</v>
      </c>
      <c r="AU23" s="68"/>
      <c r="AV23" s="2"/>
    </row>
    <row r="24" ht="15.75" customHeight="1">
      <c r="A24" s="48" t="s">
        <v>9</v>
      </c>
      <c r="B24" s="49">
        <v>12.0</v>
      </c>
      <c r="C24" s="49">
        <v>2.3456789E7</v>
      </c>
      <c r="D24" s="50" t="s">
        <v>62</v>
      </c>
      <c r="E24" s="51">
        <v>2.0</v>
      </c>
      <c r="F24" s="50" t="s">
        <v>14</v>
      </c>
      <c r="G24" s="50">
        <v>0.0</v>
      </c>
      <c r="H24" s="77">
        <v>94.49</v>
      </c>
      <c r="I24" s="50" t="s">
        <v>22</v>
      </c>
      <c r="J24" s="53">
        <f t="shared" si="2"/>
        <v>1937.045</v>
      </c>
      <c r="K24" s="54">
        <f t="shared" si="3"/>
        <v>3874.09</v>
      </c>
      <c r="L24" s="54">
        <f>('VEA CLIENTE'!$K24/(1-'VEA CLIENTE'!$M24))-'VEA CLIENTE'!$K24</f>
        <v>578.8870115</v>
      </c>
      <c r="M24" s="55">
        <v>0.13</v>
      </c>
      <c r="N24" s="55">
        <v>0.0</v>
      </c>
      <c r="O24" s="55">
        <v>0.0</v>
      </c>
      <c r="P24" s="53">
        <f t="shared" si="4"/>
        <v>4452.977011</v>
      </c>
      <c r="Q24" s="56" t="s">
        <v>53</v>
      </c>
      <c r="R24" s="53">
        <f t="shared" si="5"/>
        <v>4452.977011</v>
      </c>
      <c r="S24" s="53">
        <f>IF('VEA CLIENTE'!$E24&gt;0,'VEA CLIENTE'!$T24/'VEA CLIENTE'!$E24,0)</f>
        <v>3027.5</v>
      </c>
      <c r="T24" s="53">
        <f t="shared" si="6"/>
        <v>6055</v>
      </c>
      <c r="U24" s="57"/>
      <c r="V24" s="2"/>
      <c r="W24" s="58"/>
      <c r="X24" s="59"/>
      <c r="Y24" s="71"/>
      <c r="Z24" s="71"/>
      <c r="AA24" s="62">
        <f>'VEA CLIENTE'!$Z24/(1-'VEA CLIENTE'!$AB24)-'VEA CLIENTE'!$Z24</f>
        <v>0</v>
      </c>
      <c r="AB24" s="72">
        <f t="shared" ref="AB24:AD24" si="35">AB$2</f>
        <v>0.13</v>
      </c>
      <c r="AC24" s="72">
        <f t="shared" si="35"/>
        <v>0</v>
      </c>
      <c r="AD24" s="72">
        <f t="shared" si="35"/>
        <v>0</v>
      </c>
      <c r="AE24" s="53">
        <f t="shared" si="7"/>
        <v>0</v>
      </c>
      <c r="AF24" s="63"/>
      <c r="AG24" s="2"/>
      <c r="AH24" s="64"/>
      <c r="AI24" s="73"/>
      <c r="AJ24" s="73"/>
      <c r="AK24" s="62">
        <f>'VEA CLIENTE'!$AJ24/(1-'VEA CLIENTE'!$AL24)-'VEA CLIENTE'!$AJ24</f>
        <v>0</v>
      </c>
      <c r="AL24" s="74">
        <f t="shared" ref="AL24:AN24" si="36">AL$2</f>
        <v>0.13</v>
      </c>
      <c r="AM24" s="74">
        <f t="shared" si="36"/>
        <v>0</v>
      </c>
      <c r="AN24" s="74">
        <f t="shared" si="36"/>
        <v>0</v>
      </c>
      <c r="AO24" s="53">
        <f t="shared" si="8"/>
        <v>0</v>
      </c>
      <c r="AP24" s="76" t="str">
        <f t="shared" ref="AP24:AQ24" si="37">AP$2</f>
        <v>NO</v>
      </c>
      <c r="AQ24" s="76" t="str">
        <f t="shared" si="37"/>
        <v>NO</v>
      </c>
      <c r="AR24" s="53">
        <f t="shared" si="9"/>
        <v>0</v>
      </c>
      <c r="AS24" s="53">
        <f t="shared" si="10"/>
        <v>0</v>
      </c>
      <c r="AT24" s="54">
        <f t="shared" si="11"/>
        <v>0</v>
      </c>
      <c r="AU24" s="68"/>
      <c r="AV24" s="2"/>
    </row>
    <row r="25" ht="15.75" customHeight="1">
      <c r="A25" s="48" t="s">
        <v>9</v>
      </c>
      <c r="B25" s="49">
        <v>13.0</v>
      </c>
      <c r="C25" s="49">
        <v>2.3456789E7</v>
      </c>
      <c r="D25" s="50" t="s">
        <v>63</v>
      </c>
      <c r="E25" s="51">
        <v>1.0</v>
      </c>
      <c r="F25" s="50" t="s">
        <v>14</v>
      </c>
      <c r="G25" s="50">
        <v>0.0</v>
      </c>
      <c r="H25" s="77">
        <v>49.32</v>
      </c>
      <c r="I25" s="50" t="s">
        <v>22</v>
      </c>
      <c r="J25" s="53">
        <f t="shared" si="2"/>
        <v>1011.06</v>
      </c>
      <c r="K25" s="54">
        <f t="shared" si="3"/>
        <v>1011.06</v>
      </c>
      <c r="L25" s="54">
        <f>('VEA CLIENTE'!$K25/(1-'VEA CLIENTE'!$M25))-'VEA CLIENTE'!$K25</f>
        <v>151.077931</v>
      </c>
      <c r="M25" s="55">
        <v>0.13</v>
      </c>
      <c r="N25" s="55">
        <v>0.0</v>
      </c>
      <c r="O25" s="55">
        <v>0.0</v>
      </c>
      <c r="P25" s="53">
        <f t="shared" si="4"/>
        <v>1162.137931</v>
      </c>
      <c r="Q25" s="56" t="s">
        <v>53</v>
      </c>
      <c r="R25" s="53">
        <f t="shared" si="5"/>
        <v>1162.137931</v>
      </c>
      <c r="S25" s="53">
        <f>IF('VEA CLIENTE'!$E25&gt;0,'VEA CLIENTE'!$T25/'VEA CLIENTE'!$E25,0)</f>
        <v>1581</v>
      </c>
      <c r="T25" s="53">
        <f t="shared" si="6"/>
        <v>1581</v>
      </c>
      <c r="U25" s="57"/>
      <c r="V25" s="2"/>
      <c r="W25" s="58"/>
      <c r="X25" s="59"/>
      <c r="Y25" s="71"/>
      <c r="Z25" s="71"/>
      <c r="AA25" s="62">
        <f>'VEA CLIENTE'!$Z25/(1-'VEA CLIENTE'!$AB25)-'VEA CLIENTE'!$Z25</f>
        <v>0</v>
      </c>
      <c r="AB25" s="72">
        <f t="shared" ref="AB25:AD25" si="38">AB$2</f>
        <v>0.13</v>
      </c>
      <c r="AC25" s="72">
        <f t="shared" si="38"/>
        <v>0</v>
      </c>
      <c r="AD25" s="72">
        <f t="shared" si="38"/>
        <v>0</v>
      </c>
      <c r="AE25" s="53">
        <f t="shared" si="7"/>
        <v>0</v>
      </c>
      <c r="AF25" s="63"/>
      <c r="AG25" s="2"/>
      <c r="AH25" s="64"/>
      <c r="AI25" s="73"/>
      <c r="AJ25" s="73"/>
      <c r="AK25" s="62">
        <f>'VEA CLIENTE'!$AJ25/(1-'VEA CLIENTE'!$AL25)-'VEA CLIENTE'!$AJ25</f>
        <v>0</v>
      </c>
      <c r="AL25" s="74">
        <f t="shared" ref="AL25:AN25" si="39">AL$2</f>
        <v>0.13</v>
      </c>
      <c r="AM25" s="74">
        <f t="shared" si="39"/>
        <v>0</v>
      </c>
      <c r="AN25" s="74">
        <f t="shared" si="39"/>
        <v>0</v>
      </c>
      <c r="AO25" s="53">
        <f t="shared" si="8"/>
        <v>0</v>
      </c>
      <c r="AP25" s="76" t="str">
        <f t="shared" ref="AP25:AQ25" si="40">AP$2</f>
        <v>NO</v>
      </c>
      <c r="AQ25" s="76" t="str">
        <f t="shared" si="40"/>
        <v>NO</v>
      </c>
      <c r="AR25" s="53">
        <f t="shared" si="9"/>
        <v>0</v>
      </c>
      <c r="AS25" s="53">
        <f t="shared" si="10"/>
        <v>0</v>
      </c>
      <c r="AT25" s="54">
        <f t="shared" si="11"/>
        <v>0</v>
      </c>
      <c r="AU25" s="68"/>
      <c r="AV25" s="2"/>
    </row>
    <row r="26" ht="15.75" customHeight="1">
      <c r="A26" s="48" t="s">
        <v>9</v>
      </c>
      <c r="B26" s="49">
        <v>14.0</v>
      </c>
      <c r="C26" s="49">
        <v>2.3456789E7</v>
      </c>
      <c r="D26" s="50" t="s">
        <v>64</v>
      </c>
      <c r="E26" s="51">
        <v>1.0</v>
      </c>
      <c r="F26" s="50" t="s">
        <v>14</v>
      </c>
      <c r="G26" s="50">
        <v>0.0</v>
      </c>
      <c r="H26" s="77">
        <v>56.55</v>
      </c>
      <c r="I26" s="50" t="s">
        <v>22</v>
      </c>
      <c r="J26" s="53">
        <f t="shared" si="2"/>
        <v>1159.275</v>
      </c>
      <c r="K26" s="54">
        <f t="shared" si="3"/>
        <v>1159.275</v>
      </c>
      <c r="L26" s="54">
        <f>('VEA CLIENTE'!$K26/(1-'VEA CLIENTE'!$M26))-'VEA CLIENTE'!$K26</f>
        <v>173.225</v>
      </c>
      <c r="M26" s="55">
        <v>0.13</v>
      </c>
      <c r="N26" s="55">
        <v>0.0</v>
      </c>
      <c r="O26" s="55">
        <v>0.05</v>
      </c>
      <c r="P26" s="53">
        <f t="shared" si="4"/>
        <v>1402.631579</v>
      </c>
      <c r="Q26" s="56" t="s">
        <v>53</v>
      </c>
      <c r="R26" s="53">
        <f t="shared" si="5"/>
        <v>1402.631579</v>
      </c>
      <c r="S26" s="53">
        <f>IF('VEA CLIENTE'!$E26&gt;0,'VEA CLIENTE'!$T26/'VEA CLIENTE'!$E26,0)</f>
        <v>1908</v>
      </c>
      <c r="T26" s="53">
        <f t="shared" si="6"/>
        <v>1908</v>
      </c>
      <c r="U26" s="57"/>
      <c r="V26" s="2"/>
      <c r="W26" s="58"/>
      <c r="X26" s="59"/>
      <c r="Y26" s="71"/>
      <c r="Z26" s="71"/>
      <c r="AA26" s="62">
        <f>'VEA CLIENTE'!$Z26/(1-'VEA CLIENTE'!$AB26)-'VEA CLIENTE'!$Z26</f>
        <v>0</v>
      </c>
      <c r="AB26" s="72">
        <f t="shared" ref="AB26:AD26" si="41">AB$2</f>
        <v>0.13</v>
      </c>
      <c r="AC26" s="72">
        <f t="shared" si="41"/>
        <v>0</v>
      </c>
      <c r="AD26" s="72">
        <f t="shared" si="41"/>
        <v>0</v>
      </c>
      <c r="AE26" s="53">
        <f t="shared" si="7"/>
        <v>0</v>
      </c>
      <c r="AF26" s="63"/>
      <c r="AG26" s="2"/>
      <c r="AH26" s="64"/>
      <c r="AI26" s="73"/>
      <c r="AJ26" s="73"/>
      <c r="AK26" s="62">
        <f>'VEA CLIENTE'!$AJ26/(1-'VEA CLIENTE'!$AL26)-'VEA CLIENTE'!$AJ26</f>
        <v>0</v>
      </c>
      <c r="AL26" s="74">
        <f t="shared" ref="AL26:AN26" si="42">AL$2</f>
        <v>0.13</v>
      </c>
      <c r="AM26" s="74">
        <f t="shared" si="42"/>
        <v>0</v>
      </c>
      <c r="AN26" s="74">
        <f t="shared" si="42"/>
        <v>0</v>
      </c>
      <c r="AO26" s="53">
        <f t="shared" si="8"/>
        <v>0</v>
      </c>
      <c r="AP26" s="76" t="str">
        <f t="shared" ref="AP26:AQ26" si="43">AP$2</f>
        <v>NO</v>
      </c>
      <c r="AQ26" s="76" t="str">
        <f t="shared" si="43"/>
        <v>NO</v>
      </c>
      <c r="AR26" s="53">
        <f t="shared" si="9"/>
        <v>0</v>
      </c>
      <c r="AS26" s="53">
        <f t="shared" si="10"/>
        <v>0</v>
      </c>
      <c r="AT26" s="54">
        <f t="shared" si="11"/>
        <v>0</v>
      </c>
      <c r="AU26" s="68"/>
      <c r="AV26" s="2"/>
    </row>
    <row r="27" ht="15.75" customHeight="1">
      <c r="A27" s="48" t="s">
        <v>9</v>
      </c>
      <c r="B27" s="49">
        <v>15.0</v>
      </c>
      <c r="C27" s="49">
        <v>2.3456789E7</v>
      </c>
      <c r="D27" s="50" t="s">
        <v>65</v>
      </c>
      <c r="E27" s="51">
        <v>2.0</v>
      </c>
      <c r="F27" s="50" t="s">
        <v>14</v>
      </c>
      <c r="G27" s="50">
        <v>0.0</v>
      </c>
      <c r="H27" s="77">
        <v>29.39</v>
      </c>
      <c r="I27" s="50" t="s">
        <v>22</v>
      </c>
      <c r="J27" s="53">
        <f t="shared" si="2"/>
        <v>602.495</v>
      </c>
      <c r="K27" s="54">
        <f t="shared" si="3"/>
        <v>1204.99</v>
      </c>
      <c r="L27" s="54">
        <f>('VEA CLIENTE'!$K27/(1-'VEA CLIENTE'!$M27))-'VEA CLIENTE'!$K27</f>
        <v>180.055977</v>
      </c>
      <c r="M27" s="55">
        <v>0.13</v>
      </c>
      <c r="N27" s="55">
        <v>0.0</v>
      </c>
      <c r="O27" s="55">
        <v>0.0</v>
      </c>
      <c r="P27" s="53">
        <f t="shared" si="4"/>
        <v>1385.045977</v>
      </c>
      <c r="Q27" s="56" t="s">
        <v>53</v>
      </c>
      <c r="R27" s="53">
        <f t="shared" si="5"/>
        <v>1385.045977</v>
      </c>
      <c r="S27" s="53">
        <f>IF('VEA CLIENTE'!$E27&gt;0,'VEA CLIENTE'!$T27/'VEA CLIENTE'!$E27,0)</f>
        <v>942</v>
      </c>
      <c r="T27" s="53">
        <f t="shared" si="6"/>
        <v>1884</v>
      </c>
      <c r="U27" s="57"/>
      <c r="V27" s="2"/>
      <c r="W27" s="58"/>
      <c r="X27" s="59"/>
      <c r="Y27" s="71"/>
      <c r="Z27" s="71"/>
      <c r="AA27" s="62">
        <f>'VEA CLIENTE'!$Z27/(1-'VEA CLIENTE'!$AB27)-'VEA CLIENTE'!$Z27</f>
        <v>0</v>
      </c>
      <c r="AB27" s="72">
        <f t="shared" ref="AB27:AD27" si="44">AB$2</f>
        <v>0.13</v>
      </c>
      <c r="AC27" s="72">
        <f t="shared" si="44"/>
        <v>0</v>
      </c>
      <c r="AD27" s="72">
        <f t="shared" si="44"/>
        <v>0</v>
      </c>
      <c r="AE27" s="53">
        <f t="shared" si="7"/>
        <v>0</v>
      </c>
      <c r="AF27" s="63"/>
      <c r="AG27" s="2"/>
      <c r="AH27" s="64"/>
      <c r="AI27" s="73"/>
      <c r="AJ27" s="73"/>
      <c r="AK27" s="62">
        <f>'VEA CLIENTE'!$AJ27/(1-'VEA CLIENTE'!$AL27)-'VEA CLIENTE'!$AJ27</f>
        <v>0</v>
      </c>
      <c r="AL27" s="74">
        <f t="shared" ref="AL27:AN27" si="45">AL$2</f>
        <v>0.13</v>
      </c>
      <c r="AM27" s="74">
        <f t="shared" si="45"/>
        <v>0</v>
      </c>
      <c r="AN27" s="74">
        <f t="shared" si="45"/>
        <v>0</v>
      </c>
      <c r="AO27" s="53">
        <f t="shared" si="8"/>
        <v>0</v>
      </c>
      <c r="AP27" s="76" t="str">
        <f t="shared" ref="AP27:AQ27" si="46">AP$2</f>
        <v>NO</v>
      </c>
      <c r="AQ27" s="76" t="str">
        <f t="shared" si="46"/>
        <v>NO</v>
      </c>
      <c r="AR27" s="53">
        <f t="shared" si="9"/>
        <v>0</v>
      </c>
      <c r="AS27" s="53">
        <f t="shared" si="10"/>
        <v>0</v>
      </c>
      <c r="AT27" s="54">
        <f t="shared" si="11"/>
        <v>0</v>
      </c>
      <c r="AU27" s="68"/>
      <c r="AV27" s="2"/>
    </row>
    <row r="28" ht="15.75" customHeight="1">
      <c r="A28" s="48" t="s">
        <v>9</v>
      </c>
      <c r="B28" s="49">
        <v>16.0</v>
      </c>
      <c r="C28" s="49">
        <v>2.3456789E7</v>
      </c>
      <c r="D28" s="50" t="s">
        <v>66</v>
      </c>
      <c r="E28" s="51">
        <v>50.0</v>
      </c>
      <c r="F28" s="50" t="s">
        <v>14</v>
      </c>
      <c r="G28" s="50">
        <v>0.0</v>
      </c>
      <c r="H28" s="77">
        <v>0.32</v>
      </c>
      <c r="I28" s="50" t="s">
        <v>22</v>
      </c>
      <c r="J28" s="53">
        <f t="shared" si="2"/>
        <v>6.56</v>
      </c>
      <c r="K28" s="54">
        <f t="shared" si="3"/>
        <v>328</v>
      </c>
      <c r="L28" s="54">
        <f>('VEA CLIENTE'!$K28/(1-'VEA CLIENTE'!$M28))-'VEA CLIENTE'!$K28</f>
        <v>49.01149425</v>
      </c>
      <c r="M28" s="55">
        <v>0.13</v>
      </c>
      <c r="N28" s="55">
        <v>0.0</v>
      </c>
      <c r="O28" s="55">
        <v>0.0</v>
      </c>
      <c r="P28" s="53">
        <f t="shared" si="4"/>
        <v>377.0114943</v>
      </c>
      <c r="Q28" s="56" t="s">
        <v>53</v>
      </c>
      <c r="R28" s="53">
        <f t="shared" si="5"/>
        <v>377.0114943</v>
      </c>
      <c r="S28" s="53">
        <f>IF('VEA CLIENTE'!$E28&gt;0,'VEA CLIENTE'!$T28/'VEA CLIENTE'!$E28,0)</f>
        <v>10.26</v>
      </c>
      <c r="T28" s="53">
        <f t="shared" si="6"/>
        <v>513</v>
      </c>
      <c r="U28" s="57"/>
      <c r="V28" s="2"/>
      <c r="W28" s="58"/>
      <c r="X28" s="59"/>
      <c r="Y28" s="71"/>
      <c r="Z28" s="71"/>
      <c r="AA28" s="62">
        <f>'VEA CLIENTE'!$Z28/(1-'VEA CLIENTE'!$AB28)-'VEA CLIENTE'!$Z28</f>
        <v>0</v>
      </c>
      <c r="AB28" s="72">
        <f t="shared" ref="AB28:AD28" si="47">AB$2</f>
        <v>0.13</v>
      </c>
      <c r="AC28" s="72">
        <f t="shared" si="47"/>
        <v>0</v>
      </c>
      <c r="AD28" s="72">
        <f t="shared" si="47"/>
        <v>0</v>
      </c>
      <c r="AE28" s="53">
        <f t="shared" si="7"/>
        <v>0</v>
      </c>
      <c r="AF28" s="63"/>
      <c r="AG28" s="2"/>
      <c r="AH28" s="64"/>
      <c r="AI28" s="73"/>
      <c r="AJ28" s="73"/>
      <c r="AK28" s="62">
        <f>'VEA CLIENTE'!$AJ28/(1-'VEA CLIENTE'!$AL28)-'VEA CLIENTE'!$AJ28</f>
        <v>0</v>
      </c>
      <c r="AL28" s="74">
        <f t="shared" ref="AL28:AN28" si="48">AL$2</f>
        <v>0.13</v>
      </c>
      <c r="AM28" s="74">
        <f t="shared" si="48"/>
        <v>0</v>
      </c>
      <c r="AN28" s="74">
        <f t="shared" si="48"/>
        <v>0</v>
      </c>
      <c r="AO28" s="53">
        <f t="shared" si="8"/>
        <v>0</v>
      </c>
      <c r="AP28" s="76" t="str">
        <f t="shared" ref="AP28:AQ28" si="49">AP$2</f>
        <v>NO</v>
      </c>
      <c r="AQ28" s="76" t="str">
        <f t="shared" si="49"/>
        <v>NO</v>
      </c>
      <c r="AR28" s="53">
        <f t="shared" si="9"/>
        <v>0</v>
      </c>
      <c r="AS28" s="53">
        <f t="shared" si="10"/>
        <v>0</v>
      </c>
      <c r="AT28" s="54">
        <f t="shared" si="11"/>
        <v>0</v>
      </c>
      <c r="AU28" s="68"/>
      <c r="AV28" s="2"/>
    </row>
    <row r="29" ht="15.75" customHeight="1">
      <c r="A29" s="48" t="s">
        <v>9</v>
      </c>
      <c r="B29" s="49">
        <v>17.0</v>
      </c>
      <c r="C29" s="49">
        <v>2.3456789E7</v>
      </c>
      <c r="D29" s="50" t="s">
        <v>67</v>
      </c>
      <c r="E29" s="51">
        <v>1.0</v>
      </c>
      <c r="F29" s="50" t="s">
        <v>14</v>
      </c>
      <c r="G29" s="50">
        <v>0.0</v>
      </c>
      <c r="H29" s="77">
        <v>1112.07</v>
      </c>
      <c r="I29" s="50" t="s">
        <v>20</v>
      </c>
      <c r="J29" s="53">
        <f t="shared" si="2"/>
        <v>1112.07</v>
      </c>
      <c r="K29" s="54">
        <f t="shared" si="3"/>
        <v>1112.07</v>
      </c>
      <c r="L29" s="54">
        <f>('VEA CLIENTE'!$K29/(1-'VEA CLIENTE'!$M29))-'VEA CLIENTE'!$K29</f>
        <v>166.1713793</v>
      </c>
      <c r="M29" s="55">
        <v>0.13</v>
      </c>
      <c r="N29" s="55">
        <v>0.0</v>
      </c>
      <c r="O29" s="55">
        <v>0.0</v>
      </c>
      <c r="P29" s="53">
        <f t="shared" si="4"/>
        <v>1278.241379</v>
      </c>
      <c r="Q29" s="56" t="s">
        <v>53</v>
      </c>
      <c r="R29" s="53">
        <f t="shared" si="5"/>
        <v>1278.241379</v>
      </c>
      <c r="S29" s="53">
        <f>IF('VEA CLIENTE'!$E29&gt;0,'VEA CLIENTE'!$T29/'VEA CLIENTE'!$E29,0)</f>
        <v>1738</v>
      </c>
      <c r="T29" s="53">
        <f t="shared" si="6"/>
        <v>1738</v>
      </c>
      <c r="U29" s="57"/>
      <c r="V29" s="2"/>
      <c r="W29" s="58"/>
      <c r="X29" s="59"/>
      <c r="Y29" s="71"/>
      <c r="Z29" s="71"/>
      <c r="AA29" s="62">
        <f>'VEA CLIENTE'!$Z29/(1-'VEA CLIENTE'!$AB29)-'VEA CLIENTE'!$Z29</f>
        <v>0</v>
      </c>
      <c r="AB29" s="72">
        <f t="shared" ref="AB29:AD29" si="50">AB$2</f>
        <v>0.13</v>
      </c>
      <c r="AC29" s="72">
        <f t="shared" si="50"/>
        <v>0</v>
      </c>
      <c r="AD29" s="72">
        <f t="shared" si="50"/>
        <v>0</v>
      </c>
      <c r="AE29" s="53">
        <f t="shared" si="7"/>
        <v>0</v>
      </c>
      <c r="AF29" s="63"/>
      <c r="AG29" s="2"/>
      <c r="AH29" s="64"/>
      <c r="AI29" s="73"/>
      <c r="AJ29" s="73"/>
      <c r="AK29" s="62">
        <f>'VEA CLIENTE'!$AJ29/(1-'VEA CLIENTE'!$AL29)-'VEA CLIENTE'!$AJ29</f>
        <v>0</v>
      </c>
      <c r="AL29" s="74">
        <f t="shared" ref="AL29:AN29" si="51">AL$2</f>
        <v>0.13</v>
      </c>
      <c r="AM29" s="74">
        <f t="shared" si="51"/>
        <v>0</v>
      </c>
      <c r="AN29" s="74">
        <f t="shared" si="51"/>
        <v>0</v>
      </c>
      <c r="AO29" s="53">
        <f t="shared" si="8"/>
        <v>0</v>
      </c>
      <c r="AP29" s="76" t="str">
        <f t="shared" ref="AP29:AQ29" si="52">AP$2</f>
        <v>NO</v>
      </c>
      <c r="AQ29" s="76" t="str">
        <f t="shared" si="52"/>
        <v>NO</v>
      </c>
      <c r="AR29" s="53">
        <f t="shared" si="9"/>
        <v>0</v>
      </c>
      <c r="AS29" s="53">
        <f t="shared" si="10"/>
        <v>0</v>
      </c>
      <c r="AT29" s="54">
        <f t="shared" si="11"/>
        <v>0</v>
      </c>
      <c r="AU29" s="68"/>
      <c r="AV29" s="2"/>
    </row>
    <row r="30" ht="15.75" customHeight="1">
      <c r="A30" s="48" t="s">
        <v>9</v>
      </c>
      <c r="B30" s="49">
        <v>18.0</v>
      </c>
      <c r="C30" s="49">
        <v>2.3456789E7</v>
      </c>
      <c r="D30" s="50" t="s">
        <v>68</v>
      </c>
      <c r="E30" s="51">
        <v>1.0</v>
      </c>
      <c r="F30" s="50" t="s">
        <v>14</v>
      </c>
      <c r="G30" s="50">
        <v>0.0</v>
      </c>
      <c r="H30" s="77">
        <v>198.28</v>
      </c>
      <c r="I30" s="50" t="s">
        <v>20</v>
      </c>
      <c r="J30" s="53">
        <f t="shared" si="2"/>
        <v>198.28</v>
      </c>
      <c r="K30" s="54">
        <f t="shared" si="3"/>
        <v>198.28</v>
      </c>
      <c r="L30" s="54">
        <f>('VEA CLIENTE'!$K30/(1-'VEA CLIENTE'!$M30))-'VEA CLIENTE'!$K30</f>
        <v>29.62804598</v>
      </c>
      <c r="M30" s="55">
        <v>0.13</v>
      </c>
      <c r="N30" s="55">
        <v>0.0</v>
      </c>
      <c r="O30" s="55">
        <v>0.0</v>
      </c>
      <c r="P30" s="53">
        <f t="shared" si="4"/>
        <v>227.908046</v>
      </c>
      <c r="Q30" s="56" t="s">
        <v>53</v>
      </c>
      <c r="R30" s="53">
        <f t="shared" si="5"/>
        <v>227.908046</v>
      </c>
      <c r="S30" s="53">
        <f>IF('VEA CLIENTE'!$E30&gt;0,'VEA CLIENTE'!$T30/'VEA CLIENTE'!$E30,0)</f>
        <v>310</v>
      </c>
      <c r="T30" s="53">
        <f t="shared" si="6"/>
        <v>310</v>
      </c>
      <c r="U30" s="57"/>
      <c r="V30" s="2"/>
      <c r="W30" s="58"/>
      <c r="X30" s="59"/>
      <c r="Y30" s="71"/>
      <c r="Z30" s="71"/>
      <c r="AA30" s="62">
        <f>'VEA CLIENTE'!$Z30/(1-'VEA CLIENTE'!$AB30)-'VEA CLIENTE'!$Z30</f>
        <v>0</v>
      </c>
      <c r="AB30" s="72">
        <f t="shared" ref="AB30:AD30" si="53">AB$2</f>
        <v>0.13</v>
      </c>
      <c r="AC30" s="72">
        <f t="shared" si="53"/>
        <v>0</v>
      </c>
      <c r="AD30" s="72">
        <f t="shared" si="53"/>
        <v>0</v>
      </c>
      <c r="AE30" s="53">
        <f t="shared" si="7"/>
        <v>0</v>
      </c>
      <c r="AF30" s="63"/>
      <c r="AG30" s="2"/>
      <c r="AH30" s="64"/>
      <c r="AI30" s="73"/>
      <c r="AJ30" s="73"/>
      <c r="AK30" s="62">
        <f>'VEA CLIENTE'!$AJ30/(1-'VEA CLIENTE'!$AL30)-'VEA CLIENTE'!$AJ30</f>
        <v>0</v>
      </c>
      <c r="AL30" s="74">
        <f t="shared" ref="AL30:AN30" si="54">AL$2</f>
        <v>0.13</v>
      </c>
      <c r="AM30" s="74">
        <f t="shared" si="54"/>
        <v>0</v>
      </c>
      <c r="AN30" s="74">
        <f t="shared" si="54"/>
        <v>0</v>
      </c>
      <c r="AO30" s="53">
        <f t="shared" si="8"/>
        <v>0</v>
      </c>
      <c r="AP30" s="76" t="str">
        <f t="shared" ref="AP30:AQ30" si="55">AP$2</f>
        <v>NO</v>
      </c>
      <c r="AQ30" s="76" t="str">
        <f t="shared" si="55"/>
        <v>NO</v>
      </c>
      <c r="AR30" s="53">
        <f t="shared" si="9"/>
        <v>0</v>
      </c>
      <c r="AS30" s="53">
        <f t="shared" si="10"/>
        <v>0</v>
      </c>
      <c r="AT30" s="54">
        <f t="shared" si="11"/>
        <v>0</v>
      </c>
      <c r="AU30" s="68"/>
      <c r="AV30" s="2"/>
    </row>
    <row r="31" ht="15.75" customHeight="1">
      <c r="A31" s="48" t="s">
        <v>9</v>
      </c>
      <c r="B31" s="49">
        <v>19.0</v>
      </c>
      <c r="C31" s="49">
        <v>2.3456789E7</v>
      </c>
      <c r="D31" s="50" t="s">
        <v>69</v>
      </c>
      <c r="E31" s="51">
        <v>2.0</v>
      </c>
      <c r="F31" s="50" t="s">
        <v>14</v>
      </c>
      <c r="G31" s="50">
        <v>0.0</v>
      </c>
      <c r="H31" s="77">
        <v>4499.0</v>
      </c>
      <c r="I31" s="50" t="s">
        <v>20</v>
      </c>
      <c r="J31" s="53">
        <f t="shared" si="2"/>
        <v>4499</v>
      </c>
      <c r="K31" s="54">
        <f t="shared" si="3"/>
        <v>8998</v>
      </c>
      <c r="L31" s="54">
        <f>('VEA CLIENTE'!$K31/(1-'VEA CLIENTE'!$M31))-'VEA CLIENTE'!$K31</f>
        <v>1344.528736</v>
      </c>
      <c r="M31" s="55">
        <v>0.13</v>
      </c>
      <c r="N31" s="55">
        <v>0.0</v>
      </c>
      <c r="O31" s="55">
        <v>0.0</v>
      </c>
      <c r="P31" s="53">
        <f t="shared" si="4"/>
        <v>10342.52874</v>
      </c>
      <c r="Q31" s="56" t="s">
        <v>53</v>
      </c>
      <c r="R31" s="53">
        <f t="shared" si="5"/>
        <v>10342.52874</v>
      </c>
      <c r="S31" s="53">
        <f>IF('VEA CLIENTE'!$E31&gt;0,'VEA CLIENTE'!$T31/'VEA CLIENTE'!$E31,0)</f>
        <v>7031.5</v>
      </c>
      <c r="T31" s="53">
        <f t="shared" si="6"/>
        <v>14063</v>
      </c>
      <c r="U31" s="57"/>
      <c r="V31" s="2"/>
      <c r="W31" s="58"/>
      <c r="X31" s="59"/>
      <c r="Y31" s="71"/>
      <c r="Z31" s="71"/>
      <c r="AA31" s="62">
        <f>'VEA CLIENTE'!$Z31/(1-'VEA CLIENTE'!$AB31)-'VEA CLIENTE'!$Z31</f>
        <v>0</v>
      </c>
      <c r="AB31" s="72">
        <f t="shared" ref="AB31:AD31" si="56">AB$2</f>
        <v>0.13</v>
      </c>
      <c r="AC31" s="72">
        <f t="shared" si="56"/>
        <v>0</v>
      </c>
      <c r="AD31" s="72">
        <f t="shared" si="56"/>
        <v>0</v>
      </c>
      <c r="AE31" s="53">
        <f t="shared" si="7"/>
        <v>0</v>
      </c>
      <c r="AF31" s="63"/>
      <c r="AG31" s="2"/>
      <c r="AH31" s="64"/>
      <c r="AI31" s="73"/>
      <c r="AJ31" s="73"/>
      <c r="AK31" s="62">
        <f>'VEA CLIENTE'!$AJ31/(1-'VEA CLIENTE'!$AL31)-'VEA CLIENTE'!$AJ31</f>
        <v>0</v>
      </c>
      <c r="AL31" s="74">
        <f t="shared" ref="AL31:AN31" si="57">AL$2</f>
        <v>0.13</v>
      </c>
      <c r="AM31" s="74">
        <f t="shared" si="57"/>
        <v>0</v>
      </c>
      <c r="AN31" s="74">
        <f t="shared" si="57"/>
        <v>0</v>
      </c>
      <c r="AO31" s="53">
        <f t="shared" si="8"/>
        <v>0</v>
      </c>
      <c r="AP31" s="76" t="str">
        <f t="shared" ref="AP31:AQ31" si="58">AP$2</f>
        <v>NO</v>
      </c>
      <c r="AQ31" s="76" t="str">
        <f t="shared" si="58"/>
        <v>NO</v>
      </c>
      <c r="AR31" s="53">
        <f t="shared" si="9"/>
        <v>0</v>
      </c>
      <c r="AS31" s="53">
        <f t="shared" si="10"/>
        <v>0</v>
      </c>
      <c r="AT31" s="54">
        <f t="shared" si="11"/>
        <v>0</v>
      </c>
      <c r="AU31" s="68"/>
      <c r="AV31" s="2"/>
    </row>
    <row r="32" ht="15.75" customHeight="1">
      <c r="A32" s="48" t="s">
        <v>9</v>
      </c>
      <c r="B32" s="49">
        <v>20.0</v>
      </c>
      <c r="C32" s="49">
        <v>2.3456789E7</v>
      </c>
      <c r="D32" s="50" t="s">
        <v>70</v>
      </c>
      <c r="E32" s="51">
        <v>2.0</v>
      </c>
      <c r="F32" s="50" t="s">
        <v>14</v>
      </c>
      <c r="G32" s="50">
        <v>0.0</v>
      </c>
      <c r="H32" s="77">
        <v>1453.45</v>
      </c>
      <c r="I32" s="50" t="s">
        <v>20</v>
      </c>
      <c r="J32" s="53">
        <f t="shared" si="2"/>
        <v>1453.45</v>
      </c>
      <c r="K32" s="54">
        <f t="shared" si="3"/>
        <v>2906.9</v>
      </c>
      <c r="L32" s="54">
        <f>('VEA CLIENTE'!$K32/(1-'VEA CLIENTE'!$M32))-'VEA CLIENTE'!$K32</f>
        <v>434.3643678</v>
      </c>
      <c r="M32" s="55">
        <v>0.13</v>
      </c>
      <c r="N32" s="55">
        <v>0.0</v>
      </c>
      <c r="O32" s="55">
        <v>0.0</v>
      </c>
      <c r="P32" s="53">
        <f t="shared" si="4"/>
        <v>3341.264368</v>
      </c>
      <c r="Q32" s="56" t="s">
        <v>53</v>
      </c>
      <c r="R32" s="53">
        <f t="shared" si="5"/>
        <v>3341.264368</v>
      </c>
      <c r="S32" s="53">
        <f>IF('VEA CLIENTE'!$E32&gt;0,'VEA CLIENTE'!$T32/'VEA CLIENTE'!$E32,0)</f>
        <v>2271.5</v>
      </c>
      <c r="T32" s="53">
        <f t="shared" si="6"/>
        <v>4543</v>
      </c>
      <c r="U32" s="57"/>
      <c r="V32" s="2"/>
      <c r="W32" s="58"/>
      <c r="X32" s="59"/>
      <c r="Y32" s="71"/>
      <c r="Z32" s="71"/>
      <c r="AA32" s="62">
        <f>'VEA CLIENTE'!$Z32/(1-'VEA CLIENTE'!$AB32)-'VEA CLIENTE'!$Z32</f>
        <v>0</v>
      </c>
      <c r="AB32" s="72">
        <f t="shared" ref="AB32:AD32" si="59">AB$2</f>
        <v>0.13</v>
      </c>
      <c r="AC32" s="72">
        <f t="shared" si="59"/>
        <v>0</v>
      </c>
      <c r="AD32" s="72">
        <f t="shared" si="59"/>
        <v>0</v>
      </c>
      <c r="AE32" s="53">
        <f t="shared" si="7"/>
        <v>0</v>
      </c>
      <c r="AF32" s="63"/>
      <c r="AG32" s="2"/>
      <c r="AH32" s="64"/>
      <c r="AI32" s="73"/>
      <c r="AJ32" s="73"/>
      <c r="AK32" s="62">
        <f>'VEA CLIENTE'!$AJ32/(1-'VEA CLIENTE'!$AL32)-'VEA CLIENTE'!$AJ32</f>
        <v>0</v>
      </c>
      <c r="AL32" s="74">
        <f t="shared" ref="AL32:AN32" si="60">AL$2</f>
        <v>0.13</v>
      </c>
      <c r="AM32" s="74">
        <f t="shared" si="60"/>
        <v>0</v>
      </c>
      <c r="AN32" s="74">
        <f t="shared" si="60"/>
        <v>0</v>
      </c>
      <c r="AO32" s="53">
        <f t="shared" si="8"/>
        <v>0</v>
      </c>
      <c r="AP32" s="76" t="str">
        <f t="shared" ref="AP32:AQ32" si="61">AP$2</f>
        <v>NO</v>
      </c>
      <c r="AQ32" s="76" t="str">
        <f t="shared" si="61"/>
        <v>NO</v>
      </c>
      <c r="AR32" s="53">
        <f t="shared" si="9"/>
        <v>0</v>
      </c>
      <c r="AS32" s="53">
        <f t="shared" si="10"/>
        <v>0</v>
      </c>
      <c r="AT32" s="54">
        <f t="shared" si="11"/>
        <v>0</v>
      </c>
      <c r="AU32" s="68"/>
      <c r="AV32" s="2"/>
    </row>
    <row r="33" ht="15.75" customHeight="1">
      <c r="A33" s="48" t="s">
        <v>9</v>
      </c>
      <c r="B33" s="49">
        <v>21.0</v>
      </c>
      <c r="C33" s="49">
        <v>2.3456789E7</v>
      </c>
      <c r="D33" s="50" t="s">
        <v>71</v>
      </c>
      <c r="E33" s="51">
        <v>1.0</v>
      </c>
      <c r="F33" s="50" t="s">
        <v>14</v>
      </c>
      <c r="G33" s="50">
        <v>0.0</v>
      </c>
      <c r="H33" s="77">
        <v>8475.85</v>
      </c>
      <c r="I33" s="50" t="s">
        <v>20</v>
      </c>
      <c r="J33" s="53">
        <f t="shared" si="2"/>
        <v>8475.85</v>
      </c>
      <c r="K33" s="54">
        <f t="shared" si="3"/>
        <v>8475.85</v>
      </c>
      <c r="L33" s="54">
        <f>('VEA CLIENTE'!$K33/(1-'VEA CLIENTE'!$M33))-'VEA CLIENTE'!$K33</f>
        <v>1266.506322</v>
      </c>
      <c r="M33" s="55">
        <v>0.13</v>
      </c>
      <c r="N33" s="55">
        <v>0.0</v>
      </c>
      <c r="O33" s="55">
        <v>0.0</v>
      </c>
      <c r="P33" s="53">
        <f t="shared" si="4"/>
        <v>9742.356322</v>
      </c>
      <c r="Q33" s="56" t="s">
        <v>53</v>
      </c>
      <c r="R33" s="53">
        <f t="shared" si="5"/>
        <v>9742.356322</v>
      </c>
      <c r="S33" s="53">
        <f>IF('VEA CLIENTE'!$E33&gt;0,'VEA CLIENTE'!$T33/'VEA CLIENTE'!$E33,0)</f>
        <v>13247</v>
      </c>
      <c r="T33" s="53">
        <f t="shared" si="6"/>
        <v>13247</v>
      </c>
      <c r="U33" s="57"/>
      <c r="V33" s="2"/>
      <c r="W33" s="58"/>
      <c r="X33" s="59"/>
      <c r="Y33" s="71"/>
      <c r="Z33" s="71"/>
      <c r="AA33" s="62">
        <f>'VEA CLIENTE'!$Z33/(1-'VEA CLIENTE'!$AB33)-'VEA CLIENTE'!$Z33</f>
        <v>0</v>
      </c>
      <c r="AB33" s="72">
        <f t="shared" ref="AB33:AD33" si="62">AB$2</f>
        <v>0.13</v>
      </c>
      <c r="AC33" s="72">
        <f t="shared" si="62"/>
        <v>0</v>
      </c>
      <c r="AD33" s="72">
        <f t="shared" si="62"/>
        <v>0</v>
      </c>
      <c r="AE33" s="53">
        <f t="shared" si="7"/>
        <v>0</v>
      </c>
      <c r="AF33" s="63"/>
      <c r="AG33" s="2"/>
      <c r="AH33" s="64"/>
      <c r="AI33" s="73"/>
      <c r="AJ33" s="73"/>
      <c r="AK33" s="62">
        <f>'VEA CLIENTE'!$AJ33/(1-'VEA CLIENTE'!$AL33)-'VEA CLIENTE'!$AJ33</f>
        <v>0</v>
      </c>
      <c r="AL33" s="74">
        <f t="shared" ref="AL33:AN33" si="63">AL$2</f>
        <v>0.13</v>
      </c>
      <c r="AM33" s="74">
        <f t="shared" si="63"/>
        <v>0</v>
      </c>
      <c r="AN33" s="74">
        <f t="shared" si="63"/>
        <v>0</v>
      </c>
      <c r="AO33" s="53">
        <f t="shared" si="8"/>
        <v>0</v>
      </c>
      <c r="AP33" s="76" t="str">
        <f t="shared" ref="AP33:AQ33" si="64">AP$2</f>
        <v>NO</v>
      </c>
      <c r="AQ33" s="76" t="str">
        <f t="shared" si="64"/>
        <v>NO</v>
      </c>
      <c r="AR33" s="53">
        <f t="shared" si="9"/>
        <v>0</v>
      </c>
      <c r="AS33" s="53">
        <f t="shared" si="10"/>
        <v>0</v>
      </c>
      <c r="AT33" s="54">
        <f t="shared" si="11"/>
        <v>0</v>
      </c>
      <c r="AU33" s="68"/>
      <c r="AV33" s="2"/>
    </row>
    <row r="34" ht="15.75" customHeight="1">
      <c r="A34" s="48" t="s">
        <v>9</v>
      </c>
      <c r="B34" s="49">
        <v>22.0</v>
      </c>
      <c r="C34" s="49">
        <v>2.3456789E7</v>
      </c>
      <c r="D34" s="50" t="s">
        <v>72</v>
      </c>
      <c r="E34" s="51">
        <v>1.0</v>
      </c>
      <c r="F34" s="50" t="s">
        <v>14</v>
      </c>
      <c r="G34" s="50">
        <v>8.0</v>
      </c>
      <c r="H34" s="77">
        <v>14539.52</v>
      </c>
      <c r="I34" s="50" t="s">
        <v>20</v>
      </c>
      <c r="J34" s="53">
        <f t="shared" si="2"/>
        <v>14539.52</v>
      </c>
      <c r="K34" s="54">
        <f t="shared" si="3"/>
        <v>116316.16</v>
      </c>
      <c r="L34" s="54">
        <f>('VEA CLIENTE'!$K34/(1-'VEA CLIENTE'!$M34))-'VEA CLIENTE'!$K34</f>
        <v>17380.57563</v>
      </c>
      <c r="M34" s="55">
        <v>0.13</v>
      </c>
      <c r="N34" s="55">
        <v>0.0</v>
      </c>
      <c r="O34" s="55">
        <v>0.0</v>
      </c>
      <c r="P34" s="53">
        <f t="shared" si="4"/>
        <v>133696.7356</v>
      </c>
      <c r="Q34" s="56" t="s">
        <v>10</v>
      </c>
      <c r="R34" s="53">
        <f t="shared" si="5"/>
        <v>0</v>
      </c>
      <c r="S34" s="53">
        <f>IF('VEA CLIENTE'!$E34&gt;0,'VEA CLIENTE'!$T34/'VEA CLIENTE'!$E34,0)</f>
        <v>133697</v>
      </c>
      <c r="T34" s="53">
        <f t="shared" si="6"/>
        <v>133697</v>
      </c>
      <c r="U34" s="57"/>
      <c r="V34" s="2"/>
      <c r="W34" s="58"/>
      <c r="X34" s="59"/>
      <c r="Y34" s="71"/>
      <c r="Z34" s="71"/>
      <c r="AA34" s="62">
        <f>'VEA CLIENTE'!$Z34/(1-'VEA CLIENTE'!$AB34)-'VEA CLIENTE'!$Z34</f>
        <v>0</v>
      </c>
      <c r="AB34" s="72">
        <f t="shared" ref="AB34:AD34" si="65">AB$2</f>
        <v>0.13</v>
      </c>
      <c r="AC34" s="72">
        <f t="shared" si="65"/>
        <v>0</v>
      </c>
      <c r="AD34" s="72">
        <f t="shared" si="65"/>
        <v>0</v>
      </c>
      <c r="AE34" s="53">
        <f t="shared" si="7"/>
        <v>0</v>
      </c>
      <c r="AF34" s="63"/>
      <c r="AG34" s="2"/>
      <c r="AH34" s="64"/>
      <c r="AI34" s="73"/>
      <c r="AJ34" s="73"/>
      <c r="AK34" s="62">
        <f>'VEA CLIENTE'!$AJ34/(1-'VEA CLIENTE'!$AL34)-'VEA CLIENTE'!$AJ34</f>
        <v>0</v>
      </c>
      <c r="AL34" s="74">
        <f t="shared" ref="AL34:AN34" si="66">AL$2</f>
        <v>0.13</v>
      </c>
      <c r="AM34" s="74">
        <f t="shared" si="66"/>
        <v>0</v>
      </c>
      <c r="AN34" s="74">
        <f t="shared" si="66"/>
        <v>0</v>
      </c>
      <c r="AO34" s="53">
        <f t="shared" si="8"/>
        <v>0</v>
      </c>
      <c r="AP34" s="76" t="str">
        <f t="shared" ref="AP34:AQ34" si="67">AP$2</f>
        <v>NO</v>
      </c>
      <c r="AQ34" s="76" t="str">
        <f t="shared" si="67"/>
        <v>NO</v>
      </c>
      <c r="AR34" s="53">
        <f t="shared" si="9"/>
        <v>0</v>
      </c>
      <c r="AS34" s="53">
        <f t="shared" si="10"/>
        <v>0</v>
      </c>
      <c r="AT34" s="54">
        <f t="shared" si="11"/>
        <v>0</v>
      </c>
      <c r="AU34" s="68"/>
      <c r="AV34" s="2"/>
    </row>
    <row r="35" ht="15.75" customHeight="1">
      <c r="A35" s="78"/>
      <c r="B35" s="79"/>
      <c r="C35" s="79"/>
      <c r="D35" s="79"/>
      <c r="E35" s="80"/>
      <c r="F35" s="79" t="s">
        <v>14</v>
      </c>
      <c r="G35" s="79">
        <v>0.0</v>
      </c>
      <c r="H35" s="81">
        <v>0.0</v>
      </c>
      <c r="I35" s="79" t="s">
        <v>20</v>
      </c>
      <c r="J35" s="53">
        <f t="shared" si="2"/>
        <v>0</v>
      </c>
      <c r="K35" s="54">
        <f t="shared" si="3"/>
        <v>0</v>
      </c>
      <c r="L35" s="54">
        <f>('VEA CLIENTE'!$K35/(1-'VEA CLIENTE'!$M35))-'VEA CLIENTE'!$K35</f>
        <v>0</v>
      </c>
      <c r="M35" s="72">
        <f t="shared" ref="M35:O35" si="68">M$2</f>
        <v>0.13</v>
      </c>
      <c r="N35" s="72">
        <f t="shared" si="68"/>
        <v>0</v>
      </c>
      <c r="O35" s="72">
        <f t="shared" si="68"/>
        <v>0</v>
      </c>
      <c r="P35" s="53">
        <f t="shared" si="4"/>
        <v>0</v>
      </c>
      <c r="Q35" s="75" t="s">
        <v>53</v>
      </c>
      <c r="R35" s="53">
        <f t="shared" si="5"/>
        <v>0</v>
      </c>
      <c r="S35" s="53">
        <f>IF('VEA CLIENTE'!$E35&gt;0,'VEA CLIENTE'!$T35/'VEA CLIENTE'!$E35,0)</f>
        <v>0</v>
      </c>
      <c r="T35" s="53">
        <f t="shared" si="6"/>
        <v>0</v>
      </c>
      <c r="U35" s="57"/>
      <c r="V35" s="2"/>
      <c r="W35" s="58"/>
      <c r="X35" s="59"/>
      <c r="Y35" s="71"/>
      <c r="Z35" s="71"/>
      <c r="AA35" s="62">
        <f>'VEA CLIENTE'!$Z35/(1-'VEA CLIENTE'!$AB35)-'VEA CLIENTE'!$Z35</f>
        <v>0</v>
      </c>
      <c r="AB35" s="72">
        <f t="shared" ref="AB35:AD35" si="69">AB$2</f>
        <v>0.13</v>
      </c>
      <c r="AC35" s="72">
        <f t="shared" si="69"/>
        <v>0</v>
      </c>
      <c r="AD35" s="72">
        <f t="shared" si="69"/>
        <v>0</v>
      </c>
      <c r="AE35" s="53">
        <f t="shared" si="7"/>
        <v>0</v>
      </c>
      <c r="AF35" s="63"/>
      <c r="AG35" s="2"/>
      <c r="AH35" s="64"/>
      <c r="AI35" s="73"/>
      <c r="AJ35" s="73"/>
      <c r="AK35" s="62">
        <f>'VEA CLIENTE'!$AJ35/(1-'VEA CLIENTE'!$AL35)-'VEA CLIENTE'!$AJ35</f>
        <v>0</v>
      </c>
      <c r="AL35" s="74">
        <f t="shared" ref="AL35:AN35" si="70">AL$2</f>
        <v>0.13</v>
      </c>
      <c r="AM35" s="74">
        <f t="shared" si="70"/>
        <v>0</v>
      </c>
      <c r="AN35" s="74">
        <f t="shared" si="70"/>
        <v>0</v>
      </c>
      <c r="AO35" s="53">
        <f t="shared" si="8"/>
        <v>0</v>
      </c>
      <c r="AP35" s="76" t="str">
        <f t="shared" ref="AP35:AQ35" si="71">AP$2</f>
        <v>NO</v>
      </c>
      <c r="AQ35" s="76" t="str">
        <f t="shared" si="71"/>
        <v>NO</v>
      </c>
      <c r="AR35" s="53">
        <f t="shared" si="9"/>
        <v>0</v>
      </c>
      <c r="AS35" s="53">
        <f t="shared" si="10"/>
        <v>0</v>
      </c>
      <c r="AT35" s="54">
        <f t="shared" si="11"/>
        <v>0</v>
      </c>
      <c r="AU35" s="68"/>
      <c r="AV35" s="2"/>
    </row>
    <row r="36" ht="15.75" customHeight="1">
      <c r="A36" s="78"/>
      <c r="B36" s="79"/>
      <c r="C36" s="79"/>
      <c r="D36" s="79"/>
      <c r="E36" s="80"/>
      <c r="F36" s="79" t="s">
        <v>14</v>
      </c>
      <c r="G36" s="79">
        <v>0.0</v>
      </c>
      <c r="H36" s="81">
        <v>0.0</v>
      </c>
      <c r="I36" s="79" t="s">
        <v>20</v>
      </c>
      <c r="J36" s="53">
        <f t="shared" si="2"/>
        <v>0</v>
      </c>
      <c r="K36" s="54">
        <f t="shared" si="3"/>
        <v>0</v>
      </c>
      <c r="L36" s="54">
        <f>('VEA CLIENTE'!$K36/(1-'VEA CLIENTE'!$M36))-'VEA CLIENTE'!$K36</f>
        <v>0</v>
      </c>
      <c r="M36" s="72">
        <f t="shared" ref="M36:O36" si="72">M$2</f>
        <v>0.13</v>
      </c>
      <c r="N36" s="72">
        <f t="shared" si="72"/>
        <v>0</v>
      </c>
      <c r="O36" s="72">
        <f t="shared" si="72"/>
        <v>0</v>
      </c>
      <c r="P36" s="53">
        <f t="shared" si="4"/>
        <v>0</v>
      </c>
      <c r="Q36" s="76" t="s">
        <v>53</v>
      </c>
      <c r="R36" s="53">
        <f t="shared" si="5"/>
        <v>0</v>
      </c>
      <c r="S36" s="53">
        <f>IF('VEA CLIENTE'!$E36&gt;0,'VEA CLIENTE'!$T36/'VEA CLIENTE'!$E36,0)</f>
        <v>0</v>
      </c>
      <c r="T36" s="53">
        <f t="shared" si="6"/>
        <v>0</v>
      </c>
      <c r="U36" s="57"/>
      <c r="V36" s="2"/>
      <c r="W36" s="58"/>
      <c r="X36" s="59"/>
      <c r="Y36" s="71"/>
      <c r="Z36" s="71"/>
      <c r="AA36" s="62">
        <f>'VEA CLIENTE'!$Z36/(1-'VEA CLIENTE'!$AB36)-'VEA CLIENTE'!$Z36</f>
        <v>0</v>
      </c>
      <c r="AB36" s="72">
        <f t="shared" ref="AB36:AD36" si="73">AB$2</f>
        <v>0.13</v>
      </c>
      <c r="AC36" s="72">
        <f t="shared" si="73"/>
        <v>0</v>
      </c>
      <c r="AD36" s="72">
        <f t="shared" si="73"/>
        <v>0</v>
      </c>
      <c r="AE36" s="53">
        <f t="shared" si="7"/>
        <v>0</v>
      </c>
      <c r="AF36" s="63"/>
      <c r="AG36" s="2"/>
      <c r="AH36" s="64"/>
      <c r="AI36" s="73"/>
      <c r="AJ36" s="73"/>
      <c r="AK36" s="62">
        <f>'VEA CLIENTE'!$AJ36/(1-'VEA CLIENTE'!$AL36)-'VEA CLIENTE'!$AJ36</f>
        <v>0</v>
      </c>
      <c r="AL36" s="74">
        <f t="shared" ref="AL36:AN36" si="74">AL$2</f>
        <v>0.13</v>
      </c>
      <c r="AM36" s="74">
        <f t="shared" si="74"/>
        <v>0</v>
      </c>
      <c r="AN36" s="74">
        <f t="shared" si="74"/>
        <v>0</v>
      </c>
      <c r="AO36" s="53">
        <f t="shared" si="8"/>
        <v>0</v>
      </c>
      <c r="AP36" s="76" t="str">
        <f t="shared" ref="AP36:AQ36" si="75">AP$2</f>
        <v>NO</v>
      </c>
      <c r="AQ36" s="76" t="str">
        <f t="shared" si="75"/>
        <v>NO</v>
      </c>
      <c r="AR36" s="53">
        <f t="shared" si="9"/>
        <v>0</v>
      </c>
      <c r="AS36" s="53">
        <f t="shared" si="10"/>
        <v>0</v>
      </c>
      <c r="AT36" s="54">
        <f t="shared" si="11"/>
        <v>0</v>
      </c>
      <c r="AU36" s="68"/>
      <c r="AV36" s="2"/>
    </row>
    <row r="37" ht="15.75" customHeight="1">
      <c r="A37" s="78"/>
      <c r="B37" s="79"/>
      <c r="C37" s="79"/>
      <c r="D37" s="79"/>
      <c r="E37" s="80"/>
      <c r="F37" s="79" t="s">
        <v>14</v>
      </c>
      <c r="G37" s="79">
        <v>0.0</v>
      </c>
      <c r="H37" s="81">
        <v>0.0</v>
      </c>
      <c r="I37" s="79" t="s">
        <v>20</v>
      </c>
      <c r="J37" s="53">
        <f t="shared" si="2"/>
        <v>0</v>
      </c>
      <c r="K37" s="54">
        <f t="shared" si="3"/>
        <v>0</v>
      </c>
      <c r="L37" s="54">
        <f>('VEA CLIENTE'!$K37/(1-'VEA CLIENTE'!$M37))-'VEA CLIENTE'!$K37</f>
        <v>0</v>
      </c>
      <c r="M37" s="72">
        <f t="shared" ref="M37:O37" si="76">M$2</f>
        <v>0.13</v>
      </c>
      <c r="N37" s="72">
        <f t="shared" si="76"/>
        <v>0</v>
      </c>
      <c r="O37" s="72">
        <f t="shared" si="76"/>
        <v>0</v>
      </c>
      <c r="P37" s="53">
        <f t="shared" si="4"/>
        <v>0</v>
      </c>
      <c r="Q37" s="76" t="s">
        <v>53</v>
      </c>
      <c r="R37" s="53">
        <f t="shared" si="5"/>
        <v>0</v>
      </c>
      <c r="S37" s="53">
        <f>IF('VEA CLIENTE'!$E37&gt;0,'VEA CLIENTE'!$T37/'VEA CLIENTE'!$E37,0)</f>
        <v>0</v>
      </c>
      <c r="T37" s="53">
        <f t="shared" si="6"/>
        <v>0</v>
      </c>
      <c r="U37" s="57"/>
      <c r="V37" s="2"/>
      <c r="W37" s="58"/>
      <c r="X37" s="59"/>
      <c r="Y37" s="71"/>
      <c r="Z37" s="71"/>
      <c r="AA37" s="62">
        <f>'VEA CLIENTE'!$Z37/(1-'VEA CLIENTE'!$AB37)-'VEA CLIENTE'!$Z37</f>
        <v>0</v>
      </c>
      <c r="AB37" s="72">
        <f t="shared" ref="AB37:AD37" si="77">AB$2</f>
        <v>0.13</v>
      </c>
      <c r="AC37" s="72">
        <f t="shared" si="77"/>
        <v>0</v>
      </c>
      <c r="AD37" s="72">
        <f t="shared" si="77"/>
        <v>0</v>
      </c>
      <c r="AE37" s="53">
        <f t="shared" si="7"/>
        <v>0</v>
      </c>
      <c r="AF37" s="63"/>
      <c r="AG37" s="2"/>
      <c r="AH37" s="64"/>
      <c r="AI37" s="73"/>
      <c r="AJ37" s="73"/>
      <c r="AK37" s="62">
        <f>'VEA CLIENTE'!$AJ37/(1-'VEA CLIENTE'!$AL37)-'VEA CLIENTE'!$AJ37</f>
        <v>0</v>
      </c>
      <c r="AL37" s="74">
        <f t="shared" ref="AL37:AN37" si="78">AL$2</f>
        <v>0.13</v>
      </c>
      <c r="AM37" s="74">
        <f t="shared" si="78"/>
        <v>0</v>
      </c>
      <c r="AN37" s="74">
        <f t="shared" si="78"/>
        <v>0</v>
      </c>
      <c r="AO37" s="53">
        <f t="shared" si="8"/>
        <v>0</v>
      </c>
      <c r="AP37" s="76" t="str">
        <f t="shared" ref="AP37:AQ37" si="79">AP$2</f>
        <v>NO</v>
      </c>
      <c r="AQ37" s="76" t="str">
        <f t="shared" si="79"/>
        <v>NO</v>
      </c>
      <c r="AR37" s="53">
        <f t="shared" si="9"/>
        <v>0</v>
      </c>
      <c r="AS37" s="53">
        <f t="shared" si="10"/>
        <v>0</v>
      </c>
      <c r="AT37" s="54">
        <f t="shared" si="11"/>
        <v>0</v>
      </c>
      <c r="AU37" s="68"/>
      <c r="AV37" s="2"/>
    </row>
    <row r="38" ht="15.75" customHeight="1">
      <c r="A38" s="78"/>
      <c r="B38" s="79"/>
      <c r="C38" s="79"/>
      <c r="D38" s="79"/>
      <c r="E38" s="80"/>
      <c r="F38" s="79" t="s">
        <v>14</v>
      </c>
      <c r="G38" s="79">
        <v>0.0</v>
      </c>
      <c r="H38" s="81">
        <v>0.0</v>
      </c>
      <c r="I38" s="79" t="s">
        <v>20</v>
      </c>
      <c r="J38" s="53">
        <f t="shared" si="2"/>
        <v>0</v>
      </c>
      <c r="K38" s="54">
        <f t="shared" si="3"/>
        <v>0</v>
      </c>
      <c r="L38" s="54">
        <f>('VEA CLIENTE'!$K38/(1-'VEA CLIENTE'!$M38))-'VEA CLIENTE'!$K38</f>
        <v>0</v>
      </c>
      <c r="M38" s="72">
        <f t="shared" ref="M38:O38" si="80">M$2</f>
        <v>0.13</v>
      </c>
      <c r="N38" s="72">
        <f t="shared" si="80"/>
        <v>0</v>
      </c>
      <c r="O38" s="72">
        <f t="shared" si="80"/>
        <v>0</v>
      </c>
      <c r="P38" s="53">
        <f t="shared" si="4"/>
        <v>0</v>
      </c>
      <c r="Q38" s="76" t="s">
        <v>53</v>
      </c>
      <c r="R38" s="53">
        <f t="shared" si="5"/>
        <v>0</v>
      </c>
      <c r="S38" s="53">
        <f>IF('VEA CLIENTE'!$E38&gt;0,'VEA CLIENTE'!$T38/'VEA CLIENTE'!$E38,0)</f>
        <v>0</v>
      </c>
      <c r="T38" s="53">
        <f t="shared" si="6"/>
        <v>0</v>
      </c>
      <c r="U38" s="57"/>
      <c r="V38" s="2"/>
      <c r="W38" s="58"/>
      <c r="X38" s="59"/>
      <c r="Y38" s="71"/>
      <c r="Z38" s="71"/>
      <c r="AA38" s="62">
        <f>'VEA CLIENTE'!$Z38/(1-'VEA CLIENTE'!$AB38)-'VEA CLIENTE'!$Z38</f>
        <v>0</v>
      </c>
      <c r="AB38" s="72">
        <f t="shared" ref="AB38:AD38" si="81">AB$2</f>
        <v>0.13</v>
      </c>
      <c r="AC38" s="72">
        <f t="shared" si="81"/>
        <v>0</v>
      </c>
      <c r="AD38" s="72">
        <f t="shared" si="81"/>
        <v>0</v>
      </c>
      <c r="AE38" s="53">
        <f t="shared" si="7"/>
        <v>0</v>
      </c>
      <c r="AF38" s="63"/>
      <c r="AG38" s="2"/>
      <c r="AH38" s="64"/>
      <c r="AI38" s="73"/>
      <c r="AJ38" s="73"/>
      <c r="AK38" s="62">
        <f>'VEA CLIENTE'!$AJ38/(1-'VEA CLIENTE'!$AL38)-'VEA CLIENTE'!$AJ38</f>
        <v>0</v>
      </c>
      <c r="AL38" s="74">
        <f t="shared" ref="AL38:AN38" si="82">AL$2</f>
        <v>0.13</v>
      </c>
      <c r="AM38" s="74">
        <f t="shared" si="82"/>
        <v>0</v>
      </c>
      <c r="AN38" s="74">
        <f t="shared" si="82"/>
        <v>0</v>
      </c>
      <c r="AO38" s="53">
        <f t="shared" si="8"/>
        <v>0</v>
      </c>
      <c r="AP38" s="76" t="str">
        <f t="shared" ref="AP38:AQ38" si="83">AP$2</f>
        <v>NO</v>
      </c>
      <c r="AQ38" s="76" t="str">
        <f t="shared" si="83"/>
        <v>NO</v>
      </c>
      <c r="AR38" s="53">
        <f t="shared" si="9"/>
        <v>0</v>
      </c>
      <c r="AS38" s="53">
        <f t="shared" si="10"/>
        <v>0</v>
      </c>
      <c r="AT38" s="54">
        <f t="shared" si="11"/>
        <v>0</v>
      </c>
      <c r="AU38" s="68"/>
      <c r="AV38" s="2"/>
    </row>
    <row r="39" ht="15.75" customHeight="1">
      <c r="A39" s="78"/>
      <c r="B39" s="79"/>
      <c r="C39" s="79"/>
      <c r="D39" s="79"/>
      <c r="E39" s="80"/>
      <c r="F39" s="79" t="s">
        <v>14</v>
      </c>
      <c r="G39" s="79">
        <v>0.0</v>
      </c>
      <c r="H39" s="81">
        <v>0.0</v>
      </c>
      <c r="I39" s="79" t="s">
        <v>20</v>
      </c>
      <c r="J39" s="53">
        <f t="shared" si="2"/>
        <v>0</v>
      </c>
      <c r="K39" s="54">
        <f t="shared" si="3"/>
        <v>0</v>
      </c>
      <c r="L39" s="54">
        <f>('VEA CLIENTE'!$K39/(1-'VEA CLIENTE'!$M39))-'VEA CLIENTE'!$K39</f>
        <v>0</v>
      </c>
      <c r="M39" s="72">
        <f t="shared" ref="M39:O39" si="84">M$2</f>
        <v>0.13</v>
      </c>
      <c r="N39" s="72">
        <f t="shared" si="84"/>
        <v>0</v>
      </c>
      <c r="O39" s="72">
        <f t="shared" si="84"/>
        <v>0</v>
      </c>
      <c r="P39" s="53">
        <f t="shared" si="4"/>
        <v>0</v>
      </c>
      <c r="Q39" s="76" t="s">
        <v>53</v>
      </c>
      <c r="R39" s="53">
        <f t="shared" si="5"/>
        <v>0</v>
      </c>
      <c r="S39" s="53">
        <f>IF('VEA CLIENTE'!$E39&gt;0,'VEA CLIENTE'!$T39/'VEA CLIENTE'!$E39,0)</f>
        <v>0</v>
      </c>
      <c r="T39" s="53">
        <f t="shared" si="6"/>
        <v>0</v>
      </c>
      <c r="U39" s="57"/>
      <c r="V39" s="2"/>
      <c r="W39" s="58"/>
      <c r="X39" s="59"/>
      <c r="Y39" s="71"/>
      <c r="Z39" s="71"/>
      <c r="AA39" s="62">
        <f>'VEA CLIENTE'!$Z39/(1-'VEA CLIENTE'!$AB39)-'VEA CLIENTE'!$Z39</f>
        <v>0</v>
      </c>
      <c r="AB39" s="72">
        <f t="shared" ref="AB39:AD39" si="85">AB$2</f>
        <v>0.13</v>
      </c>
      <c r="AC39" s="72">
        <f t="shared" si="85"/>
        <v>0</v>
      </c>
      <c r="AD39" s="72">
        <f t="shared" si="85"/>
        <v>0</v>
      </c>
      <c r="AE39" s="53">
        <f t="shared" si="7"/>
        <v>0</v>
      </c>
      <c r="AF39" s="63"/>
      <c r="AG39" s="2"/>
      <c r="AH39" s="64"/>
      <c r="AI39" s="73"/>
      <c r="AJ39" s="73"/>
      <c r="AK39" s="62">
        <f>'VEA CLIENTE'!$AJ39/(1-'VEA CLIENTE'!$AL39)-'VEA CLIENTE'!$AJ39</f>
        <v>0</v>
      </c>
      <c r="AL39" s="74">
        <f t="shared" ref="AL39:AN39" si="86">AL$2</f>
        <v>0.13</v>
      </c>
      <c r="AM39" s="74">
        <f t="shared" si="86"/>
        <v>0</v>
      </c>
      <c r="AN39" s="74">
        <f t="shared" si="86"/>
        <v>0</v>
      </c>
      <c r="AO39" s="53">
        <f t="shared" si="8"/>
        <v>0</v>
      </c>
      <c r="AP39" s="76" t="str">
        <f t="shared" ref="AP39:AQ39" si="87">AP$2</f>
        <v>NO</v>
      </c>
      <c r="AQ39" s="76" t="str">
        <f t="shared" si="87"/>
        <v>NO</v>
      </c>
      <c r="AR39" s="53">
        <f t="shared" si="9"/>
        <v>0</v>
      </c>
      <c r="AS39" s="53">
        <f t="shared" si="10"/>
        <v>0</v>
      </c>
      <c r="AT39" s="54">
        <f t="shared" si="11"/>
        <v>0</v>
      </c>
      <c r="AU39" s="68"/>
      <c r="AV39" s="2"/>
    </row>
    <row r="40" ht="15.75" customHeight="1">
      <c r="A40" s="78"/>
      <c r="B40" s="79"/>
      <c r="C40" s="79"/>
      <c r="D40" s="79"/>
      <c r="E40" s="80"/>
      <c r="F40" s="79" t="s">
        <v>14</v>
      </c>
      <c r="G40" s="79">
        <v>0.0</v>
      </c>
      <c r="H40" s="81">
        <v>0.0</v>
      </c>
      <c r="I40" s="79" t="s">
        <v>20</v>
      </c>
      <c r="J40" s="53">
        <f t="shared" si="2"/>
        <v>0</v>
      </c>
      <c r="K40" s="54">
        <f t="shared" si="3"/>
        <v>0</v>
      </c>
      <c r="L40" s="54">
        <f>('VEA CLIENTE'!$K40/(1-'VEA CLIENTE'!$M40))-'VEA CLIENTE'!$K40</f>
        <v>0</v>
      </c>
      <c r="M40" s="72">
        <f t="shared" ref="M40:O40" si="88">M$2</f>
        <v>0.13</v>
      </c>
      <c r="N40" s="72">
        <f t="shared" si="88"/>
        <v>0</v>
      </c>
      <c r="O40" s="72">
        <f t="shared" si="88"/>
        <v>0</v>
      </c>
      <c r="P40" s="53">
        <f t="shared" si="4"/>
        <v>0</v>
      </c>
      <c r="Q40" s="76" t="s">
        <v>53</v>
      </c>
      <c r="R40" s="53">
        <f t="shared" si="5"/>
        <v>0</v>
      </c>
      <c r="S40" s="53">
        <f>IF('VEA CLIENTE'!$E40&gt;0,'VEA CLIENTE'!$T40/'VEA CLIENTE'!$E40,0)</f>
        <v>0</v>
      </c>
      <c r="T40" s="53">
        <f t="shared" si="6"/>
        <v>0</v>
      </c>
      <c r="U40" s="57"/>
      <c r="V40" s="2"/>
      <c r="W40" s="58"/>
      <c r="X40" s="59"/>
      <c r="Y40" s="71"/>
      <c r="Z40" s="71"/>
      <c r="AA40" s="62">
        <f>'VEA CLIENTE'!$Z40/(1-'VEA CLIENTE'!$AB40)-'VEA CLIENTE'!$Z40</f>
        <v>0</v>
      </c>
      <c r="AB40" s="72">
        <f t="shared" ref="AB40:AD40" si="89">AB$2</f>
        <v>0.13</v>
      </c>
      <c r="AC40" s="72">
        <f t="shared" si="89"/>
        <v>0</v>
      </c>
      <c r="AD40" s="72">
        <f t="shared" si="89"/>
        <v>0</v>
      </c>
      <c r="AE40" s="53">
        <f t="shared" si="7"/>
        <v>0</v>
      </c>
      <c r="AF40" s="63"/>
      <c r="AG40" s="2"/>
      <c r="AH40" s="64"/>
      <c r="AI40" s="73"/>
      <c r="AJ40" s="73"/>
      <c r="AK40" s="62">
        <f>'VEA CLIENTE'!$AJ40/(1-'VEA CLIENTE'!$AL40)-'VEA CLIENTE'!$AJ40</f>
        <v>0</v>
      </c>
      <c r="AL40" s="74">
        <f t="shared" ref="AL40:AN40" si="90">AL$2</f>
        <v>0.13</v>
      </c>
      <c r="AM40" s="74">
        <f t="shared" si="90"/>
        <v>0</v>
      </c>
      <c r="AN40" s="74">
        <f t="shared" si="90"/>
        <v>0</v>
      </c>
      <c r="AO40" s="53">
        <f t="shared" si="8"/>
        <v>0</v>
      </c>
      <c r="AP40" s="76" t="str">
        <f t="shared" ref="AP40:AQ40" si="91">AP$2</f>
        <v>NO</v>
      </c>
      <c r="AQ40" s="76" t="str">
        <f t="shared" si="91"/>
        <v>NO</v>
      </c>
      <c r="AR40" s="53">
        <f t="shared" si="9"/>
        <v>0</v>
      </c>
      <c r="AS40" s="53">
        <f t="shared" si="10"/>
        <v>0</v>
      </c>
      <c r="AT40" s="54">
        <f t="shared" si="11"/>
        <v>0</v>
      </c>
      <c r="AU40" s="68"/>
      <c r="AV40" s="2"/>
    </row>
    <row r="41" ht="15.75" customHeight="1">
      <c r="A41" s="78"/>
      <c r="B41" s="79"/>
      <c r="C41" s="79"/>
      <c r="D41" s="79"/>
      <c r="E41" s="80"/>
      <c r="F41" s="79" t="s">
        <v>14</v>
      </c>
      <c r="G41" s="79">
        <v>0.0</v>
      </c>
      <c r="H41" s="81">
        <v>0.0</v>
      </c>
      <c r="I41" s="79" t="s">
        <v>20</v>
      </c>
      <c r="J41" s="53">
        <f t="shared" si="2"/>
        <v>0</v>
      </c>
      <c r="K41" s="54">
        <f t="shared" si="3"/>
        <v>0</v>
      </c>
      <c r="L41" s="54">
        <f>('VEA CLIENTE'!$K41/(1-'VEA CLIENTE'!$M41))-'VEA CLIENTE'!$K41</f>
        <v>0</v>
      </c>
      <c r="M41" s="72">
        <f t="shared" ref="M41:O41" si="92">M$2</f>
        <v>0.13</v>
      </c>
      <c r="N41" s="72">
        <f t="shared" si="92"/>
        <v>0</v>
      </c>
      <c r="O41" s="72">
        <f t="shared" si="92"/>
        <v>0</v>
      </c>
      <c r="P41" s="53">
        <f t="shared" si="4"/>
        <v>0</v>
      </c>
      <c r="Q41" s="76" t="s">
        <v>53</v>
      </c>
      <c r="R41" s="53">
        <f t="shared" si="5"/>
        <v>0</v>
      </c>
      <c r="S41" s="53">
        <f>IF('VEA CLIENTE'!$E41&gt;0,'VEA CLIENTE'!$T41/'VEA CLIENTE'!$E41,0)</f>
        <v>0</v>
      </c>
      <c r="T41" s="53">
        <f t="shared" si="6"/>
        <v>0</v>
      </c>
      <c r="U41" s="57"/>
      <c r="V41" s="2"/>
      <c r="W41" s="58"/>
      <c r="X41" s="59"/>
      <c r="Y41" s="71"/>
      <c r="Z41" s="71"/>
      <c r="AA41" s="62">
        <f>'VEA CLIENTE'!$Z41/(1-'VEA CLIENTE'!$AB41)-'VEA CLIENTE'!$Z41</f>
        <v>0</v>
      </c>
      <c r="AB41" s="72">
        <f t="shared" ref="AB41:AD41" si="93">AB$2</f>
        <v>0.13</v>
      </c>
      <c r="AC41" s="72">
        <f t="shared" si="93"/>
        <v>0</v>
      </c>
      <c r="AD41" s="72">
        <f t="shared" si="93"/>
        <v>0</v>
      </c>
      <c r="AE41" s="53">
        <f t="shared" si="7"/>
        <v>0</v>
      </c>
      <c r="AF41" s="63"/>
      <c r="AG41" s="2"/>
      <c r="AH41" s="64"/>
      <c r="AI41" s="73"/>
      <c r="AJ41" s="73"/>
      <c r="AK41" s="62">
        <f>'VEA CLIENTE'!$AJ41/(1-'VEA CLIENTE'!$AL41)-'VEA CLIENTE'!$AJ41</f>
        <v>0</v>
      </c>
      <c r="AL41" s="74">
        <f t="shared" ref="AL41:AN41" si="94">AL$2</f>
        <v>0.13</v>
      </c>
      <c r="AM41" s="74">
        <f t="shared" si="94"/>
        <v>0</v>
      </c>
      <c r="AN41" s="74">
        <f t="shared" si="94"/>
        <v>0</v>
      </c>
      <c r="AO41" s="53">
        <f t="shared" si="8"/>
        <v>0</v>
      </c>
      <c r="AP41" s="76" t="str">
        <f t="shared" ref="AP41:AQ41" si="95">AP$2</f>
        <v>NO</v>
      </c>
      <c r="AQ41" s="76" t="str">
        <f t="shared" si="95"/>
        <v>NO</v>
      </c>
      <c r="AR41" s="53">
        <f t="shared" si="9"/>
        <v>0</v>
      </c>
      <c r="AS41" s="53">
        <f t="shared" si="10"/>
        <v>0</v>
      </c>
      <c r="AT41" s="54">
        <f t="shared" si="11"/>
        <v>0</v>
      </c>
      <c r="AU41" s="68"/>
      <c r="AV41" s="2"/>
    </row>
    <row r="42" ht="15.75" customHeight="1">
      <c r="A42" s="78"/>
      <c r="B42" s="79"/>
      <c r="C42" s="79"/>
      <c r="D42" s="79"/>
      <c r="E42" s="80"/>
      <c r="F42" s="79" t="s">
        <v>14</v>
      </c>
      <c r="G42" s="79">
        <v>0.0</v>
      </c>
      <c r="H42" s="81">
        <v>0.0</v>
      </c>
      <c r="I42" s="79" t="s">
        <v>20</v>
      </c>
      <c r="J42" s="53">
        <f t="shared" si="2"/>
        <v>0</v>
      </c>
      <c r="K42" s="54">
        <f t="shared" si="3"/>
        <v>0</v>
      </c>
      <c r="L42" s="54">
        <f>('VEA CLIENTE'!$K42/(1-'VEA CLIENTE'!$M42))-'VEA CLIENTE'!$K42</f>
        <v>0</v>
      </c>
      <c r="M42" s="72">
        <f t="shared" ref="M42:O42" si="96">M$2</f>
        <v>0.13</v>
      </c>
      <c r="N42" s="72">
        <f t="shared" si="96"/>
        <v>0</v>
      </c>
      <c r="O42" s="72">
        <f t="shared" si="96"/>
        <v>0</v>
      </c>
      <c r="P42" s="53">
        <f t="shared" si="4"/>
        <v>0</v>
      </c>
      <c r="Q42" s="76" t="s">
        <v>53</v>
      </c>
      <c r="R42" s="53">
        <f t="shared" si="5"/>
        <v>0</v>
      </c>
      <c r="S42" s="53">
        <f>IF('VEA CLIENTE'!$E42&gt;0,'VEA CLIENTE'!$T42/'VEA CLIENTE'!$E42,0)</f>
        <v>0</v>
      </c>
      <c r="T42" s="53">
        <f t="shared" si="6"/>
        <v>0</v>
      </c>
      <c r="U42" s="57"/>
      <c r="V42" s="2"/>
      <c r="W42" s="58"/>
      <c r="X42" s="59"/>
      <c r="Y42" s="71"/>
      <c r="Z42" s="71"/>
      <c r="AA42" s="62">
        <f>'VEA CLIENTE'!$Z42/(1-'VEA CLIENTE'!$AB42)-'VEA CLIENTE'!$Z42</f>
        <v>0</v>
      </c>
      <c r="AB42" s="72">
        <f t="shared" ref="AB42:AD42" si="97">AB$2</f>
        <v>0.13</v>
      </c>
      <c r="AC42" s="72">
        <f t="shared" si="97"/>
        <v>0</v>
      </c>
      <c r="AD42" s="72">
        <f t="shared" si="97"/>
        <v>0</v>
      </c>
      <c r="AE42" s="53">
        <f t="shared" si="7"/>
        <v>0</v>
      </c>
      <c r="AF42" s="63"/>
      <c r="AG42" s="2"/>
      <c r="AH42" s="64"/>
      <c r="AI42" s="73"/>
      <c r="AJ42" s="73"/>
      <c r="AK42" s="62">
        <f>'VEA CLIENTE'!$AJ42/(1-'VEA CLIENTE'!$AL42)-'VEA CLIENTE'!$AJ42</f>
        <v>0</v>
      </c>
      <c r="AL42" s="74">
        <f t="shared" ref="AL42:AN42" si="98">AL$2</f>
        <v>0.13</v>
      </c>
      <c r="AM42" s="74">
        <f t="shared" si="98"/>
        <v>0</v>
      </c>
      <c r="AN42" s="74">
        <f t="shared" si="98"/>
        <v>0</v>
      </c>
      <c r="AO42" s="53">
        <f t="shared" si="8"/>
        <v>0</v>
      </c>
      <c r="AP42" s="76" t="str">
        <f t="shared" ref="AP42:AQ42" si="99">AP$2</f>
        <v>NO</v>
      </c>
      <c r="AQ42" s="76" t="str">
        <f t="shared" si="99"/>
        <v>NO</v>
      </c>
      <c r="AR42" s="53">
        <f t="shared" si="9"/>
        <v>0</v>
      </c>
      <c r="AS42" s="53">
        <f t="shared" si="10"/>
        <v>0</v>
      </c>
      <c r="AT42" s="54">
        <f t="shared" si="11"/>
        <v>0</v>
      </c>
      <c r="AU42" s="68"/>
      <c r="AV42" s="2"/>
    </row>
    <row r="43" ht="15.75" customHeight="1">
      <c r="A43" s="78"/>
      <c r="B43" s="79"/>
      <c r="C43" s="79"/>
      <c r="D43" s="79"/>
      <c r="E43" s="80"/>
      <c r="F43" s="79" t="s">
        <v>14</v>
      </c>
      <c r="G43" s="79">
        <v>0.0</v>
      </c>
      <c r="H43" s="81">
        <v>0.0</v>
      </c>
      <c r="I43" s="79" t="s">
        <v>20</v>
      </c>
      <c r="J43" s="53">
        <f t="shared" si="2"/>
        <v>0</v>
      </c>
      <c r="K43" s="54">
        <f t="shared" si="3"/>
        <v>0</v>
      </c>
      <c r="L43" s="54">
        <f>('VEA CLIENTE'!$K43/(1-'VEA CLIENTE'!$M43))-'VEA CLIENTE'!$K43</f>
        <v>0</v>
      </c>
      <c r="M43" s="72">
        <f t="shared" ref="M43:O43" si="100">M$2</f>
        <v>0.13</v>
      </c>
      <c r="N43" s="72">
        <f t="shared" si="100"/>
        <v>0</v>
      </c>
      <c r="O43" s="72">
        <f t="shared" si="100"/>
        <v>0</v>
      </c>
      <c r="P43" s="53">
        <f t="shared" si="4"/>
        <v>0</v>
      </c>
      <c r="Q43" s="76" t="s">
        <v>53</v>
      </c>
      <c r="R43" s="53">
        <f t="shared" si="5"/>
        <v>0</v>
      </c>
      <c r="S43" s="53">
        <f>IF('VEA CLIENTE'!$E43&gt;0,'VEA CLIENTE'!$T43/'VEA CLIENTE'!$E43,0)</f>
        <v>0</v>
      </c>
      <c r="T43" s="53">
        <f t="shared" si="6"/>
        <v>0</v>
      </c>
      <c r="U43" s="57"/>
      <c r="V43" s="2"/>
      <c r="W43" s="58"/>
      <c r="X43" s="59"/>
      <c r="Y43" s="71"/>
      <c r="Z43" s="71"/>
      <c r="AA43" s="62">
        <f>'VEA CLIENTE'!$Z43/(1-'VEA CLIENTE'!$AB43)-'VEA CLIENTE'!$Z43</f>
        <v>0</v>
      </c>
      <c r="AB43" s="72">
        <f t="shared" ref="AB43:AD43" si="101">AB$2</f>
        <v>0.13</v>
      </c>
      <c r="AC43" s="72">
        <f t="shared" si="101"/>
        <v>0</v>
      </c>
      <c r="AD43" s="72">
        <f t="shared" si="101"/>
        <v>0</v>
      </c>
      <c r="AE43" s="53">
        <f t="shared" si="7"/>
        <v>0</v>
      </c>
      <c r="AF43" s="63"/>
      <c r="AG43" s="2"/>
      <c r="AH43" s="64"/>
      <c r="AI43" s="73"/>
      <c r="AJ43" s="73"/>
      <c r="AK43" s="62">
        <f>'VEA CLIENTE'!$AJ43/(1-'VEA CLIENTE'!$AL43)-'VEA CLIENTE'!$AJ43</f>
        <v>0</v>
      </c>
      <c r="AL43" s="74">
        <f t="shared" ref="AL43:AN43" si="102">AL$2</f>
        <v>0.13</v>
      </c>
      <c r="AM43" s="74">
        <f t="shared" si="102"/>
        <v>0</v>
      </c>
      <c r="AN43" s="74">
        <f t="shared" si="102"/>
        <v>0</v>
      </c>
      <c r="AO43" s="53">
        <f t="shared" si="8"/>
        <v>0</v>
      </c>
      <c r="AP43" s="76" t="str">
        <f t="shared" ref="AP43:AQ43" si="103">AP$2</f>
        <v>NO</v>
      </c>
      <c r="AQ43" s="76" t="str">
        <f t="shared" si="103"/>
        <v>NO</v>
      </c>
      <c r="AR43" s="53">
        <f t="shared" si="9"/>
        <v>0</v>
      </c>
      <c r="AS43" s="53">
        <f t="shared" si="10"/>
        <v>0</v>
      </c>
      <c r="AT43" s="54">
        <f t="shared" si="11"/>
        <v>0</v>
      </c>
      <c r="AU43" s="68"/>
      <c r="AV43" s="2"/>
    </row>
    <row r="44" ht="15.75" customHeight="1">
      <c r="A44" s="78"/>
      <c r="B44" s="79"/>
      <c r="C44" s="79"/>
      <c r="D44" s="79"/>
      <c r="E44" s="80"/>
      <c r="F44" s="79" t="s">
        <v>14</v>
      </c>
      <c r="G44" s="79">
        <v>0.0</v>
      </c>
      <c r="H44" s="81">
        <v>0.0</v>
      </c>
      <c r="I44" s="79" t="s">
        <v>20</v>
      </c>
      <c r="J44" s="53">
        <f t="shared" si="2"/>
        <v>0</v>
      </c>
      <c r="K44" s="54">
        <f t="shared" si="3"/>
        <v>0</v>
      </c>
      <c r="L44" s="54">
        <f>('VEA CLIENTE'!$K44/(1-'VEA CLIENTE'!$M44))-'VEA CLIENTE'!$K44</f>
        <v>0</v>
      </c>
      <c r="M44" s="72">
        <f t="shared" ref="M44:O44" si="104">M$2</f>
        <v>0.13</v>
      </c>
      <c r="N44" s="72">
        <f t="shared" si="104"/>
        <v>0</v>
      </c>
      <c r="O44" s="72">
        <f t="shared" si="104"/>
        <v>0</v>
      </c>
      <c r="P44" s="53">
        <f t="shared" si="4"/>
        <v>0</v>
      </c>
      <c r="Q44" s="76" t="s">
        <v>53</v>
      </c>
      <c r="R44" s="53">
        <f t="shared" si="5"/>
        <v>0</v>
      </c>
      <c r="S44" s="53">
        <f>IF('VEA CLIENTE'!$E44&gt;0,'VEA CLIENTE'!$T44/'VEA CLIENTE'!$E44,0)</f>
        <v>0</v>
      </c>
      <c r="T44" s="53">
        <f t="shared" si="6"/>
        <v>0</v>
      </c>
      <c r="U44" s="57"/>
      <c r="V44" s="2"/>
      <c r="W44" s="58"/>
      <c r="X44" s="59"/>
      <c r="Y44" s="71"/>
      <c r="Z44" s="71"/>
      <c r="AA44" s="62">
        <f>'VEA CLIENTE'!$Z44/(1-'VEA CLIENTE'!$AB44)-'VEA CLIENTE'!$Z44</f>
        <v>0</v>
      </c>
      <c r="AB44" s="72">
        <f t="shared" ref="AB44:AD44" si="105">AB$2</f>
        <v>0.13</v>
      </c>
      <c r="AC44" s="72">
        <f t="shared" si="105"/>
        <v>0</v>
      </c>
      <c r="AD44" s="72">
        <f t="shared" si="105"/>
        <v>0</v>
      </c>
      <c r="AE44" s="53">
        <f t="shared" si="7"/>
        <v>0</v>
      </c>
      <c r="AF44" s="63"/>
      <c r="AG44" s="2"/>
      <c r="AH44" s="64"/>
      <c r="AI44" s="73"/>
      <c r="AJ44" s="73"/>
      <c r="AK44" s="62">
        <f>'VEA CLIENTE'!$AJ44/(1-'VEA CLIENTE'!$AL44)-'VEA CLIENTE'!$AJ44</f>
        <v>0</v>
      </c>
      <c r="AL44" s="74">
        <f t="shared" ref="AL44:AN44" si="106">AL$2</f>
        <v>0.13</v>
      </c>
      <c r="AM44" s="74">
        <f t="shared" si="106"/>
        <v>0</v>
      </c>
      <c r="AN44" s="74">
        <f t="shared" si="106"/>
        <v>0</v>
      </c>
      <c r="AO44" s="53">
        <f t="shared" si="8"/>
        <v>0</v>
      </c>
      <c r="AP44" s="76" t="str">
        <f t="shared" ref="AP44:AQ44" si="107">AP$2</f>
        <v>NO</v>
      </c>
      <c r="AQ44" s="76" t="str">
        <f t="shared" si="107"/>
        <v>NO</v>
      </c>
      <c r="AR44" s="53">
        <f t="shared" si="9"/>
        <v>0</v>
      </c>
      <c r="AS44" s="53">
        <f t="shared" si="10"/>
        <v>0</v>
      </c>
      <c r="AT44" s="54">
        <f t="shared" si="11"/>
        <v>0</v>
      </c>
      <c r="AU44" s="68"/>
      <c r="AV44" s="2"/>
    </row>
    <row r="45" ht="15.75" customHeight="1">
      <c r="A45" s="78"/>
      <c r="B45" s="79"/>
      <c r="C45" s="79"/>
      <c r="D45" s="79"/>
      <c r="E45" s="80"/>
      <c r="F45" s="79" t="s">
        <v>14</v>
      </c>
      <c r="G45" s="79">
        <v>0.0</v>
      </c>
      <c r="H45" s="81">
        <v>0.0</v>
      </c>
      <c r="I45" s="79" t="s">
        <v>20</v>
      </c>
      <c r="J45" s="53">
        <f t="shared" si="2"/>
        <v>0</v>
      </c>
      <c r="K45" s="54">
        <f t="shared" si="3"/>
        <v>0</v>
      </c>
      <c r="L45" s="54">
        <f>('VEA CLIENTE'!$K45/(1-'VEA CLIENTE'!$M45))-'VEA CLIENTE'!$K45</f>
        <v>0</v>
      </c>
      <c r="M45" s="72">
        <f t="shared" ref="M45:O45" si="108">M$2</f>
        <v>0.13</v>
      </c>
      <c r="N45" s="72">
        <f t="shared" si="108"/>
        <v>0</v>
      </c>
      <c r="O45" s="72">
        <f t="shared" si="108"/>
        <v>0</v>
      </c>
      <c r="P45" s="53">
        <f t="shared" si="4"/>
        <v>0</v>
      </c>
      <c r="Q45" s="76" t="s">
        <v>53</v>
      </c>
      <c r="R45" s="53">
        <f t="shared" si="5"/>
        <v>0</v>
      </c>
      <c r="S45" s="53">
        <f>IF('VEA CLIENTE'!$E45&gt;0,'VEA CLIENTE'!$T45/'VEA CLIENTE'!$E45,0)</f>
        <v>0</v>
      </c>
      <c r="T45" s="53">
        <f t="shared" si="6"/>
        <v>0</v>
      </c>
      <c r="U45" s="57"/>
      <c r="V45" s="2"/>
      <c r="W45" s="58"/>
      <c r="X45" s="59"/>
      <c r="Y45" s="71"/>
      <c r="Z45" s="71"/>
      <c r="AA45" s="62">
        <f>'VEA CLIENTE'!$Z45/(1-'VEA CLIENTE'!$AB45)-'VEA CLIENTE'!$Z45</f>
        <v>0</v>
      </c>
      <c r="AB45" s="72">
        <f t="shared" ref="AB45:AD45" si="109">AB$2</f>
        <v>0.13</v>
      </c>
      <c r="AC45" s="72">
        <f t="shared" si="109"/>
        <v>0</v>
      </c>
      <c r="AD45" s="72">
        <f t="shared" si="109"/>
        <v>0</v>
      </c>
      <c r="AE45" s="53">
        <f t="shared" si="7"/>
        <v>0</v>
      </c>
      <c r="AF45" s="63"/>
      <c r="AG45" s="2"/>
      <c r="AH45" s="64"/>
      <c r="AI45" s="73"/>
      <c r="AJ45" s="73"/>
      <c r="AK45" s="62">
        <f>'VEA CLIENTE'!$AJ45/(1-'VEA CLIENTE'!$AL45)-'VEA CLIENTE'!$AJ45</f>
        <v>0</v>
      </c>
      <c r="AL45" s="74">
        <f t="shared" ref="AL45:AN45" si="110">AL$2</f>
        <v>0.13</v>
      </c>
      <c r="AM45" s="74">
        <f t="shared" si="110"/>
        <v>0</v>
      </c>
      <c r="AN45" s="74">
        <f t="shared" si="110"/>
        <v>0</v>
      </c>
      <c r="AO45" s="53">
        <f t="shared" si="8"/>
        <v>0</v>
      </c>
      <c r="AP45" s="76" t="str">
        <f t="shared" ref="AP45:AQ45" si="111">AP$2</f>
        <v>NO</v>
      </c>
      <c r="AQ45" s="76" t="str">
        <f t="shared" si="111"/>
        <v>NO</v>
      </c>
      <c r="AR45" s="53">
        <f t="shared" si="9"/>
        <v>0</v>
      </c>
      <c r="AS45" s="53">
        <f t="shared" si="10"/>
        <v>0</v>
      </c>
      <c r="AT45" s="54">
        <f t="shared" si="11"/>
        <v>0</v>
      </c>
      <c r="AU45" s="68"/>
      <c r="AV45" s="2"/>
    </row>
    <row r="46" ht="15.75" customHeight="1">
      <c r="A46" s="78"/>
      <c r="B46" s="79"/>
      <c r="C46" s="79"/>
      <c r="D46" s="79"/>
      <c r="E46" s="80"/>
      <c r="F46" s="79" t="s">
        <v>14</v>
      </c>
      <c r="G46" s="79">
        <v>0.0</v>
      </c>
      <c r="H46" s="81">
        <v>0.0</v>
      </c>
      <c r="I46" s="79" t="s">
        <v>20</v>
      </c>
      <c r="J46" s="53">
        <f t="shared" si="2"/>
        <v>0</v>
      </c>
      <c r="K46" s="54">
        <f t="shared" si="3"/>
        <v>0</v>
      </c>
      <c r="L46" s="54">
        <f>('VEA CLIENTE'!$K46/(1-'VEA CLIENTE'!$M46))-'VEA CLIENTE'!$K46</f>
        <v>0</v>
      </c>
      <c r="M46" s="72">
        <f t="shared" ref="M46:O46" si="112">M$2</f>
        <v>0.13</v>
      </c>
      <c r="N46" s="72">
        <f t="shared" si="112"/>
        <v>0</v>
      </c>
      <c r="O46" s="72">
        <f t="shared" si="112"/>
        <v>0</v>
      </c>
      <c r="P46" s="53">
        <f t="shared" si="4"/>
        <v>0</v>
      </c>
      <c r="Q46" s="76" t="s">
        <v>53</v>
      </c>
      <c r="R46" s="53">
        <f t="shared" si="5"/>
        <v>0</v>
      </c>
      <c r="S46" s="53">
        <f>IF('VEA CLIENTE'!$E46&gt;0,'VEA CLIENTE'!$T46/'VEA CLIENTE'!$E46,0)</f>
        <v>0</v>
      </c>
      <c r="T46" s="53">
        <f t="shared" si="6"/>
        <v>0</v>
      </c>
      <c r="U46" s="57"/>
      <c r="V46" s="2"/>
      <c r="W46" s="58"/>
      <c r="X46" s="59"/>
      <c r="Y46" s="71"/>
      <c r="Z46" s="71"/>
      <c r="AA46" s="62">
        <f>'VEA CLIENTE'!$Z46/(1-'VEA CLIENTE'!$AB46)-'VEA CLIENTE'!$Z46</f>
        <v>0</v>
      </c>
      <c r="AB46" s="72">
        <f t="shared" ref="AB46:AD46" si="113">AB$2</f>
        <v>0.13</v>
      </c>
      <c r="AC46" s="72">
        <f t="shared" si="113"/>
        <v>0</v>
      </c>
      <c r="AD46" s="72">
        <f t="shared" si="113"/>
        <v>0</v>
      </c>
      <c r="AE46" s="53">
        <f t="shared" si="7"/>
        <v>0</v>
      </c>
      <c r="AF46" s="63"/>
      <c r="AG46" s="2"/>
      <c r="AH46" s="64"/>
      <c r="AI46" s="73"/>
      <c r="AJ46" s="73"/>
      <c r="AK46" s="62">
        <f>'VEA CLIENTE'!$AJ46/(1-'VEA CLIENTE'!$AL46)-'VEA CLIENTE'!$AJ46</f>
        <v>0</v>
      </c>
      <c r="AL46" s="74">
        <f t="shared" ref="AL46:AN46" si="114">AL$2</f>
        <v>0.13</v>
      </c>
      <c r="AM46" s="74">
        <f t="shared" si="114"/>
        <v>0</v>
      </c>
      <c r="AN46" s="74">
        <f t="shared" si="114"/>
        <v>0</v>
      </c>
      <c r="AO46" s="53">
        <f t="shared" si="8"/>
        <v>0</v>
      </c>
      <c r="AP46" s="76" t="str">
        <f t="shared" ref="AP46:AQ46" si="115">AP$2</f>
        <v>NO</v>
      </c>
      <c r="AQ46" s="76" t="str">
        <f t="shared" si="115"/>
        <v>NO</v>
      </c>
      <c r="AR46" s="53">
        <f t="shared" si="9"/>
        <v>0</v>
      </c>
      <c r="AS46" s="53">
        <f t="shared" si="10"/>
        <v>0</v>
      </c>
      <c r="AT46" s="54">
        <f t="shared" si="11"/>
        <v>0</v>
      </c>
      <c r="AU46" s="68"/>
      <c r="AV46" s="2"/>
    </row>
    <row r="47" ht="15.75" customHeight="1">
      <c r="A47" s="78"/>
      <c r="B47" s="79"/>
      <c r="C47" s="79"/>
      <c r="D47" s="79"/>
      <c r="E47" s="80"/>
      <c r="F47" s="79" t="s">
        <v>14</v>
      </c>
      <c r="G47" s="79">
        <v>0.0</v>
      </c>
      <c r="H47" s="81">
        <v>0.0</v>
      </c>
      <c r="I47" s="79" t="s">
        <v>20</v>
      </c>
      <c r="J47" s="53">
        <f t="shared" si="2"/>
        <v>0</v>
      </c>
      <c r="K47" s="54">
        <f t="shared" si="3"/>
        <v>0</v>
      </c>
      <c r="L47" s="54">
        <f>('VEA CLIENTE'!$K47/(1-'VEA CLIENTE'!$M47))-'VEA CLIENTE'!$K47</f>
        <v>0</v>
      </c>
      <c r="M47" s="72">
        <f t="shared" ref="M47:O47" si="116">M$2</f>
        <v>0.13</v>
      </c>
      <c r="N47" s="72">
        <f t="shared" si="116"/>
        <v>0</v>
      </c>
      <c r="O47" s="72">
        <f t="shared" si="116"/>
        <v>0</v>
      </c>
      <c r="P47" s="53">
        <f t="shared" si="4"/>
        <v>0</v>
      </c>
      <c r="Q47" s="76" t="s">
        <v>53</v>
      </c>
      <c r="R47" s="53">
        <f t="shared" si="5"/>
        <v>0</v>
      </c>
      <c r="S47" s="53">
        <f>IF('VEA CLIENTE'!$E47&gt;0,'VEA CLIENTE'!$T47/'VEA CLIENTE'!$E47,0)</f>
        <v>0</v>
      </c>
      <c r="T47" s="53">
        <f t="shared" si="6"/>
        <v>0</v>
      </c>
      <c r="U47" s="57"/>
      <c r="V47" s="2"/>
      <c r="W47" s="58"/>
      <c r="X47" s="59"/>
      <c r="Y47" s="71"/>
      <c r="Z47" s="71"/>
      <c r="AA47" s="62">
        <f>'VEA CLIENTE'!$Z47/(1-'VEA CLIENTE'!$AB47)-'VEA CLIENTE'!$Z47</f>
        <v>0</v>
      </c>
      <c r="AB47" s="72">
        <f t="shared" ref="AB47:AD47" si="117">AB$2</f>
        <v>0.13</v>
      </c>
      <c r="AC47" s="72">
        <f t="shared" si="117"/>
        <v>0</v>
      </c>
      <c r="AD47" s="72">
        <f t="shared" si="117"/>
        <v>0</v>
      </c>
      <c r="AE47" s="53">
        <f t="shared" si="7"/>
        <v>0</v>
      </c>
      <c r="AF47" s="63"/>
      <c r="AG47" s="2"/>
      <c r="AH47" s="64"/>
      <c r="AI47" s="73"/>
      <c r="AJ47" s="73"/>
      <c r="AK47" s="62">
        <f>'VEA CLIENTE'!$AJ47/(1-'VEA CLIENTE'!$AL47)-'VEA CLIENTE'!$AJ47</f>
        <v>0</v>
      </c>
      <c r="AL47" s="74">
        <f t="shared" ref="AL47:AN47" si="118">AL$2</f>
        <v>0.13</v>
      </c>
      <c r="AM47" s="74">
        <f t="shared" si="118"/>
        <v>0</v>
      </c>
      <c r="AN47" s="74">
        <f t="shared" si="118"/>
        <v>0</v>
      </c>
      <c r="AO47" s="53">
        <f t="shared" si="8"/>
        <v>0</v>
      </c>
      <c r="AP47" s="76" t="str">
        <f t="shared" ref="AP47:AQ47" si="119">AP$2</f>
        <v>NO</v>
      </c>
      <c r="AQ47" s="76" t="str">
        <f t="shared" si="119"/>
        <v>NO</v>
      </c>
      <c r="AR47" s="53">
        <f t="shared" si="9"/>
        <v>0</v>
      </c>
      <c r="AS47" s="53">
        <f t="shared" si="10"/>
        <v>0</v>
      </c>
      <c r="AT47" s="54">
        <f t="shared" si="11"/>
        <v>0</v>
      </c>
      <c r="AU47" s="68"/>
      <c r="AV47" s="2"/>
    </row>
    <row r="48" ht="15.75" customHeight="1">
      <c r="A48" s="78"/>
      <c r="B48" s="79"/>
      <c r="C48" s="79"/>
      <c r="D48" s="79"/>
      <c r="E48" s="80"/>
      <c r="F48" s="79" t="s">
        <v>14</v>
      </c>
      <c r="G48" s="79">
        <v>0.0</v>
      </c>
      <c r="H48" s="81">
        <v>0.0</v>
      </c>
      <c r="I48" s="79" t="s">
        <v>20</v>
      </c>
      <c r="J48" s="53">
        <f t="shared" si="2"/>
        <v>0</v>
      </c>
      <c r="K48" s="54">
        <f t="shared" si="3"/>
        <v>0</v>
      </c>
      <c r="L48" s="54">
        <f>('VEA CLIENTE'!$K48/(1-'VEA CLIENTE'!$M48))-'VEA CLIENTE'!$K48</f>
        <v>0</v>
      </c>
      <c r="M48" s="72">
        <f t="shared" ref="M48:O48" si="120">M$2</f>
        <v>0.13</v>
      </c>
      <c r="N48" s="72">
        <f t="shared" si="120"/>
        <v>0</v>
      </c>
      <c r="O48" s="72">
        <f t="shared" si="120"/>
        <v>0</v>
      </c>
      <c r="P48" s="53">
        <f t="shared" si="4"/>
        <v>0</v>
      </c>
      <c r="Q48" s="76" t="s">
        <v>53</v>
      </c>
      <c r="R48" s="53">
        <f t="shared" si="5"/>
        <v>0</v>
      </c>
      <c r="S48" s="53">
        <f>IF('VEA CLIENTE'!$E48&gt;0,'VEA CLIENTE'!$T48/'VEA CLIENTE'!$E48,0)</f>
        <v>0</v>
      </c>
      <c r="T48" s="53">
        <f t="shared" si="6"/>
        <v>0</v>
      </c>
      <c r="U48" s="57"/>
      <c r="V48" s="2"/>
      <c r="W48" s="58"/>
      <c r="X48" s="59"/>
      <c r="Y48" s="71"/>
      <c r="Z48" s="71"/>
      <c r="AA48" s="62">
        <f>'VEA CLIENTE'!$Z48/(1-'VEA CLIENTE'!$AB48)-'VEA CLIENTE'!$Z48</f>
        <v>0</v>
      </c>
      <c r="AB48" s="72">
        <f t="shared" ref="AB48:AD48" si="121">AB$2</f>
        <v>0.13</v>
      </c>
      <c r="AC48" s="72">
        <f t="shared" si="121"/>
        <v>0</v>
      </c>
      <c r="AD48" s="72">
        <f t="shared" si="121"/>
        <v>0</v>
      </c>
      <c r="AE48" s="53">
        <f t="shared" si="7"/>
        <v>0</v>
      </c>
      <c r="AF48" s="63"/>
      <c r="AG48" s="2"/>
      <c r="AH48" s="64"/>
      <c r="AI48" s="73"/>
      <c r="AJ48" s="73"/>
      <c r="AK48" s="62">
        <f>'VEA CLIENTE'!$AJ48/(1-'VEA CLIENTE'!$AL48)-'VEA CLIENTE'!$AJ48</f>
        <v>0</v>
      </c>
      <c r="AL48" s="74">
        <f t="shared" ref="AL48:AN48" si="122">AL$2</f>
        <v>0.13</v>
      </c>
      <c r="AM48" s="74">
        <f t="shared" si="122"/>
        <v>0</v>
      </c>
      <c r="AN48" s="74">
        <f t="shared" si="122"/>
        <v>0</v>
      </c>
      <c r="AO48" s="53">
        <f t="shared" si="8"/>
        <v>0</v>
      </c>
      <c r="AP48" s="76" t="str">
        <f t="shared" ref="AP48:AQ48" si="123">AP$2</f>
        <v>NO</v>
      </c>
      <c r="AQ48" s="76" t="str">
        <f t="shared" si="123"/>
        <v>NO</v>
      </c>
      <c r="AR48" s="53">
        <f t="shared" si="9"/>
        <v>0</v>
      </c>
      <c r="AS48" s="53">
        <f t="shared" si="10"/>
        <v>0</v>
      </c>
      <c r="AT48" s="54">
        <f t="shared" si="11"/>
        <v>0</v>
      </c>
      <c r="AU48" s="68"/>
      <c r="AV48" s="2"/>
    </row>
    <row r="49" ht="15.75" customHeight="1">
      <c r="A49" s="78"/>
      <c r="B49" s="79"/>
      <c r="C49" s="79"/>
      <c r="D49" s="79"/>
      <c r="E49" s="80"/>
      <c r="F49" s="79" t="s">
        <v>14</v>
      </c>
      <c r="G49" s="79">
        <v>0.0</v>
      </c>
      <c r="H49" s="81">
        <v>0.0</v>
      </c>
      <c r="I49" s="79" t="s">
        <v>20</v>
      </c>
      <c r="J49" s="53">
        <f t="shared" si="2"/>
        <v>0</v>
      </c>
      <c r="K49" s="54">
        <f t="shared" si="3"/>
        <v>0</v>
      </c>
      <c r="L49" s="54">
        <f>('VEA CLIENTE'!$K49/(1-'VEA CLIENTE'!$M49))-'VEA CLIENTE'!$K49</f>
        <v>0</v>
      </c>
      <c r="M49" s="72">
        <f t="shared" ref="M49:O49" si="124">M$2</f>
        <v>0.13</v>
      </c>
      <c r="N49" s="72">
        <f t="shared" si="124"/>
        <v>0</v>
      </c>
      <c r="O49" s="72">
        <f t="shared" si="124"/>
        <v>0</v>
      </c>
      <c r="P49" s="53">
        <f t="shared" si="4"/>
        <v>0</v>
      </c>
      <c r="Q49" s="76" t="s">
        <v>53</v>
      </c>
      <c r="R49" s="53">
        <f t="shared" si="5"/>
        <v>0</v>
      </c>
      <c r="S49" s="53">
        <f>IF('VEA CLIENTE'!$E49&gt;0,'VEA CLIENTE'!$T49/'VEA CLIENTE'!$E49,0)</f>
        <v>0</v>
      </c>
      <c r="T49" s="53">
        <f t="shared" si="6"/>
        <v>0</v>
      </c>
      <c r="U49" s="57"/>
      <c r="V49" s="2"/>
      <c r="W49" s="58"/>
      <c r="X49" s="59"/>
      <c r="Y49" s="71"/>
      <c r="Z49" s="71"/>
      <c r="AA49" s="62">
        <f>'VEA CLIENTE'!$Z49/(1-'VEA CLIENTE'!$AB49)-'VEA CLIENTE'!$Z49</f>
        <v>0</v>
      </c>
      <c r="AB49" s="72">
        <f t="shared" ref="AB49:AD49" si="125">AB$2</f>
        <v>0.13</v>
      </c>
      <c r="AC49" s="72">
        <f t="shared" si="125"/>
        <v>0</v>
      </c>
      <c r="AD49" s="72">
        <f t="shared" si="125"/>
        <v>0</v>
      </c>
      <c r="AE49" s="53">
        <f t="shared" si="7"/>
        <v>0</v>
      </c>
      <c r="AF49" s="63"/>
      <c r="AG49" s="2"/>
      <c r="AH49" s="64"/>
      <c r="AI49" s="73"/>
      <c r="AJ49" s="73"/>
      <c r="AK49" s="62">
        <f>'VEA CLIENTE'!$AJ49/(1-'VEA CLIENTE'!$AL49)-'VEA CLIENTE'!$AJ49</f>
        <v>0</v>
      </c>
      <c r="AL49" s="74">
        <f t="shared" ref="AL49:AN49" si="126">AL$2</f>
        <v>0.13</v>
      </c>
      <c r="AM49" s="74">
        <f t="shared" si="126"/>
        <v>0</v>
      </c>
      <c r="AN49" s="74">
        <f t="shared" si="126"/>
        <v>0</v>
      </c>
      <c r="AO49" s="53">
        <f t="shared" si="8"/>
        <v>0</v>
      </c>
      <c r="AP49" s="76" t="str">
        <f t="shared" ref="AP49:AQ49" si="127">AP$2</f>
        <v>NO</v>
      </c>
      <c r="AQ49" s="76" t="str">
        <f t="shared" si="127"/>
        <v>NO</v>
      </c>
      <c r="AR49" s="53">
        <f t="shared" si="9"/>
        <v>0</v>
      </c>
      <c r="AS49" s="53">
        <f t="shared" si="10"/>
        <v>0</v>
      </c>
      <c r="AT49" s="54">
        <f t="shared" si="11"/>
        <v>0</v>
      </c>
      <c r="AU49" s="68"/>
      <c r="AV49" s="2"/>
    </row>
    <row r="50" ht="15.75" customHeight="1">
      <c r="A50" s="78"/>
      <c r="B50" s="79"/>
      <c r="C50" s="79"/>
      <c r="D50" s="79"/>
      <c r="E50" s="80"/>
      <c r="F50" s="79" t="s">
        <v>14</v>
      </c>
      <c r="G50" s="79">
        <v>0.0</v>
      </c>
      <c r="H50" s="81">
        <v>0.0</v>
      </c>
      <c r="I50" s="79" t="s">
        <v>20</v>
      </c>
      <c r="J50" s="53">
        <f t="shared" si="2"/>
        <v>0</v>
      </c>
      <c r="K50" s="54">
        <f t="shared" si="3"/>
        <v>0</v>
      </c>
      <c r="L50" s="54">
        <f>('VEA CLIENTE'!$K50/(1-'VEA CLIENTE'!$M50))-'VEA CLIENTE'!$K50</f>
        <v>0</v>
      </c>
      <c r="M50" s="72">
        <f t="shared" ref="M50:O50" si="128">M$2</f>
        <v>0.13</v>
      </c>
      <c r="N50" s="72">
        <f t="shared" si="128"/>
        <v>0</v>
      </c>
      <c r="O50" s="72">
        <f t="shared" si="128"/>
        <v>0</v>
      </c>
      <c r="P50" s="53">
        <f t="shared" si="4"/>
        <v>0</v>
      </c>
      <c r="Q50" s="76" t="s">
        <v>53</v>
      </c>
      <c r="R50" s="53">
        <f t="shared" si="5"/>
        <v>0</v>
      </c>
      <c r="S50" s="53">
        <f>IF('VEA CLIENTE'!$E50&gt;0,'VEA CLIENTE'!$T50/'VEA CLIENTE'!$E50,0)</f>
        <v>0</v>
      </c>
      <c r="T50" s="53">
        <f t="shared" si="6"/>
        <v>0</v>
      </c>
      <c r="U50" s="57"/>
      <c r="V50" s="2"/>
      <c r="W50" s="58"/>
      <c r="X50" s="59"/>
      <c r="Y50" s="71"/>
      <c r="Z50" s="71"/>
      <c r="AA50" s="62">
        <f>'VEA CLIENTE'!$Z50/(1-'VEA CLIENTE'!$AB50)-'VEA CLIENTE'!$Z50</f>
        <v>0</v>
      </c>
      <c r="AB50" s="72">
        <f t="shared" ref="AB50:AD50" si="129">AB$2</f>
        <v>0.13</v>
      </c>
      <c r="AC50" s="72">
        <f t="shared" si="129"/>
        <v>0</v>
      </c>
      <c r="AD50" s="72">
        <f t="shared" si="129"/>
        <v>0</v>
      </c>
      <c r="AE50" s="53">
        <f t="shared" si="7"/>
        <v>0</v>
      </c>
      <c r="AF50" s="63"/>
      <c r="AG50" s="2"/>
      <c r="AH50" s="64"/>
      <c r="AI50" s="73"/>
      <c r="AJ50" s="73"/>
      <c r="AK50" s="62">
        <f>'VEA CLIENTE'!$AJ50/(1-'VEA CLIENTE'!$AL50)-'VEA CLIENTE'!$AJ50</f>
        <v>0</v>
      </c>
      <c r="AL50" s="74">
        <f t="shared" ref="AL50:AN50" si="130">AL$2</f>
        <v>0.13</v>
      </c>
      <c r="AM50" s="74">
        <f t="shared" si="130"/>
        <v>0</v>
      </c>
      <c r="AN50" s="74">
        <f t="shared" si="130"/>
        <v>0</v>
      </c>
      <c r="AO50" s="53">
        <f t="shared" si="8"/>
        <v>0</v>
      </c>
      <c r="AP50" s="76" t="str">
        <f t="shared" ref="AP50:AQ50" si="131">AP$2</f>
        <v>NO</v>
      </c>
      <c r="AQ50" s="76" t="str">
        <f t="shared" si="131"/>
        <v>NO</v>
      </c>
      <c r="AR50" s="53">
        <f t="shared" si="9"/>
        <v>0</v>
      </c>
      <c r="AS50" s="53">
        <f t="shared" si="10"/>
        <v>0</v>
      </c>
      <c r="AT50" s="54">
        <f t="shared" si="11"/>
        <v>0</v>
      </c>
      <c r="AU50" s="68"/>
      <c r="AV50" s="2"/>
    </row>
    <row r="51" ht="15.75" customHeight="1">
      <c r="A51" s="78"/>
      <c r="B51" s="79"/>
      <c r="C51" s="79"/>
      <c r="D51" s="79"/>
      <c r="E51" s="80"/>
      <c r="F51" s="79" t="s">
        <v>14</v>
      </c>
      <c r="G51" s="79">
        <v>0.0</v>
      </c>
      <c r="H51" s="81">
        <v>0.0</v>
      </c>
      <c r="I51" s="79" t="s">
        <v>20</v>
      </c>
      <c r="J51" s="53">
        <f t="shared" si="2"/>
        <v>0</v>
      </c>
      <c r="K51" s="54">
        <f t="shared" si="3"/>
        <v>0</v>
      </c>
      <c r="L51" s="54">
        <f>('VEA CLIENTE'!$K51/(1-'VEA CLIENTE'!$M51))-'VEA CLIENTE'!$K51</f>
        <v>0</v>
      </c>
      <c r="M51" s="72">
        <f t="shared" ref="M51:O51" si="132">M$2</f>
        <v>0.13</v>
      </c>
      <c r="N51" s="72">
        <f t="shared" si="132"/>
        <v>0</v>
      </c>
      <c r="O51" s="72">
        <f t="shared" si="132"/>
        <v>0</v>
      </c>
      <c r="P51" s="53">
        <f t="shared" si="4"/>
        <v>0</v>
      </c>
      <c r="Q51" s="76" t="s">
        <v>53</v>
      </c>
      <c r="R51" s="53">
        <f t="shared" si="5"/>
        <v>0</v>
      </c>
      <c r="S51" s="53">
        <f>IF('VEA CLIENTE'!$E51&gt;0,'VEA CLIENTE'!$T51/'VEA CLIENTE'!$E51,0)</f>
        <v>0</v>
      </c>
      <c r="T51" s="53">
        <f t="shared" si="6"/>
        <v>0</v>
      </c>
      <c r="U51" s="57"/>
      <c r="V51" s="2"/>
      <c r="W51" s="58"/>
      <c r="X51" s="59"/>
      <c r="Y51" s="71"/>
      <c r="Z51" s="71"/>
      <c r="AA51" s="62">
        <f>'VEA CLIENTE'!$Z51/(1-'VEA CLIENTE'!$AB51)-'VEA CLIENTE'!$Z51</f>
        <v>0</v>
      </c>
      <c r="AB51" s="72">
        <f t="shared" ref="AB51:AD51" si="133">AB$2</f>
        <v>0.13</v>
      </c>
      <c r="AC51" s="72">
        <f t="shared" si="133"/>
        <v>0</v>
      </c>
      <c r="AD51" s="72">
        <f t="shared" si="133"/>
        <v>0</v>
      </c>
      <c r="AE51" s="53">
        <f t="shared" si="7"/>
        <v>0</v>
      </c>
      <c r="AF51" s="63"/>
      <c r="AG51" s="2"/>
      <c r="AH51" s="64"/>
      <c r="AI51" s="73"/>
      <c r="AJ51" s="73"/>
      <c r="AK51" s="62">
        <f>'VEA CLIENTE'!$AJ51/(1-'VEA CLIENTE'!$AL51)-'VEA CLIENTE'!$AJ51</f>
        <v>0</v>
      </c>
      <c r="AL51" s="74">
        <f t="shared" ref="AL51:AN51" si="134">AL$2</f>
        <v>0.13</v>
      </c>
      <c r="AM51" s="74">
        <f t="shared" si="134"/>
        <v>0</v>
      </c>
      <c r="AN51" s="74">
        <f t="shared" si="134"/>
        <v>0</v>
      </c>
      <c r="AO51" s="53">
        <f t="shared" si="8"/>
        <v>0</v>
      </c>
      <c r="AP51" s="76" t="str">
        <f t="shared" ref="AP51:AQ51" si="135">AP$2</f>
        <v>NO</v>
      </c>
      <c r="AQ51" s="76" t="str">
        <f t="shared" si="135"/>
        <v>NO</v>
      </c>
      <c r="AR51" s="53">
        <f t="shared" si="9"/>
        <v>0</v>
      </c>
      <c r="AS51" s="53">
        <f t="shared" si="10"/>
        <v>0</v>
      </c>
      <c r="AT51" s="54">
        <f t="shared" si="11"/>
        <v>0</v>
      </c>
      <c r="AU51" s="68"/>
      <c r="AV51" s="2"/>
    </row>
    <row r="52" ht="15.75" customHeight="1">
      <c r="A52" s="78"/>
      <c r="B52" s="79"/>
      <c r="C52" s="79"/>
      <c r="D52" s="79"/>
      <c r="E52" s="80"/>
      <c r="F52" s="79" t="s">
        <v>14</v>
      </c>
      <c r="G52" s="79">
        <v>0.0</v>
      </c>
      <c r="H52" s="81">
        <v>0.0</v>
      </c>
      <c r="I52" s="79" t="s">
        <v>20</v>
      </c>
      <c r="J52" s="53">
        <f t="shared" si="2"/>
        <v>0</v>
      </c>
      <c r="K52" s="54">
        <f t="shared" si="3"/>
        <v>0</v>
      </c>
      <c r="L52" s="54">
        <f>('VEA CLIENTE'!$K52/(1-'VEA CLIENTE'!$M52))-'VEA CLIENTE'!$K52</f>
        <v>0</v>
      </c>
      <c r="M52" s="72">
        <f t="shared" ref="M52:O52" si="136">M$2</f>
        <v>0.13</v>
      </c>
      <c r="N52" s="72">
        <f t="shared" si="136"/>
        <v>0</v>
      </c>
      <c r="O52" s="72">
        <f t="shared" si="136"/>
        <v>0</v>
      </c>
      <c r="P52" s="53">
        <f t="shared" si="4"/>
        <v>0</v>
      </c>
      <c r="Q52" s="76" t="s">
        <v>53</v>
      </c>
      <c r="R52" s="53">
        <f t="shared" si="5"/>
        <v>0</v>
      </c>
      <c r="S52" s="53">
        <f>IF('VEA CLIENTE'!$E52&gt;0,'VEA CLIENTE'!$T52/'VEA CLIENTE'!$E52,0)</f>
        <v>0</v>
      </c>
      <c r="T52" s="53">
        <f t="shared" si="6"/>
        <v>0</v>
      </c>
      <c r="U52" s="57"/>
      <c r="V52" s="2"/>
      <c r="W52" s="58"/>
      <c r="X52" s="59"/>
      <c r="Y52" s="71"/>
      <c r="Z52" s="71"/>
      <c r="AA52" s="62">
        <f>'VEA CLIENTE'!$Z52/(1-'VEA CLIENTE'!$AB52)-'VEA CLIENTE'!$Z52</f>
        <v>0</v>
      </c>
      <c r="AB52" s="72">
        <f t="shared" ref="AB52:AD52" si="137">AB$2</f>
        <v>0.13</v>
      </c>
      <c r="AC52" s="72">
        <f t="shared" si="137"/>
        <v>0</v>
      </c>
      <c r="AD52" s="72">
        <f t="shared" si="137"/>
        <v>0</v>
      </c>
      <c r="AE52" s="53">
        <f t="shared" si="7"/>
        <v>0</v>
      </c>
      <c r="AF52" s="63"/>
      <c r="AG52" s="2"/>
      <c r="AH52" s="64"/>
      <c r="AI52" s="73"/>
      <c r="AJ52" s="73"/>
      <c r="AK52" s="62">
        <f>'VEA CLIENTE'!$AJ52/(1-'VEA CLIENTE'!$AL52)-'VEA CLIENTE'!$AJ52</f>
        <v>0</v>
      </c>
      <c r="AL52" s="74">
        <f t="shared" ref="AL52:AN52" si="138">AL$2</f>
        <v>0.13</v>
      </c>
      <c r="AM52" s="74">
        <f t="shared" si="138"/>
        <v>0</v>
      </c>
      <c r="AN52" s="74">
        <f t="shared" si="138"/>
        <v>0</v>
      </c>
      <c r="AO52" s="53">
        <f t="shared" si="8"/>
        <v>0</v>
      </c>
      <c r="AP52" s="76" t="str">
        <f t="shared" ref="AP52:AQ52" si="139">AP$2</f>
        <v>NO</v>
      </c>
      <c r="AQ52" s="76" t="str">
        <f t="shared" si="139"/>
        <v>NO</v>
      </c>
      <c r="AR52" s="53">
        <f t="shared" si="9"/>
        <v>0</v>
      </c>
      <c r="AS52" s="53">
        <f t="shared" si="10"/>
        <v>0</v>
      </c>
      <c r="AT52" s="54">
        <f t="shared" si="11"/>
        <v>0</v>
      </c>
      <c r="AU52" s="68"/>
      <c r="AV52" s="2"/>
    </row>
    <row r="53" ht="15.75" customHeight="1">
      <c r="A53" s="78"/>
      <c r="B53" s="79"/>
      <c r="C53" s="79"/>
      <c r="D53" s="79"/>
      <c r="E53" s="80"/>
      <c r="F53" s="79" t="s">
        <v>14</v>
      </c>
      <c r="G53" s="79">
        <v>0.0</v>
      </c>
      <c r="H53" s="81">
        <v>0.0</v>
      </c>
      <c r="I53" s="79" t="s">
        <v>20</v>
      </c>
      <c r="J53" s="53">
        <f t="shared" si="2"/>
        <v>0</v>
      </c>
      <c r="K53" s="54">
        <f t="shared" si="3"/>
        <v>0</v>
      </c>
      <c r="L53" s="54">
        <f>('VEA CLIENTE'!$K53/(1-'VEA CLIENTE'!$M53))-'VEA CLIENTE'!$K53</f>
        <v>0</v>
      </c>
      <c r="M53" s="72">
        <f t="shared" ref="M53:O53" si="140">M$2</f>
        <v>0.13</v>
      </c>
      <c r="N53" s="72">
        <f t="shared" si="140"/>
        <v>0</v>
      </c>
      <c r="O53" s="72">
        <f t="shared" si="140"/>
        <v>0</v>
      </c>
      <c r="P53" s="53">
        <f t="shared" si="4"/>
        <v>0</v>
      </c>
      <c r="Q53" s="76" t="s">
        <v>53</v>
      </c>
      <c r="R53" s="53">
        <f t="shared" si="5"/>
        <v>0</v>
      </c>
      <c r="S53" s="53">
        <f>IF('VEA CLIENTE'!$E53&gt;0,'VEA CLIENTE'!$T53/'VEA CLIENTE'!$E53,0)</f>
        <v>0</v>
      </c>
      <c r="T53" s="53">
        <f t="shared" si="6"/>
        <v>0</v>
      </c>
      <c r="U53" s="57"/>
      <c r="V53" s="2"/>
      <c r="W53" s="58"/>
      <c r="X53" s="59"/>
      <c r="Y53" s="71"/>
      <c r="Z53" s="71"/>
      <c r="AA53" s="62">
        <f>'VEA CLIENTE'!$Z53/(1-'VEA CLIENTE'!$AB53)-'VEA CLIENTE'!$Z53</f>
        <v>0</v>
      </c>
      <c r="AB53" s="72">
        <f t="shared" ref="AB53:AD53" si="141">AB$2</f>
        <v>0.13</v>
      </c>
      <c r="AC53" s="72">
        <f t="shared" si="141"/>
        <v>0</v>
      </c>
      <c r="AD53" s="72">
        <f t="shared" si="141"/>
        <v>0</v>
      </c>
      <c r="AE53" s="53">
        <f t="shared" si="7"/>
        <v>0</v>
      </c>
      <c r="AF53" s="63"/>
      <c r="AG53" s="2"/>
      <c r="AH53" s="64"/>
      <c r="AI53" s="73"/>
      <c r="AJ53" s="73"/>
      <c r="AK53" s="62">
        <f>'VEA CLIENTE'!$AJ53/(1-'VEA CLIENTE'!$AL53)-'VEA CLIENTE'!$AJ53</f>
        <v>0</v>
      </c>
      <c r="AL53" s="74">
        <f t="shared" ref="AL53:AN53" si="142">AL$2</f>
        <v>0.13</v>
      </c>
      <c r="AM53" s="74">
        <f t="shared" si="142"/>
        <v>0</v>
      </c>
      <c r="AN53" s="74">
        <f t="shared" si="142"/>
        <v>0</v>
      </c>
      <c r="AO53" s="53">
        <f t="shared" si="8"/>
        <v>0</v>
      </c>
      <c r="AP53" s="76" t="str">
        <f t="shared" ref="AP53:AQ53" si="143">AP$2</f>
        <v>NO</v>
      </c>
      <c r="AQ53" s="76" t="str">
        <f t="shared" si="143"/>
        <v>NO</v>
      </c>
      <c r="AR53" s="53">
        <f t="shared" si="9"/>
        <v>0</v>
      </c>
      <c r="AS53" s="53">
        <f t="shared" si="10"/>
        <v>0</v>
      </c>
      <c r="AT53" s="54">
        <f t="shared" si="11"/>
        <v>0</v>
      </c>
      <c r="AU53" s="68"/>
      <c r="AV53" s="2"/>
    </row>
    <row r="54" ht="15.75" customHeight="1">
      <c r="A54" s="78"/>
      <c r="B54" s="79"/>
      <c r="C54" s="79"/>
      <c r="D54" s="79"/>
      <c r="E54" s="80"/>
      <c r="F54" s="79" t="s">
        <v>14</v>
      </c>
      <c r="G54" s="79">
        <v>0.0</v>
      </c>
      <c r="H54" s="81">
        <v>0.0</v>
      </c>
      <c r="I54" s="79" t="s">
        <v>20</v>
      </c>
      <c r="J54" s="53">
        <f t="shared" si="2"/>
        <v>0</v>
      </c>
      <c r="K54" s="54">
        <f t="shared" si="3"/>
        <v>0</v>
      </c>
      <c r="L54" s="54">
        <f>('VEA CLIENTE'!$K54/(1-'VEA CLIENTE'!$M54))-'VEA CLIENTE'!$K54</f>
        <v>0</v>
      </c>
      <c r="M54" s="72">
        <f t="shared" ref="M54:O54" si="144">M$2</f>
        <v>0.13</v>
      </c>
      <c r="N54" s="72">
        <f t="shared" si="144"/>
        <v>0</v>
      </c>
      <c r="O54" s="72">
        <f t="shared" si="144"/>
        <v>0</v>
      </c>
      <c r="P54" s="53">
        <f t="shared" si="4"/>
        <v>0</v>
      </c>
      <c r="Q54" s="76" t="s">
        <v>53</v>
      </c>
      <c r="R54" s="53">
        <f t="shared" si="5"/>
        <v>0</v>
      </c>
      <c r="S54" s="53">
        <f>IF('VEA CLIENTE'!$E54&gt;0,'VEA CLIENTE'!$T54/'VEA CLIENTE'!$E54,0)</f>
        <v>0</v>
      </c>
      <c r="T54" s="53">
        <f t="shared" si="6"/>
        <v>0</v>
      </c>
      <c r="U54" s="57"/>
      <c r="V54" s="2"/>
      <c r="W54" s="58"/>
      <c r="X54" s="59"/>
      <c r="Y54" s="71"/>
      <c r="Z54" s="71"/>
      <c r="AA54" s="62">
        <f>'VEA CLIENTE'!$Z54/(1-'VEA CLIENTE'!$AB54)-'VEA CLIENTE'!$Z54</f>
        <v>0</v>
      </c>
      <c r="AB54" s="72">
        <f t="shared" ref="AB54:AD54" si="145">AB$2</f>
        <v>0.13</v>
      </c>
      <c r="AC54" s="72">
        <f t="shared" si="145"/>
        <v>0</v>
      </c>
      <c r="AD54" s="72">
        <f t="shared" si="145"/>
        <v>0</v>
      </c>
      <c r="AE54" s="53">
        <f t="shared" si="7"/>
        <v>0</v>
      </c>
      <c r="AF54" s="63"/>
      <c r="AG54" s="2"/>
      <c r="AH54" s="64"/>
      <c r="AI54" s="73"/>
      <c r="AJ54" s="73"/>
      <c r="AK54" s="62">
        <f>'VEA CLIENTE'!$AJ54/(1-'VEA CLIENTE'!$AL54)-'VEA CLIENTE'!$AJ54</f>
        <v>0</v>
      </c>
      <c r="AL54" s="74">
        <f t="shared" ref="AL54:AN54" si="146">AL$2</f>
        <v>0.13</v>
      </c>
      <c r="AM54" s="74">
        <f t="shared" si="146"/>
        <v>0</v>
      </c>
      <c r="AN54" s="74">
        <f t="shared" si="146"/>
        <v>0</v>
      </c>
      <c r="AO54" s="53">
        <f t="shared" si="8"/>
        <v>0</v>
      </c>
      <c r="AP54" s="76" t="str">
        <f t="shared" ref="AP54:AQ54" si="147">AP$2</f>
        <v>NO</v>
      </c>
      <c r="AQ54" s="76" t="str">
        <f t="shared" si="147"/>
        <v>NO</v>
      </c>
      <c r="AR54" s="53">
        <f t="shared" si="9"/>
        <v>0</v>
      </c>
      <c r="AS54" s="53">
        <f t="shared" si="10"/>
        <v>0</v>
      </c>
      <c r="AT54" s="54">
        <f t="shared" si="11"/>
        <v>0</v>
      </c>
      <c r="AU54" s="68"/>
      <c r="AV54" s="2"/>
    </row>
    <row r="55" ht="15.75" customHeight="1">
      <c r="A55" s="78"/>
      <c r="B55" s="79"/>
      <c r="C55" s="79"/>
      <c r="D55" s="79"/>
      <c r="E55" s="80"/>
      <c r="F55" s="79" t="s">
        <v>14</v>
      </c>
      <c r="G55" s="79">
        <v>0.0</v>
      </c>
      <c r="H55" s="81">
        <v>0.0</v>
      </c>
      <c r="I55" s="79" t="s">
        <v>20</v>
      </c>
      <c r="J55" s="53">
        <f t="shared" si="2"/>
        <v>0</v>
      </c>
      <c r="K55" s="54">
        <f t="shared" si="3"/>
        <v>0</v>
      </c>
      <c r="L55" s="54">
        <f>('VEA CLIENTE'!$K55/(1-'VEA CLIENTE'!$M55))-'VEA CLIENTE'!$K55</f>
        <v>0</v>
      </c>
      <c r="M55" s="72">
        <f t="shared" ref="M55:O55" si="148">M$2</f>
        <v>0.13</v>
      </c>
      <c r="N55" s="72">
        <f t="shared" si="148"/>
        <v>0</v>
      </c>
      <c r="O55" s="72">
        <f t="shared" si="148"/>
        <v>0</v>
      </c>
      <c r="P55" s="53">
        <f t="shared" si="4"/>
        <v>0</v>
      </c>
      <c r="Q55" s="76" t="s">
        <v>53</v>
      </c>
      <c r="R55" s="53">
        <f t="shared" si="5"/>
        <v>0</v>
      </c>
      <c r="S55" s="53">
        <f>IF('VEA CLIENTE'!$E55&gt;0,'VEA CLIENTE'!$T55/'VEA CLIENTE'!$E55,0)</f>
        <v>0</v>
      </c>
      <c r="T55" s="53">
        <f t="shared" si="6"/>
        <v>0</v>
      </c>
      <c r="U55" s="57"/>
      <c r="V55" s="2"/>
      <c r="W55" s="58"/>
      <c r="X55" s="59"/>
      <c r="Y55" s="71"/>
      <c r="Z55" s="71"/>
      <c r="AA55" s="62">
        <f>'VEA CLIENTE'!$Z55/(1-'VEA CLIENTE'!$AB55)-'VEA CLIENTE'!$Z55</f>
        <v>0</v>
      </c>
      <c r="AB55" s="72">
        <f t="shared" ref="AB55:AD55" si="149">AB$2</f>
        <v>0.13</v>
      </c>
      <c r="AC55" s="72">
        <f t="shared" si="149"/>
        <v>0</v>
      </c>
      <c r="AD55" s="72">
        <f t="shared" si="149"/>
        <v>0</v>
      </c>
      <c r="AE55" s="53">
        <f t="shared" si="7"/>
        <v>0</v>
      </c>
      <c r="AF55" s="63"/>
      <c r="AG55" s="2"/>
      <c r="AH55" s="64"/>
      <c r="AI55" s="73"/>
      <c r="AJ55" s="73"/>
      <c r="AK55" s="62">
        <f>'VEA CLIENTE'!$AJ55/(1-'VEA CLIENTE'!$AL55)-'VEA CLIENTE'!$AJ55</f>
        <v>0</v>
      </c>
      <c r="AL55" s="74">
        <f t="shared" ref="AL55:AN55" si="150">AL$2</f>
        <v>0.13</v>
      </c>
      <c r="AM55" s="74">
        <f t="shared" si="150"/>
        <v>0</v>
      </c>
      <c r="AN55" s="74">
        <f t="shared" si="150"/>
        <v>0</v>
      </c>
      <c r="AO55" s="53">
        <f t="shared" si="8"/>
        <v>0</v>
      </c>
      <c r="AP55" s="76" t="str">
        <f t="shared" ref="AP55:AQ55" si="151">AP$2</f>
        <v>NO</v>
      </c>
      <c r="AQ55" s="76" t="str">
        <f t="shared" si="151"/>
        <v>NO</v>
      </c>
      <c r="AR55" s="53">
        <f t="shared" si="9"/>
        <v>0</v>
      </c>
      <c r="AS55" s="53">
        <f t="shared" si="10"/>
        <v>0</v>
      </c>
      <c r="AT55" s="54">
        <f t="shared" si="11"/>
        <v>0</v>
      </c>
      <c r="AU55" s="68"/>
      <c r="AV55" s="2"/>
    </row>
    <row r="56" ht="15.75" customHeight="1">
      <c r="A56" s="78"/>
      <c r="B56" s="79"/>
      <c r="C56" s="79"/>
      <c r="D56" s="79"/>
      <c r="E56" s="80"/>
      <c r="F56" s="79" t="s">
        <v>14</v>
      </c>
      <c r="G56" s="79">
        <v>0.0</v>
      </c>
      <c r="H56" s="81">
        <v>0.0</v>
      </c>
      <c r="I56" s="79" t="s">
        <v>20</v>
      </c>
      <c r="J56" s="53">
        <f t="shared" si="2"/>
        <v>0</v>
      </c>
      <c r="K56" s="54">
        <f t="shared" si="3"/>
        <v>0</v>
      </c>
      <c r="L56" s="54">
        <f>('VEA CLIENTE'!$K56/(1-'VEA CLIENTE'!$M56))-'VEA CLIENTE'!$K56</f>
        <v>0</v>
      </c>
      <c r="M56" s="72">
        <f t="shared" ref="M56:O56" si="152">M$2</f>
        <v>0.13</v>
      </c>
      <c r="N56" s="72">
        <f t="shared" si="152"/>
        <v>0</v>
      </c>
      <c r="O56" s="72">
        <f t="shared" si="152"/>
        <v>0</v>
      </c>
      <c r="P56" s="53">
        <f t="shared" si="4"/>
        <v>0</v>
      </c>
      <c r="Q56" s="76" t="s">
        <v>53</v>
      </c>
      <c r="R56" s="53">
        <f t="shared" si="5"/>
        <v>0</v>
      </c>
      <c r="S56" s="53">
        <f>IF('VEA CLIENTE'!$E56&gt;0,'VEA CLIENTE'!$T56/'VEA CLIENTE'!$E56,0)</f>
        <v>0</v>
      </c>
      <c r="T56" s="53">
        <f t="shared" si="6"/>
        <v>0</v>
      </c>
      <c r="U56" s="57"/>
      <c r="V56" s="2"/>
      <c r="W56" s="58"/>
      <c r="X56" s="59"/>
      <c r="Y56" s="71"/>
      <c r="Z56" s="71"/>
      <c r="AA56" s="62">
        <f>'VEA CLIENTE'!$Z56/(1-'VEA CLIENTE'!$AB56)-'VEA CLIENTE'!$Z56</f>
        <v>0</v>
      </c>
      <c r="AB56" s="72">
        <f t="shared" ref="AB56:AD56" si="153">AB$2</f>
        <v>0.13</v>
      </c>
      <c r="AC56" s="72">
        <f t="shared" si="153"/>
        <v>0</v>
      </c>
      <c r="AD56" s="72">
        <f t="shared" si="153"/>
        <v>0</v>
      </c>
      <c r="AE56" s="53">
        <f t="shared" si="7"/>
        <v>0</v>
      </c>
      <c r="AF56" s="63"/>
      <c r="AG56" s="2"/>
      <c r="AH56" s="64"/>
      <c r="AI56" s="73"/>
      <c r="AJ56" s="73"/>
      <c r="AK56" s="62">
        <f>'VEA CLIENTE'!$AJ56/(1-'VEA CLIENTE'!$AL56)-'VEA CLIENTE'!$AJ56</f>
        <v>0</v>
      </c>
      <c r="AL56" s="74">
        <f t="shared" ref="AL56:AN56" si="154">AL$2</f>
        <v>0.13</v>
      </c>
      <c r="AM56" s="74">
        <f t="shared" si="154"/>
        <v>0</v>
      </c>
      <c r="AN56" s="74">
        <f t="shared" si="154"/>
        <v>0</v>
      </c>
      <c r="AO56" s="53">
        <f t="shared" si="8"/>
        <v>0</v>
      </c>
      <c r="AP56" s="76" t="str">
        <f t="shared" ref="AP56:AQ56" si="155">AP$2</f>
        <v>NO</v>
      </c>
      <c r="AQ56" s="76" t="str">
        <f t="shared" si="155"/>
        <v>NO</v>
      </c>
      <c r="AR56" s="53">
        <f t="shared" si="9"/>
        <v>0</v>
      </c>
      <c r="AS56" s="53">
        <f t="shared" si="10"/>
        <v>0</v>
      </c>
      <c r="AT56" s="54">
        <f t="shared" si="11"/>
        <v>0</v>
      </c>
      <c r="AU56" s="68"/>
      <c r="AV56" s="2"/>
    </row>
    <row r="57" ht="15.75" customHeight="1">
      <c r="A57" s="78"/>
      <c r="B57" s="79"/>
      <c r="C57" s="79"/>
      <c r="D57" s="79"/>
      <c r="E57" s="80"/>
      <c r="F57" s="79" t="s">
        <v>14</v>
      </c>
      <c r="G57" s="79">
        <v>0.0</v>
      </c>
      <c r="H57" s="81">
        <v>0.0</v>
      </c>
      <c r="I57" s="79" t="s">
        <v>20</v>
      </c>
      <c r="J57" s="53">
        <f t="shared" si="2"/>
        <v>0</v>
      </c>
      <c r="K57" s="54">
        <f t="shared" si="3"/>
        <v>0</v>
      </c>
      <c r="L57" s="54">
        <f>('VEA CLIENTE'!$K57/(1-'VEA CLIENTE'!$M57))-'VEA CLIENTE'!$K57</f>
        <v>0</v>
      </c>
      <c r="M57" s="72">
        <f t="shared" ref="M57:O57" si="156">M$2</f>
        <v>0.13</v>
      </c>
      <c r="N57" s="72">
        <f t="shared" si="156"/>
        <v>0</v>
      </c>
      <c r="O57" s="72">
        <f t="shared" si="156"/>
        <v>0</v>
      </c>
      <c r="P57" s="53">
        <f t="shared" si="4"/>
        <v>0</v>
      </c>
      <c r="Q57" s="76" t="s">
        <v>53</v>
      </c>
      <c r="R57" s="53">
        <f t="shared" si="5"/>
        <v>0</v>
      </c>
      <c r="S57" s="53">
        <f>IF('VEA CLIENTE'!$E57&gt;0,'VEA CLIENTE'!$T57/'VEA CLIENTE'!$E57,0)</f>
        <v>0</v>
      </c>
      <c r="T57" s="53">
        <f t="shared" si="6"/>
        <v>0</v>
      </c>
      <c r="U57" s="57"/>
      <c r="V57" s="2"/>
      <c r="W57" s="58"/>
      <c r="X57" s="59"/>
      <c r="Y57" s="71"/>
      <c r="Z57" s="71"/>
      <c r="AA57" s="62">
        <f>'VEA CLIENTE'!$Z57/(1-'VEA CLIENTE'!$AB57)-'VEA CLIENTE'!$Z57</f>
        <v>0</v>
      </c>
      <c r="AB57" s="72">
        <f t="shared" ref="AB57:AD57" si="157">AB$2</f>
        <v>0.13</v>
      </c>
      <c r="AC57" s="72">
        <f t="shared" si="157"/>
        <v>0</v>
      </c>
      <c r="AD57" s="72">
        <f t="shared" si="157"/>
        <v>0</v>
      </c>
      <c r="AE57" s="53">
        <f t="shared" si="7"/>
        <v>0</v>
      </c>
      <c r="AF57" s="63"/>
      <c r="AG57" s="2"/>
      <c r="AH57" s="64"/>
      <c r="AI57" s="73"/>
      <c r="AJ57" s="73"/>
      <c r="AK57" s="62">
        <f>'VEA CLIENTE'!$AJ57/(1-'VEA CLIENTE'!$AL57)-'VEA CLIENTE'!$AJ57</f>
        <v>0</v>
      </c>
      <c r="AL57" s="74">
        <f t="shared" ref="AL57:AN57" si="158">AL$2</f>
        <v>0.13</v>
      </c>
      <c r="AM57" s="74">
        <f t="shared" si="158"/>
        <v>0</v>
      </c>
      <c r="AN57" s="74">
        <f t="shared" si="158"/>
        <v>0</v>
      </c>
      <c r="AO57" s="53">
        <f t="shared" si="8"/>
        <v>0</v>
      </c>
      <c r="AP57" s="76" t="str">
        <f t="shared" ref="AP57:AQ57" si="159">AP$2</f>
        <v>NO</v>
      </c>
      <c r="AQ57" s="76" t="str">
        <f t="shared" si="159"/>
        <v>NO</v>
      </c>
      <c r="AR57" s="53">
        <f t="shared" si="9"/>
        <v>0</v>
      </c>
      <c r="AS57" s="53">
        <f t="shared" si="10"/>
        <v>0</v>
      </c>
      <c r="AT57" s="54">
        <f t="shared" si="11"/>
        <v>0</v>
      </c>
      <c r="AU57" s="68"/>
      <c r="AV57" s="2"/>
    </row>
    <row r="58" ht="15.75" customHeight="1">
      <c r="A58" s="78"/>
      <c r="B58" s="79"/>
      <c r="C58" s="79"/>
      <c r="D58" s="79"/>
      <c r="E58" s="80"/>
      <c r="F58" s="79" t="s">
        <v>14</v>
      </c>
      <c r="G58" s="79">
        <v>0.0</v>
      </c>
      <c r="H58" s="81">
        <v>0.0</v>
      </c>
      <c r="I58" s="79" t="s">
        <v>20</v>
      </c>
      <c r="J58" s="53">
        <f t="shared" si="2"/>
        <v>0</v>
      </c>
      <c r="K58" s="54">
        <f t="shared" si="3"/>
        <v>0</v>
      </c>
      <c r="L58" s="54">
        <f>('VEA CLIENTE'!$K58/(1-'VEA CLIENTE'!$M58))-'VEA CLIENTE'!$K58</f>
        <v>0</v>
      </c>
      <c r="M58" s="72">
        <f t="shared" ref="M58:O58" si="160">M$2</f>
        <v>0.13</v>
      </c>
      <c r="N58" s="72">
        <f t="shared" si="160"/>
        <v>0</v>
      </c>
      <c r="O58" s="72">
        <f t="shared" si="160"/>
        <v>0</v>
      </c>
      <c r="P58" s="53">
        <f t="shared" si="4"/>
        <v>0</v>
      </c>
      <c r="Q58" s="76" t="s">
        <v>53</v>
      </c>
      <c r="R58" s="53">
        <f t="shared" si="5"/>
        <v>0</v>
      </c>
      <c r="S58" s="53">
        <f>IF('VEA CLIENTE'!$E58&gt;0,'VEA CLIENTE'!$T58/'VEA CLIENTE'!$E58,0)</f>
        <v>0</v>
      </c>
      <c r="T58" s="53">
        <f t="shared" si="6"/>
        <v>0</v>
      </c>
      <c r="U58" s="57"/>
      <c r="V58" s="2"/>
      <c r="W58" s="58"/>
      <c r="X58" s="59"/>
      <c r="Y58" s="71"/>
      <c r="Z58" s="71"/>
      <c r="AA58" s="62">
        <f>'VEA CLIENTE'!$Z58/(1-'VEA CLIENTE'!$AB58)-'VEA CLIENTE'!$Z58</f>
        <v>0</v>
      </c>
      <c r="AB58" s="72">
        <f t="shared" ref="AB58:AD58" si="161">AB$2</f>
        <v>0.13</v>
      </c>
      <c r="AC58" s="72">
        <f t="shared" si="161"/>
        <v>0</v>
      </c>
      <c r="AD58" s="72">
        <f t="shared" si="161"/>
        <v>0</v>
      </c>
      <c r="AE58" s="53">
        <f t="shared" si="7"/>
        <v>0</v>
      </c>
      <c r="AF58" s="63"/>
      <c r="AG58" s="2"/>
      <c r="AH58" s="64"/>
      <c r="AI58" s="73"/>
      <c r="AJ58" s="73"/>
      <c r="AK58" s="62">
        <f>'VEA CLIENTE'!$AJ58/(1-'VEA CLIENTE'!$AL58)-'VEA CLIENTE'!$AJ58</f>
        <v>0</v>
      </c>
      <c r="AL58" s="74">
        <f t="shared" ref="AL58:AN58" si="162">AL$2</f>
        <v>0.13</v>
      </c>
      <c r="AM58" s="74">
        <f t="shared" si="162"/>
        <v>0</v>
      </c>
      <c r="AN58" s="74">
        <f t="shared" si="162"/>
        <v>0</v>
      </c>
      <c r="AO58" s="53">
        <f t="shared" si="8"/>
        <v>0</v>
      </c>
      <c r="AP58" s="76" t="str">
        <f t="shared" ref="AP58:AQ58" si="163">AP$2</f>
        <v>NO</v>
      </c>
      <c r="AQ58" s="76" t="str">
        <f t="shared" si="163"/>
        <v>NO</v>
      </c>
      <c r="AR58" s="53">
        <f t="shared" si="9"/>
        <v>0</v>
      </c>
      <c r="AS58" s="53">
        <f t="shared" si="10"/>
        <v>0</v>
      </c>
      <c r="AT58" s="54">
        <f t="shared" si="11"/>
        <v>0</v>
      </c>
      <c r="AU58" s="68"/>
      <c r="AV58" s="2"/>
    </row>
    <row r="59" ht="15.75" customHeight="1">
      <c r="A59" s="78"/>
      <c r="B59" s="79"/>
      <c r="C59" s="79"/>
      <c r="D59" s="79"/>
      <c r="E59" s="80"/>
      <c r="F59" s="79" t="s">
        <v>14</v>
      </c>
      <c r="G59" s="79">
        <v>0.0</v>
      </c>
      <c r="H59" s="81">
        <v>0.0</v>
      </c>
      <c r="I59" s="79" t="s">
        <v>20</v>
      </c>
      <c r="J59" s="53">
        <f t="shared" si="2"/>
        <v>0</v>
      </c>
      <c r="K59" s="54">
        <f t="shared" si="3"/>
        <v>0</v>
      </c>
      <c r="L59" s="54">
        <f>('VEA CLIENTE'!$K59/(1-'VEA CLIENTE'!$M59))-'VEA CLIENTE'!$K59</f>
        <v>0</v>
      </c>
      <c r="M59" s="72">
        <f t="shared" ref="M59:O59" si="164">M$2</f>
        <v>0.13</v>
      </c>
      <c r="N59" s="72">
        <f t="shared" si="164"/>
        <v>0</v>
      </c>
      <c r="O59" s="72">
        <f t="shared" si="164"/>
        <v>0</v>
      </c>
      <c r="P59" s="53">
        <f t="shared" si="4"/>
        <v>0</v>
      </c>
      <c r="Q59" s="76" t="s">
        <v>53</v>
      </c>
      <c r="R59" s="53">
        <f t="shared" si="5"/>
        <v>0</v>
      </c>
      <c r="S59" s="53">
        <f>IF('VEA CLIENTE'!$E59&gt;0,'VEA CLIENTE'!$T59/'VEA CLIENTE'!$E59,0)</f>
        <v>0</v>
      </c>
      <c r="T59" s="53">
        <f t="shared" si="6"/>
        <v>0</v>
      </c>
      <c r="U59" s="57"/>
      <c r="V59" s="2"/>
      <c r="W59" s="58"/>
      <c r="X59" s="59"/>
      <c r="Y59" s="71"/>
      <c r="Z59" s="71"/>
      <c r="AA59" s="62">
        <f>'VEA CLIENTE'!$Z59/(1-'VEA CLIENTE'!$AB59)-'VEA CLIENTE'!$Z59</f>
        <v>0</v>
      </c>
      <c r="AB59" s="72">
        <f t="shared" ref="AB59:AD59" si="165">AB$2</f>
        <v>0.13</v>
      </c>
      <c r="AC59" s="72">
        <f t="shared" si="165"/>
        <v>0</v>
      </c>
      <c r="AD59" s="72">
        <f t="shared" si="165"/>
        <v>0</v>
      </c>
      <c r="AE59" s="53">
        <f t="shared" si="7"/>
        <v>0</v>
      </c>
      <c r="AF59" s="63"/>
      <c r="AG59" s="2"/>
      <c r="AH59" s="64"/>
      <c r="AI59" s="73"/>
      <c r="AJ59" s="73"/>
      <c r="AK59" s="62">
        <f>'VEA CLIENTE'!$AJ59/(1-'VEA CLIENTE'!$AL59)-'VEA CLIENTE'!$AJ59</f>
        <v>0</v>
      </c>
      <c r="AL59" s="74">
        <f t="shared" ref="AL59:AN59" si="166">AL$2</f>
        <v>0.13</v>
      </c>
      <c r="AM59" s="74">
        <f t="shared" si="166"/>
        <v>0</v>
      </c>
      <c r="AN59" s="74">
        <f t="shared" si="166"/>
        <v>0</v>
      </c>
      <c r="AO59" s="53">
        <f t="shared" si="8"/>
        <v>0</v>
      </c>
      <c r="AP59" s="76" t="str">
        <f t="shared" ref="AP59:AQ59" si="167">AP$2</f>
        <v>NO</v>
      </c>
      <c r="AQ59" s="76" t="str">
        <f t="shared" si="167"/>
        <v>NO</v>
      </c>
      <c r="AR59" s="53">
        <f t="shared" si="9"/>
        <v>0</v>
      </c>
      <c r="AS59" s="53">
        <f t="shared" si="10"/>
        <v>0</v>
      </c>
      <c r="AT59" s="54">
        <f t="shared" si="11"/>
        <v>0</v>
      </c>
      <c r="AU59" s="68"/>
      <c r="AV59" s="2"/>
    </row>
    <row r="60" ht="15.75" customHeight="1">
      <c r="A60" s="78"/>
      <c r="B60" s="79"/>
      <c r="C60" s="79"/>
      <c r="D60" s="79"/>
      <c r="E60" s="80"/>
      <c r="F60" s="79" t="s">
        <v>14</v>
      </c>
      <c r="G60" s="79">
        <v>0.0</v>
      </c>
      <c r="H60" s="81">
        <v>0.0</v>
      </c>
      <c r="I60" s="79" t="s">
        <v>20</v>
      </c>
      <c r="J60" s="53">
        <f t="shared" si="2"/>
        <v>0</v>
      </c>
      <c r="K60" s="54">
        <f t="shared" si="3"/>
        <v>0</v>
      </c>
      <c r="L60" s="54">
        <f>('VEA CLIENTE'!$K60/(1-'VEA CLIENTE'!$M60))-'VEA CLIENTE'!$K60</f>
        <v>0</v>
      </c>
      <c r="M60" s="72">
        <f t="shared" ref="M60:O60" si="168">M$2</f>
        <v>0.13</v>
      </c>
      <c r="N60" s="72">
        <f t="shared" si="168"/>
        <v>0</v>
      </c>
      <c r="O60" s="72">
        <f t="shared" si="168"/>
        <v>0</v>
      </c>
      <c r="P60" s="53">
        <f t="shared" si="4"/>
        <v>0</v>
      </c>
      <c r="Q60" s="76" t="s">
        <v>53</v>
      </c>
      <c r="R60" s="53">
        <f t="shared" si="5"/>
        <v>0</v>
      </c>
      <c r="S60" s="53">
        <f>IF('VEA CLIENTE'!$E60&gt;0,'VEA CLIENTE'!$T60/'VEA CLIENTE'!$E60,0)</f>
        <v>0</v>
      </c>
      <c r="T60" s="53">
        <f t="shared" si="6"/>
        <v>0</v>
      </c>
      <c r="U60" s="57"/>
      <c r="V60" s="2"/>
      <c r="W60" s="58"/>
      <c r="X60" s="59"/>
      <c r="Y60" s="71"/>
      <c r="Z60" s="71"/>
      <c r="AA60" s="62">
        <f>'VEA CLIENTE'!$Z60/(1-'VEA CLIENTE'!$AB60)-'VEA CLIENTE'!$Z60</f>
        <v>0</v>
      </c>
      <c r="AB60" s="72">
        <f t="shared" ref="AB60:AD60" si="169">AB$2</f>
        <v>0.13</v>
      </c>
      <c r="AC60" s="72">
        <f t="shared" si="169"/>
        <v>0</v>
      </c>
      <c r="AD60" s="72">
        <f t="shared" si="169"/>
        <v>0</v>
      </c>
      <c r="AE60" s="53">
        <f t="shared" si="7"/>
        <v>0</v>
      </c>
      <c r="AF60" s="63"/>
      <c r="AG60" s="2"/>
      <c r="AH60" s="64"/>
      <c r="AI60" s="73"/>
      <c r="AJ60" s="73"/>
      <c r="AK60" s="62">
        <f>'VEA CLIENTE'!$AJ60/(1-'VEA CLIENTE'!$AL60)-'VEA CLIENTE'!$AJ60</f>
        <v>0</v>
      </c>
      <c r="AL60" s="74">
        <f t="shared" ref="AL60:AN60" si="170">AL$2</f>
        <v>0.13</v>
      </c>
      <c r="AM60" s="74">
        <f t="shared" si="170"/>
        <v>0</v>
      </c>
      <c r="AN60" s="74">
        <f t="shared" si="170"/>
        <v>0</v>
      </c>
      <c r="AO60" s="53">
        <f t="shared" si="8"/>
        <v>0</v>
      </c>
      <c r="AP60" s="76" t="str">
        <f t="shared" ref="AP60:AQ60" si="171">AP$2</f>
        <v>NO</v>
      </c>
      <c r="AQ60" s="76" t="str">
        <f t="shared" si="171"/>
        <v>NO</v>
      </c>
      <c r="AR60" s="53">
        <f t="shared" si="9"/>
        <v>0</v>
      </c>
      <c r="AS60" s="53">
        <f t="shared" si="10"/>
        <v>0</v>
      </c>
      <c r="AT60" s="54">
        <f t="shared" si="11"/>
        <v>0</v>
      </c>
      <c r="AU60" s="68"/>
      <c r="AV60" s="2"/>
    </row>
    <row r="61" ht="15.75" customHeight="1">
      <c r="A61" s="78"/>
      <c r="B61" s="79"/>
      <c r="C61" s="79"/>
      <c r="D61" s="79"/>
      <c r="E61" s="80"/>
      <c r="F61" s="79" t="s">
        <v>14</v>
      </c>
      <c r="G61" s="79">
        <v>0.0</v>
      </c>
      <c r="H61" s="81">
        <v>0.0</v>
      </c>
      <c r="I61" s="79" t="s">
        <v>20</v>
      </c>
      <c r="J61" s="53">
        <f t="shared" si="2"/>
        <v>0</v>
      </c>
      <c r="K61" s="54">
        <f t="shared" si="3"/>
        <v>0</v>
      </c>
      <c r="L61" s="54">
        <f>('VEA CLIENTE'!$K61/(1-'VEA CLIENTE'!$M61))-'VEA CLIENTE'!$K61</f>
        <v>0</v>
      </c>
      <c r="M61" s="72">
        <f t="shared" ref="M61:O61" si="172">M$2</f>
        <v>0.13</v>
      </c>
      <c r="N61" s="72">
        <f t="shared" si="172"/>
        <v>0</v>
      </c>
      <c r="O61" s="72">
        <f t="shared" si="172"/>
        <v>0</v>
      </c>
      <c r="P61" s="53">
        <f t="shared" si="4"/>
        <v>0</v>
      </c>
      <c r="Q61" s="76" t="s">
        <v>53</v>
      </c>
      <c r="R61" s="53">
        <f t="shared" si="5"/>
        <v>0</v>
      </c>
      <c r="S61" s="53">
        <f>IF('VEA CLIENTE'!$E61&gt;0,'VEA CLIENTE'!$T61/'VEA CLIENTE'!$E61,0)</f>
        <v>0</v>
      </c>
      <c r="T61" s="53">
        <f t="shared" si="6"/>
        <v>0</v>
      </c>
      <c r="U61" s="57"/>
      <c r="V61" s="2"/>
      <c r="W61" s="58"/>
      <c r="X61" s="59"/>
      <c r="Y61" s="71"/>
      <c r="Z61" s="71"/>
      <c r="AA61" s="62">
        <f>'VEA CLIENTE'!$Z61/(1-'VEA CLIENTE'!$AB61)-'VEA CLIENTE'!$Z61</f>
        <v>0</v>
      </c>
      <c r="AB61" s="72">
        <f t="shared" ref="AB61:AD61" si="173">AB$2</f>
        <v>0.13</v>
      </c>
      <c r="AC61" s="72">
        <f t="shared" si="173"/>
        <v>0</v>
      </c>
      <c r="AD61" s="72">
        <f t="shared" si="173"/>
        <v>0</v>
      </c>
      <c r="AE61" s="53">
        <f t="shared" si="7"/>
        <v>0</v>
      </c>
      <c r="AF61" s="63"/>
      <c r="AG61" s="2"/>
      <c r="AH61" s="64"/>
      <c r="AI61" s="73"/>
      <c r="AJ61" s="73"/>
      <c r="AK61" s="62">
        <f>'VEA CLIENTE'!$AJ61/(1-'VEA CLIENTE'!$AL61)-'VEA CLIENTE'!$AJ61</f>
        <v>0</v>
      </c>
      <c r="AL61" s="74">
        <f t="shared" ref="AL61:AN61" si="174">AL$2</f>
        <v>0.13</v>
      </c>
      <c r="AM61" s="74">
        <f t="shared" si="174"/>
        <v>0</v>
      </c>
      <c r="AN61" s="74">
        <f t="shared" si="174"/>
        <v>0</v>
      </c>
      <c r="AO61" s="53">
        <f t="shared" si="8"/>
        <v>0</v>
      </c>
      <c r="AP61" s="76" t="str">
        <f t="shared" ref="AP61:AQ61" si="175">AP$2</f>
        <v>NO</v>
      </c>
      <c r="AQ61" s="76" t="str">
        <f t="shared" si="175"/>
        <v>NO</v>
      </c>
      <c r="AR61" s="53">
        <f t="shared" si="9"/>
        <v>0</v>
      </c>
      <c r="AS61" s="53">
        <f t="shared" si="10"/>
        <v>0</v>
      </c>
      <c r="AT61" s="54">
        <f t="shared" si="11"/>
        <v>0</v>
      </c>
      <c r="AU61" s="68"/>
      <c r="AV61" s="2"/>
    </row>
    <row r="62" ht="15.75" customHeight="1">
      <c r="A62" s="78"/>
      <c r="B62" s="79"/>
      <c r="C62" s="79"/>
      <c r="D62" s="79"/>
      <c r="E62" s="80"/>
      <c r="F62" s="79" t="s">
        <v>14</v>
      </c>
      <c r="G62" s="79">
        <v>0.0</v>
      </c>
      <c r="H62" s="81">
        <v>0.0</v>
      </c>
      <c r="I62" s="79" t="s">
        <v>20</v>
      </c>
      <c r="J62" s="53">
        <f t="shared" si="2"/>
        <v>0</v>
      </c>
      <c r="K62" s="54">
        <f t="shared" si="3"/>
        <v>0</v>
      </c>
      <c r="L62" s="54">
        <f>('VEA CLIENTE'!$K62/(1-'VEA CLIENTE'!$M62))-'VEA CLIENTE'!$K62</f>
        <v>0</v>
      </c>
      <c r="M62" s="72">
        <f t="shared" ref="M62:O62" si="176">M$2</f>
        <v>0.13</v>
      </c>
      <c r="N62" s="72">
        <f t="shared" si="176"/>
        <v>0</v>
      </c>
      <c r="O62" s="72">
        <f t="shared" si="176"/>
        <v>0</v>
      </c>
      <c r="P62" s="53">
        <f t="shared" si="4"/>
        <v>0</v>
      </c>
      <c r="Q62" s="76" t="s">
        <v>53</v>
      </c>
      <c r="R62" s="53">
        <f t="shared" si="5"/>
        <v>0</v>
      </c>
      <c r="S62" s="53">
        <f>IF('VEA CLIENTE'!$E62&gt;0,'VEA CLIENTE'!$T62/'VEA CLIENTE'!$E62,0)</f>
        <v>0</v>
      </c>
      <c r="T62" s="53">
        <f t="shared" si="6"/>
        <v>0</v>
      </c>
      <c r="U62" s="57"/>
      <c r="V62" s="2"/>
      <c r="W62" s="58"/>
      <c r="X62" s="59"/>
      <c r="Y62" s="71"/>
      <c r="Z62" s="71"/>
      <c r="AA62" s="62">
        <f>'VEA CLIENTE'!$Z62/(1-'VEA CLIENTE'!$AB62)-'VEA CLIENTE'!$Z62</f>
        <v>0</v>
      </c>
      <c r="AB62" s="72">
        <f t="shared" ref="AB62:AD62" si="177">AB$2</f>
        <v>0.13</v>
      </c>
      <c r="AC62" s="72">
        <f t="shared" si="177"/>
        <v>0</v>
      </c>
      <c r="AD62" s="72">
        <f t="shared" si="177"/>
        <v>0</v>
      </c>
      <c r="AE62" s="53">
        <f t="shared" si="7"/>
        <v>0</v>
      </c>
      <c r="AF62" s="63"/>
      <c r="AG62" s="2"/>
      <c r="AH62" s="64"/>
      <c r="AI62" s="73"/>
      <c r="AJ62" s="73"/>
      <c r="AK62" s="62">
        <f>'VEA CLIENTE'!$AJ62/(1-'VEA CLIENTE'!$AL62)-'VEA CLIENTE'!$AJ62</f>
        <v>0</v>
      </c>
      <c r="AL62" s="74">
        <f t="shared" ref="AL62:AN62" si="178">AL$2</f>
        <v>0.13</v>
      </c>
      <c r="AM62" s="74">
        <f t="shared" si="178"/>
        <v>0</v>
      </c>
      <c r="AN62" s="74">
        <f t="shared" si="178"/>
        <v>0</v>
      </c>
      <c r="AO62" s="53">
        <f t="shared" si="8"/>
        <v>0</v>
      </c>
      <c r="AP62" s="76" t="str">
        <f t="shared" ref="AP62:AQ62" si="179">AP$2</f>
        <v>NO</v>
      </c>
      <c r="AQ62" s="76" t="str">
        <f t="shared" si="179"/>
        <v>NO</v>
      </c>
      <c r="AR62" s="53">
        <f t="shared" si="9"/>
        <v>0</v>
      </c>
      <c r="AS62" s="53">
        <f t="shared" si="10"/>
        <v>0</v>
      </c>
      <c r="AT62" s="54">
        <f t="shared" si="11"/>
        <v>0</v>
      </c>
      <c r="AU62" s="68"/>
      <c r="AV62" s="2"/>
    </row>
    <row r="63" ht="15.75" customHeight="1">
      <c r="A63" s="78"/>
      <c r="B63" s="79"/>
      <c r="C63" s="79"/>
      <c r="D63" s="79"/>
      <c r="E63" s="80"/>
      <c r="F63" s="79" t="s">
        <v>14</v>
      </c>
      <c r="G63" s="79">
        <v>0.0</v>
      </c>
      <c r="H63" s="81">
        <v>0.0</v>
      </c>
      <c r="I63" s="79" t="s">
        <v>20</v>
      </c>
      <c r="J63" s="53">
        <f t="shared" si="2"/>
        <v>0</v>
      </c>
      <c r="K63" s="54">
        <f t="shared" si="3"/>
        <v>0</v>
      </c>
      <c r="L63" s="54">
        <f>('VEA CLIENTE'!$K63/(1-'VEA CLIENTE'!$M63))-'VEA CLIENTE'!$K63</f>
        <v>0</v>
      </c>
      <c r="M63" s="72">
        <f t="shared" ref="M63:O63" si="180">M$2</f>
        <v>0.13</v>
      </c>
      <c r="N63" s="72">
        <f t="shared" si="180"/>
        <v>0</v>
      </c>
      <c r="O63" s="72">
        <f t="shared" si="180"/>
        <v>0</v>
      </c>
      <c r="P63" s="53">
        <f t="shared" si="4"/>
        <v>0</v>
      </c>
      <c r="Q63" s="76" t="s">
        <v>53</v>
      </c>
      <c r="R63" s="53">
        <f t="shared" si="5"/>
        <v>0</v>
      </c>
      <c r="S63" s="53">
        <f>IF('VEA CLIENTE'!$E63&gt;0,'VEA CLIENTE'!$T63/'VEA CLIENTE'!$E63,0)</f>
        <v>0</v>
      </c>
      <c r="T63" s="53">
        <f t="shared" si="6"/>
        <v>0</v>
      </c>
      <c r="U63" s="57"/>
      <c r="V63" s="2"/>
      <c r="W63" s="58"/>
      <c r="X63" s="59"/>
      <c r="Y63" s="71"/>
      <c r="Z63" s="71"/>
      <c r="AA63" s="62">
        <f>'VEA CLIENTE'!$Z63/(1-'VEA CLIENTE'!$AB63)-'VEA CLIENTE'!$Z63</f>
        <v>0</v>
      </c>
      <c r="AB63" s="72">
        <f t="shared" ref="AB63:AD63" si="181">AB$2</f>
        <v>0.13</v>
      </c>
      <c r="AC63" s="72">
        <f t="shared" si="181"/>
        <v>0</v>
      </c>
      <c r="AD63" s="72">
        <f t="shared" si="181"/>
        <v>0</v>
      </c>
      <c r="AE63" s="53">
        <f t="shared" si="7"/>
        <v>0</v>
      </c>
      <c r="AF63" s="63"/>
      <c r="AG63" s="2"/>
      <c r="AH63" s="64"/>
      <c r="AI63" s="73"/>
      <c r="AJ63" s="73"/>
      <c r="AK63" s="62">
        <f>'VEA CLIENTE'!$AJ63/(1-'VEA CLIENTE'!$AL63)-'VEA CLIENTE'!$AJ63</f>
        <v>0</v>
      </c>
      <c r="AL63" s="74">
        <f t="shared" ref="AL63:AN63" si="182">AL$2</f>
        <v>0.13</v>
      </c>
      <c r="AM63" s="74">
        <f t="shared" si="182"/>
        <v>0</v>
      </c>
      <c r="AN63" s="74">
        <f t="shared" si="182"/>
        <v>0</v>
      </c>
      <c r="AO63" s="53">
        <f t="shared" si="8"/>
        <v>0</v>
      </c>
      <c r="AP63" s="76" t="str">
        <f t="shared" ref="AP63:AQ63" si="183">AP$2</f>
        <v>NO</v>
      </c>
      <c r="AQ63" s="76" t="str">
        <f t="shared" si="183"/>
        <v>NO</v>
      </c>
      <c r="AR63" s="53">
        <f t="shared" si="9"/>
        <v>0</v>
      </c>
      <c r="AS63" s="53">
        <f t="shared" si="10"/>
        <v>0</v>
      </c>
      <c r="AT63" s="54">
        <f t="shared" si="11"/>
        <v>0</v>
      </c>
      <c r="AU63" s="68"/>
      <c r="AV63" s="2"/>
    </row>
    <row r="64" ht="15.75" customHeight="1">
      <c r="A64" s="78"/>
      <c r="B64" s="79"/>
      <c r="C64" s="79"/>
      <c r="D64" s="79"/>
      <c r="E64" s="80"/>
      <c r="F64" s="79" t="s">
        <v>14</v>
      </c>
      <c r="G64" s="79">
        <v>0.0</v>
      </c>
      <c r="H64" s="81">
        <v>0.0</v>
      </c>
      <c r="I64" s="79" t="s">
        <v>20</v>
      </c>
      <c r="J64" s="53">
        <f t="shared" si="2"/>
        <v>0</v>
      </c>
      <c r="K64" s="54">
        <f t="shared" si="3"/>
        <v>0</v>
      </c>
      <c r="L64" s="54">
        <f>('VEA CLIENTE'!$K64/(1-'VEA CLIENTE'!$M64))-'VEA CLIENTE'!$K64</f>
        <v>0</v>
      </c>
      <c r="M64" s="72">
        <f t="shared" ref="M64:O64" si="184">M$2</f>
        <v>0.13</v>
      </c>
      <c r="N64" s="72">
        <f t="shared" si="184"/>
        <v>0</v>
      </c>
      <c r="O64" s="72">
        <f t="shared" si="184"/>
        <v>0</v>
      </c>
      <c r="P64" s="53">
        <f t="shared" si="4"/>
        <v>0</v>
      </c>
      <c r="Q64" s="76" t="s">
        <v>53</v>
      </c>
      <c r="R64" s="53">
        <f t="shared" si="5"/>
        <v>0</v>
      </c>
      <c r="S64" s="53">
        <f>IF('VEA CLIENTE'!$E64&gt;0,'VEA CLIENTE'!$T64/'VEA CLIENTE'!$E64,0)</f>
        <v>0</v>
      </c>
      <c r="T64" s="53">
        <f t="shared" si="6"/>
        <v>0</v>
      </c>
      <c r="U64" s="57"/>
      <c r="V64" s="2"/>
      <c r="W64" s="58"/>
      <c r="X64" s="59"/>
      <c r="Y64" s="71"/>
      <c r="Z64" s="71"/>
      <c r="AA64" s="62">
        <f>'VEA CLIENTE'!$Z64/(1-'VEA CLIENTE'!$AB64)-'VEA CLIENTE'!$Z64</f>
        <v>0</v>
      </c>
      <c r="AB64" s="72">
        <f t="shared" ref="AB64:AD64" si="185">AB$2</f>
        <v>0.13</v>
      </c>
      <c r="AC64" s="72">
        <f t="shared" si="185"/>
        <v>0</v>
      </c>
      <c r="AD64" s="72">
        <f t="shared" si="185"/>
        <v>0</v>
      </c>
      <c r="AE64" s="53">
        <f t="shared" si="7"/>
        <v>0</v>
      </c>
      <c r="AF64" s="63"/>
      <c r="AG64" s="2"/>
      <c r="AH64" s="64"/>
      <c r="AI64" s="73"/>
      <c r="AJ64" s="73"/>
      <c r="AK64" s="62">
        <f>'VEA CLIENTE'!$AJ64/(1-'VEA CLIENTE'!$AL64)-'VEA CLIENTE'!$AJ64</f>
        <v>0</v>
      </c>
      <c r="AL64" s="74">
        <f t="shared" ref="AL64:AN64" si="186">AL$2</f>
        <v>0.13</v>
      </c>
      <c r="AM64" s="74">
        <f t="shared" si="186"/>
        <v>0</v>
      </c>
      <c r="AN64" s="74">
        <f t="shared" si="186"/>
        <v>0</v>
      </c>
      <c r="AO64" s="53">
        <f t="shared" si="8"/>
        <v>0</v>
      </c>
      <c r="AP64" s="76" t="str">
        <f t="shared" ref="AP64:AQ64" si="187">AP$2</f>
        <v>NO</v>
      </c>
      <c r="AQ64" s="76" t="str">
        <f t="shared" si="187"/>
        <v>NO</v>
      </c>
      <c r="AR64" s="53">
        <f t="shared" si="9"/>
        <v>0</v>
      </c>
      <c r="AS64" s="53">
        <f t="shared" si="10"/>
        <v>0</v>
      </c>
      <c r="AT64" s="54">
        <f t="shared" si="11"/>
        <v>0</v>
      </c>
      <c r="AU64" s="68"/>
      <c r="AV64" s="2"/>
    </row>
    <row r="65" ht="15.75" customHeight="1">
      <c r="A65" s="78"/>
      <c r="B65" s="79"/>
      <c r="C65" s="79"/>
      <c r="D65" s="79"/>
      <c r="E65" s="80"/>
      <c r="F65" s="79" t="s">
        <v>14</v>
      </c>
      <c r="G65" s="79">
        <v>0.0</v>
      </c>
      <c r="H65" s="81">
        <v>0.0</v>
      </c>
      <c r="I65" s="79" t="s">
        <v>20</v>
      </c>
      <c r="J65" s="53">
        <f t="shared" si="2"/>
        <v>0</v>
      </c>
      <c r="K65" s="54">
        <f t="shared" si="3"/>
        <v>0</v>
      </c>
      <c r="L65" s="54">
        <f>('VEA CLIENTE'!$K65/(1-'VEA CLIENTE'!$M65))-'VEA CLIENTE'!$K65</f>
        <v>0</v>
      </c>
      <c r="M65" s="72">
        <f t="shared" ref="M65:O65" si="188">M$2</f>
        <v>0.13</v>
      </c>
      <c r="N65" s="72">
        <f t="shared" si="188"/>
        <v>0</v>
      </c>
      <c r="O65" s="72">
        <f t="shared" si="188"/>
        <v>0</v>
      </c>
      <c r="P65" s="53">
        <f t="shared" si="4"/>
        <v>0</v>
      </c>
      <c r="Q65" s="76" t="s">
        <v>53</v>
      </c>
      <c r="R65" s="53">
        <f t="shared" si="5"/>
        <v>0</v>
      </c>
      <c r="S65" s="53">
        <f>IF('VEA CLIENTE'!$E65&gt;0,'VEA CLIENTE'!$T65/'VEA CLIENTE'!$E65,0)</f>
        <v>0</v>
      </c>
      <c r="T65" s="53">
        <f t="shared" si="6"/>
        <v>0</v>
      </c>
      <c r="U65" s="57"/>
      <c r="V65" s="2"/>
      <c r="W65" s="58"/>
      <c r="X65" s="59"/>
      <c r="Y65" s="71"/>
      <c r="Z65" s="71"/>
      <c r="AA65" s="62">
        <f>'VEA CLIENTE'!$Z65/(1-'VEA CLIENTE'!$AB65)-'VEA CLIENTE'!$Z65</f>
        <v>0</v>
      </c>
      <c r="AB65" s="72">
        <f t="shared" ref="AB65:AD65" si="189">AB$2</f>
        <v>0.13</v>
      </c>
      <c r="AC65" s="72">
        <f t="shared" si="189"/>
        <v>0</v>
      </c>
      <c r="AD65" s="72">
        <f t="shared" si="189"/>
        <v>0</v>
      </c>
      <c r="AE65" s="53">
        <f t="shared" si="7"/>
        <v>0</v>
      </c>
      <c r="AF65" s="63"/>
      <c r="AG65" s="2"/>
      <c r="AH65" s="64"/>
      <c r="AI65" s="73"/>
      <c r="AJ65" s="73"/>
      <c r="AK65" s="62">
        <f>'VEA CLIENTE'!$AJ65/(1-'VEA CLIENTE'!$AL65)-'VEA CLIENTE'!$AJ65</f>
        <v>0</v>
      </c>
      <c r="AL65" s="74">
        <f t="shared" ref="AL65:AN65" si="190">AL$2</f>
        <v>0.13</v>
      </c>
      <c r="AM65" s="74">
        <f t="shared" si="190"/>
        <v>0</v>
      </c>
      <c r="AN65" s="74">
        <f t="shared" si="190"/>
        <v>0</v>
      </c>
      <c r="AO65" s="53">
        <f t="shared" si="8"/>
        <v>0</v>
      </c>
      <c r="AP65" s="76" t="str">
        <f t="shared" ref="AP65:AQ65" si="191">AP$2</f>
        <v>NO</v>
      </c>
      <c r="AQ65" s="76" t="str">
        <f t="shared" si="191"/>
        <v>NO</v>
      </c>
      <c r="AR65" s="53">
        <f t="shared" si="9"/>
        <v>0</v>
      </c>
      <c r="AS65" s="53">
        <f t="shared" si="10"/>
        <v>0</v>
      </c>
      <c r="AT65" s="54">
        <f t="shared" si="11"/>
        <v>0</v>
      </c>
      <c r="AU65" s="68"/>
      <c r="AV65" s="2"/>
    </row>
    <row r="66" ht="15.75" customHeight="1">
      <c r="A66" s="78"/>
      <c r="B66" s="79"/>
      <c r="C66" s="79"/>
      <c r="D66" s="79"/>
      <c r="E66" s="80"/>
      <c r="F66" s="79" t="s">
        <v>14</v>
      </c>
      <c r="G66" s="79">
        <v>0.0</v>
      </c>
      <c r="H66" s="81">
        <v>0.0</v>
      </c>
      <c r="I66" s="79" t="s">
        <v>20</v>
      </c>
      <c r="J66" s="53">
        <f t="shared" si="2"/>
        <v>0</v>
      </c>
      <c r="K66" s="54">
        <f t="shared" si="3"/>
        <v>0</v>
      </c>
      <c r="L66" s="54">
        <f>('VEA CLIENTE'!$K66/(1-'VEA CLIENTE'!$M66))-'VEA CLIENTE'!$K66</f>
        <v>0</v>
      </c>
      <c r="M66" s="72">
        <f t="shared" ref="M66:O66" si="192">M$2</f>
        <v>0.13</v>
      </c>
      <c r="N66" s="72">
        <f t="shared" si="192"/>
        <v>0</v>
      </c>
      <c r="O66" s="72">
        <f t="shared" si="192"/>
        <v>0</v>
      </c>
      <c r="P66" s="53">
        <f t="shared" si="4"/>
        <v>0</v>
      </c>
      <c r="Q66" s="76" t="s">
        <v>53</v>
      </c>
      <c r="R66" s="53">
        <f t="shared" si="5"/>
        <v>0</v>
      </c>
      <c r="S66" s="53">
        <f>IF('VEA CLIENTE'!$E66&gt;0,'VEA CLIENTE'!$T66/'VEA CLIENTE'!$E66,0)</f>
        <v>0</v>
      </c>
      <c r="T66" s="53">
        <f t="shared" si="6"/>
        <v>0</v>
      </c>
      <c r="U66" s="57"/>
      <c r="V66" s="2"/>
      <c r="W66" s="58"/>
      <c r="X66" s="59"/>
      <c r="Y66" s="71"/>
      <c r="Z66" s="71"/>
      <c r="AA66" s="62">
        <f>'VEA CLIENTE'!$Z66/(1-'VEA CLIENTE'!$AB66)-'VEA CLIENTE'!$Z66</f>
        <v>0</v>
      </c>
      <c r="AB66" s="72">
        <f t="shared" ref="AB66:AD66" si="193">AB$2</f>
        <v>0.13</v>
      </c>
      <c r="AC66" s="72">
        <f t="shared" si="193"/>
        <v>0</v>
      </c>
      <c r="AD66" s="72">
        <f t="shared" si="193"/>
        <v>0</v>
      </c>
      <c r="AE66" s="53">
        <f t="shared" si="7"/>
        <v>0</v>
      </c>
      <c r="AF66" s="63"/>
      <c r="AG66" s="2"/>
      <c r="AH66" s="64"/>
      <c r="AI66" s="73"/>
      <c r="AJ66" s="73"/>
      <c r="AK66" s="62">
        <f>'VEA CLIENTE'!$AJ66/(1-'VEA CLIENTE'!$AL66)-'VEA CLIENTE'!$AJ66</f>
        <v>0</v>
      </c>
      <c r="AL66" s="74">
        <f t="shared" ref="AL66:AN66" si="194">AL$2</f>
        <v>0.13</v>
      </c>
      <c r="AM66" s="74">
        <f t="shared" si="194"/>
        <v>0</v>
      </c>
      <c r="AN66" s="74">
        <f t="shared" si="194"/>
        <v>0</v>
      </c>
      <c r="AO66" s="53">
        <f t="shared" si="8"/>
        <v>0</v>
      </c>
      <c r="AP66" s="76" t="str">
        <f t="shared" ref="AP66:AQ66" si="195">AP$2</f>
        <v>NO</v>
      </c>
      <c r="AQ66" s="76" t="str">
        <f t="shared" si="195"/>
        <v>NO</v>
      </c>
      <c r="AR66" s="53">
        <f t="shared" si="9"/>
        <v>0</v>
      </c>
      <c r="AS66" s="53">
        <f t="shared" si="10"/>
        <v>0</v>
      </c>
      <c r="AT66" s="54">
        <f t="shared" si="11"/>
        <v>0</v>
      </c>
      <c r="AU66" s="68"/>
      <c r="AV66" s="2"/>
    </row>
    <row r="67" ht="15.75" customHeight="1">
      <c r="A67" s="78"/>
      <c r="B67" s="79"/>
      <c r="C67" s="79"/>
      <c r="D67" s="79"/>
      <c r="E67" s="80"/>
      <c r="F67" s="79" t="s">
        <v>14</v>
      </c>
      <c r="G67" s="79">
        <v>0.0</v>
      </c>
      <c r="H67" s="81">
        <v>0.0</v>
      </c>
      <c r="I67" s="79" t="s">
        <v>20</v>
      </c>
      <c r="J67" s="53">
        <f t="shared" si="2"/>
        <v>0</v>
      </c>
      <c r="K67" s="54">
        <f t="shared" si="3"/>
        <v>0</v>
      </c>
      <c r="L67" s="54">
        <f>('VEA CLIENTE'!$K67/(1-'VEA CLIENTE'!$M67))-'VEA CLIENTE'!$K67</f>
        <v>0</v>
      </c>
      <c r="M67" s="72">
        <f t="shared" ref="M67:O67" si="196">M$2</f>
        <v>0.13</v>
      </c>
      <c r="N67" s="72">
        <f t="shared" si="196"/>
        <v>0</v>
      </c>
      <c r="O67" s="72">
        <f t="shared" si="196"/>
        <v>0</v>
      </c>
      <c r="P67" s="53">
        <f t="shared" si="4"/>
        <v>0</v>
      </c>
      <c r="Q67" s="76" t="s">
        <v>53</v>
      </c>
      <c r="R67" s="53">
        <f t="shared" si="5"/>
        <v>0</v>
      </c>
      <c r="S67" s="53">
        <f>IF('VEA CLIENTE'!$E67&gt;0,'VEA CLIENTE'!$T67/'VEA CLIENTE'!$E67,0)</f>
        <v>0</v>
      </c>
      <c r="T67" s="53">
        <f t="shared" si="6"/>
        <v>0</v>
      </c>
      <c r="U67" s="57"/>
      <c r="V67" s="2"/>
      <c r="W67" s="58"/>
      <c r="X67" s="59"/>
      <c r="Y67" s="71"/>
      <c r="Z67" s="71"/>
      <c r="AA67" s="62">
        <f>'VEA CLIENTE'!$Z67/(1-'VEA CLIENTE'!$AB67)-'VEA CLIENTE'!$Z67</f>
        <v>0</v>
      </c>
      <c r="AB67" s="72">
        <f t="shared" ref="AB67:AD67" si="197">AB$2</f>
        <v>0.13</v>
      </c>
      <c r="AC67" s="72">
        <f t="shared" si="197"/>
        <v>0</v>
      </c>
      <c r="AD67" s="72">
        <f t="shared" si="197"/>
        <v>0</v>
      </c>
      <c r="AE67" s="53">
        <f t="shared" si="7"/>
        <v>0</v>
      </c>
      <c r="AF67" s="63"/>
      <c r="AG67" s="2"/>
      <c r="AH67" s="64"/>
      <c r="AI67" s="73"/>
      <c r="AJ67" s="73"/>
      <c r="AK67" s="62">
        <f>'VEA CLIENTE'!$AJ67/(1-'VEA CLIENTE'!$AL67)-'VEA CLIENTE'!$AJ67</f>
        <v>0</v>
      </c>
      <c r="AL67" s="74">
        <f t="shared" ref="AL67:AN67" si="198">AL$2</f>
        <v>0.13</v>
      </c>
      <c r="AM67" s="74">
        <f t="shared" si="198"/>
        <v>0</v>
      </c>
      <c r="AN67" s="74">
        <f t="shared" si="198"/>
        <v>0</v>
      </c>
      <c r="AO67" s="53">
        <f t="shared" si="8"/>
        <v>0</v>
      </c>
      <c r="AP67" s="76" t="str">
        <f t="shared" ref="AP67:AQ67" si="199">AP$2</f>
        <v>NO</v>
      </c>
      <c r="AQ67" s="76" t="str">
        <f t="shared" si="199"/>
        <v>NO</v>
      </c>
      <c r="AR67" s="53">
        <f t="shared" si="9"/>
        <v>0</v>
      </c>
      <c r="AS67" s="53">
        <f t="shared" si="10"/>
        <v>0</v>
      </c>
      <c r="AT67" s="54">
        <f t="shared" si="11"/>
        <v>0</v>
      </c>
      <c r="AU67" s="68"/>
      <c r="AV67" s="2"/>
    </row>
    <row r="68" ht="15.75" customHeight="1">
      <c r="A68" s="78"/>
      <c r="B68" s="79"/>
      <c r="C68" s="79"/>
      <c r="D68" s="79"/>
      <c r="E68" s="80"/>
      <c r="F68" s="79" t="s">
        <v>14</v>
      </c>
      <c r="G68" s="79">
        <v>0.0</v>
      </c>
      <c r="H68" s="81">
        <v>0.0</v>
      </c>
      <c r="I68" s="79" t="s">
        <v>20</v>
      </c>
      <c r="J68" s="53">
        <f t="shared" si="2"/>
        <v>0</v>
      </c>
      <c r="K68" s="54">
        <f t="shared" si="3"/>
        <v>0</v>
      </c>
      <c r="L68" s="54">
        <f>('VEA CLIENTE'!$K68/(1-'VEA CLIENTE'!$M68))-'VEA CLIENTE'!$K68</f>
        <v>0</v>
      </c>
      <c r="M68" s="72">
        <f t="shared" ref="M68:O68" si="200">M$2</f>
        <v>0.13</v>
      </c>
      <c r="N68" s="72">
        <f t="shared" si="200"/>
        <v>0</v>
      </c>
      <c r="O68" s="72">
        <f t="shared" si="200"/>
        <v>0</v>
      </c>
      <c r="P68" s="53">
        <f t="shared" si="4"/>
        <v>0</v>
      </c>
      <c r="Q68" s="76" t="s">
        <v>53</v>
      </c>
      <c r="R68" s="53">
        <f t="shared" si="5"/>
        <v>0</v>
      </c>
      <c r="S68" s="53">
        <f>IF('VEA CLIENTE'!$E68&gt;0,'VEA CLIENTE'!$T68/'VEA CLIENTE'!$E68,0)</f>
        <v>0</v>
      </c>
      <c r="T68" s="53">
        <f t="shared" si="6"/>
        <v>0</v>
      </c>
      <c r="U68" s="57"/>
      <c r="V68" s="2"/>
      <c r="W68" s="58"/>
      <c r="X68" s="59"/>
      <c r="Y68" s="71"/>
      <c r="Z68" s="71"/>
      <c r="AA68" s="62">
        <f>'VEA CLIENTE'!$Z68/(1-'VEA CLIENTE'!$AB68)-'VEA CLIENTE'!$Z68</f>
        <v>0</v>
      </c>
      <c r="AB68" s="72">
        <f t="shared" ref="AB68:AD68" si="201">AB$2</f>
        <v>0.13</v>
      </c>
      <c r="AC68" s="72">
        <f t="shared" si="201"/>
        <v>0</v>
      </c>
      <c r="AD68" s="72">
        <f t="shared" si="201"/>
        <v>0</v>
      </c>
      <c r="AE68" s="53">
        <f t="shared" si="7"/>
        <v>0</v>
      </c>
      <c r="AF68" s="63"/>
      <c r="AG68" s="2"/>
      <c r="AH68" s="64"/>
      <c r="AI68" s="73"/>
      <c r="AJ68" s="73"/>
      <c r="AK68" s="62">
        <f>'VEA CLIENTE'!$AJ68/(1-'VEA CLIENTE'!$AL68)-'VEA CLIENTE'!$AJ68</f>
        <v>0</v>
      </c>
      <c r="AL68" s="74">
        <f t="shared" ref="AL68:AN68" si="202">AL$2</f>
        <v>0.13</v>
      </c>
      <c r="AM68" s="74">
        <f t="shared" si="202"/>
        <v>0</v>
      </c>
      <c r="AN68" s="74">
        <f t="shared" si="202"/>
        <v>0</v>
      </c>
      <c r="AO68" s="53">
        <f t="shared" si="8"/>
        <v>0</v>
      </c>
      <c r="AP68" s="76" t="str">
        <f t="shared" ref="AP68:AQ68" si="203">AP$2</f>
        <v>NO</v>
      </c>
      <c r="AQ68" s="76" t="str">
        <f t="shared" si="203"/>
        <v>NO</v>
      </c>
      <c r="AR68" s="53">
        <f t="shared" si="9"/>
        <v>0</v>
      </c>
      <c r="AS68" s="53">
        <f t="shared" si="10"/>
        <v>0</v>
      </c>
      <c r="AT68" s="54">
        <f t="shared" si="11"/>
        <v>0</v>
      </c>
      <c r="AU68" s="68"/>
      <c r="AV68" s="2"/>
    </row>
    <row r="69" ht="15.75" customHeight="1">
      <c r="A69" s="78"/>
      <c r="B69" s="79"/>
      <c r="C69" s="79"/>
      <c r="D69" s="79"/>
      <c r="E69" s="80"/>
      <c r="F69" s="79" t="s">
        <v>14</v>
      </c>
      <c r="G69" s="79">
        <v>0.0</v>
      </c>
      <c r="H69" s="81">
        <v>0.0</v>
      </c>
      <c r="I69" s="79" t="s">
        <v>20</v>
      </c>
      <c r="J69" s="53">
        <f t="shared" si="2"/>
        <v>0</v>
      </c>
      <c r="K69" s="54">
        <f t="shared" si="3"/>
        <v>0</v>
      </c>
      <c r="L69" s="54">
        <f>('VEA CLIENTE'!$K69/(1-'VEA CLIENTE'!$M69))-'VEA CLIENTE'!$K69</f>
        <v>0</v>
      </c>
      <c r="M69" s="72">
        <f t="shared" ref="M69:O69" si="204">M$2</f>
        <v>0.13</v>
      </c>
      <c r="N69" s="72">
        <f t="shared" si="204"/>
        <v>0</v>
      </c>
      <c r="O69" s="72">
        <f t="shared" si="204"/>
        <v>0</v>
      </c>
      <c r="P69" s="53">
        <f t="shared" si="4"/>
        <v>0</v>
      </c>
      <c r="Q69" s="76" t="s">
        <v>53</v>
      </c>
      <c r="R69" s="53">
        <f t="shared" si="5"/>
        <v>0</v>
      </c>
      <c r="S69" s="53">
        <f>IF('VEA CLIENTE'!$E69&gt;0,'VEA CLIENTE'!$T69/'VEA CLIENTE'!$E69,0)</f>
        <v>0</v>
      </c>
      <c r="T69" s="53">
        <f t="shared" si="6"/>
        <v>0</v>
      </c>
      <c r="U69" s="57"/>
      <c r="V69" s="2"/>
      <c r="W69" s="58"/>
      <c r="X69" s="59"/>
      <c r="Y69" s="71"/>
      <c r="Z69" s="71"/>
      <c r="AA69" s="62">
        <f>'VEA CLIENTE'!$Z69/(1-'VEA CLIENTE'!$AB69)-'VEA CLIENTE'!$Z69</f>
        <v>0</v>
      </c>
      <c r="AB69" s="72">
        <f t="shared" ref="AB69:AD69" si="205">AB$2</f>
        <v>0.13</v>
      </c>
      <c r="AC69" s="72">
        <f t="shared" si="205"/>
        <v>0</v>
      </c>
      <c r="AD69" s="72">
        <f t="shared" si="205"/>
        <v>0</v>
      </c>
      <c r="AE69" s="53">
        <f t="shared" si="7"/>
        <v>0</v>
      </c>
      <c r="AF69" s="63"/>
      <c r="AG69" s="2"/>
      <c r="AH69" s="64"/>
      <c r="AI69" s="73"/>
      <c r="AJ69" s="73"/>
      <c r="AK69" s="62">
        <f>'VEA CLIENTE'!$AJ69/(1-'VEA CLIENTE'!$AL69)-'VEA CLIENTE'!$AJ69</f>
        <v>0</v>
      </c>
      <c r="AL69" s="74">
        <f t="shared" ref="AL69:AN69" si="206">AL$2</f>
        <v>0.13</v>
      </c>
      <c r="AM69" s="74">
        <f t="shared" si="206"/>
        <v>0</v>
      </c>
      <c r="AN69" s="74">
        <f t="shared" si="206"/>
        <v>0</v>
      </c>
      <c r="AO69" s="53">
        <f t="shared" si="8"/>
        <v>0</v>
      </c>
      <c r="AP69" s="76" t="str">
        <f t="shared" ref="AP69:AQ69" si="207">AP$2</f>
        <v>NO</v>
      </c>
      <c r="AQ69" s="76" t="str">
        <f t="shared" si="207"/>
        <v>NO</v>
      </c>
      <c r="AR69" s="53">
        <f t="shared" si="9"/>
        <v>0</v>
      </c>
      <c r="AS69" s="53">
        <f t="shared" si="10"/>
        <v>0</v>
      </c>
      <c r="AT69" s="54">
        <f t="shared" si="11"/>
        <v>0</v>
      </c>
      <c r="AU69" s="68"/>
      <c r="AV69" s="2"/>
    </row>
    <row r="70" ht="15.75" customHeight="1">
      <c r="A70" s="78"/>
      <c r="B70" s="79"/>
      <c r="C70" s="79"/>
      <c r="D70" s="79"/>
      <c r="E70" s="80"/>
      <c r="F70" s="79" t="s">
        <v>14</v>
      </c>
      <c r="G70" s="79">
        <v>0.0</v>
      </c>
      <c r="H70" s="81">
        <v>0.0</v>
      </c>
      <c r="I70" s="79" t="s">
        <v>20</v>
      </c>
      <c r="J70" s="53">
        <f t="shared" si="2"/>
        <v>0</v>
      </c>
      <c r="K70" s="54">
        <f t="shared" si="3"/>
        <v>0</v>
      </c>
      <c r="L70" s="54">
        <f>('VEA CLIENTE'!$K70/(1-'VEA CLIENTE'!$M70))-'VEA CLIENTE'!$K70</f>
        <v>0</v>
      </c>
      <c r="M70" s="72">
        <f t="shared" ref="M70:O70" si="208">M$2</f>
        <v>0.13</v>
      </c>
      <c r="N70" s="72">
        <f t="shared" si="208"/>
        <v>0</v>
      </c>
      <c r="O70" s="72">
        <f t="shared" si="208"/>
        <v>0</v>
      </c>
      <c r="P70" s="53">
        <f t="shared" si="4"/>
        <v>0</v>
      </c>
      <c r="Q70" s="76" t="s">
        <v>53</v>
      </c>
      <c r="R70" s="53">
        <f t="shared" si="5"/>
        <v>0</v>
      </c>
      <c r="S70" s="53">
        <f>IF('VEA CLIENTE'!$E70&gt;0,'VEA CLIENTE'!$T70/'VEA CLIENTE'!$E70,0)</f>
        <v>0</v>
      </c>
      <c r="T70" s="53">
        <f t="shared" si="6"/>
        <v>0</v>
      </c>
      <c r="U70" s="57"/>
      <c r="V70" s="2"/>
      <c r="W70" s="58"/>
      <c r="X70" s="59"/>
      <c r="Y70" s="71"/>
      <c r="Z70" s="71"/>
      <c r="AA70" s="62">
        <f>'VEA CLIENTE'!$Z70/(1-'VEA CLIENTE'!$AB70)-'VEA CLIENTE'!$Z70</f>
        <v>0</v>
      </c>
      <c r="AB70" s="72">
        <f t="shared" ref="AB70:AD70" si="209">AB$2</f>
        <v>0.13</v>
      </c>
      <c r="AC70" s="72">
        <f t="shared" si="209"/>
        <v>0</v>
      </c>
      <c r="AD70" s="72">
        <f t="shared" si="209"/>
        <v>0</v>
      </c>
      <c r="AE70" s="53">
        <f t="shared" si="7"/>
        <v>0</v>
      </c>
      <c r="AF70" s="63"/>
      <c r="AG70" s="2"/>
      <c r="AH70" s="64"/>
      <c r="AI70" s="73"/>
      <c r="AJ70" s="73"/>
      <c r="AK70" s="62">
        <f>'VEA CLIENTE'!$AJ70/(1-'VEA CLIENTE'!$AL70)-'VEA CLIENTE'!$AJ70</f>
        <v>0</v>
      </c>
      <c r="AL70" s="74">
        <f t="shared" ref="AL70:AN70" si="210">AL$2</f>
        <v>0.13</v>
      </c>
      <c r="AM70" s="74">
        <f t="shared" si="210"/>
        <v>0</v>
      </c>
      <c r="AN70" s="74">
        <f t="shared" si="210"/>
        <v>0</v>
      </c>
      <c r="AO70" s="53">
        <f t="shared" si="8"/>
        <v>0</v>
      </c>
      <c r="AP70" s="76" t="str">
        <f t="shared" ref="AP70:AQ70" si="211">AP$2</f>
        <v>NO</v>
      </c>
      <c r="AQ70" s="76" t="str">
        <f t="shared" si="211"/>
        <v>NO</v>
      </c>
      <c r="AR70" s="53">
        <f t="shared" si="9"/>
        <v>0</v>
      </c>
      <c r="AS70" s="53">
        <f t="shared" si="10"/>
        <v>0</v>
      </c>
      <c r="AT70" s="54">
        <f t="shared" si="11"/>
        <v>0</v>
      </c>
      <c r="AU70" s="68"/>
      <c r="AV70" s="2"/>
    </row>
    <row r="71" ht="15.75" customHeight="1">
      <c r="A71" s="78"/>
      <c r="B71" s="79"/>
      <c r="C71" s="79"/>
      <c r="D71" s="79"/>
      <c r="E71" s="80"/>
      <c r="F71" s="79" t="s">
        <v>14</v>
      </c>
      <c r="G71" s="79">
        <v>0.0</v>
      </c>
      <c r="H71" s="81">
        <v>0.0</v>
      </c>
      <c r="I71" s="79" t="s">
        <v>20</v>
      </c>
      <c r="J71" s="53">
        <f t="shared" si="2"/>
        <v>0</v>
      </c>
      <c r="K71" s="54">
        <f t="shared" si="3"/>
        <v>0</v>
      </c>
      <c r="L71" s="54">
        <f>('VEA CLIENTE'!$K71/(1-'VEA CLIENTE'!$M71))-'VEA CLIENTE'!$K71</f>
        <v>0</v>
      </c>
      <c r="M71" s="72">
        <f t="shared" ref="M71:O71" si="212">M$2</f>
        <v>0.13</v>
      </c>
      <c r="N71" s="72">
        <f t="shared" si="212"/>
        <v>0</v>
      </c>
      <c r="O71" s="72">
        <f t="shared" si="212"/>
        <v>0</v>
      </c>
      <c r="P71" s="53">
        <f t="shared" si="4"/>
        <v>0</v>
      </c>
      <c r="Q71" s="76" t="s">
        <v>53</v>
      </c>
      <c r="R71" s="53">
        <f t="shared" si="5"/>
        <v>0</v>
      </c>
      <c r="S71" s="53">
        <f>IF('VEA CLIENTE'!$E71&gt;0,'VEA CLIENTE'!$T71/'VEA CLIENTE'!$E71,0)</f>
        <v>0</v>
      </c>
      <c r="T71" s="53">
        <f t="shared" si="6"/>
        <v>0</v>
      </c>
      <c r="U71" s="57"/>
      <c r="V71" s="2"/>
      <c r="W71" s="58"/>
      <c r="X71" s="59"/>
      <c r="Y71" s="71"/>
      <c r="Z71" s="71"/>
      <c r="AA71" s="62">
        <f>'VEA CLIENTE'!$Z71/(1-'VEA CLIENTE'!$AB71)-'VEA CLIENTE'!$Z71</f>
        <v>0</v>
      </c>
      <c r="AB71" s="72">
        <f t="shared" ref="AB71:AD71" si="213">AB$2</f>
        <v>0.13</v>
      </c>
      <c r="AC71" s="72">
        <f t="shared" si="213"/>
        <v>0</v>
      </c>
      <c r="AD71" s="72">
        <f t="shared" si="213"/>
        <v>0</v>
      </c>
      <c r="AE71" s="53">
        <f t="shared" si="7"/>
        <v>0</v>
      </c>
      <c r="AF71" s="63"/>
      <c r="AG71" s="2"/>
      <c r="AH71" s="64"/>
      <c r="AI71" s="73"/>
      <c r="AJ71" s="73"/>
      <c r="AK71" s="62">
        <f>'VEA CLIENTE'!$AJ71/(1-'VEA CLIENTE'!$AL71)-'VEA CLIENTE'!$AJ71</f>
        <v>0</v>
      </c>
      <c r="AL71" s="74">
        <f t="shared" ref="AL71:AN71" si="214">AL$2</f>
        <v>0.13</v>
      </c>
      <c r="AM71" s="74">
        <f t="shared" si="214"/>
        <v>0</v>
      </c>
      <c r="AN71" s="74">
        <f t="shared" si="214"/>
        <v>0</v>
      </c>
      <c r="AO71" s="53">
        <f t="shared" si="8"/>
        <v>0</v>
      </c>
      <c r="AP71" s="76" t="str">
        <f t="shared" ref="AP71:AQ71" si="215">AP$2</f>
        <v>NO</v>
      </c>
      <c r="AQ71" s="76" t="str">
        <f t="shared" si="215"/>
        <v>NO</v>
      </c>
      <c r="AR71" s="53">
        <f t="shared" si="9"/>
        <v>0</v>
      </c>
      <c r="AS71" s="53">
        <f t="shared" si="10"/>
        <v>0</v>
      </c>
      <c r="AT71" s="54">
        <f t="shared" si="11"/>
        <v>0</v>
      </c>
      <c r="AU71" s="68"/>
      <c r="AV71" s="2"/>
    </row>
    <row r="72" ht="15.75" customHeight="1">
      <c r="A72" s="78"/>
      <c r="B72" s="79"/>
      <c r="C72" s="79"/>
      <c r="D72" s="79"/>
      <c r="E72" s="80"/>
      <c r="F72" s="79" t="s">
        <v>14</v>
      </c>
      <c r="G72" s="79">
        <v>0.0</v>
      </c>
      <c r="H72" s="81">
        <v>0.0</v>
      </c>
      <c r="I72" s="79" t="s">
        <v>20</v>
      </c>
      <c r="J72" s="53">
        <f t="shared" si="2"/>
        <v>0</v>
      </c>
      <c r="K72" s="54">
        <f t="shared" si="3"/>
        <v>0</v>
      </c>
      <c r="L72" s="54">
        <f>('VEA CLIENTE'!$K72/(1-'VEA CLIENTE'!$M72))-'VEA CLIENTE'!$K72</f>
        <v>0</v>
      </c>
      <c r="M72" s="72">
        <f t="shared" ref="M72:O72" si="216">M$2</f>
        <v>0.13</v>
      </c>
      <c r="N72" s="72">
        <f t="shared" si="216"/>
        <v>0</v>
      </c>
      <c r="O72" s="72">
        <f t="shared" si="216"/>
        <v>0</v>
      </c>
      <c r="P72" s="53">
        <f t="shared" si="4"/>
        <v>0</v>
      </c>
      <c r="Q72" s="76" t="s">
        <v>53</v>
      </c>
      <c r="R72" s="53">
        <f t="shared" si="5"/>
        <v>0</v>
      </c>
      <c r="S72" s="53">
        <f>IF('VEA CLIENTE'!$E72&gt;0,'VEA CLIENTE'!$T72/'VEA CLIENTE'!$E72,0)</f>
        <v>0</v>
      </c>
      <c r="T72" s="53">
        <f t="shared" si="6"/>
        <v>0</v>
      </c>
      <c r="U72" s="57"/>
      <c r="V72" s="2"/>
      <c r="W72" s="58"/>
      <c r="X72" s="59"/>
      <c r="Y72" s="71"/>
      <c r="Z72" s="71"/>
      <c r="AA72" s="62">
        <f>'VEA CLIENTE'!$Z72/(1-'VEA CLIENTE'!$AB72)-'VEA CLIENTE'!$Z72</f>
        <v>0</v>
      </c>
      <c r="AB72" s="72">
        <f t="shared" ref="AB72:AD72" si="217">AB$2</f>
        <v>0.13</v>
      </c>
      <c r="AC72" s="72">
        <f t="shared" si="217"/>
        <v>0</v>
      </c>
      <c r="AD72" s="72">
        <f t="shared" si="217"/>
        <v>0</v>
      </c>
      <c r="AE72" s="53">
        <f t="shared" si="7"/>
        <v>0</v>
      </c>
      <c r="AF72" s="63"/>
      <c r="AG72" s="2"/>
      <c r="AH72" s="64"/>
      <c r="AI72" s="73"/>
      <c r="AJ72" s="73"/>
      <c r="AK72" s="62">
        <f>'VEA CLIENTE'!$AJ72/(1-'VEA CLIENTE'!$AL72)-'VEA CLIENTE'!$AJ72</f>
        <v>0</v>
      </c>
      <c r="AL72" s="74">
        <f t="shared" ref="AL72:AN72" si="218">AL$2</f>
        <v>0.13</v>
      </c>
      <c r="AM72" s="74">
        <f t="shared" si="218"/>
        <v>0</v>
      </c>
      <c r="AN72" s="74">
        <f t="shared" si="218"/>
        <v>0</v>
      </c>
      <c r="AO72" s="53">
        <f t="shared" si="8"/>
        <v>0</v>
      </c>
      <c r="AP72" s="76" t="str">
        <f t="shared" ref="AP72:AQ72" si="219">AP$2</f>
        <v>NO</v>
      </c>
      <c r="AQ72" s="76" t="str">
        <f t="shared" si="219"/>
        <v>NO</v>
      </c>
      <c r="AR72" s="53">
        <f t="shared" si="9"/>
        <v>0</v>
      </c>
      <c r="AS72" s="53">
        <f t="shared" si="10"/>
        <v>0</v>
      </c>
      <c r="AT72" s="54">
        <f t="shared" si="11"/>
        <v>0</v>
      </c>
      <c r="AU72" s="68"/>
      <c r="AV72" s="2"/>
    </row>
    <row r="73" ht="15.75" customHeight="1">
      <c r="A73" s="78"/>
      <c r="B73" s="79"/>
      <c r="C73" s="79"/>
      <c r="D73" s="79"/>
      <c r="E73" s="80"/>
      <c r="F73" s="79" t="s">
        <v>14</v>
      </c>
      <c r="G73" s="79">
        <v>0.0</v>
      </c>
      <c r="H73" s="81">
        <v>0.0</v>
      </c>
      <c r="I73" s="79" t="s">
        <v>20</v>
      </c>
      <c r="J73" s="53">
        <f t="shared" si="2"/>
        <v>0</v>
      </c>
      <c r="K73" s="54">
        <f t="shared" si="3"/>
        <v>0</v>
      </c>
      <c r="L73" s="54">
        <f>('VEA CLIENTE'!$K73/(1-'VEA CLIENTE'!$M73))-'VEA CLIENTE'!$K73</f>
        <v>0</v>
      </c>
      <c r="M73" s="72">
        <f t="shared" ref="M73:O73" si="220">M$2</f>
        <v>0.13</v>
      </c>
      <c r="N73" s="72">
        <f t="shared" si="220"/>
        <v>0</v>
      </c>
      <c r="O73" s="72">
        <f t="shared" si="220"/>
        <v>0</v>
      </c>
      <c r="P73" s="53">
        <f t="shared" si="4"/>
        <v>0</v>
      </c>
      <c r="Q73" s="76" t="s">
        <v>53</v>
      </c>
      <c r="R73" s="53">
        <f t="shared" si="5"/>
        <v>0</v>
      </c>
      <c r="S73" s="53">
        <f>IF('VEA CLIENTE'!$E73&gt;0,'VEA CLIENTE'!$T73/'VEA CLIENTE'!$E73,0)</f>
        <v>0</v>
      </c>
      <c r="T73" s="53">
        <f t="shared" si="6"/>
        <v>0</v>
      </c>
      <c r="U73" s="57"/>
      <c r="V73" s="2"/>
      <c r="W73" s="58"/>
      <c r="X73" s="59"/>
      <c r="Y73" s="71"/>
      <c r="Z73" s="71"/>
      <c r="AA73" s="62">
        <f>'VEA CLIENTE'!$Z73/(1-'VEA CLIENTE'!$AB73)-'VEA CLIENTE'!$Z73</f>
        <v>0</v>
      </c>
      <c r="AB73" s="72">
        <f t="shared" ref="AB73:AD73" si="221">AB$2</f>
        <v>0.13</v>
      </c>
      <c r="AC73" s="72">
        <f t="shared" si="221"/>
        <v>0</v>
      </c>
      <c r="AD73" s="72">
        <f t="shared" si="221"/>
        <v>0</v>
      </c>
      <c r="AE73" s="53">
        <f t="shared" si="7"/>
        <v>0</v>
      </c>
      <c r="AF73" s="63"/>
      <c r="AG73" s="2"/>
      <c r="AH73" s="64"/>
      <c r="AI73" s="73"/>
      <c r="AJ73" s="73"/>
      <c r="AK73" s="62">
        <f>'VEA CLIENTE'!$AJ73/(1-'VEA CLIENTE'!$AL73)-'VEA CLIENTE'!$AJ73</f>
        <v>0</v>
      </c>
      <c r="AL73" s="74">
        <f t="shared" ref="AL73:AN73" si="222">AL$2</f>
        <v>0.13</v>
      </c>
      <c r="AM73" s="74">
        <f t="shared" si="222"/>
        <v>0</v>
      </c>
      <c r="AN73" s="74">
        <f t="shared" si="222"/>
        <v>0</v>
      </c>
      <c r="AO73" s="53">
        <f t="shared" si="8"/>
        <v>0</v>
      </c>
      <c r="AP73" s="76" t="str">
        <f t="shared" ref="AP73:AQ73" si="223">AP$2</f>
        <v>NO</v>
      </c>
      <c r="AQ73" s="76" t="str">
        <f t="shared" si="223"/>
        <v>NO</v>
      </c>
      <c r="AR73" s="53">
        <f t="shared" si="9"/>
        <v>0</v>
      </c>
      <c r="AS73" s="53">
        <f t="shared" si="10"/>
        <v>0</v>
      </c>
      <c r="AT73" s="54">
        <f t="shared" si="11"/>
        <v>0</v>
      </c>
      <c r="AU73" s="68"/>
      <c r="AV73" s="2"/>
    </row>
    <row r="74" ht="15.75" customHeight="1">
      <c r="A74" s="78"/>
      <c r="B74" s="79"/>
      <c r="C74" s="79"/>
      <c r="D74" s="79"/>
      <c r="E74" s="80"/>
      <c r="F74" s="79" t="s">
        <v>14</v>
      </c>
      <c r="G74" s="79">
        <v>0.0</v>
      </c>
      <c r="H74" s="81">
        <v>0.0</v>
      </c>
      <c r="I74" s="79" t="s">
        <v>20</v>
      </c>
      <c r="J74" s="53">
        <f t="shared" si="2"/>
        <v>0</v>
      </c>
      <c r="K74" s="54">
        <f t="shared" si="3"/>
        <v>0</v>
      </c>
      <c r="L74" s="54">
        <f>('VEA CLIENTE'!$K74/(1-'VEA CLIENTE'!$M74))-'VEA CLIENTE'!$K74</f>
        <v>0</v>
      </c>
      <c r="M74" s="72">
        <f t="shared" ref="M74:O74" si="224">M$2</f>
        <v>0.13</v>
      </c>
      <c r="N74" s="72">
        <f t="shared" si="224"/>
        <v>0</v>
      </c>
      <c r="O74" s="72">
        <f t="shared" si="224"/>
        <v>0</v>
      </c>
      <c r="P74" s="53">
        <f t="shared" si="4"/>
        <v>0</v>
      </c>
      <c r="Q74" s="76" t="s">
        <v>53</v>
      </c>
      <c r="R74" s="53">
        <f t="shared" si="5"/>
        <v>0</v>
      </c>
      <c r="S74" s="53">
        <f>IF('VEA CLIENTE'!$E74&gt;0,'VEA CLIENTE'!$T74/'VEA CLIENTE'!$E74,0)</f>
        <v>0</v>
      </c>
      <c r="T74" s="53">
        <f t="shared" si="6"/>
        <v>0</v>
      </c>
      <c r="U74" s="57"/>
      <c r="V74" s="2"/>
      <c r="W74" s="58"/>
      <c r="X74" s="59"/>
      <c r="Y74" s="71"/>
      <c r="Z74" s="71"/>
      <c r="AA74" s="62">
        <f>'VEA CLIENTE'!$Z74/(1-'VEA CLIENTE'!$AB74)-'VEA CLIENTE'!$Z74</f>
        <v>0</v>
      </c>
      <c r="AB74" s="72">
        <f t="shared" ref="AB74:AD74" si="225">AB$2</f>
        <v>0.13</v>
      </c>
      <c r="AC74" s="72">
        <f t="shared" si="225"/>
        <v>0</v>
      </c>
      <c r="AD74" s="72">
        <f t="shared" si="225"/>
        <v>0</v>
      </c>
      <c r="AE74" s="53">
        <f t="shared" si="7"/>
        <v>0</v>
      </c>
      <c r="AF74" s="63"/>
      <c r="AG74" s="2"/>
      <c r="AH74" s="64"/>
      <c r="AI74" s="73"/>
      <c r="AJ74" s="73"/>
      <c r="AK74" s="62">
        <f>'VEA CLIENTE'!$AJ74/(1-'VEA CLIENTE'!$AL74)-'VEA CLIENTE'!$AJ74</f>
        <v>0</v>
      </c>
      <c r="AL74" s="74">
        <f t="shared" ref="AL74:AN74" si="226">AL$2</f>
        <v>0.13</v>
      </c>
      <c r="AM74" s="74">
        <f t="shared" si="226"/>
        <v>0</v>
      </c>
      <c r="AN74" s="74">
        <f t="shared" si="226"/>
        <v>0</v>
      </c>
      <c r="AO74" s="53">
        <f t="shared" si="8"/>
        <v>0</v>
      </c>
      <c r="AP74" s="76" t="str">
        <f t="shared" ref="AP74:AQ74" si="227">AP$2</f>
        <v>NO</v>
      </c>
      <c r="AQ74" s="76" t="str">
        <f t="shared" si="227"/>
        <v>NO</v>
      </c>
      <c r="AR74" s="53">
        <f t="shared" si="9"/>
        <v>0</v>
      </c>
      <c r="AS74" s="53">
        <f t="shared" si="10"/>
        <v>0</v>
      </c>
      <c r="AT74" s="54">
        <f t="shared" si="11"/>
        <v>0</v>
      </c>
      <c r="AU74" s="68"/>
      <c r="AV74" s="2"/>
    </row>
    <row r="75" ht="15.75" customHeight="1">
      <c r="A75" s="78"/>
      <c r="B75" s="79"/>
      <c r="C75" s="79"/>
      <c r="D75" s="79"/>
      <c r="E75" s="80"/>
      <c r="F75" s="79" t="s">
        <v>14</v>
      </c>
      <c r="G75" s="79">
        <v>0.0</v>
      </c>
      <c r="H75" s="81">
        <v>0.0</v>
      </c>
      <c r="I75" s="79" t="s">
        <v>20</v>
      </c>
      <c r="J75" s="53">
        <f t="shared" si="2"/>
        <v>0</v>
      </c>
      <c r="K75" s="54">
        <f t="shared" si="3"/>
        <v>0</v>
      </c>
      <c r="L75" s="54">
        <f>('VEA CLIENTE'!$K75/(1-'VEA CLIENTE'!$M75))-'VEA CLIENTE'!$K75</f>
        <v>0</v>
      </c>
      <c r="M75" s="72">
        <f t="shared" ref="M75:O75" si="228">M$2</f>
        <v>0.13</v>
      </c>
      <c r="N75" s="72">
        <f t="shared" si="228"/>
        <v>0</v>
      </c>
      <c r="O75" s="72">
        <f t="shared" si="228"/>
        <v>0</v>
      </c>
      <c r="P75" s="53">
        <f t="shared" si="4"/>
        <v>0</v>
      </c>
      <c r="Q75" s="76" t="s">
        <v>53</v>
      </c>
      <c r="R75" s="53">
        <f t="shared" si="5"/>
        <v>0</v>
      </c>
      <c r="S75" s="53">
        <f>IF('VEA CLIENTE'!$E75&gt;0,'VEA CLIENTE'!$T75/'VEA CLIENTE'!$E75,0)</f>
        <v>0</v>
      </c>
      <c r="T75" s="53">
        <f t="shared" si="6"/>
        <v>0</v>
      </c>
      <c r="U75" s="57"/>
      <c r="V75" s="2"/>
      <c r="W75" s="58"/>
      <c r="X75" s="59"/>
      <c r="Y75" s="71"/>
      <c r="Z75" s="71"/>
      <c r="AA75" s="62">
        <f>'VEA CLIENTE'!$Z75/(1-'VEA CLIENTE'!$AB75)-'VEA CLIENTE'!$Z75</f>
        <v>0</v>
      </c>
      <c r="AB75" s="72">
        <f t="shared" ref="AB75:AD75" si="229">AB$2</f>
        <v>0.13</v>
      </c>
      <c r="AC75" s="72">
        <f t="shared" si="229"/>
        <v>0</v>
      </c>
      <c r="AD75" s="72">
        <f t="shared" si="229"/>
        <v>0</v>
      </c>
      <c r="AE75" s="53">
        <f t="shared" si="7"/>
        <v>0</v>
      </c>
      <c r="AF75" s="63"/>
      <c r="AG75" s="2"/>
      <c r="AH75" s="64"/>
      <c r="AI75" s="73"/>
      <c r="AJ75" s="73"/>
      <c r="AK75" s="62">
        <f>'VEA CLIENTE'!$AJ75/(1-'VEA CLIENTE'!$AL75)-'VEA CLIENTE'!$AJ75</f>
        <v>0</v>
      </c>
      <c r="AL75" s="74">
        <f t="shared" ref="AL75:AN75" si="230">AL$2</f>
        <v>0.13</v>
      </c>
      <c r="AM75" s="74">
        <f t="shared" si="230"/>
        <v>0</v>
      </c>
      <c r="AN75" s="74">
        <f t="shared" si="230"/>
        <v>0</v>
      </c>
      <c r="AO75" s="53">
        <f t="shared" si="8"/>
        <v>0</v>
      </c>
      <c r="AP75" s="76" t="str">
        <f t="shared" ref="AP75:AQ75" si="231">AP$2</f>
        <v>NO</v>
      </c>
      <c r="AQ75" s="76" t="str">
        <f t="shared" si="231"/>
        <v>NO</v>
      </c>
      <c r="AR75" s="53">
        <f t="shared" si="9"/>
        <v>0</v>
      </c>
      <c r="AS75" s="53">
        <f t="shared" si="10"/>
        <v>0</v>
      </c>
      <c r="AT75" s="54">
        <f t="shared" si="11"/>
        <v>0</v>
      </c>
      <c r="AU75" s="68"/>
      <c r="AV75" s="2"/>
    </row>
    <row r="76" ht="15.75" customHeight="1">
      <c r="A76" s="78"/>
      <c r="B76" s="79"/>
      <c r="C76" s="79"/>
      <c r="D76" s="79"/>
      <c r="E76" s="80"/>
      <c r="F76" s="79" t="s">
        <v>14</v>
      </c>
      <c r="G76" s="79">
        <v>0.0</v>
      </c>
      <c r="H76" s="81">
        <v>0.0</v>
      </c>
      <c r="I76" s="79" t="s">
        <v>20</v>
      </c>
      <c r="J76" s="53">
        <f t="shared" si="2"/>
        <v>0</v>
      </c>
      <c r="K76" s="54">
        <f t="shared" si="3"/>
        <v>0</v>
      </c>
      <c r="L76" s="54">
        <f>('VEA CLIENTE'!$K76/(1-'VEA CLIENTE'!$M76))-'VEA CLIENTE'!$K76</f>
        <v>0</v>
      </c>
      <c r="M76" s="72">
        <f t="shared" ref="M76:O76" si="232">M$2</f>
        <v>0.13</v>
      </c>
      <c r="N76" s="72">
        <f t="shared" si="232"/>
        <v>0</v>
      </c>
      <c r="O76" s="72">
        <f t="shared" si="232"/>
        <v>0</v>
      </c>
      <c r="P76" s="53">
        <f t="shared" si="4"/>
        <v>0</v>
      </c>
      <c r="Q76" s="76" t="s">
        <v>53</v>
      </c>
      <c r="R76" s="53">
        <f t="shared" si="5"/>
        <v>0</v>
      </c>
      <c r="S76" s="53">
        <f>IF('VEA CLIENTE'!$E76&gt;0,'VEA CLIENTE'!$T76/'VEA CLIENTE'!$E76,0)</f>
        <v>0</v>
      </c>
      <c r="T76" s="53">
        <f t="shared" si="6"/>
        <v>0</v>
      </c>
      <c r="U76" s="57"/>
      <c r="V76" s="2"/>
      <c r="W76" s="58"/>
      <c r="X76" s="59"/>
      <c r="Y76" s="71"/>
      <c r="Z76" s="71"/>
      <c r="AA76" s="62">
        <f>'VEA CLIENTE'!$Z76/(1-'VEA CLIENTE'!$AB76)-'VEA CLIENTE'!$Z76</f>
        <v>0</v>
      </c>
      <c r="AB76" s="72">
        <f t="shared" ref="AB76:AD76" si="233">AB$2</f>
        <v>0.13</v>
      </c>
      <c r="AC76" s="72">
        <f t="shared" si="233"/>
        <v>0</v>
      </c>
      <c r="AD76" s="72">
        <f t="shared" si="233"/>
        <v>0</v>
      </c>
      <c r="AE76" s="53">
        <f t="shared" si="7"/>
        <v>0</v>
      </c>
      <c r="AF76" s="63"/>
      <c r="AG76" s="2"/>
      <c r="AH76" s="64"/>
      <c r="AI76" s="73"/>
      <c r="AJ76" s="73"/>
      <c r="AK76" s="62">
        <f>'VEA CLIENTE'!$AJ76/(1-'VEA CLIENTE'!$AL76)-'VEA CLIENTE'!$AJ76</f>
        <v>0</v>
      </c>
      <c r="AL76" s="74">
        <f t="shared" ref="AL76:AN76" si="234">AL$2</f>
        <v>0.13</v>
      </c>
      <c r="AM76" s="74">
        <f t="shared" si="234"/>
        <v>0</v>
      </c>
      <c r="AN76" s="74">
        <f t="shared" si="234"/>
        <v>0</v>
      </c>
      <c r="AO76" s="53">
        <f t="shared" si="8"/>
        <v>0</v>
      </c>
      <c r="AP76" s="76" t="str">
        <f t="shared" ref="AP76:AQ76" si="235">AP$2</f>
        <v>NO</v>
      </c>
      <c r="AQ76" s="76" t="str">
        <f t="shared" si="235"/>
        <v>NO</v>
      </c>
      <c r="AR76" s="53">
        <f t="shared" si="9"/>
        <v>0</v>
      </c>
      <c r="AS76" s="53">
        <f t="shared" si="10"/>
        <v>0</v>
      </c>
      <c r="AT76" s="54">
        <f t="shared" si="11"/>
        <v>0</v>
      </c>
      <c r="AU76" s="68"/>
      <c r="AV76" s="2"/>
    </row>
    <row r="77" ht="15.75" customHeight="1">
      <c r="A77" s="78"/>
      <c r="B77" s="79"/>
      <c r="C77" s="79"/>
      <c r="D77" s="79"/>
      <c r="E77" s="80"/>
      <c r="F77" s="79" t="s">
        <v>14</v>
      </c>
      <c r="G77" s="79">
        <v>0.0</v>
      </c>
      <c r="H77" s="81">
        <v>0.0</v>
      </c>
      <c r="I77" s="79" t="s">
        <v>20</v>
      </c>
      <c r="J77" s="53">
        <f t="shared" si="2"/>
        <v>0</v>
      </c>
      <c r="K77" s="54">
        <f t="shared" si="3"/>
        <v>0</v>
      </c>
      <c r="L77" s="54">
        <f>('VEA CLIENTE'!$K77/(1-'VEA CLIENTE'!$M77))-'VEA CLIENTE'!$K77</f>
        <v>0</v>
      </c>
      <c r="M77" s="72">
        <f t="shared" ref="M77:O77" si="236">M$2</f>
        <v>0.13</v>
      </c>
      <c r="N77" s="72">
        <f t="shared" si="236"/>
        <v>0</v>
      </c>
      <c r="O77" s="72">
        <f t="shared" si="236"/>
        <v>0</v>
      </c>
      <c r="P77" s="53">
        <f t="shared" si="4"/>
        <v>0</v>
      </c>
      <c r="Q77" s="76" t="s">
        <v>53</v>
      </c>
      <c r="R77" s="53">
        <f t="shared" si="5"/>
        <v>0</v>
      </c>
      <c r="S77" s="53">
        <f>IF('VEA CLIENTE'!$E77&gt;0,'VEA CLIENTE'!$T77/'VEA CLIENTE'!$E77,0)</f>
        <v>0</v>
      </c>
      <c r="T77" s="53">
        <f t="shared" si="6"/>
        <v>0</v>
      </c>
      <c r="U77" s="57"/>
      <c r="V77" s="2"/>
      <c r="W77" s="58"/>
      <c r="X77" s="59"/>
      <c r="Y77" s="71"/>
      <c r="Z77" s="71"/>
      <c r="AA77" s="62">
        <f>'VEA CLIENTE'!$Z77/(1-'VEA CLIENTE'!$AB77)-'VEA CLIENTE'!$Z77</f>
        <v>0</v>
      </c>
      <c r="AB77" s="72">
        <f t="shared" ref="AB77:AD77" si="237">AB$2</f>
        <v>0.13</v>
      </c>
      <c r="AC77" s="72">
        <f t="shared" si="237"/>
        <v>0</v>
      </c>
      <c r="AD77" s="72">
        <f t="shared" si="237"/>
        <v>0</v>
      </c>
      <c r="AE77" s="53">
        <f t="shared" si="7"/>
        <v>0</v>
      </c>
      <c r="AF77" s="63"/>
      <c r="AG77" s="2"/>
      <c r="AH77" s="64"/>
      <c r="AI77" s="73"/>
      <c r="AJ77" s="73"/>
      <c r="AK77" s="62">
        <f>'VEA CLIENTE'!$AJ77/(1-'VEA CLIENTE'!$AL77)-'VEA CLIENTE'!$AJ77</f>
        <v>0</v>
      </c>
      <c r="AL77" s="74">
        <f t="shared" ref="AL77:AN77" si="238">AL$2</f>
        <v>0.13</v>
      </c>
      <c r="AM77" s="74">
        <f t="shared" si="238"/>
        <v>0</v>
      </c>
      <c r="AN77" s="74">
        <f t="shared" si="238"/>
        <v>0</v>
      </c>
      <c r="AO77" s="53">
        <f t="shared" si="8"/>
        <v>0</v>
      </c>
      <c r="AP77" s="76" t="str">
        <f t="shared" ref="AP77:AQ77" si="239">AP$2</f>
        <v>NO</v>
      </c>
      <c r="AQ77" s="76" t="str">
        <f t="shared" si="239"/>
        <v>NO</v>
      </c>
      <c r="AR77" s="53">
        <f t="shared" si="9"/>
        <v>0</v>
      </c>
      <c r="AS77" s="53">
        <f t="shared" si="10"/>
        <v>0</v>
      </c>
      <c r="AT77" s="54">
        <f t="shared" si="11"/>
        <v>0</v>
      </c>
      <c r="AU77" s="68"/>
      <c r="AV77" s="2"/>
    </row>
    <row r="78" ht="15.75" customHeight="1">
      <c r="A78" s="78"/>
      <c r="B78" s="79"/>
      <c r="C78" s="79"/>
      <c r="D78" s="79"/>
      <c r="E78" s="80"/>
      <c r="F78" s="79" t="s">
        <v>14</v>
      </c>
      <c r="G78" s="79">
        <v>0.0</v>
      </c>
      <c r="H78" s="81">
        <v>0.0</v>
      </c>
      <c r="I78" s="79" t="s">
        <v>20</v>
      </c>
      <c r="J78" s="53">
        <f t="shared" si="2"/>
        <v>0</v>
      </c>
      <c r="K78" s="54">
        <f t="shared" si="3"/>
        <v>0</v>
      </c>
      <c r="L78" s="54">
        <f>('VEA CLIENTE'!$K78/(1-'VEA CLIENTE'!$M78))-'VEA CLIENTE'!$K78</f>
        <v>0</v>
      </c>
      <c r="M78" s="72">
        <f t="shared" ref="M78:O78" si="240">M$2</f>
        <v>0.13</v>
      </c>
      <c r="N78" s="72">
        <f t="shared" si="240"/>
        <v>0</v>
      </c>
      <c r="O78" s="72">
        <f t="shared" si="240"/>
        <v>0</v>
      </c>
      <c r="P78" s="53">
        <f t="shared" si="4"/>
        <v>0</v>
      </c>
      <c r="Q78" s="76" t="s">
        <v>53</v>
      </c>
      <c r="R78" s="53">
        <f t="shared" si="5"/>
        <v>0</v>
      </c>
      <c r="S78" s="53">
        <f>IF('VEA CLIENTE'!$E78&gt;0,'VEA CLIENTE'!$T78/'VEA CLIENTE'!$E78,0)</f>
        <v>0</v>
      </c>
      <c r="T78" s="53">
        <f t="shared" si="6"/>
        <v>0</v>
      </c>
      <c r="U78" s="57"/>
      <c r="V78" s="2"/>
      <c r="W78" s="58"/>
      <c r="X78" s="59"/>
      <c r="Y78" s="71"/>
      <c r="Z78" s="71"/>
      <c r="AA78" s="62">
        <f>'VEA CLIENTE'!$Z78/(1-'VEA CLIENTE'!$AB78)-'VEA CLIENTE'!$Z78</f>
        <v>0</v>
      </c>
      <c r="AB78" s="72">
        <f t="shared" ref="AB78:AD78" si="241">AB$2</f>
        <v>0.13</v>
      </c>
      <c r="AC78" s="72">
        <f t="shared" si="241"/>
        <v>0</v>
      </c>
      <c r="AD78" s="72">
        <f t="shared" si="241"/>
        <v>0</v>
      </c>
      <c r="AE78" s="53">
        <f t="shared" si="7"/>
        <v>0</v>
      </c>
      <c r="AF78" s="63"/>
      <c r="AG78" s="2"/>
      <c r="AH78" s="64"/>
      <c r="AI78" s="73"/>
      <c r="AJ78" s="73"/>
      <c r="AK78" s="62">
        <f>'VEA CLIENTE'!$AJ78/(1-'VEA CLIENTE'!$AL78)-'VEA CLIENTE'!$AJ78</f>
        <v>0</v>
      </c>
      <c r="AL78" s="74">
        <f t="shared" ref="AL78:AN78" si="242">AL$2</f>
        <v>0.13</v>
      </c>
      <c r="AM78" s="74">
        <f t="shared" si="242"/>
        <v>0</v>
      </c>
      <c r="AN78" s="74">
        <f t="shared" si="242"/>
        <v>0</v>
      </c>
      <c r="AO78" s="53">
        <f t="shared" si="8"/>
        <v>0</v>
      </c>
      <c r="AP78" s="76" t="str">
        <f t="shared" ref="AP78:AQ78" si="243">AP$2</f>
        <v>NO</v>
      </c>
      <c r="AQ78" s="76" t="str">
        <f t="shared" si="243"/>
        <v>NO</v>
      </c>
      <c r="AR78" s="53">
        <f t="shared" si="9"/>
        <v>0</v>
      </c>
      <c r="AS78" s="53">
        <f t="shared" si="10"/>
        <v>0</v>
      </c>
      <c r="AT78" s="54">
        <f t="shared" si="11"/>
        <v>0</v>
      </c>
      <c r="AU78" s="68"/>
      <c r="AV78" s="2"/>
    </row>
    <row r="79" ht="15.75" customHeight="1">
      <c r="A79" s="78"/>
      <c r="B79" s="79"/>
      <c r="C79" s="79"/>
      <c r="D79" s="79"/>
      <c r="E79" s="80"/>
      <c r="F79" s="79" t="s">
        <v>14</v>
      </c>
      <c r="G79" s="79">
        <v>0.0</v>
      </c>
      <c r="H79" s="81">
        <v>0.0</v>
      </c>
      <c r="I79" s="79" t="s">
        <v>20</v>
      </c>
      <c r="J79" s="53">
        <f t="shared" si="2"/>
        <v>0</v>
      </c>
      <c r="K79" s="54">
        <f t="shared" si="3"/>
        <v>0</v>
      </c>
      <c r="L79" s="54">
        <f>('VEA CLIENTE'!$K79/(1-'VEA CLIENTE'!$M79))-'VEA CLIENTE'!$K79</f>
        <v>0</v>
      </c>
      <c r="M79" s="72">
        <f t="shared" ref="M79:O79" si="244">M$2</f>
        <v>0.13</v>
      </c>
      <c r="N79" s="72">
        <f t="shared" si="244"/>
        <v>0</v>
      </c>
      <c r="O79" s="72">
        <f t="shared" si="244"/>
        <v>0</v>
      </c>
      <c r="P79" s="53">
        <f t="shared" si="4"/>
        <v>0</v>
      </c>
      <c r="Q79" s="76" t="s">
        <v>53</v>
      </c>
      <c r="R79" s="53">
        <f t="shared" si="5"/>
        <v>0</v>
      </c>
      <c r="S79" s="53">
        <f>IF('VEA CLIENTE'!$E79&gt;0,'VEA CLIENTE'!$T79/'VEA CLIENTE'!$E79,0)</f>
        <v>0</v>
      </c>
      <c r="T79" s="53">
        <f t="shared" si="6"/>
        <v>0</v>
      </c>
      <c r="U79" s="57"/>
      <c r="V79" s="2"/>
      <c r="W79" s="58"/>
      <c r="X79" s="59"/>
      <c r="Y79" s="71"/>
      <c r="Z79" s="71"/>
      <c r="AA79" s="62">
        <f>'VEA CLIENTE'!$Z79/(1-'VEA CLIENTE'!$AB79)-'VEA CLIENTE'!$Z79</f>
        <v>0</v>
      </c>
      <c r="AB79" s="72">
        <f t="shared" ref="AB79:AD79" si="245">AB$2</f>
        <v>0.13</v>
      </c>
      <c r="AC79" s="72">
        <f t="shared" si="245"/>
        <v>0</v>
      </c>
      <c r="AD79" s="72">
        <f t="shared" si="245"/>
        <v>0</v>
      </c>
      <c r="AE79" s="53">
        <f t="shared" si="7"/>
        <v>0</v>
      </c>
      <c r="AF79" s="63"/>
      <c r="AG79" s="2"/>
      <c r="AH79" s="64"/>
      <c r="AI79" s="73"/>
      <c r="AJ79" s="73"/>
      <c r="AK79" s="62">
        <f>'VEA CLIENTE'!$AJ79/(1-'VEA CLIENTE'!$AL79)-'VEA CLIENTE'!$AJ79</f>
        <v>0</v>
      </c>
      <c r="AL79" s="74">
        <f t="shared" ref="AL79:AN79" si="246">AL$2</f>
        <v>0.13</v>
      </c>
      <c r="AM79" s="74">
        <f t="shared" si="246"/>
        <v>0</v>
      </c>
      <c r="AN79" s="74">
        <f t="shared" si="246"/>
        <v>0</v>
      </c>
      <c r="AO79" s="53">
        <f t="shared" si="8"/>
        <v>0</v>
      </c>
      <c r="AP79" s="76" t="str">
        <f t="shared" ref="AP79:AQ79" si="247">AP$2</f>
        <v>NO</v>
      </c>
      <c r="AQ79" s="76" t="str">
        <f t="shared" si="247"/>
        <v>NO</v>
      </c>
      <c r="AR79" s="53">
        <f t="shared" si="9"/>
        <v>0</v>
      </c>
      <c r="AS79" s="53">
        <f t="shared" si="10"/>
        <v>0</v>
      </c>
      <c r="AT79" s="54">
        <f t="shared" si="11"/>
        <v>0</v>
      </c>
      <c r="AU79" s="68"/>
      <c r="AV79" s="2"/>
    </row>
    <row r="80" ht="15.75" customHeight="1">
      <c r="A80" s="78"/>
      <c r="B80" s="79"/>
      <c r="C80" s="79"/>
      <c r="D80" s="79"/>
      <c r="E80" s="80"/>
      <c r="F80" s="79" t="s">
        <v>14</v>
      </c>
      <c r="G80" s="79">
        <v>0.0</v>
      </c>
      <c r="H80" s="81">
        <v>0.0</v>
      </c>
      <c r="I80" s="79" t="s">
        <v>20</v>
      </c>
      <c r="J80" s="53">
        <f t="shared" si="2"/>
        <v>0</v>
      </c>
      <c r="K80" s="54">
        <f t="shared" si="3"/>
        <v>0</v>
      </c>
      <c r="L80" s="54">
        <f>('VEA CLIENTE'!$K80/(1-'VEA CLIENTE'!$M80))-'VEA CLIENTE'!$K80</f>
        <v>0</v>
      </c>
      <c r="M80" s="72">
        <f t="shared" ref="M80:O80" si="248">M$2</f>
        <v>0.13</v>
      </c>
      <c r="N80" s="72">
        <f t="shared" si="248"/>
        <v>0</v>
      </c>
      <c r="O80" s="72">
        <f t="shared" si="248"/>
        <v>0</v>
      </c>
      <c r="P80" s="53">
        <f t="shared" si="4"/>
        <v>0</v>
      </c>
      <c r="Q80" s="76" t="s">
        <v>53</v>
      </c>
      <c r="R80" s="53">
        <f t="shared" si="5"/>
        <v>0</v>
      </c>
      <c r="S80" s="53">
        <f>IF('VEA CLIENTE'!$E80&gt;0,'VEA CLIENTE'!$T80/'VEA CLIENTE'!$E80,0)</f>
        <v>0</v>
      </c>
      <c r="T80" s="53">
        <f t="shared" si="6"/>
        <v>0</v>
      </c>
      <c r="U80" s="57"/>
      <c r="V80" s="2"/>
      <c r="W80" s="58"/>
      <c r="X80" s="59"/>
      <c r="Y80" s="71"/>
      <c r="Z80" s="71"/>
      <c r="AA80" s="62">
        <f>'VEA CLIENTE'!$Z80/(1-'VEA CLIENTE'!$AB80)-'VEA CLIENTE'!$Z80</f>
        <v>0</v>
      </c>
      <c r="AB80" s="72">
        <f t="shared" ref="AB80:AD80" si="249">AB$2</f>
        <v>0.13</v>
      </c>
      <c r="AC80" s="72">
        <f t="shared" si="249"/>
        <v>0</v>
      </c>
      <c r="AD80" s="72">
        <f t="shared" si="249"/>
        <v>0</v>
      </c>
      <c r="AE80" s="53">
        <f t="shared" si="7"/>
        <v>0</v>
      </c>
      <c r="AF80" s="63"/>
      <c r="AG80" s="2"/>
      <c r="AH80" s="64"/>
      <c r="AI80" s="73"/>
      <c r="AJ80" s="73"/>
      <c r="AK80" s="62">
        <f>'VEA CLIENTE'!$AJ80/(1-'VEA CLIENTE'!$AL80)-'VEA CLIENTE'!$AJ80</f>
        <v>0</v>
      </c>
      <c r="AL80" s="74">
        <f t="shared" ref="AL80:AN80" si="250">AL$2</f>
        <v>0.13</v>
      </c>
      <c r="AM80" s="74">
        <f t="shared" si="250"/>
        <v>0</v>
      </c>
      <c r="AN80" s="74">
        <f t="shared" si="250"/>
        <v>0</v>
      </c>
      <c r="AO80" s="53">
        <f t="shared" si="8"/>
        <v>0</v>
      </c>
      <c r="AP80" s="76" t="str">
        <f t="shared" ref="AP80:AQ80" si="251">AP$2</f>
        <v>NO</v>
      </c>
      <c r="AQ80" s="76" t="str">
        <f t="shared" si="251"/>
        <v>NO</v>
      </c>
      <c r="AR80" s="53">
        <f t="shared" si="9"/>
        <v>0</v>
      </c>
      <c r="AS80" s="53">
        <f t="shared" si="10"/>
        <v>0</v>
      </c>
      <c r="AT80" s="54">
        <f t="shared" si="11"/>
        <v>0</v>
      </c>
      <c r="AU80" s="68"/>
      <c r="AV80" s="2"/>
    </row>
    <row r="81" ht="15.75" customHeight="1">
      <c r="A81" s="78"/>
      <c r="B81" s="79"/>
      <c r="C81" s="79"/>
      <c r="D81" s="79"/>
      <c r="E81" s="80"/>
      <c r="F81" s="79" t="s">
        <v>14</v>
      </c>
      <c r="G81" s="79">
        <v>0.0</v>
      </c>
      <c r="H81" s="81">
        <v>0.0</v>
      </c>
      <c r="I81" s="79" t="s">
        <v>20</v>
      </c>
      <c r="J81" s="53">
        <f t="shared" si="2"/>
        <v>0</v>
      </c>
      <c r="K81" s="54">
        <f t="shared" si="3"/>
        <v>0</v>
      </c>
      <c r="L81" s="54">
        <f>('VEA CLIENTE'!$K81/(1-'VEA CLIENTE'!$M81))-'VEA CLIENTE'!$K81</f>
        <v>0</v>
      </c>
      <c r="M81" s="72">
        <f t="shared" ref="M81:O81" si="252">M$2</f>
        <v>0.13</v>
      </c>
      <c r="N81" s="72">
        <f t="shared" si="252"/>
        <v>0</v>
      </c>
      <c r="O81" s="72">
        <f t="shared" si="252"/>
        <v>0</v>
      </c>
      <c r="P81" s="53">
        <f t="shared" si="4"/>
        <v>0</v>
      </c>
      <c r="Q81" s="76" t="s">
        <v>53</v>
      </c>
      <c r="R81" s="53">
        <f t="shared" si="5"/>
        <v>0</v>
      </c>
      <c r="S81" s="53">
        <f>IF('VEA CLIENTE'!$E81&gt;0,'VEA CLIENTE'!$T81/'VEA CLIENTE'!$E81,0)</f>
        <v>0</v>
      </c>
      <c r="T81" s="53">
        <f t="shared" si="6"/>
        <v>0</v>
      </c>
      <c r="U81" s="57"/>
      <c r="V81" s="2"/>
      <c r="W81" s="58"/>
      <c r="X81" s="59"/>
      <c r="Y81" s="71"/>
      <c r="Z81" s="71"/>
      <c r="AA81" s="62">
        <f>'VEA CLIENTE'!$Z81/(1-'VEA CLIENTE'!$AB81)-'VEA CLIENTE'!$Z81</f>
        <v>0</v>
      </c>
      <c r="AB81" s="72">
        <f t="shared" ref="AB81:AD81" si="253">AB$2</f>
        <v>0.13</v>
      </c>
      <c r="AC81" s="72">
        <f t="shared" si="253"/>
        <v>0</v>
      </c>
      <c r="AD81" s="72">
        <f t="shared" si="253"/>
        <v>0</v>
      </c>
      <c r="AE81" s="53">
        <f t="shared" si="7"/>
        <v>0</v>
      </c>
      <c r="AF81" s="63"/>
      <c r="AG81" s="2"/>
      <c r="AH81" s="64"/>
      <c r="AI81" s="73"/>
      <c r="AJ81" s="73"/>
      <c r="AK81" s="62">
        <f>'VEA CLIENTE'!$AJ81/(1-'VEA CLIENTE'!$AL81)-'VEA CLIENTE'!$AJ81</f>
        <v>0</v>
      </c>
      <c r="AL81" s="74">
        <f t="shared" ref="AL81:AN81" si="254">AL$2</f>
        <v>0.13</v>
      </c>
      <c r="AM81" s="74">
        <f t="shared" si="254"/>
        <v>0</v>
      </c>
      <c r="AN81" s="74">
        <f t="shared" si="254"/>
        <v>0</v>
      </c>
      <c r="AO81" s="53">
        <f t="shared" si="8"/>
        <v>0</v>
      </c>
      <c r="AP81" s="76" t="str">
        <f t="shared" ref="AP81:AQ81" si="255">AP$2</f>
        <v>NO</v>
      </c>
      <c r="AQ81" s="76" t="str">
        <f t="shared" si="255"/>
        <v>NO</v>
      </c>
      <c r="AR81" s="53">
        <f t="shared" si="9"/>
        <v>0</v>
      </c>
      <c r="AS81" s="53">
        <f t="shared" si="10"/>
        <v>0</v>
      </c>
      <c r="AT81" s="54">
        <f t="shared" si="11"/>
        <v>0</v>
      </c>
      <c r="AU81" s="68"/>
      <c r="AV81" s="2"/>
    </row>
    <row r="82" ht="15.75" customHeight="1">
      <c r="A82" s="78"/>
      <c r="B82" s="79"/>
      <c r="C82" s="79"/>
      <c r="D82" s="79"/>
      <c r="E82" s="80"/>
      <c r="F82" s="79" t="s">
        <v>14</v>
      </c>
      <c r="G82" s="79">
        <v>0.0</v>
      </c>
      <c r="H82" s="81">
        <v>0.0</v>
      </c>
      <c r="I82" s="79" t="s">
        <v>20</v>
      </c>
      <c r="J82" s="53">
        <f t="shared" si="2"/>
        <v>0</v>
      </c>
      <c r="K82" s="54">
        <f t="shared" si="3"/>
        <v>0</v>
      </c>
      <c r="L82" s="54">
        <f>('VEA CLIENTE'!$K82/(1-'VEA CLIENTE'!$M82))-'VEA CLIENTE'!$K82</f>
        <v>0</v>
      </c>
      <c r="M82" s="72">
        <f t="shared" ref="M82:O82" si="256">M$2</f>
        <v>0.13</v>
      </c>
      <c r="N82" s="72">
        <f t="shared" si="256"/>
        <v>0</v>
      </c>
      <c r="O82" s="72">
        <f t="shared" si="256"/>
        <v>0</v>
      </c>
      <c r="P82" s="53">
        <f t="shared" si="4"/>
        <v>0</v>
      </c>
      <c r="Q82" s="76" t="s">
        <v>53</v>
      </c>
      <c r="R82" s="53">
        <f t="shared" si="5"/>
        <v>0</v>
      </c>
      <c r="S82" s="53">
        <f>IF('VEA CLIENTE'!$E82&gt;0,'VEA CLIENTE'!$T82/'VEA CLIENTE'!$E82,0)</f>
        <v>0</v>
      </c>
      <c r="T82" s="53">
        <f t="shared" si="6"/>
        <v>0</v>
      </c>
      <c r="U82" s="57"/>
      <c r="V82" s="2"/>
      <c r="W82" s="58"/>
      <c r="X82" s="59"/>
      <c r="Y82" s="71"/>
      <c r="Z82" s="71"/>
      <c r="AA82" s="62">
        <f>'VEA CLIENTE'!$Z82/(1-'VEA CLIENTE'!$AB82)-'VEA CLIENTE'!$Z82</f>
        <v>0</v>
      </c>
      <c r="AB82" s="72">
        <f t="shared" ref="AB82:AD82" si="257">AB$2</f>
        <v>0.13</v>
      </c>
      <c r="AC82" s="72">
        <f t="shared" si="257"/>
        <v>0</v>
      </c>
      <c r="AD82" s="72">
        <f t="shared" si="257"/>
        <v>0</v>
      </c>
      <c r="AE82" s="53">
        <f t="shared" si="7"/>
        <v>0</v>
      </c>
      <c r="AF82" s="63"/>
      <c r="AG82" s="2"/>
      <c r="AH82" s="64"/>
      <c r="AI82" s="73"/>
      <c r="AJ82" s="73"/>
      <c r="AK82" s="62">
        <f>'VEA CLIENTE'!$AJ82/(1-'VEA CLIENTE'!$AL82)-'VEA CLIENTE'!$AJ82</f>
        <v>0</v>
      </c>
      <c r="AL82" s="74">
        <f t="shared" ref="AL82:AN82" si="258">AL$2</f>
        <v>0.13</v>
      </c>
      <c r="AM82" s="74">
        <f t="shared" si="258"/>
        <v>0</v>
      </c>
      <c r="AN82" s="74">
        <f t="shared" si="258"/>
        <v>0</v>
      </c>
      <c r="AO82" s="53">
        <f t="shared" si="8"/>
        <v>0</v>
      </c>
      <c r="AP82" s="76" t="str">
        <f t="shared" ref="AP82:AQ82" si="259">AP$2</f>
        <v>NO</v>
      </c>
      <c r="AQ82" s="76" t="str">
        <f t="shared" si="259"/>
        <v>NO</v>
      </c>
      <c r="AR82" s="53">
        <f t="shared" si="9"/>
        <v>0</v>
      </c>
      <c r="AS82" s="53">
        <f t="shared" si="10"/>
        <v>0</v>
      </c>
      <c r="AT82" s="54">
        <f t="shared" si="11"/>
        <v>0</v>
      </c>
      <c r="AU82" s="68"/>
      <c r="AV82" s="2"/>
    </row>
    <row r="83" ht="15.75" customHeight="1">
      <c r="A83" s="78"/>
      <c r="B83" s="79"/>
      <c r="C83" s="79"/>
      <c r="D83" s="79"/>
      <c r="E83" s="80"/>
      <c r="F83" s="79" t="s">
        <v>14</v>
      </c>
      <c r="G83" s="79">
        <v>0.0</v>
      </c>
      <c r="H83" s="81">
        <v>0.0</v>
      </c>
      <c r="I83" s="79" t="s">
        <v>20</v>
      </c>
      <c r="J83" s="53">
        <f t="shared" si="2"/>
        <v>0</v>
      </c>
      <c r="K83" s="54">
        <f t="shared" si="3"/>
        <v>0</v>
      </c>
      <c r="L83" s="54">
        <f>('VEA CLIENTE'!$K83/(1-'VEA CLIENTE'!$M83))-'VEA CLIENTE'!$K83</f>
        <v>0</v>
      </c>
      <c r="M83" s="72">
        <f t="shared" ref="M83:O83" si="260">M$2</f>
        <v>0.13</v>
      </c>
      <c r="N83" s="72">
        <f t="shared" si="260"/>
        <v>0</v>
      </c>
      <c r="O83" s="72">
        <f t="shared" si="260"/>
        <v>0</v>
      </c>
      <c r="P83" s="53">
        <f t="shared" si="4"/>
        <v>0</v>
      </c>
      <c r="Q83" s="76" t="s">
        <v>53</v>
      </c>
      <c r="R83" s="53">
        <f t="shared" si="5"/>
        <v>0</v>
      </c>
      <c r="S83" s="53">
        <f>IF('VEA CLIENTE'!$E83&gt;0,'VEA CLIENTE'!$T83/'VEA CLIENTE'!$E83,0)</f>
        <v>0</v>
      </c>
      <c r="T83" s="53">
        <f t="shared" si="6"/>
        <v>0</v>
      </c>
      <c r="U83" s="57"/>
      <c r="V83" s="2"/>
      <c r="W83" s="58"/>
      <c r="X83" s="59"/>
      <c r="Y83" s="71"/>
      <c r="Z83" s="71"/>
      <c r="AA83" s="62">
        <f>'VEA CLIENTE'!$Z83/(1-'VEA CLIENTE'!$AB83)-'VEA CLIENTE'!$Z83</f>
        <v>0</v>
      </c>
      <c r="AB83" s="72">
        <f t="shared" ref="AB83:AD83" si="261">AB$2</f>
        <v>0.13</v>
      </c>
      <c r="AC83" s="72">
        <f t="shared" si="261"/>
        <v>0</v>
      </c>
      <c r="AD83" s="72">
        <f t="shared" si="261"/>
        <v>0</v>
      </c>
      <c r="AE83" s="53">
        <f t="shared" si="7"/>
        <v>0</v>
      </c>
      <c r="AF83" s="63"/>
      <c r="AG83" s="2"/>
      <c r="AH83" s="64"/>
      <c r="AI83" s="73"/>
      <c r="AJ83" s="73"/>
      <c r="AK83" s="62">
        <f>'VEA CLIENTE'!$AJ83/(1-'VEA CLIENTE'!$AL83)-'VEA CLIENTE'!$AJ83</f>
        <v>0</v>
      </c>
      <c r="AL83" s="74">
        <f t="shared" ref="AL83:AN83" si="262">AL$2</f>
        <v>0.13</v>
      </c>
      <c r="AM83" s="74">
        <f t="shared" si="262"/>
        <v>0</v>
      </c>
      <c r="AN83" s="74">
        <f t="shared" si="262"/>
        <v>0</v>
      </c>
      <c r="AO83" s="53">
        <f t="shared" si="8"/>
        <v>0</v>
      </c>
      <c r="AP83" s="76" t="str">
        <f t="shared" ref="AP83:AQ83" si="263">AP$2</f>
        <v>NO</v>
      </c>
      <c r="AQ83" s="76" t="str">
        <f t="shared" si="263"/>
        <v>NO</v>
      </c>
      <c r="AR83" s="53">
        <f t="shared" si="9"/>
        <v>0</v>
      </c>
      <c r="AS83" s="53">
        <f t="shared" si="10"/>
        <v>0</v>
      </c>
      <c r="AT83" s="54">
        <f t="shared" si="11"/>
        <v>0</v>
      </c>
      <c r="AU83" s="68"/>
      <c r="AV83" s="2"/>
    </row>
    <row r="84" ht="15.75" customHeight="1">
      <c r="A84" s="78"/>
      <c r="B84" s="79"/>
      <c r="C84" s="79"/>
      <c r="D84" s="79"/>
      <c r="E84" s="80"/>
      <c r="F84" s="79" t="s">
        <v>14</v>
      </c>
      <c r="G84" s="79">
        <v>0.0</v>
      </c>
      <c r="H84" s="81">
        <v>0.0</v>
      </c>
      <c r="I84" s="79" t="s">
        <v>20</v>
      </c>
      <c r="J84" s="53">
        <f t="shared" si="2"/>
        <v>0</v>
      </c>
      <c r="K84" s="54">
        <f t="shared" si="3"/>
        <v>0</v>
      </c>
      <c r="L84" s="54">
        <f>('VEA CLIENTE'!$K84/(1-'VEA CLIENTE'!$M84))-'VEA CLIENTE'!$K84</f>
        <v>0</v>
      </c>
      <c r="M84" s="72">
        <f t="shared" ref="M84:O84" si="264">M$2</f>
        <v>0.13</v>
      </c>
      <c r="N84" s="72">
        <f t="shared" si="264"/>
        <v>0</v>
      </c>
      <c r="O84" s="72">
        <f t="shared" si="264"/>
        <v>0</v>
      </c>
      <c r="P84" s="53">
        <f t="shared" si="4"/>
        <v>0</v>
      </c>
      <c r="Q84" s="76" t="s">
        <v>53</v>
      </c>
      <c r="R84" s="53">
        <f t="shared" si="5"/>
        <v>0</v>
      </c>
      <c r="S84" s="53">
        <f>IF('VEA CLIENTE'!$E84&gt;0,'VEA CLIENTE'!$T84/'VEA CLIENTE'!$E84,0)</f>
        <v>0</v>
      </c>
      <c r="T84" s="53">
        <f t="shared" si="6"/>
        <v>0</v>
      </c>
      <c r="U84" s="57"/>
      <c r="V84" s="2"/>
      <c r="W84" s="58"/>
      <c r="X84" s="59"/>
      <c r="Y84" s="71"/>
      <c r="Z84" s="71"/>
      <c r="AA84" s="62">
        <f>'VEA CLIENTE'!$Z84/(1-'VEA CLIENTE'!$AB84)-'VEA CLIENTE'!$Z84</f>
        <v>0</v>
      </c>
      <c r="AB84" s="72">
        <f t="shared" ref="AB84:AD84" si="265">AB$2</f>
        <v>0.13</v>
      </c>
      <c r="AC84" s="72">
        <f t="shared" si="265"/>
        <v>0</v>
      </c>
      <c r="AD84" s="72">
        <f t="shared" si="265"/>
        <v>0</v>
      </c>
      <c r="AE84" s="53">
        <f t="shared" si="7"/>
        <v>0</v>
      </c>
      <c r="AF84" s="63"/>
      <c r="AG84" s="2"/>
      <c r="AH84" s="64"/>
      <c r="AI84" s="73"/>
      <c r="AJ84" s="73"/>
      <c r="AK84" s="62">
        <f>'VEA CLIENTE'!$AJ84/(1-'VEA CLIENTE'!$AL84)-'VEA CLIENTE'!$AJ84</f>
        <v>0</v>
      </c>
      <c r="AL84" s="74">
        <f t="shared" ref="AL84:AN84" si="266">AL$2</f>
        <v>0.13</v>
      </c>
      <c r="AM84" s="74">
        <f t="shared" si="266"/>
        <v>0</v>
      </c>
      <c r="AN84" s="74">
        <f t="shared" si="266"/>
        <v>0</v>
      </c>
      <c r="AO84" s="53">
        <f t="shared" si="8"/>
        <v>0</v>
      </c>
      <c r="AP84" s="76" t="str">
        <f t="shared" ref="AP84:AQ84" si="267">AP$2</f>
        <v>NO</v>
      </c>
      <c r="AQ84" s="76" t="str">
        <f t="shared" si="267"/>
        <v>NO</v>
      </c>
      <c r="AR84" s="53">
        <f t="shared" si="9"/>
        <v>0</v>
      </c>
      <c r="AS84" s="53">
        <f t="shared" si="10"/>
        <v>0</v>
      </c>
      <c r="AT84" s="54">
        <f t="shared" si="11"/>
        <v>0</v>
      </c>
      <c r="AU84" s="68"/>
      <c r="AV84" s="2"/>
    </row>
    <row r="85" ht="15.75" customHeight="1">
      <c r="A85" s="78"/>
      <c r="B85" s="79"/>
      <c r="C85" s="79"/>
      <c r="D85" s="79"/>
      <c r="E85" s="80"/>
      <c r="F85" s="79" t="s">
        <v>14</v>
      </c>
      <c r="G85" s="79">
        <v>0.0</v>
      </c>
      <c r="H85" s="81">
        <v>0.0</v>
      </c>
      <c r="I85" s="79" t="s">
        <v>20</v>
      </c>
      <c r="J85" s="53">
        <f t="shared" si="2"/>
        <v>0</v>
      </c>
      <c r="K85" s="54">
        <f t="shared" si="3"/>
        <v>0</v>
      </c>
      <c r="L85" s="54">
        <f>('VEA CLIENTE'!$K85/(1-'VEA CLIENTE'!$M85))-'VEA CLIENTE'!$K85</f>
        <v>0</v>
      </c>
      <c r="M85" s="72">
        <f t="shared" ref="M85:O85" si="268">M$2</f>
        <v>0.13</v>
      </c>
      <c r="N85" s="72">
        <f t="shared" si="268"/>
        <v>0</v>
      </c>
      <c r="O85" s="72">
        <f t="shared" si="268"/>
        <v>0</v>
      </c>
      <c r="P85" s="53">
        <f t="shared" si="4"/>
        <v>0</v>
      </c>
      <c r="Q85" s="76" t="s">
        <v>53</v>
      </c>
      <c r="R85" s="53">
        <f t="shared" si="5"/>
        <v>0</v>
      </c>
      <c r="S85" s="53">
        <f>IF('VEA CLIENTE'!$E85&gt;0,'VEA CLIENTE'!$T85/'VEA CLIENTE'!$E85,0)</f>
        <v>0</v>
      </c>
      <c r="T85" s="53">
        <f t="shared" si="6"/>
        <v>0</v>
      </c>
      <c r="U85" s="57"/>
      <c r="V85" s="2"/>
      <c r="W85" s="58"/>
      <c r="X85" s="59"/>
      <c r="Y85" s="71"/>
      <c r="Z85" s="71"/>
      <c r="AA85" s="62">
        <f>'VEA CLIENTE'!$Z85/(1-'VEA CLIENTE'!$AB85)-'VEA CLIENTE'!$Z85</f>
        <v>0</v>
      </c>
      <c r="AB85" s="72">
        <f t="shared" ref="AB85:AD85" si="269">AB$2</f>
        <v>0.13</v>
      </c>
      <c r="AC85" s="72">
        <f t="shared" si="269"/>
        <v>0</v>
      </c>
      <c r="AD85" s="72">
        <f t="shared" si="269"/>
        <v>0</v>
      </c>
      <c r="AE85" s="53">
        <f t="shared" si="7"/>
        <v>0</v>
      </c>
      <c r="AF85" s="63"/>
      <c r="AG85" s="2"/>
      <c r="AH85" s="64"/>
      <c r="AI85" s="73"/>
      <c r="AJ85" s="73"/>
      <c r="AK85" s="62">
        <f>'VEA CLIENTE'!$AJ85/(1-'VEA CLIENTE'!$AL85)-'VEA CLIENTE'!$AJ85</f>
        <v>0</v>
      </c>
      <c r="AL85" s="74">
        <f t="shared" ref="AL85:AN85" si="270">AL$2</f>
        <v>0.13</v>
      </c>
      <c r="AM85" s="74">
        <f t="shared" si="270"/>
        <v>0</v>
      </c>
      <c r="AN85" s="74">
        <f t="shared" si="270"/>
        <v>0</v>
      </c>
      <c r="AO85" s="53">
        <f t="shared" si="8"/>
        <v>0</v>
      </c>
      <c r="AP85" s="76" t="str">
        <f t="shared" ref="AP85:AQ85" si="271">AP$2</f>
        <v>NO</v>
      </c>
      <c r="AQ85" s="76" t="str">
        <f t="shared" si="271"/>
        <v>NO</v>
      </c>
      <c r="AR85" s="53">
        <f t="shared" si="9"/>
        <v>0</v>
      </c>
      <c r="AS85" s="53">
        <f t="shared" si="10"/>
        <v>0</v>
      </c>
      <c r="AT85" s="54">
        <f t="shared" si="11"/>
        <v>0</v>
      </c>
      <c r="AU85" s="68"/>
      <c r="AV85" s="2"/>
    </row>
    <row r="86" ht="15.75" customHeight="1">
      <c r="A86" s="78"/>
      <c r="B86" s="79"/>
      <c r="C86" s="79"/>
      <c r="D86" s="79"/>
      <c r="E86" s="80"/>
      <c r="F86" s="79" t="s">
        <v>14</v>
      </c>
      <c r="G86" s="79">
        <v>0.0</v>
      </c>
      <c r="H86" s="81">
        <v>0.0</v>
      </c>
      <c r="I86" s="79" t="s">
        <v>20</v>
      </c>
      <c r="J86" s="53">
        <f t="shared" si="2"/>
        <v>0</v>
      </c>
      <c r="K86" s="54">
        <f t="shared" si="3"/>
        <v>0</v>
      </c>
      <c r="L86" s="54">
        <f>('VEA CLIENTE'!$K86/(1-'VEA CLIENTE'!$M86))-'VEA CLIENTE'!$K86</f>
        <v>0</v>
      </c>
      <c r="M86" s="72">
        <f t="shared" ref="M86:O86" si="272">M$2</f>
        <v>0.13</v>
      </c>
      <c r="N86" s="72">
        <f t="shared" si="272"/>
        <v>0</v>
      </c>
      <c r="O86" s="72">
        <f t="shared" si="272"/>
        <v>0</v>
      </c>
      <c r="P86" s="53">
        <f t="shared" si="4"/>
        <v>0</v>
      </c>
      <c r="Q86" s="76" t="s">
        <v>53</v>
      </c>
      <c r="R86" s="53">
        <f t="shared" si="5"/>
        <v>0</v>
      </c>
      <c r="S86" s="53">
        <f>IF('VEA CLIENTE'!$E86&gt;0,'VEA CLIENTE'!$T86/'VEA CLIENTE'!$E86,0)</f>
        <v>0</v>
      </c>
      <c r="T86" s="53">
        <f t="shared" si="6"/>
        <v>0</v>
      </c>
      <c r="U86" s="57"/>
      <c r="V86" s="2"/>
      <c r="W86" s="58"/>
      <c r="X86" s="59"/>
      <c r="Y86" s="71"/>
      <c r="Z86" s="71"/>
      <c r="AA86" s="62">
        <f>'VEA CLIENTE'!$Z86/(1-'VEA CLIENTE'!$AB86)-'VEA CLIENTE'!$Z86</f>
        <v>0</v>
      </c>
      <c r="AB86" s="72">
        <f t="shared" ref="AB86:AD86" si="273">AB$2</f>
        <v>0.13</v>
      </c>
      <c r="AC86" s="72">
        <f t="shared" si="273"/>
        <v>0</v>
      </c>
      <c r="AD86" s="72">
        <f t="shared" si="273"/>
        <v>0</v>
      </c>
      <c r="AE86" s="53">
        <f t="shared" si="7"/>
        <v>0</v>
      </c>
      <c r="AF86" s="63"/>
      <c r="AG86" s="2"/>
      <c r="AH86" s="64"/>
      <c r="AI86" s="73"/>
      <c r="AJ86" s="73"/>
      <c r="AK86" s="62">
        <f>'VEA CLIENTE'!$AJ86/(1-'VEA CLIENTE'!$AL86)-'VEA CLIENTE'!$AJ86</f>
        <v>0</v>
      </c>
      <c r="AL86" s="74">
        <f t="shared" ref="AL86:AN86" si="274">AL$2</f>
        <v>0.13</v>
      </c>
      <c r="AM86" s="74">
        <f t="shared" si="274"/>
        <v>0</v>
      </c>
      <c r="AN86" s="74">
        <f t="shared" si="274"/>
        <v>0</v>
      </c>
      <c r="AO86" s="53">
        <f t="shared" si="8"/>
        <v>0</v>
      </c>
      <c r="AP86" s="76" t="str">
        <f t="shared" ref="AP86:AQ86" si="275">AP$2</f>
        <v>NO</v>
      </c>
      <c r="AQ86" s="76" t="str">
        <f t="shared" si="275"/>
        <v>NO</v>
      </c>
      <c r="AR86" s="53">
        <f t="shared" si="9"/>
        <v>0</v>
      </c>
      <c r="AS86" s="53">
        <f t="shared" si="10"/>
        <v>0</v>
      </c>
      <c r="AT86" s="54">
        <f t="shared" si="11"/>
        <v>0</v>
      </c>
      <c r="AU86" s="68"/>
      <c r="AV86" s="2"/>
    </row>
    <row r="87" ht="15.75" customHeight="1">
      <c r="A87" s="78"/>
      <c r="B87" s="79"/>
      <c r="C87" s="79"/>
      <c r="D87" s="79"/>
      <c r="E87" s="80"/>
      <c r="F87" s="79" t="s">
        <v>14</v>
      </c>
      <c r="G87" s="79">
        <v>0.0</v>
      </c>
      <c r="H87" s="81">
        <v>0.0</v>
      </c>
      <c r="I87" s="79" t="s">
        <v>20</v>
      </c>
      <c r="J87" s="53">
        <f t="shared" si="2"/>
        <v>0</v>
      </c>
      <c r="K87" s="54">
        <f t="shared" si="3"/>
        <v>0</v>
      </c>
      <c r="L87" s="54">
        <f>('VEA CLIENTE'!$K87/(1-'VEA CLIENTE'!$M87))-'VEA CLIENTE'!$K87</f>
        <v>0</v>
      </c>
      <c r="M87" s="72">
        <f t="shared" ref="M87:O87" si="276">M$2</f>
        <v>0.13</v>
      </c>
      <c r="N87" s="72">
        <f t="shared" si="276"/>
        <v>0</v>
      </c>
      <c r="O87" s="72">
        <f t="shared" si="276"/>
        <v>0</v>
      </c>
      <c r="P87" s="53">
        <f t="shared" si="4"/>
        <v>0</v>
      </c>
      <c r="Q87" s="76" t="s">
        <v>53</v>
      </c>
      <c r="R87" s="53">
        <f t="shared" si="5"/>
        <v>0</v>
      </c>
      <c r="S87" s="53">
        <f>IF('VEA CLIENTE'!$E87&gt;0,'VEA CLIENTE'!$T87/'VEA CLIENTE'!$E87,0)</f>
        <v>0</v>
      </c>
      <c r="T87" s="53">
        <f t="shared" si="6"/>
        <v>0</v>
      </c>
      <c r="U87" s="57"/>
      <c r="V87" s="2"/>
      <c r="W87" s="58"/>
      <c r="X87" s="59"/>
      <c r="Y87" s="71"/>
      <c r="Z87" s="71"/>
      <c r="AA87" s="62">
        <f>'VEA CLIENTE'!$Z87/(1-'VEA CLIENTE'!$AB87)-'VEA CLIENTE'!$Z87</f>
        <v>0</v>
      </c>
      <c r="AB87" s="72">
        <f t="shared" ref="AB87:AD87" si="277">AB$2</f>
        <v>0.13</v>
      </c>
      <c r="AC87" s="72">
        <f t="shared" si="277"/>
        <v>0</v>
      </c>
      <c r="AD87" s="72">
        <f t="shared" si="277"/>
        <v>0</v>
      </c>
      <c r="AE87" s="53">
        <f t="shared" si="7"/>
        <v>0</v>
      </c>
      <c r="AF87" s="63"/>
      <c r="AG87" s="2"/>
      <c r="AH87" s="64"/>
      <c r="AI87" s="73"/>
      <c r="AJ87" s="73"/>
      <c r="AK87" s="62">
        <f>'VEA CLIENTE'!$AJ87/(1-'VEA CLIENTE'!$AL87)-'VEA CLIENTE'!$AJ87</f>
        <v>0</v>
      </c>
      <c r="AL87" s="74">
        <f t="shared" ref="AL87:AN87" si="278">AL$2</f>
        <v>0.13</v>
      </c>
      <c r="AM87" s="74">
        <f t="shared" si="278"/>
        <v>0</v>
      </c>
      <c r="AN87" s="74">
        <f t="shared" si="278"/>
        <v>0</v>
      </c>
      <c r="AO87" s="53">
        <f t="shared" si="8"/>
        <v>0</v>
      </c>
      <c r="AP87" s="76" t="str">
        <f t="shared" ref="AP87:AQ87" si="279">AP$2</f>
        <v>NO</v>
      </c>
      <c r="AQ87" s="76" t="str">
        <f t="shared" si="279"/>
        <v>NO</v>
      </c>
      <c r="AR87" s="53">
        <f t="shared" si="9"/>
        <v>0</v>
      </c>
      <c r="AS87" s="53">
        <f t="shared" si="10"/>
        <v>0</v>
      </c>
      <c r="AT87" s="54">
        <f t="shared" si="11"/>
        <v>0</v>
      </c>
      <c r="AU87" s="68"/>
      <c r="AV87" s="2"/>
    </row>
    <row r="88" ht="15.75" customHeight="1">
      <c r="A88" s="78"/>
      <c r="B88" s="79"/>
      <c r="C88" s="79"/>
      <c r="D88" s="79"/>
      <c r="E88" s="80"/>
      <c r="F88" s="79" t="s">
        <v>14</v>
      </c>
      <c r="G88" s="79">
        <v>0.0</v>
      </c>
      <c r="H88" s="81">
        <v>0.0</v>
      </c>
      <c r="I88" s="79" t="s">
        <v>20</v>
      </c>
      <c r="J88" s="53">
        <f t="shared" si="2"/>
        <v>0</v>
      </c>
      <c r="K88" s="54">
        <f t="shared" si="3"/>
        <v>0</v>
      </c>
      <c r="L88" s="54">
        <f>('VEA CLIENTE'!$K88/(1-'VEA CLIENTE'!$M88))-'VEA CLIENTE'!$K88</f>
        <v>0</v>
      </c>
      <c r="M88" s="72">
        <f t="shared" ref="M88:O88" si="280">M$2</f>
        <v>0.13</v>
      </c>
      <c r="N88" s="72">
        <f t="shared" si="280"/>
        <v>0</v>
      </c>
      <c r="O88" s="72">
        <f t="shared" si="280"/>
        <v>0</v>
      </c>
      <c r="P88" s="53">
        <f t="shared" si="4"/>
        <v>0</v>
      </c>
      <c r="Q88" s="76" t="s">
        <v>53</v>
      </c>
      <c r="R88" s="53">
        <f t="shared" si="5"/>
        <v>0</v>
      </c>
      <c r="S88" s="53">
        <f>IF('VEA CLIENTE'!$E88&gt;0,'VEA CLIENTE'!$T88/'VEA CLIENTE'!$E88,0)</f>
        <v>0</v>
      </c>
      <c r="T88" s="53">
        <f t="shared" si="6"/>
        <v>0</v>
      </c>
      <c r="U88" s="57"/>
      <c r="V88" s="2"/>
      <c r="W88" s="58"/>
      <c r="X88" s="59"/>
      <c r="Y88" s="71"/>
      <c r="Z88" s="71"/>
      <c r="AA88" s="62">
        <f>'VEA CLIENTE'!$Z88/(1-'VEA CLIENTE'!$AB88)-'VEA CLIENTE'!$Z88</f>
        <v>0</v>
      </c>
      <c r="AB88" s="72">
        <f t="shared" ref="AB88:AD88" si="281">AB$2</f>
        <v>0.13</v>
      </c>
      <c r="AC88" s="72">
        <f t="shared" si="281"/>
        <v>0</v>
      </c>
      <c r="AD88" s="72">
        <f t="shared" si="281"/>
        <v>0</v>
      </c>
      <c r="AE88" s="53">
        <f t="shared" si="7"/>
        <v>0</v>
      </c>
      <c r="AF88" s="63"/>
      <c r="AG88" s="2"/>
      <c r="AH88" s="64"/>
      <c r="AI88" s="73"/>
      <c r="AJ88" s="73"/>
      <c r="AK88" s="62">
        <f>'VEA CLIENTE'!$AJ88/(1-'VEA CLIENTE'!$AL88)-'VEA CLIENTE'!$AJ88</f>
        <v>0</v>
      </c>
      <c r="AL88" s="74">
        <f t="shared" ref="AL88:AN88" si="282">AL$2</f>
        <v>0.13</v>
      </c>
      <c r="AM88" s="74">
        <f t="shared" si="282"/>
        <v>0</v>
      </c>
      <c r="AN88" s="74">
        <f t="shared" si="282"/>
        <v>0</v>
      </c>
      <c r="AO88" s="53">
        <f t="shared" si="8"/>
        <v>0</v>
      </c>
      <c r="AP88" s="76" t="str">
        <f t="shared" ref="AP88:AQ88" si="283">AP$2</f>
        <v>NO</v>
      </c>
      <c r="AQ88" s="76" t="str">
        <f t="shared" si="283"/>
        <v>NO</v>
      </c>
      <c r="AR88" s="53">
        <f t="shared" si="9"/>
        <v>0</v>
      </c>
      <c r="AS88" s="53">
        <f t="shared" si="10"/>
        <v>0</v>
      </c>
      <c r="AT88" s="54">
        <f t="shared" si="11"/>
        <v>0</v>
      </c>
      <c r="AU88" s="68"/>
      <c r="AV88" s="2"/>
    </row>
    <row r="89" ht="15.75" customHeight="1">
      <c r="A89" s="78"/>
      <c r="B89" s="79"/>
      <c r="C89" s="79"/>
      <c r="D89" s="79"/>
      <c r="E89" s="80"/>
      <c r="F89" s="79" t="s">
        <v>14</v>
      </c>
      <c r="G89" s="79">
        <v>0.0</v>
      </c>
      <c r="H89" s="81">
        <v>0.0</v>
      </c>
      <c r="I89" s="79" t="s">
        <v>20</v>
      </c>
      <c r="J89" s="53">
        <f t="shared" si="2"/>
        <v>0</v>
      </c>
      <c r="K89" s="54">
        <f t="shared" si="3"/>
        <v>0</v>
      </c>
      <c r="L89" s="54">
        <f>('VEA CLIENTE'!$K89/(1-'VEA CLIENTE'!$M89))-'VEA CLIENTE'!$K89</f>
        <v>0</v>
      </c>
      <c r="M89" s="72">
        <f t="shared" ref="M89:O89" si="284">M$2</f>
        <v>0.13</v>
      </c>
      <c r="N89" s="72">
        <f t="shared" si="284"/>
        <v>0</v>
      </c>
      <c r="O89" s="72">
        <f t="shared" si="284"/>
        <v>0</v>
      </c>
      <c r="P89" s="53">
        <f t="shared" si="4"/>
        <v>0</v>
      </c>
      <c r="Q89" s="76" t="s">
        <v>53</v>
      </c>
      <c r="R89" s="53">
        <f t="shared" si="5"/>
        <v>0</v>
      </c>
      <c r="S89" s="53">
        <f>IF('VEA CLIENTE'!$E89&gt;0,'VEA CLIENTE'!$T89/'VEA CLIENTE'!$E89,0)</f>
        <v>0</v>
      </c>
      <c r="T89" s="53">
        <f t="shared" si="6"/>
        <v>0</v>
      </c>
      <c r="U89" s="57"/>
      <c r="V89" s="2"/>
      <c r="W89" s="58"/>
      <c r="X89" s="59"/>
      <c r="Y89" s="71"/>
      <c r="Z89" s="71"/>
      <c r="AA89" s="62">
        <f>'VEA CLIENTE'!$Z89/(1-'VEA CLIENTE'!$AB89)-'VEA CLIENTE'!$Z89</f>
        <v>0</v>
      </c>
      <c r="AB89" s="72">
        <f t="shared" ref="AB89:AD89" si="285">AB$2</f>
        <v>0.13</v>
      </c>
      <c r="AC89" s="72">
        <f t="shared" si="285"/>
        <v>0</v>
      </c>
      <c r="AD89" s="72">
        <f t="shared" si="285"/>
        <v>0</v>
      </c>
      <c r="AE89" s="53">
        <f t="shared" si="7"/>
        <v>0</v>
      </c>
      <c r="AF89" s="63"/>
      <c r="AG89" s="2"/>
      <c r="AH89" s="64"/>
      <c r="AI89" s="73"/>
      <c r="AJ89" s="73"/>
      <c r="AK89" s="62">
        <f>'VEA CLIENTE'!$AJ89/(1-'VEA CLIENTE'!$AL89)-'VEA CLIENTE'!$AJ89</f>
        <v>0</v>
      </c>
      <c r="AL89" s="74">
        <f t="shared" ref="AL89:AN89" si="286">AL$2</f>
        <v>0.13</v>
      </c>
      <c r="AM89" s="74">
        <f t="shared" si="286"/>
        <v>0</v>
      </c>
      <c r="AN89" s="74">
        <f t="shared" si="286"/>
        <v>0</v>
      </c>
      <c r="AO89" s="53">
        <f t="shared" si="8"/>
        <v>0</v>
      </c>
      <c r="AP89" s="76" t="str">
        <f t="shared" ref="AP89:AQ89" si="287">AP$2</f>
        <v>NO</v>
      </c>
      <c r="AQ89" s="76" t="str">
        <f t="shared" si="287"/>
        <v>NO</v>
      </c>
      <c r="AR89" s="53">
        <f t="shared" si="9"/>
        <v>0</v>
      </c>
      <c r="AS89" s="53">
        <f t="shared" si="10"/>
        <v>0</v>
      </c>
      <c r="AT89" s="54">
        <f t="shared" si="11"/>
        <v>0</v>
      </c>
      <c r="AU89" s="68"/>
      <c r="AV89" s="2"/>
    </row>
    <row r="90" ht="15.75" customHeight="1">
      <c r="A90" s="78"/>
      <c r="B90" s="79"/>
      <c r="C90" s="79"/>
      <c r="D90" s="79"/>
      <c r="E90" s="80"/>
      <c r="F90" s="79" t="s">
        <v>14</v>
      </c>
      <c r="G90" s="79">
        <v>0.0</v>
      </c>
      <c r="H90" s="81">
        <v>0.0</v>
      </c>
      <c r="I90" s="79" t="s">
        <v>20</v>
      </c>
      <c r="J90" s="53">
        <f t="shared" si="2"/>
        <v>0</v>
      </c>
      <c r="K90" s="54">
        <f t="shared" si="3"/>
        <v>0</v>
      </c>
      <c r="L90" s="54">
        <f>('VEA CLIENTE'!$K90/(1-'VEA CLIENTE'!$M90))-'VEA CLIENTE'!$K90</f>
        <v>0</v>
      </c>
      <c r="M90" s="72">
        <f t="shared" ref="M90:O90" si="288">M$2</f>
        <v>0.13</v>
      </c>
      <c r="N90" s="72">
        <f t="shared" si="288"/>
        <v>0</v>
      </c>
      <c r="O90" s="72">
        <f t="shared" si="288"/>
        <v>0</v>
      </c>
      <c r="P90" s="53">
        <f t="shared" si="4"/>
        <v>0</v>
      </c>
      <c r="Q90" s="76" t="s">
        <v>53</v>
      </c>
      <c r="R90" s="53">
        <f t="shared" si="5"/>
        <v>0</v>
      </c>
      <c r="S90" s="53">
        <f>IF('VEA CLIENTE'!$E90&gt;0,'VEA CLIENTE'!$T90/'VEA CLIENTE'!$E90,0)</f>
        <v>0</v>
      </c>
      <c r="T90" s="53">
        <f t="shared" si="6"/>
        <v>0</v>
      </c>
      <c r="U90" s="57"/>
      <c r="V90" s="2"/>
      <c r="W90" s="58"/>
      <c r="X90" s="59"/>
      <c r="Y90" s="71"/>
      <c r="Z90" s="71"/>
      <c r="AA90" s="62">
        <f>'VEA CLIENTE'!$Z90/(1-'VEA CLIENTE'!$AB90)-'VEA CLIENTE'!$Z90</f>
        <v>0</v>
      </c>
      <c r="AB90" s="72">
        <f t="shared" ref="AB90:AD90" si="289">AB$2</f>
        <v>0.13</v>
      </c>
      <c r="AC90" s="72">
        <f t="shared" si="289"/>
        <v>0</v>
      </c>
      <c r="AD90" s="72">
        <f t="shared" si="289"/>
        <v>0</v>
      </c>
      <c r="AE90" s="53">
        <f t="shared" si="7"/>
        <v>0</v>
      </c>
      <c r="AF90" s="63"/>
      <c r="AG90" s="2"/>
      <c r="AH90" s="64"/>
      <c r="AI90" s="73"/>
      <c r="AJ90" s="73"/>
      <c r="AK90" s="62">
        <f>'VEA CLIENTE'!$AJ90/(1-'VEA CLIENTE'!$AL90)-'VEA CLIENTE'!$AJ90</f>
        <v>0</v>
      </c>
      <c r="AL90" s="74">
        <f t="shared" ref="AL90:AN90" si="290">AL$2</f>
        <v>0.13</v>
      </c>
      <c r="AM90" s="74">
        <f t="shared" si="290"/>
        <v>0</v>
      </c>
      <c r="AN90" s="74">
        <f t="shared" si="290"/>
        <v>0</v>
      </c>
      <c r="AO90" s="53">
        <f t="shared" si="8"/>
        <v>0</v>
      </c>
      <c r="AP90" s="76" t="str">
        <f t="shared" ref="AP90:AQ90" si="291">AP$2</f>
        <v>NO</v>
      </c>
      <c r="AQ90" s="76" t="str">
        <f t="shared" si="291"/>
        <v>NO</v>
      </c>
      <c r="AR90" s="53">
        <f t="shared" si="9"/>
        <v>0</v>
      </c>
      <c r="AS90" s="53">
        <f t="shared" si="10"/>
        <v>0</v>
      </c>
      <c r="AT90" s="54">
        <f t="shared" si="11"/>
        <v>0</v>
      </c>
      <c r="AU90" s="68"/>
      <c r="AV90" s="2"/>
    </row>
    <row r="91" ht="15.75" customHeight="1">
      <c r="A91" s="78"/>
      <c r="B91" s="79"/>
      <c r="C91" s="79"/>
      <c r="D91" s="79"/>
      <c r="E91" s="80"/>
      <c r="F91" s="79" t="s">
        <v>14</v>
      </c>
      <c r="G91" s="79">
        <v>0.0</v>
      </c>
      <c r="H91" s="81">
        <v>0.0</v>
      </c>
      <c r="I91" s="79" t="s">
        <v>20</v>
      </c>
      <c r="J91" s="53">
        <f t="shared" si="2"/>
        <v>0</v>
      </c>
      <c r="K91" s="54">
        <f t="shared" si="3"/>
        <v>0</v>
      </c>
      <c r="L91" s="54">
        <f>('VEA CLIENTE'!$K91/(1-'VEA CLIENTE'!$M91))-'VEA CLIENTE'!$K91</f>
        <v>0</v>
      </c>
      <c r="M91" s="72">
        <f t="shared" ref="M91:O91" si="292">M$2</f>
        <v>0.13</v>
      </c>
      <c r="N91" s="72">
        <f t="shared" si="292"/>
        <v>0</v>
      </c>
      <c r="O91" s="72">
        <f t="shared" si="292"/>
        <v>0</v>
      </c>
      <c r="P91" s="53">
        <f t="shared" si="4"/>
        <v>0</v>
      </c>
      <c r="Q91" s="76" t="s">
        <v>53</v>
      </c>
      <c r="R91" s="53">
        <f t="shared" si="5"/>
        <v>0</v>
      </c>
      <c r="S91" s="53">
        <f>IF('VEA CLIENTE'!$E91&gt;0,'VEA CLIENTE'!$T91/'VEA CLIENTE'!$E91,0)</f>
        <v>0</v>
      </c>
      <c r="T91" s="53">
        <f t="shared" si="6"/>
        <v>0</v>
      </c>
      <c r="U91" s="57"/>
      <c r="V91" s="2"/>
      <c r="W91" s="58"/>
      <c r="X91" s="59"/>
      <c r="Y91" s="71"/>
      <c r="Z91" s="71"/>
      <c r="AA91" s="62">
        <f>'VEA CLIENTE'!$Z91/(1-'VEA CLIENTE'!$AB91)-'VEA CLIENTE'!$Z91</f>
        <v>0</v>
      </c>
      <c r="AB91" s="72">
        <f t="shared" ref="AB91:AD91" si="293">AB$2</f>
        <v>0.13</v>
      </c>
      <c r="AC91" s="72">
        <f t="shared" si="293"/>
        <v>0</v>
      </c>
      <c r="AD91" s="72">
        <f t="shared" si="293"/>
        <v>0</v>
      </c>
      <c r="AE91" s="53">
        <f t="shared" si="7"/>
        <v>0</v>
      </c>
      <c r="AF91" s="63"/>
      <c r="AG91" s="2"/>
      <c r="AH91" s="64"/>
      <c r="AI91" s="73"/>
      <c r="AJ91" s="73"/>
      <c r="AK91" s="62">
        <f>'VEA CLIENTE'!$AJ91/(1-'VEA CLIENTE'!$AL91)-'VEA CLIENTE'!$AJ91</f>
        <v>0</v>
      </c>
      <c r="AL91" s="74">
        <f t="shared" ref="AL91:AN91" si="294">AL$2</f>
        <v>0.13</v>
      </c>
      <c r="AM91" s="74">
        <f t="shared" si="294"/>
        <v>0</v>
      </c>
      <c r="AN91" s="74">
        <f t="shared" si="294"/>
        <v>0</v>
      </c>
      <c r="AO91" s="53">
        <f t="shared" si="8"/>
        <v>0</v>
      </c>
      <c r="AP91" s="76" t="str">
        <f t="shared" ref="AP91:AQ91" si="295">AP$2</f>
        <v>NO</v>
      </c>
      <c r="AQ91" s="76" t="str">
        <f t="shared" si="295"/>
        <v>NO</v>
      </c>
      <c r="AR91" s="53">
        <f t="shared" si="9"/>
        <v>0</v>
      </c>
      <c r="AS91" s="53">
        <f t="shared" si="10"/>
        <v>0</v>
      </c>
      <c r="AT91" s="54">
        <f t="shared" si="11"/>
        <v>0</v>
      </c>
      <c r="AU91" s="68"/>
      <c r="AV91" s="2"/>
    </row>
    <row r="92" ht="15.75" customHeight="1">
      <c r="A92" s="78"/>
      <c r="B92" s="79"/>
      <c r="C92" s="79"/>
      <c r="D92" s="79"/>
      <c r="E92" s="80"/>
      <c r="F92" s="79" t="s">
        <v>14</v>
      </c>
      <c r="G92" s="79">
        <v>0.0</v>
      </c>
      <c r="H92" s="81">
        <v>0.0</v>
      </c>
      <c r="I92" s="79" t="s">
        <v>20</v>
      </c>
      <c r="J92" s="53">
        <f t="shared" si="2"/>
        <v>0</v>
      </c>
      <c r="K92" s="54">
        <f t="shared" si="3"/>
        <v>0</v>
      </c>
      <c r="L92" s="54">
        <f>('VEA CLIENTE'!$K92/(1-'VEA CLIENTE'!$M92))-'VEA CLIENTE'!$K92</f>
        <v>0</v>
      </c>
      <c r="M92" s="72">
        <f t="shared" ref="M92:O92" si="296">M$2</f>
        <v>0.13</v>
      </c>
      <c r="N92" s="72">
        <f t="shared" si="296"/>
        <v>0</v>
      </c>
      <c r="O92" s="72">
        <f t="shared" si="296"/>
        <v>0</v>
      </c>
      <c r="P92" s="53">
        <f t="shared" si="4"/>
        <v>0</v>
      </c>
      <c r="Q92" s="76" t="s">
        <v>53</v>
      </c>
      <c r="R92" s="53">
        <f t="shared" si="5"/>
        <v>0</v>
      </c>
      <c r="S92" s="53">
        <f>IF('VEA CLIENTE'!$E92&gt;0,'VEA CLIENTE'!$T92/'VEA CLIENTE'!$E92,0)</f>
        <v>0</v>
      </c>
      <c r="T92" s="53">
        <f t="shared" si="6"/>
        <v>0</v>
      </c>
      <c r="U92" s="57"/>
      <c r="V92" s="2"/>
      <c r="W92" s="58"/>
      <c r="X92" s="59"/>
      <c r="Y92" s="71"/>
      <c r="Z92" s="71"/>
      <c r="AA92" s="62">
        <f>'VEA CLIENTE'!$Z92/(1-'VEA CLIENTE'!$AB92)-'VEA CLIENTE'!$Z92</f>
        <v>0</v>
      </c>
      <c r="AB92" s="72">
        <f t="shared" ref="AB92:AD92" si="297">AB$2</f>
        <v>0.13</v>
      </c>
      <c r="AC92" s="72">
        <f t="shared" si="297"/>
        <v>0</v>
      </c>
      <c r="AD92" s="72">
        <f t="shared" si="297"/>
        <v>0</v>
      </c>
      <c r="AE92" s="53">
        <f t="shared" si="7"/>
        <v>0</v>
      </c>
      <c r="AF92" s="63"/>
      <c r="AG92" s="2"/>
      <c r="AH92" s="64"/>
      <c r="AI92" s="73"/>
      <c r="AJ92" s="73"/>
      <c r="AK92" s="62">
        <f>'VEA CLIENTE'!$AJ92/(1-'VEA CLIENTE'!$AL92)-'VEA CLIENTE'!$AJ92</f>
        <v>0</v>
      </c>
      <c r="AL92" s="74">
        <f t="shared" ref="AL92:AN92" si="298">AL$2</f>
        <v>0.13</v>
      </c>
      <c r="AM92" s="74">
        <f t="shared" si="298"/>
        <v>0</v>
      </c>
      <c r="AN92" s="74">
        <f t="shared" si="298"/>
        <v>0</v>
      </c>
      <c r="AO92" s="53">
        <f t="shared" si="8"/>
        <v>0</v>
      </c>
      <c r="AP92" s="76" t="str">
        <f t="shared" ref="AP92:AQ92" si="299">AP$2</f>
        <v>NO</v>
      </c>
      <c r="AQ92" s="76" t="str">
        <f t="shared" si="299"/>
        <v>NO</v>
      </c>
      <c r="AR92" s="53">
        <f t="shared" si="9"/>
        <v>0</v>
      </c>
      <c r="AS92" s="53">
        <f t="shared" si="10"/>
        <v>0</v>
      </c>
      <c r="AT92" s="54">
        <f t="shared" si="11"/>
        <v>0</v>
      </c>
      <c r="AU92" s="68"/>
      <c r="AV92" s="2"/>
    </row>
    <row r="93" ht="15.75" customHeight="1">
      <c r="A93" s="78"/>
      <c r="B93" s="79"/>
      <c r="C93" s="79"/>
      <c r="D93" s="79"/>
      <c r="E93" s="80"/>
      <c r="F93" s="79" t="s">
        <v>14</v>
      </c>
      <c r="G93" s="79">
        <v>0.0</v>
      </c>
      <c r="H93" s="81">
        <v>0.0</v>
      </c>
      <c r="I93" s="79" t="s">
        <v>20</v>
      </c>
      <c r="J93" s="53">
        <f t="shared" si="2"/>
        <v>0</v>
      </c>
      <c r="K93" s="54">
        <f t="shared" si="3"/>
        <v>0</v>
      </c>
      <c r="L93" s="54">
        <f>('VEA CLIENTE'!$K93/(1-'VEA CLIENTE'!$M93))-'VEA CLIENTE'!$K93</f>
        <v>0</v>
      </c>
      <c r="M93" s="72">
        <f t="shared" ref="M93:O93" si="300">M$2</f>
        <v>0.13</v>
      </c>
      <c r="N93" s="72">
        <f t="shared" si="300"/>
        <v>0</v>
      </c>
      <c r="O93" s="72">
        <f t="shared" si="300"/>
        <v>0</v>
      </c>
      <c r="P93" s="53">
        <f t="shared" si="4"/>
        <v>0</v>
      </c>
      <c r="Q93" s="76" t="s">
        <v>53</v>
      </c>
      <c r="R93" s="53">
        <f t="shared" si="5"/>
        <v>0</v>
      </c>
      <c r="S93" s="53">
        <f>IF('VEA CLIENTE'!$E93&gt;0,'VEA CLIENTE'!$T93/'VEA CLIENTE'!$E93,0)</f>
        <v>0</v>
      </c>
      <c r="T93" s="53">
        <f t="shared" si="6"/>
        <v>0</v>
      </c>
      <c r="U93" s="57"/>
      <c r="V93" s="2"/>
      <c r="W93" s="58"/>
      <c r="X93" s="59"/>
      <c r="Y93" s="71"/>
      <c r="Z93" s="71"/>
      <c r="AA93" s="62">
        <f>'VEA CLIENTE'!$Z93/(1-'VEA CLIENTE'!$AB93)-'VEA CLIENTE'!$Z93</f>
        <v>0</v>
      </c>
      <c r="AB93" s="72">
        <f t="shared" ref="AB93:AD93" si="301">AB$2</f>
        <v>0.13</v>
      </c>
      <c r="AC93" s="72">
        <f t="shared" si="301"/>
        <v>0</v>
      </c>
      <c r="AD93" s="72">
        <f t="shared" si="301"/>
        <v>0</v>
      </c>
      <c r="AE93" s="53">
        <f t="shared" si="7"/>
        <v>0</v>
      </c>
      <c r="AF93" s="63"/>
      <c r="AG93" s="2"/>
      <c r="AH93" s="64"/>
      <c r="AI93" s="73"/>
      <c r="AJ93" s="73"/>
      <c r="AK93" s="62">
        <f>'VEA CLIENTE'!$AJ93/(1-'VEA CLIENTE'!$AL93)-'VEA CLIENTE'!$AJ93</f>
        <v>0</v>
      </c>
      <c r="AL93" s="74">
        <f t="shared" ref="AL93:AN93" si="302">AL$2</f>
        <v>0.13</v>
      </c>
      <c r="AM93" s="74">
        <f t="shared" si="302"/>
        <v>0</v>
      </c>
      <c r="AN93" s="74">
        <f t="shared" si="302"/>
        <v>0</v>
      </c>
      <c r="AO93" s="53">
        <f t="shared" si="8"/>
        <v>0</v>
      </c>
      <c r="AP93" s="76" t="str">
        <f t="shared" ref="AP93:AQ93" si="303">AP$2</f>
        <v>NO</v>
      </c>
      <c r="AQ93" s="76" t="str">
        <f t="shared" si="303"/>
        <v>NO</v>
      </c>
      <c r="AR93" s="53">
        <f t="shared" si="9"/>
        <v>0</v>
      </c>
      <c r="AS93" s="53">
        <f t="shared" si="10"/>
        <v>0</v>
      </c>
      <c r="AT93" s="54">
        <f t="shared" si="11"/>
        <v>0</v>
      </c>
      <c r="AU93" s="68"/>
      <c r="AV93" s="2"/>
    </row>
    <row r="94" ht="15.75" customHeight="1">
      <c r="A94" s="78"/>
      <c r="B94" s="79"/>
      <c r="C94" s="79"/>
      <c r="D94" s="79"/>
      <c r="E94" s="80"/>
      <c r="F94" s="79" t="s">
        <v>14</v>
      </c>
      <c r="G94" s="79">
        <v>0.0</v>
      </c>
      <c r="H94" s="81">
        <v>0.0</v>
      </c>
      <c r="I94" s="79" t="s">
        <v>20</v>
      </c>
      <c r="J94" s="53">
        <f t="shared" si="2"/>
        <v>0</v>
      </c>
      <c r="K94" s="54">
        <f t="shared" si="3"/>
        <v>0</v>
      </c>
      <c r="L94" s="54">
        <f>('VEA CLIENTE'!$K94/(1-'VEA CLIENTE'!$M94))-'VEA CLIENTE'!$K94</f>
        <v>0</v>
      </c>
      <c r="M94" s="72">
        <f t="shared" ref="M94:O94" si="304">M$2</f>
        <v>0.13</v>
      </c>
      <c r="N94" s="72">
        <f t="shared" si="304"/>
        <v>0</v>
      </c>
      <c r="O94" s="72">
        <f t="shared" si="304"/>
        <v>0</v>
      </c>
      <c r="P94" s="53">
        <f t="shared" si="4"/>
        <v>0</v>
      </c>
      <c r="Q94" s="76" t="s">
        <v>53</v>
      </c>
      <c r="R94" s="53">
        <f t="shared" si="5"/>
        <v>0</v>
      </c>
      <c r="S94" s="53">
        <f>IF('VEA CLIENTE'!$E94&gt;0,'VEA CLIENTE'!$T94/'VEA CLIENTE'!$E94,0)</f>
        <v>0</v>
      </c>
      <c r="T94" s="53">
        <f t="shared" si="6"/>
        <v>0</v>
      </c>
      <c r="U94" s="57"/>
      <c r="V94" s="2"/>
      <c r="W94" s="58"/>
      <c r="X94" s="59"/>
      <c r="Y94" s="71"/>
      <c r="Z94" s="71"/>
      <c r="AA94" s="62">
        <f>'VEA CLIENTE'!$Z94/(1-'VEA CLIENTE'!$AB94)-'VEA CLIENTE'!$Z94</f>
        <v>0</v>
      </c>
      <c r="AB94" s="72">
        <f t="shared" ref="AB94:AD94" si="305">AB$2</f>
        <v>0.13</v>
      </c>
      <c r="AC94" s="72">
        <f t="shared" si="305"/>
        <v>0</v>
      </c>
      <c r="AD94" s="72">
        <f t="shared" si="305"/>
        <v>0</v>
      </c>
      <c r="AE94" s="53">
        <f t="shared" si="7"/>
        <v>0</v>
      </c>
      <c r="AF94" s="63"/>
      <c r="AG94" s="2"/>
      <c r="AH94" s="64"/>
      <c r="AI94" s="73"/>
      <c r="AJ94" s="73"/>
      <c r="AK94" s="62">
        <f>'VEA CLIENTE'!$AJ94/(1-'VEA CLIENTE'!$AL94)-'VEA CLIENTE'!$AJ94</f>
        <v>0</v>
      </c>
      <c r="AL94" s="74">
        <f t="shared" ref="AL94:AN94" si="306">AL$2</f>
        <v>0.13</v>
      </c>
      <c r="AM94" s="74">
        <f t="shared" si="306"/>
        <v>0</v>
      </c>
      <c r="AN94" s="74">
        <f t="shared" si="306"/>
        <v>0</v>
      </c>
      <c r="AO94" s="53">
        <f t="shared" si="8"/>
        <v>0</v>
      </c>
      <c r="AP94" s="76" t="str">
        <f t="shared" ref="AP94:AQ94" si="307">AP$2</f>
        <v>NO</v>
      </c>
      <c r="AQ94" s="76" t="str">
        <f t="shared" si="307"/>
        <v>NO</v>
      </c>
      <c r="AR94" s="53">
        <f t="shared" si="9"/>
        <v>0</v>
      </c>
      <c r="AS94" s="53">
        <f t="shared" si="10"/>
        <v>0</v>
      </c>
      <c r="AT94" s="54">
        <f t="shared" si="11"/>
        <v>0</v>
      </c>
      <c r="AU94" s="68"/>
      <c r="AV94" s="2"/>
    </row>
    <row r="95" ht="15.75" customHeight="1">
      <c r="A95" s="78"/>
      <c r="B95" s="79"/>
      <c r="C95" s="79"/>
      <c r="D95" s="79"/>
      <c r="E95" s="80"/>
      <c r="F95" s="79" t="s">
        <v>14</v>
      </c>
      <c r="G95" s="79">
        <v>0.0</v>
      </c>
      <c r="H95" s="81">
        <v>0.0</v>
      </c>
      <c r="I95" s="79" t="s">
        <v>20</v>
      </c>
      <c r="J95" s="53">
        <f t="shared" si="2"/>
        <v>0</v>
      </c>
      <c r="K95" s="54">
        <f t="shared" si="3"/>
        <v>0</v>
      </c>
      <c r="L95" s="54">
        <f>('VEA CLIENTE'!$K95/(1-'VEA CLIENTE'!$M95))-'VEA CLIENTE'!$K95</f>
        <v>0</v>
      </c>
      <c r="M95" s="72">
        <f t="shared" ref="M95:O95" si="308">M$2</f>
        <v>0.13</v>
      </c>
      <c r="N95" s="72">
        <f t="shared" si="308"/>
        <v>0</v>
      </c>
      <c r="O95" s="72">
        <f t="shared" si="308"/>
        <v>0</v>
      </c>
      <c r="P95" s="53">
        <f t="shared" si="4"/>
        <v>0</v>
      </c>
      <c r="Q95" s="76" t="s">
        <v>53</v>
      </c>
      <c r="R95" s="53">
        <f t="shared" si="5"/>
        <v>0</v>
      </c>
      <c r="S95" s="53">
        <f>IF('VEA CLIENTE'!$E95&gt;0,'VEA CLIENTE'!$T95/'VEA CLIENTE'!$E95,0)</f>
        <v>0</v>
      </c>
      <c r="T95" s="53">
        <f t="shared" si="6"/>
        <v>0</v>
      </c>
      <c r="U95" s="57"/>
      <c r="V95" s="2"/>
      <c r="W95" s="58"/>
      <c r="X95" s="59"/>
      <c r="Y95" s="71"/>
      <c r="Z95" s="71"/>
      <c r="AA95" s="62">
        <f>'VEA CLIENTE'!$Z95/(1-'VEA CLIENTE'!$AB95)-'VEA CLIENTE'!$Z95</f>
        <v>0</v>
      </c>
      <c r="AB95" s="72">
        <f t="shared" ref="AB95:AD95" si="309">AB$2</f>
        <v>0.13</v>
      </c>
      <c r="AC95" s="72">
        <f t="shared" si="309"/>
        <v>0</v>
      </c>
      <c r="AD95" s="72">
        <f t="shared" si="309"/>
        <v>0</v>
      </c>
      <c r="AE95" s="53">
        <f t="shared" si="7"/>
        <v>0</v>
      </c>
      <c r="AF95" s="63"/>
      <c r="AG95" s="2"/>
      <c r="AH95" s="64"/>
      <c r="AI95" s="73"/>
      <c r="AJ95" s="73"/>
      <c r="AK95" s="62">
        <f>'VEA CLIENTE'!$AJ95/(1-'VEA CLIENTE'!$AL95)-'VEA CLIENTE'!$AJ95</f>
        <v>0</v>
      </c>
      <c r="AL95" s="74">
        <f t="shared" ref="AL95:AN95" si="310">AL$2</f>
        <v>0.13</v>
      </c>
      <c r="AM95" s="74">
        <f t="shared" si="310"/>
        <v>0</v>
      </c>
      <c r="AN95" s="74">
        <f t="shared" si="310"/>
        <v>0</v>
      </c>
      <c r="AO95" s="53">
        <f t="shared" si="8"/>
        <v>0</v>
      </c>
      <c r="AP95" s="76" t="str">
        <f t="shared" ref="AP95:AQ95" si="311">AP$2</f>
        <v>NO</v>
      </c>
      <c r="AQ95" s="76" t="str">
        <f t="shared" si="311"/>
        <v>NO</v>
      </c>
      <c r="AR95" s="53">
        <f t="shared" si="9"/>
        <v>0</v>
      </c>
      <c r="AS95" s="53">
        <f t="shared" si="10"/>
        <v>0</v>
      </c>
      <c r="AT95" s="54">
        <f t="shared" si="11"/>
        <v>0</v>
      </c>
      <c r="AU95" s="68"/>
      <c r="AV95" s="2"/>
    </row>
    <row r="96" ht="15.75" customHeight="1">
      <c r="A96" s="78"/>
      <c r="B96" s="79"/>
      <c r="C96" s="79"/>
      <c r="D96" s="79"/>
      <c r="E96" s="80"/>
      <c r="F96" s="79" t="s">
        <v>14</v>
      </c>
      <c r="G96" s="79">
        <v>0.0</v>
      </c>
      <c r="H96" s="81">
        <v>0.0</v>
      </c>
      <c r="I96" s="79" t="s">
        <v>20</v>
      </c>
      <c r="J96" s="53">
        <f t="shared" si="2"/>
        <v>0</v>
      </c>
      <c r="K96" s="54">
        <f t="shared" si="3"/>
        <v>0</v>
      </c>
      <c r="L96" s="54">
        <f>('VEA CLIENTE'!$K96/(1-'VEA CLIENTE'!$M96))-'VEA CLIENTE'!$K96</f>
        <v>0</v>
      </c>
      <c r="M96" s="72">
        <f t="shared" ref="M96:O96" si="312">M$2</f>
        <v>0.13</v>
      </c>
      <c r="N96" s="72">
        <f t="shared" si="312"/>
        <v>0</v>
      </c>
      <c r="O96" s="72">
        <f t="shared" si="312"/>
        <v>0</v>
      </c>
      <c r="P96" s="53">
        <f t="shared" si="4"/>
        <v>0</v>
      </c>
      <c r="Q96" s="76" t="s">
        <v>53</v>
      </c>
      <c r="R96" s="53">
        <f t="shared" si="5"/>
        <v>0</v>
      </c>
      <c r="S96" s="53">
        <f>IF('VEA CLIENTE'!$E96&gt;0,'VEA CLIENTE'!$T96/'VEA CLIENTE'!$E96,0)</f>
        <v>0</v>
      </c>
      <c r="T96" s="53">
        <f t="shared" si="6"/>
        <v>0</v>
      </c>
      <c r="U96" s="57"/>
      <c r="V96" s="2"/>
      <c r="W96" s="58"/>
      <c r="X96" s="59"/>
      <c r="Y96" s="71"/>
      <c r="Z96" s="71"/>
      <c r="AA96" s="62">
        <f>'VEA CLIENTE'!$Z96/(1-'VEA CLIENTE'!$AB96)-'VEA CLIENTE'!$Z96</f>
        <v>0</v>
      </c>
      <c r="AB96" s="72">
        <f t="shared" ref="AB96:AD96" si="313">AB$2</f>
        <v>0.13</v>
      </c>
      <c r="AC96" s="72">
        <f t="shared" si="313"/>
        <v>0</v>
      </c>
      <c r="AD96" s="72">
        <f t="shared" si="313"/>
        <v>0</v>
      </c>
      <c r="AE96" s="53">
        <f t="shared" si="7"/>
        <v>0</v>
      </c>
      <c r="AF96" s="63"/>
      <c r="AG96" s="2"/>
      <c r="AH96" s="64"/>
      <c r="AI96" s="73"/>
      <c r="AJ96" s="73"/>
      <c r="AK96" s="62">
        <f>'VEA CLIENTE'!$AJ96/(1-'VEA CLIENTE'!$AL96)-'VEA CLIENTE'!$AJ96</f>
        <v>0</v>
      </c>
      <c r="AL96" s="74">
        <f t="shared" ref="AL96:AN96" si="314">AL$2</f>
        <v>0.13</v>
      </c>
      <c r="AM96" s="74">
        <f t="shared" si="314"/>
        <v>0</v>
      </c>
      <c r="AN96" s="74">
        <f t="shared" si="314"/>
        <v>0</v>
      </c>
      <c r="AO96" s="53">
        <f t="shared" si="8"/>
        <v>0</v>
      </c>
      <c r="AP96" s="76" t="str">
        <f t="shared" ref="AP96:AQ96" si="315">AP$2</f>
        <v>NO</v>
      </c>
      <c r="AQ96" s="76" t="str">
        <f t="shared" si="315"/>
        <v>NO</v>
      </c>
      <c r="AR96" s="53">
        <f t="shared" si="9"/>
        <v>0</v>
      </c>
      <c r="AS96" s="53">
        <f t="shared" si="10"/>
        <v>0</v>
      </c>
      <c r="AT96" s="54">
        <f t="shared" si="11"/>
        <v>0</v>
      </c>
      <c r="AU96" s="68"/>
      <c r="AV96" s="2"/>
    </row>
    <row r="97" ht="15.75" customHeight="1">
      <c r="A97" s="78"/>
      <c r="B97" s="79"/>
      <c r="C97" s="79"/>
      <c r="D97" s="79"/>
      <c r="E97" s="80"/>
      <c r="F97" s="79" t="s">
        <v>14</v>
      </c>
      <c r="G97" s="79">
        <v>0.0</v>
      </c>
      <c r="H97" s="81">
        <v>0.0</v>
      </c>
      <c r="I97" s="79" t="s">
        <v>20</v>
      </c>
      <c r="J97" s="53">
        <f t="shared" si="2"/>
        <v>0</v>
      </c>
      <c r="K97" s="54">
        <f t="shared" si="3"/>
        <v>0</v>
      </c>
      <c r="L97" s="54">
        <f>('VEA CLIENTE'!$K97/(1-'VEA CLIENTE'!$M97))-'VEA CLIENTE'!$K97</f>
        <v>0</v>
      </c>
      <c r="M97" s="72">
        <f t="shared" ref="M97:O97" si="316">M$2</f>
        <v>0.13</v>
      </c>
      <c r="N97" s="72">
        <f t="shared" si="316"/>
        <v>0</v>
      </c>
      <c r="O97" s="72">
        <f t="shared" si="316"/>
        <v>0</v>
      </c>
      <c r="P97" s="53">
        <f t="shared" si="4"/>
        <v>0</v>
      </c>
      <c r="Q97" s="76" t="s">
        <v>53</v>
      </c>
      <c r="R97" s="53">
        <f t="shared" si="5"/>
        <v>0</v>
      </c>
      <c r="S97" s="53">
        <f>IF('VEA CLIENTE'!$E97&gt;0,'VEA CLIENTE'!$T97/'VEA CLIENTE'!$E97,0)</f>
        <v>0</v>
      </c>
      <c r="T97" s="53">
        <f t="shared" si="6"/>
        <v>0</v>
      </c>
      <c r="U97" s="57"/>
      <c r="V97" s="2"/>
      <c r="W97" s="58"/>
      <c r="X97" s="59"/>
      <c r="Y97" s="71"/>
      <c r="Z97" s="71"/>
      <c r="AA97" s="62">
        <f>'VEA CLIENTE'!$Z97/(1-'VEA CLIENTE'!$AB97)-'VEA CLIENTE'!$Z97</f>
        <v>0</v>
      </c>
      <c r="AB97" s="72">
        <f t="shared" ref="AB97:AD97" si="317">AB$2</f>
        <v>0.13</v>
      </c>
      <c r="AC97" s="72">
        <f t="shared" si="317"/>
        <v>0</v>
      </c>
      <c r="AD97" s="72">
        <f t="shared" si="317"/>
        <v>0</v>
      </c>
      <c r="AE97" s="53">
        <f t="shared" si="7"/>
        <v>0</v>
      </c>
      <c r="AF97" s="63"/>
      <c r="AG97" s="2"/>
      <c r="AH97" s="64"/>
      <c r="AI97" s="73"/>
      <c r="AJ97" s="73"/>
      <c r="AK97" s="62">
        <f>'VEA CLIENTE'!$AJ97/(1-'VEA CLIENTE'!$AL97)-'VEA CLIENTE'!$AJ97</f>
        <v>0</v>
      </c>
      <c r="AL97" s="74">
        <f t="shared" ref="AL97:AN97" si="318">AL$2</f>
        <v>0.13</v>
      </c>
      <c r="AM97" s="74">
        <f t="shared" si="318"/>
        <v>0</v>
      </c>
      <c r="AN97" s="74">
        <f t="shared" si="318"/>
        <v>0</v>
      </c>
      <c r="AO97" s="53">
        <f t="shared" si="8"/>
        <v>0</v>
      </c>
      <c r="AP97" s="76" t="str">
        <f t="shared" ref="AP97:AQ97" si="319">AP$2</f>
        <v>NO</v>
      </c>
      <c r="AQ97" s="76" t="str">
        <f t="shared" si="319"/>
        <v>NO</v>
      </c>
      <c r="AR97" s="53">
        <f t="shared" si="9"/>
        <v>0</v>
      </c>
      <c r="AS97" s="53">
        <f t="shared" si="10"/>
        <v>0</v>
      </c>
      <c r="AT97" s="54">
        <f t="shared" si="11"/>
        <v>0</v>
      </c>
      <c r="AU97" s="68"/>
      <c r="AV97" s="2"/>
    </row>
    <row r="98" ht="15.75" customHeight="1">
      <c r="A98" s="78"/>
      <c r="B98" s="79"/>
      <c r="C98" s="79"/>
      <c r="D98" s="79"/>
      <c r="E98" s="80"/>
      <c r="F98" s="79" t="s">
        <v>14</v>
      </c>
      <c r="G98" s="79">
        <v>0.0</v>
      </c>
      <c r="H98" s="81">
        <v>0.0</v>
      </c>
      <c r="I98" s="79" t="s">
        <v>20</v>
      </c>
      <c r="J98" s="53">
        <f t="shared" si="2"/>
        <v>0</v>
      </c>
      <c r="K98" s="54">
        <f t="shared" si="3"/>
        <v>0</v>
      </c>
      <c r="L98" s="54">
        <f>('VEA CLIENTE'!$K98/(1-'VEA CLIENTE'!$M98))-'VEA CLIENTE'!$K98</f>
        <v>0</v>
      </c>
      <c r="M98" s="72">
        <f t="shared" ref="M98:O98" si="320">M$2</f>
        <v>0.13</v>
      </c>
      <c r="N98" s="72">
        <f t="shared" si="320"/>
        <v>0</v>
      </c>
      <c r="O98" s="72">
        <f t="shared" si="320"/>
        <v>0</v>
      </c>
      <c r="P98" s="53">
        <f t="shared" si="4"/>
        <v>0</v>
      </c>
      <c r="Q98" s="76" t="s">
        <v>53</v>
      </c>
      <c r="R98" s="53">
        <f t="shared" si="5"/>
        <v>0</v>
      </c>
      <c r="S98" s="53">
        <f>IF('VEA CLIENTE'!$E98&gt;0,'VEA CLIENTE'!$T98/'VEA CLIENTE'!$E98,0)</f>
        <v>0</v>
      </c>
      <c r="T98" s="53">
        <f t="shared" si="6"/>
        <v>0</v>
      </c>
      <c r="U98" s="57"/>
      <c r="V98" s="2"/>
      <c r="W98" s="58"/>
      <c r="X98" s="59"/>
      <c r="Y98" s="71"/>
      <c r="Z98" s="71"/>
      <c r="AA98" s="62">
        <f>'VEA CLIENTE'!$Z98/(1-'VEA CLIENTE'!$AB98)-'VEA CLIENTE'!$Z98</f>
        <v>0</v>
      </c>
      <c r="AB98" s="72">
        <f t="shared" ref="AB98:AD98" si="321">AB$2</f>
        <v>0.13</v>
      </c>
      <c r="AC98" s="72">
        <f t="shared" si="321"/>
        <v>0</v>
      </c>
      <c r="AD98" s="72">
        <f t="shared" si="321"/>
        <v>0</v>
      </c>
      <c r="AE98" s="53">
        <f t="shared" si="7"/>
        <v>0</v>
      </c>
      <c r="AF98" s="63"/>
      <c r="AG98" s="2"/>
      <c r="AH98" s="64"/>
      <c r="AI98" s="73"/>
      <c r="AJ98" s="73"/>
      <c r="AK98" s="62">
        <f>'VEA CLIENTE'!$AJ98/(1-'VEA CLIENTE'!$AL98)-'VEA CLIENTE'!$AJ98</f>
        <v>0</v>
      </c>
      <c r="AL98" s="74">
        <f t="shared" ref="AL98:AN98" si="322">AL$2</f>
        <v>0.13</v>
      </c>
      <c r="AM98" s="74">
        <f t="shared" si="322"/>
        <v>0</v>
      </c>
      <c r="AN98" s="74">
        <f t="shared" si="322"/>
        <v>0</v>
      </c>
      <c r="AO98" s="53">
        <f t="shared" si="8"/>
        <v>0</v>
      </c>
      <c r="AP98" s="76" t="str">
        <f t="shared" ref="AP98:AQ98" si="323">AP$2</f>
        <v>NO</v>
      </c>
      <c r="AQ98" s="76" t="str">
        <f t="shared" si="323"/>
        <v>NO</v>
      </c>
      <c r="AR98" s="53">
        <f t="shared" si="9"/>
        <v>0</v>
      </c>
      <c r="AS98" s="53">
        <f t="shared" si="10"/>
        <v>0</v>
      </c>
      <c r="AT98" s="54">
        <f t="shared" si="11"/>
        <v>0</v>
      </c>
      <c r="AU98" s="68"/>
      <c r="AV98" s="2"/>
    </row>
    <row r="99" ht="15.75" customHeight="1">
      <c r="A99" s="78"/>
      <c r="B99" s="79"/>
      <c r="C99" s="79"/>
      <c r="D99" s="79"/>
      <c r="E99" s="80"/>
      <c r="F99" s="79" t="s">
        <v>14</v>
      </c>
      <c r="G99" s="79">
        <v>0.0</v>
      </c>
      <c r="H99" s="81">
        <v>0.0</v>
      </c>
      <c r="I99" s="79" t="s">
        <v>20</v>
      </c>
      <c r="J99" s="53">
        <f t="shared" si="2"/>
        <v>0</v>
      </c>
      <c r="K99" s="54">
        <f t="shared" si="3"/>
        <v>0</v>
      </c>
      <c r="L99" s="54">
        <f>('VEA CLIENTE'!$K99/(1-'VEA CLIENTE'!$M99))-'VEA CLIENTE'!$K99</f>
        <v>0</v>
      </c>
      <c r="M99" s="72">
        <f t="shared" ref="M99:O99" si="324">M$2</f>
        <v>0.13</v>
      </c>
      <c r="N99" s="72">
        <f t="shared" si="324"/>
        <v>0</v>
      </c>
      <c r="O99" s="72">
        <f t="shared" si="324"/>
        <v>0</v>
      </c>
      <c r="P99" s="53">
        <f t="shared" si="4"/>
        <v>0</v>
      </c>
      <c r="Q99" s="76" t="s">
        <v>53</v>
      </c>
      <c r="R99" s="53">
        <f t="shared" si="5"/>
        <v>0</v>
      </c>
      <c r="S99" s="53">
        <f>IF('VEA CLIENTE'!$E99&gt;0,'VEA CLIENTE'!$T99/'VEA CLIENTE'!$E99,0)</f>
        <v>0</v>
      </c>
      <c r="T99" s="53">
        <f t="shared" si="6"/>
        <v>0</v>
      </c>
      <c r="U99" s="57"/>
      <c r="V99" s="2"/>
      <c r="W99" s="58"/>
      <c r="X99" s="59"/>
      <c r="Y99" s="71"/>
      <c r="Z99" s="71"/>
      <c r="AA99" s="62">
        <f>'VEA CLIENTE'!$Z99/(1-'VEA CLIENTE'!$AB99)-'VEA CLIENTE'!$Z99</f>
        <v>0</v>
      </c>
      <c r="AB99" s="72">
        <f t="shared" ref="AB99:AD99" si="325">AB$2</f>
        <v>0.13</v>
      </c>
      <c r="AC99" s="72">
        <f t="shared" si="325"/>
        <v>0</v>
      </c>
      <c r="AD99" s="72">
        <f t="shared" si="325"/>
        <v>0</v>
      </c>
      <c r="AE99" s="53">
        <f t="shared" si="7"/>
        <v>0</v>
      </c>
      <c r="AF99" s="63"/>
      <c r="AG99" s="2"/>
      <c r="AH99" s="64"/>
      <c r="AI99" s="73"/>
      <c r="AJ99" s="73"/>
      <c r="AK99" s="62">
        <f>'VEA CLIENTE'!$AJ99/(1-'VEA CLIENTE'!$AL99)-'VEA CLIENTE'!$AJ99</f>
        <v>0</v>
      </c>
      <c r="AL99" s="74">
        <f t="shared" ref="AL99:AN99" si="326">AL$2</f>
        <v>0.13</v>
      </c>
      <c r="AM99" s="74">
        <f t="shared" si="326"/>
        <v>0</v>
      </c>
      <c r="AN99" s="74">
        <f t="shared" si="326"/>
        <v>0</v>
      </c>
      <c r="AO99" s="53">
        <f t="shared" si="8"/>
        <v>0</v>
      </c>
      <c r="AP99" s="76" t="str">
        <f t="shared" ref="AP99:AQ99" si="327">AP$2</f>
        <v>NO</v>
      </c>
      <c r="AQ99" s="76" t="str">
        <f t="shared" si="327"/>
        <v>NO</v>
      </c>
      <c r="AR99" s="53">
        <f t="shared" si="9"/>
        <v>0</v>
      </c>
      <c r="AS99" s="53">
        <f t="shared" si="10"/>
        <v>0</v>
      </c>
      <c r="AT99" s="54">
        <f t="shared" si="11"/>
        <v>0</v>
      </c>
      <c r="AU99" s="68"/>
      <c r="AV99" s="2"/>
    </row>
    <row r="100" ht="15.75" customHeight="1">
      <c r="A100" s="78"/>
      <c r="B100" s="79"/>
      <c r="C100" s="79"/>
      <c r="D100" s="79"/>
      <c r="E100" s="80"/>
      <c r="F100" s="79" t="s">
        <v>14</v>
      </c>
      <c r="G100" s="79">
        <v>0.0</v>
      </c>
      <c r="H100" s="81">
        <v>0.0</v>
      </c>
      <c r="I100" s="79" t="s">
        <v>20</v>
      </c>
      <c r="J100" s="53">
        <f t="shared" si="2"/>
        <v>0</v>
      </c>
      <c r="K100" s="54">
        <f t="shared" si="3"/>
        <v>0</v>
      </c>
      <c r="L100" s="54">
        <f>('VEA CLIENTE'!$K100/(1-'VEA CLIENTE'!$M100))-'VEA CLIENTE'!$K100</f>
        <v>0</v>
      </c>
      <c r="M100" s="72">
        <f t="shared" ref="M100:O100" si="328">M$2</f>
        <v>0.13</v>
      </c>
      <c r="N100" s="72">
        <f t="shared" si="328"/>
        <v>0</v>
      </c>
      <c r="O100" s="72">
        <f t="shared" si="328"/>
        <v>0</v>
      </c>
      <c r="P100" s="53">
        <f t="shared" si="4"/>
        <v>0</v>
      </c>
      <c r="Q100" s="76" t="s">
        <v>53</v>
      </c>
      <c r="R100" s="53">
        <f t="shared" si="5"/>
        <v>0</v>
      </c>
      <c r="S100" s="53">
        <f>IF('VEA CLIENTE'!$E100&gt;0,'VEA CLIENTE'!$T100/'VEA CLIENTE'!$E100,0)</f>
        <v>0</v>
      </c>
      <c r="T100" s="53">
        <f t="shared" si="6"/>
        <v>0</v>
      </c>
      <c r="U100" s="57"/>
      <c r="V100" s="2"/>
      <c r="W100" s="58"/>
      <c r="X100" s="59"/>
      <c r="Y100" s="71"/>
      <c r="Z100" s="71"/>
      <c r="AA100" s="62">
        <f>'VEA CLIENTE'!$Z100/(1-'VEA CLIENTE'!$AB100)-'VEA CLIENTE'!$Z100</f>
        <v>0</v>
      </c>
      <c r="AB100" s="72">
        <f t="shared" ref="AB100:AD100" si="329">AB$2</f>
        <v>0.13</v>
      </c>
      <c r="AC100" s="72">
        <f t="shared" si="329"/>
        <v>0</v>
      </c>
      <c r="AD100" s="72">
        <f t="shared" si="329"/>
        <v>0</v>
      </c>
      <c r="AE100" s="53">
        <f t="shared" si="7"/>
        <v>0</v>
      </c>
      <c r="AF100" s="63"/>
      <c r="AG100" s="2"/>
      <c r="AH100" s="64"/>
      <c r="AI100" s="73"/>
      <c r="AJ100" s="73"/>
      <c r="AK100" s="62">
        <f>'VEA CLIENTE'!$AJ100/(1-'VEA CLIENTE'!$AL100)-'VEA CLIENTE'!$AJ100</f>
        <v>0</v>
      </c>
      <c r="AL100" s="74">
        <f t="shared" ref="AL100:AN100" si="330">AL$2</f>
        <v>0.13</v>
      </c>
      <c r="AM100" s="74">
        <f t="shared" si="330"/>
        <v>0</v>
      </c>
      <c r="AN100" s="74">
        <f t="shared" si="330"/>
        <v>0</v>
      </c>
      <c r="AO100" s="53">
        <f t="shared" si="8"/>
        <v>0</v>
      </c>
      <c r="AP100" s="76" t="str">
        <f t="shared" ref="AP100:AQ100" si="331">AP$2</f>
        <v>NO</v>
      </c>
      <c r="AQ100" s="76" t="str">
        <f t="shared" si="331"/>
        <v>NO</v>
      </c>
      <c r="AR100" s="53">
        <f t="shared" si="9"/>
        <v>0</v>
      </c>
      <c r="AS100" s="53">
        <f t="shared" si="10"/>
        <v>0</v>
      </c>
      <c r="AT100" s="54">
        <f t="shared" si="11"/>
        <v>0</v>
      </c>
      <c r="AU100" s="68"/>
      <c r="AV100" s="2"/>
    </row>
    <row r="101" ht="15.75" customHeight="1">
      <c r="A101" s="78"/>
      <c r="B101" s="79"/>
      <c r="C101" s="79"/>
      <c r="D101" s="79"/>
      <c r="E101" s="80"/>
      <c r="F101" s="79" t="s">
        <v>14</v>
      </c>
      <c r="G101" s="79">
        <v>0.0</v>
      </c>
      <c r="H101" s="81">
        <v>0.0</v>
      </c>
      <c r="I101" s="79" t="s">
        <v>20</v>
      </c>
      <c r="J101" s="53">
        <f t="shared" si="2"/>
        <v>0</v>
      </c>
      <c r="K101" s="54">
        <f t="shared" si="3"/>
        <v>0</v>
      </c>
      <c r="L101" s="54">
        <f>('VEA CLIENTE'!$K101/(1-'VEA CLIENTE'!$M101))-'VEA CLIENTE'!$K101</f>
        <v>0</v>
      </c>
      <c r="M101" s="72">
        <f t="shared" ref="M101:O101" si="332">M$2</f>
        <v>0.13</v>
      </c>
      <c r="N101" s="72">
        <f t="shared" si="332"/>
        <v>0</v>
      </c>
      <c r="O101" s="72">
        <f t="shared" si="332"/>
        <v>0</v>
      </c>
      <c r="P101" s="53">
        <f t="shared" si="4"/>
        <v>0</v>
      </c>
      <c r="Q101" s="76" t="s">
        <v>53</v>
      </c>
      <c r="R101" s="53">
        <f t="shared" si="5"/>
        <v>0</v>
      </c>
      <c r="S101" s="53">
        <f>IF('VEA CLIENTE'!$E101&gt;0,'VEA CLIENTE'!$T101/'VEA CLIENTE'!$E101,0)</f>
        <v>0</v>
      </c>
      <c r="T101" s="53">
        <f t="shared" si="6"/>
        <v>0</v>
      </c>
      <c r="U101" s="57"/>
      <c r="V101" s="2"/>
      <c r="W101" s="58"/>
      <c r="X101" s="59"/>
      <c r="Y101" s="71"/>
      <c r="Z101" s="71"/>
      <c r="AA101" s="62">
        <f>'VEA CLIENTE'!$Z101/(1-'VEA CLIENTE'!$AB101)-'VEA CLIENTE'!$Z101</f>
        <v>0</v>
      </c>
      <c r="AB101" s="72">
        <f t="shared" ref="AB101:AD101" si="333">AB$2</f>
        <v>0.13</v>
      </c>
      <c r="AC101" s="72">
        <f t="shared" si="333"/>
        <v>0</v>
      </c>
      <c r="AD101" s="72">
        <f t="shared" si="333"/>
        <v>0</v>
      </c>
      <c r="AE101" s="53">
        <f t="shared" si="7"/>
        <v>0</v>
      </c>
      <c r="AF101" s="63"/>
      <c r="AG101" s="2"/>
      <c r="AH101" s="64"/>
      <c r="AI101" s="73"/>
      <c r="AJ101" s="73"/>
      <c r="AK101" s="62">
        <f>'VEA CLIENTE'!$AJ101/(1-'VEA CLIENTE'!$AL101)-'VEA CLIENTE'!$AJ101</f>
        <v>0</v>
      </c>
      <c r="AL101" s="74">
        <f t="shared" ref="AL101:AN101" si="334">AL$2</f>
        <v>0.13</v>
      </c>
      <c r="AM101" s="74">
        <f t="shared" si="334"/>
        <v>0</v>
      </c>
      <c r="AN101" s="74">
        <f t="shared" si="334"/>
        <v>0</v>
      </c>
      <c r="AO101" s="53">
        <f t="shared" si="8"/>
        <v>0</v>
      </c>
      <c r="AP101" s="76" t="str">
        <f t="shared" ref="AP101:AQ101" si="335">AP$2</f>
        <v>NO</v>
      </c>
      <c r="AQ101" s="76" t="str">
        <f t="shared" si="335"/>
        <v>NO</v>
      </c>
      <c r="AR101" s="53">
        <f t="shared" si="9"/>
        <v>0</v>
      </c>
      <c r="AS101" s="53">
        <f t="shared" si="10"/>
        <v>0</v>
      </c>
      <c r="AT101" s="54">
        <f t="shared" si="11"/>
        <v>0</v>
      </c>
      <c r="AU101" s="68"/>
      <c r="AV101" s="2"/>
    </row>
    <row r="102" ht="15.75" customHeight="1">
      <c r="A102" s="78"/>
      <c r="B102" s="79"/>
      <c r="C102" s="79"/>
      <c r="D102" s="79"/>
      <c r="E102" s="80"/>
      <c r="F102" s="79" t="s">
        <v>14</v>
      </c>
      <c r="G102" s="79">
        <v>0.0</v>
      </c>
      <c r="H102" s="81">
        <v>0.0</v>
      </c>
      <c r="I102" s="79" t="s">
        <v>20</v>
      </c>
      <c r="J102" s="53">
        <f t="shared" si="2"/>
        <v>0</v>
      </c>
      <c r="K102" s="54">
        <f t="shared" si="3"/>
        <v>0</v>
      </c>
      <c r="L102" s="54">
        <f>('VEA CLIENTE'!$K102/(1-'VEA CLIENTE'!$M102))-'VEA CLIENTE'!$K102</f>
        <v>0</v>
      </c>
      <c r="M102" s="72">
        <f t="shared" ref="M102:O102" si="336">M$2</f>
        <v>0.13</v>
      </c>
      <c r="N102" s="72">
        <f t="shared" si="336"/>
        <v>0</v>
      </c>
      <c r="O102" s="72">
        <f t="shared" si="336"/>
        <v>0</v>
      </c>
      <c r="P102" s="53">
        <f t="shared" si="4"/>
        <v>0</v>
      </c>
      <c r="Q102" s="76" t="s">
        <v>53</v>
      </c>
      <c r="R102" s="53">
        <f t="shared" si="5"/>
        <v>0</v>
      </c>
      <c r="S102" s="53">
        <f>IF('VEA CLIENTE'!$E102&gt;0,'VEA CLIENTE'!$T102/'VEA CLIENTE'!$E102,0)</f>
        <v>0</v>
      </c>
      <c r="T102" s="53">
        <f t="shared" si="6"/>
        <v>0</v>
      </c>
      <c r="U102" s="57"/>
      <c r="V102" s="2"/>
      <c r="W102" s="58"/>
      <c r="X102" s="59"/>
      <c r="Y102" s="71"/>
      <c r="Z102" s="71"/>
      <c r="AA102" s="62">
        <f>'VEA CLIENTE'!$Z102/(1-'VEA CLIENTE'!$AB102)-'VEA CLIENTE'!$Z102</f>
        <v>0</v>
      </c>
      <c r="AB102" s="72">
        <f t="shared" ref="AB102:AD102" si="337">AB$2</f>
        <v>0.13</v>
      </c>
      <c r="AC102" s="72">
        <f t="shared" si="337"/>
        <v>0</v>
      </c>
      <c r="AD102" s="72">
        <f t="shared" si="337"/>
        <v>0</v>
      </c>
      <c r="AE102" s="53">
        <f t="shared" si="7"/>
        <v>0</v>
      </c>
      <c r="AF102" s="63"/>
      <c r="AG102" s="2"/>
      <c r="AH102" s="64"/>
      <c r="AI102" s="73"/>
      <c r="AJ102" s="73"/>
      <c r="AK102" s="62">
        <f>'VEA CLIENTE'!$AJ102/(1-'VEA CLIENTE'!$AL102)-'VEA CLIENTE'!$AJ102</f>
        <v>0</v>
      </c>
      <c r="AL102" s="74">
        <f t="shared" ref="AL102:AN102" si="338">AL$2</f>
        <v>0.13</v>
      </c>
      <c r="AM102" s="74">
        <f t="shared" si="338"/>
        <v>0</v>
      </c>
      <c r="AN102" s="74">
        <f t="shared" si="338"/>
        <v>0</v>
      </c>
      <c r="AO102" s="53">
        <f t="shared" si="8"/>
        <v>0</v>
      </c>
      <c r="AP102" s="76" t="str">
        <f t="shared" ref="AP102:AQ102" si="339">AP$2</f>
        <v>NO</v>
      </c>
      <c r="AQ102" s="76" t="str">
        <f t="shared" si="339"/>
        <v>NO</v>
      </c>
      <c r="AR102" s="53">
        <f t="shared" si="9"/>
        <v>0</v>
      </c>
      <c r="AS102" s="53">
        <f t="shared" si="10"/>
        <v>0</v>
      </c>
      <c r="AT102" s="54">
        <f t="shared" si="11"/>
        <v>0</v>
      </c>
      <c r="AU102" s="68"/>
      <c r="AV102" s="2"/>
    </row>
    <row r="103" ht="15.75" customHeight="1">
      <c r="A103" s="78"/>
      <c r="B103" s="79"/>
      <c r="C103" s="79"/>
      <c r="D103" s="79"/>
      <c r="E103" s="80"/>
      <c r="F103" s="79" t="s">
        <v>14</v>
      </c>
      <c r="G103" s="79">
        <v>0.0</v>
      </c>
      <c r="H103" s="81">
        <v>0.0</v>
      </c>
      <c r="I103" s="79" t="s">
        <v>20</v>
      </c>
      <c r="J103" s="53">
        <f t="shared" si="2"/>
        <v>0</v>
      </c>
      <c r="K103" s="54">
        <f t="shared" si="3"/>
        <v>0</v>
      </c>
      <c r="L103" s="54">
        <f>('VEA CLIENTE'!$K103/(1-'VEA CLIENTE'!$M103))-'VEA CLIENTE'!$K103</f>
        <v>0</v>
      </c>
      <c r="M103" s="72">
        <f t="shared" ref="M103:O103" si="340">M$2</f>
        <v>0.13</v>
      </c>
      <c r="N103" s="72">
        <f t="shared" si="340"/>
        <v>0</v>
      </c>
      <c r="O103" s="72">
        <f t="shared" si="340"/>
        <v>0</v>
      </c>
      <c r="P103" s="53">
        <f t="shared" si="4"/>
        <v>0</v>
      </c>
      <c r="Q103" s="76" t="s">
        <v>53</v>
      </c>
      <c r="R103" s="53">
        <f t="shared" si="5"/>
        <v>0</v>
      </c>
      <c r="S103" s="53">
        <f>IF('VEA CLIENTE'!$E103&gt;0,'VEA CLIENTE'!$T103/'VEA CLIENTE'!$E103,0)</f>
        <v>0</v>
      </c>
      <c r="T103" s="53">
        <f t="shared" si="6"/>
        <v>0</v>
      </c>
      <c r="U103" s="57"/>
      <c r="V103" s="2"/>
      <c r="W103" s="58"/>
      <c r="X103" s="59"/>
      <c r="Y103" s="71"/>
      <c r="Z103" s="71"/>
      <c r="AA103" s="62">
        <f>'VEA CLIENTE'!$Z103/(1-'VEA CLIENTE'!$AB103)-'VEA CLIENTE'!$Z103</f>
        <v>0</v>
      </c>
      <c r="AB103" s="72">
        <f t="shared" ref="AB103:AD103" si="341">AB$2</f>
        <v>0.13</v>
      </c>
      <c r="AC103" s="72">
        <f t="shared" si="341"/>
        <v>0</v>
      </c>
      <c r="AD103" s="72">
        <f t="shared" si="341"/>
        <v>0</v>
      </c>
      <c r="AE103" s="53">
        <f t="shared" si="7"/>
        <v>0</v>
      </c>
      <c r="AF103" s="63"/>
      <c r="AG103" s="2"/>
      <c r="AH103" s="64"/>
      <c r="AI103" s="73"/>
      <c r="AJ103" s="73"/>
      <c r="AK103" s="62">
        <f>'VEA CLIENTE'!$AJ103/(1-'VEA CLIENTE'!$AL103)-'VEA CLIENTE'!$AJ103</f>
        <v>0</v>
      </c>
      <c r="AL103" s="74">
        <f t="shared" ref="AL103:AN103" si="342">AL$2</f>
        <v>0.13</v>
      </c>
      <c r="AM103" s="74">
        <f t="shared" si="342"/>
        <v>0</v>
      </c>
      <c r="AN103" s="74">
        <f t="shared" si="342"/>
        <v>0</v>
      </c>
      <c r="AO103" s="53">
        <f t="shared" si="8"/>
        <v>0</v>
      </c>
      <c r="AP103" s="76" t="str">
        <f t="shared" ref="AP103:AQ103" si="343">AP$2</f>
        <v>NO</v>
      </c>
      <c r="AQ103" s="76" t="str">
        <f t="shared" si="343"/>
        <v>NO</v>
      </c>
      <c r="AR103" s="53">
        <f t="shared" si="9"/>
        <v>0</v>
      </c>
      <c r="AS103" s="53">
        <f t="shared" si="10"/>
        <v>0</v>
      </c>
      <c r="AT103" s="54">
        <f t="shared" si="11"/>
        <v>0</v>
      </c>
      <c r="AU103" s="68"/>
      <c r="AV103" s="2"/>
    </row>
    <row r="104" ht="15.75" customHeight="1">
      <c r="A104" s="78"/>
      <c r="B104" s="79"/>
      <c r="C104" s="79"/>
      <c r="D104" s="79"/>
      <c r="E104" s="80"/>
      <c r="F104" s="79" t="s">
        <v>14</v>
      </c>
      <c r="G104" s="79">
        <v>0.0</v>
      </c>
      <c r="H104" s="81">
        <v>0.0</v>
      </c>
      <c r="I104" s="79" t="s">
        <v>20</v>
      </c>
      <c r="J104" s="53">
        <f t="shared" si="2"/>
        <v>0</v>
      </c>
      <c r="K104" s="54">
        <f t="shared" si="3"/>
        <v>0</v>
      </c>
      <c r="L104" s="54">
        <f>('VEA CLIENTE'!$K104/(1-'VEA CLIENTE'!$M104))-'VEA CLIENTE'!$K104</f>
        <v>0</v>
      </c>
      <c r="M104" s="72">
        <f t="shared" ref="M104:O104" si="344">M$2</f>
        <v>0.13</v>
      </c>
      <c r="N104" s="72">
        <f t="shared" si="344"/>
        <v>0</v>
      </c>
      <c r="O104" s="72">
        <f t="shared" si="344"/>
        <v>0</v>
      </c>
      <c r="P104" s="53">
        <f t="shared" si="4"/>
        <v>0</v>
      </c>
      <c r="Q104" s="76" t="s">
        <v>53</v>
      </c>
      <c r="R104" s="53">
        <f t="shared" si="5"/>
        <v>0</v>
      </c>
      <c r="S104" s="53">
        <f>IF('VEA CLIENTE'!$E104&gt;0,'VEA CLIENTE'!$T104/'VEA CLIENTE'!$E104,0)</f>
        <v>0</v>
      </c>
      <c r="T104" s="53">
        <f t="shared" si="6"/>
        <v>0</v>
      </c>
      <c r="U104" s="57"/>
      <c r="V104" s="2"/>
      <c r="W104" s="58"/>
      <c r="X104" s="59"/>
      <c r="Y104" s="71"/>
      <c r="Z104" s="71"/>
      <c r="AA104" s="62">
        <f>'VEA CLIENTE'!$Z104/(1-'VEA CLIENTE'!$AB104)-'VEA CLIENTE'!$Z104</f>
        <v>0</v>
      </c>
      <c r="AB104" s="72">
        <f t="shared" ref="AB104:AD104" si="345">AB$2</f>
        <v>0.13</v>
      </c>
      <c r="AC104" s="72">
        <f t="shared" si="345"/>
        <v>0</v>
      </c>
      <c r="AD104" s="72">
        <f t="shared" si="345"/>
        <v>0</v>
      </c>
      <c r="AE104" s="53">
        <f t="shared" si="7"/>
        <v>0</v>
      </c>
      <c r="AF104" s="63"/>
      <c r="AG104" s="2"/>
      <c r="AH104" s="64"/>
      <c r="AI104" s="73"/>
      <c r="AJ104" s="73"/>
      <c r="AK104" s="62">
        <f>'VEA CLIENTE'!$AJ104/(1-'VEA CLIENTE'!$AL104)-'VEA CLIENTE'!$AJ104</f>
        <v>0</v>
      </c>
      <c r="AL104" s="74">
        <f t="shared" ref="AL104:AN104" si="346">AL$2</f>
        <v>0.13</v>
      </c>
      <c r="AM104" s="74">
        <f t="shared" si="346"/>
        <v>0</v>
      </c>
      <c r="AN104" s="74">
        <f t="shared" si="346"/>
        <v>0</v>
      </c>
      <c r="AO104" s="53">
        <f t="shared" si="8"/>
        <v>0</v>
      </c>
      <c r="AP104" s="76" t="str">
        <f t="shared" ref="AP104:AQ104" si="347">AP$2</f>
        <v>NO</v>
      </c>
      <c r="AQ104" s="76" t="str">
        <f t="shared" si="347"/>
        <v>NO</v>
      </c>
      <c r="AR104" s="53">
        <f t="shared" si="9"/>
        <v>0</v>
      </c>
      <c r="AS104" s="53">
        <f t="shared" si="10"/>
        <v>0</v>
      </c>
      <c r="AT104" s="54">
        <f t="shared" si="11"/>
        <v>0</v>
      </c>
      <c r="AU104" s="68"/>
      <c r="AV104" s="2"/>
    </row>
    <row r="105" ht="15.75" customHeight="1">
      <c r="A105" s="78"/>
      <c r="B105" s="79"/>
      <c r="C105" s="79"/>
      <c r="D105" s="79"/>
      <c r="E105" s="80"/>
      <c r="F105" s="79" t="s">
        <v>14</v>
      </c>
      <c r="G105" s="79">
        <v>0.0</v>
      </c>
      <c r="H105" s="81">
        <v>0.0</v>
      </c>
      <c r="I105" s="79" t="s">
        <v>20</v>
      </c>
      <c r="J105" s="53">
        <f t="shared" si="2"/>
        <v>0</v>
      </c>
      <c r="K105" s="54">
        <f t="shared" si="3"/>
        <v>0</v>
      </c>
      <c r="L105" s="54">
        <f>('VEA CLIENTE'!$K105/(1-'VEA CLIENTE'!$M105))-'VEA CLIENTE'!$K105</f>
        <v>0</v>
      </c>
      <c r="M105" s="72">
        <f t="shared" ref="M105:O105" si="348">M$2</f>
        <v>0.13</v>
      </c>
      <c r="N105" s="72">
        <f t="shared" si="348"/>
        <v>0</v>
      </c>
      <c r="O105" s="72">
        <f t="shared" si="348"/>
        <v>0</v>
      </c>
      <c r="P105" s="53">
        <f t="shared" si="4"/>
        <v>0</v>
      </c>
      <c r="Q105" s="76" t="s">
        <v>53</v>
      </c>
      <c r="R105" s="53">
        <f t="shared" si="5"/>
        <v>0</v>
      </c>
      <c r="S105" s="53">
        <f>IF('VEA CLIENTE'!$E105&gt;0,'VEA CLIENTE'!$T105/'VEA CLIENTE'!$E105,0)</f>
        <v>0</v>
      </c>
      <c r="T105" s="53">
        <f t="shared" si="6"/>
        <v>0</v>
      </c>
      <c r="U105" s="57"/>
      <c r="V105" s="2"/>
      <c r="W105" s="58"/>
      <c r="X105" s="59"/>
      <c r="Y105" s="71"/>
      <c r="Z105" s="71"/>
      <c r="AA105" s="62">
        <f>'VEA CLIENTE'!$Z105/(1-'VEA CLIENTE'!$AB105)-'VEA CLIENTE'!$Z105</f>
        <v>0</v>
      </c>
      <c r="AB105" s="72">
        <f t="shared" ref="AB105:AD105" si="349">AB$2</f>
        <v>0.13</v>
      </c>
      <c r="AC105" s="72">
        <f t="shared" si="349"/>
        <v>0</v>
      </c>
      <c r="AD105" s="72">
        <f t="shared" si="349"/>
        <v>0</v>
      </c>
      <c r="AE105" s="53">
        <f t="shared" si="7"/>
        <v>0</v>
      </c>
      <c r="AF105" s="63"/>
      <c r="AG105" s="2"/>
      <c r="AH105" s="64"/>
      <c r="AI105" s="73"/>
      <c r="AJ105" s="73"/>
      <c r="AK105" s="62">
        <f>'VEA CLIENTE'!$AJ105/(1-'VEA CLIENTE'!$AL105)-'VEA CLIENTE'!$AJ105</f>
        <v>0</v>
      </c>
      <c r="AL105" s="74">
        <f t="shared" ref="AL105:AN105" si="350">AL$2</f>
        <v>0.13</v>
      </c>
      <c r="AM105" s="74">
        <f t="shared" si="350"/>
        <v>0</v>
      </c>
      <c r="AN105" s="74">
        <f t="shared" si="350"/>
        <v>0</v>
      </c>
      <c r="AO105" s="53">
        <f t="shared" si="8"/>
        <v>0</v>
      </c>
      <c r="AP105" s="76" t="str">
        <f t="shared" ref="AP105:AQ105" si="351">AP$2</f>
        <v>NO</v>
      </c>
      <c r="AQ105" s="76" t="str">
        <f t="shared" si="351"/>
        <v>NO</v>
      </c>
      <c r="AR105" s="53">
        <f t="shared" si="9"/>
        <v>0</v>
      </c>
      <c r="AS105" s="53">
        <f t="shared" si="10"/>
        <v>0</v>
      </c>
      <c r="AT105" s="54">
        <f t="shared" si="11"/>
        <v>0</v>
      </c>
      <c r="AU105" s="68"/>
      <c r="AV105" s="2"/>
    </row>
    <row r="106" ht="15.75" customHeight="1">
      <c r="A106" s="78"/>
      <c r="B106" s="79"/>
      <c r="C106" s="79"/>
      <c r="D106" s="79"/>
      <c r="E106" s="80"/>
      <c r="F106" s="79" t="s">
        <v>14</v>
      </c>
      <c r="G106" s="79">
        <v>0.0</v>
      </c>
      <c r="H106" s="81">
        <v>0.0</v>
      </c>
      <c r="I106" s="79" t="s">
        <v>20</v>
      </c>
      <c r="J106" s="53">
        <f t="shared" si="2"/>
        <v>0</v>
      </c>
      <c r="K106" s="54">
        <f t="shared" si="3"/>
        <v>0</v>
      </c>
      <c r="L106" s="54">
        <f>('VEA CLIENTE'!$K106/(1-'VEA CLIENTE'!$M106))-'VEA CLIENTE'!$K106</f>
        <v>0</v>
      </c>
      <c r="M106" s="72">
        <f t="shared" ref="M106:O106" si="352">M$2</f>
        <v>0.13</v>
      </c>
      <c r="N106" s="72">
        <f t="shared" si="352"/>
        <v>0</v>
      </c>
      <c r="O106" s="72">
        <f t="shared" si="352"/>
        <v>0</v>
      </c>
      <c r="P106" s="53">
        <f t="shared" si="4"/>
        <v>0</v>
      </c>
      <c r="Q106" s="76" t="s">
        <v>53</v>
      </c>
      <c r="R106" s="53">
        <f t="shared" si="5"/>
        <v>0</v>
      </c>
      <c r="S106" s="53">
        <f>IF('VEA CLIENTE'!$E106&gt;0,'VEA CLIENTE'!$T106/'VEA CLIENTE'!$E106,0)</f>
        <v>0</v>
      </c>
      <c r="T106" s="53">
        <f t="shared" si="6"/>
        <v>0</v>
      </c>
      <c r="U106" s="57"/>
      <c r="V106" s="2"/>
      <c r="W106" s="58"/>
      <c r="X106" s="59"/>
      <c r="Y106" s="71"/>
      <c r="Z106" s="71"/>
      <c r="AA106" s="62">
        <f>'VEA CLIENTE'!$Z106/(1-'VEA CLIENTE'!$AB106)-'VEA CLIENTE'!$Z106</f>
        <v>0</v>
      </c>
      <c r="AB106" s="72">
        <f t="shared" ref="AB106:AD106" si="353">AB$2</f>
        <v>0.13</v>
      </c>
      <c r="AC106" s="72">
        <f t="shared" si="353"/>
        <v>0</v>
      </c>
      <c r="AD106" s="72">
        <f t="shared" si="353"/>
        <v>0</v>
      </c>
      <c r="AE106" s="53">
        <f t="shared" si="7"/>
        <v>0</v>
      </c>
      <c r="AF106" s="63"/>
      <c r="AG106" s="2"/>
      <c r="AH106" s="64"/>
      <c r="AI106" s="73"/>
      <c r="AJ106" s="73"/>
      <c r="AK106" s="62">
        <f>'VEA CLIENTE'!$AJ106/(1-'VEA CLIENTE'!$AL106)-'VEA CLIENTE'!$AJ106</f>
        <v>0</v>
      </c>
      <c r="AL106" s="74">
        <f t="shared" ref="AL106:AN106" si="354">AL$2</f>
        <v>0.13</v>
      </c>
      <c r="AM106" s="74">
        <f t="shared" si="354"/>
        <v>0</v>
      </c>
      <c r="AN106" s="74">
        <f t="shared" si="354"/>
        <v>0</v>
      </c>
      <c r="AO106" s="53">
        <f t="shared" si="8"/>
        <v>0</v>
      </c>
      <c r="AP106" s="76" t="str">
        <f t="shared" ref="AP106:AQ106" si="355">AP$2</f>
        <v>NO</v>
      </c>
      <c r="AQ106" s="76" t="str">
        <f t="shared" si="355"/>
        <v>NO</v>
      </c>
      <c r="AR106" s="53">
        <f t="shared" si="9"/>
        <v>0</v>
      </c>
      <c r="AS106" s="53">
        <f t="shared" si="10"/>
        <v>0</v>
      </c>
      <c r="AT106" s="54">
        <f t="shared" si="11"/>
        <v>0</v>
      </c>
      <c r="AU106" s="68"/>
      <c r="AV106" s="2"/>
    </row>
    <row r="107" ht="15.75" customHeight="1">
      <c r="A107" s="78"/>
      <c r="B107" s="79"/>
      <c r="C107" s="79"/>
      <c r="D107" s="79"/>
      <c r="E107" s="80"/>
      <c r="F107" s="79" t="s">
        <v>14</v>
      </c>
      <c r="G107" s="79">
        <v>0.0</v>
      </c>
      <c r="H107" s="81">
        <v>0.0</v>
      </c>
      <c r="I107" s="79" t="s">
        <v>20</v>
      </c>
      <c r="J107" s="53">
        <f t="shared" si="2"/>
        <v>0</v>
      </c>
      <c r="K107" s="54">
        <f t="shared" si="3"/>
        <v>0</v>
      </c>
      <c r="L107" s="54">
        <f>('VEA CLIENTE'!$K107/(1-'VEA CLIENTE'!$M107))-'VEA CLIENTE'!$K107</f>
        <v>0</v>
      </c>
      <c r="M107" s="72">
        <f t="shared" ref="M107:O107" si="356">M$2</f>
        <v>0.13</v>
      </c>
      <c r="N107" s="72">
        <f t="shared" si="356"/>
        <v>0</v>
      </c>
      <c r="O107" s="72">
        <f t="shared" si="356"/>
        <v>0</v>
      </c>
      <c r="P107" s="53">
        <f t="shared" si="4"/>
        <v>0</v>
      </c>
      <c r="Q107" s="76" t="s">
        <v>53</v>
      </c>
      <c r="R107" s="53">
        <f t="shared" si="5"/>
        <v>0</v>
      </c>
      <c r="S107" s="53">
        <f>IF('VEA CLIENTE'!$E107&gt;0,'VEA CLIENTE'!$T107/'VEA CLIENTE'!$E107,0)</f>
        <v>0</v>
      </c>
      <c r="T107" s="53">
        <f t="shared" si="6"/>
        <v>0</v>
      </c>
      <c r="U107" s="57"/>
      <c r="V107" s="2"/>
      <c r="W107" s="58"/>
      <c r="X107" s="59"/>
      <c r="Y107" s="71"/>
      <c r="Z107" s="71"/>
      <c r="AA107" s="62">
        <f>'VEA CLIENTE'!$Z107/(1-'VEA CLIENTE'!$AB107)-'VEA CLIENTE'!$Z107</f>
        <v>0</v>
      </c>
      <c r="AB107" s="72">
        <f t="shared" ref="AB107:AD107" si="357">AB$2</f>
        <v>0.13</v>
      </c>
      <c r="AC107" s="72">
        <f t="shared" si="357"/>
        <v>0</v>
      </c>
      <c r="AD107" s="72">
        <f t="shared" si="357"/>
        <v>0</v>
      </c>
      <c r="AE107" s="53">
        <f t="shared" si="7"/>
        <v>0</v>
      </c>
      <c r="AF107" s="63"/>
      <c r="AG107" s="2"/>
      <c r="AH107" s="64"/>
      <c r="AI107" s="73"/>
      <c r="AJ107" s="73"/>
      <c r="AK107" s="62">
        <f>'VEA CLIENTE'!$AJ107/(1-'VEA CLIENTE'!$AL107)-'VEA CLIENTE'!$AJ107</f>
        <v>0</v>
      </c>
      <c r="AL107" s="74">
        <f t="shared" ref="AL107:AN107" si="358">AL$2</f>
        <v>0.13</v>
      </c>
      <c r="AM107" s="74">
        <f t="shared" si="358"/>
        <v>0</v>
      </c>
      <c r="AN107" s="74">
        <f t="shared" si="358"/>
        <v>0</v>
      </c>
      <c r="AO107" s="53">
        <f t="shared" si="8"/>
        <v>0</v>
      </c>
      <c r="AP107" s="76" t="str">
        <f t="shared" ref="AP107:AQ107" si="359">AP$2</f>
        <v>NO</v>
      </c>
      <c r="AQ107" s="76" t="str">
        <f t="shared" si="359"/>
        <v>NO</v>
      </c>
      <c r="AR107" s="53">
        <f t="shared" si="9"/>
        <v>0</v>
      </c>
      <c r="AS107" s="53">
        <f t="shared" si="10"/>
        <v>0</v>
      </c>
      <c r="AT107" s="54">
        <f t="shared" si="11"/>
        <v>0</v>
      </c>
      <c r="AU107" s="68"/>
      <c r="AV107" s="2"/>
    </row>
    <row r="108" ht="15.75" customHeight="1">
      <c r="A108" s="78"/>
      <c r="B108" s="79"/>
      <c r="C108" s="79"/>
      <c r="D108" s="79"/>
      <c r="E108" s="80"/>
      <c r="F108" s="79" t="s">
        <v>14</v>
      </c>
      <c r="G108" s="79">
        <v>0.0</v>
      </c>
      <c r="H108" s="81">
        <v>0.0</v>
      </c>
      <c r="I108" s="79" t="s">
        <v>20</v>
      </c>
      <c r="J108" s="53">
        <f t="shared" si="2"/>
        <v>0</v>
      </c>
      <c r="K108" s="54">
        <f t="shared" si="3"/>
        <v>0</v>
      </c>
      <c r="L108" s="54">
        <f>('VEA CLIENTE'!$K108/(1-'VEA CLIENTE'!$M108))-'VEA CLIENTE'!$K108</f>
        <v>0</v>
      </c>
      <c r="M108" s="72">
        <f t="shared" ref="M108:O108" si="360">M$2</f>
        <v>0.13</v>
      </c>
      <c r="N108" s="72">
        <f t="shared" si="360"/>
        <v>0</v>
      </c>
      <c r="O108" s="72">
        <f t="shared" si="360"/>
        <v>0</v>
      </c>
      <c r="P108" s="53">
        <f t="shared" si="4"/>
        <v>0</v>
      </c>
      <c r="Q108" s="76" t="s">
        <v>53</v>
      </c>
      <c r="R108" s="53">
        <f t="shared" si="5"/>
        <v>0</v>
      </c>
      <c r="S108" s="53">
        <f>IF('VEA CLIENTE'!$E108&gt;0,'VEA CLIENTE'!$T108/'VEA CLIENTE'!$E108,0)</f>
        <v>0</v>
      </c>
      <c r="T108" s="53">
        <f t="shared" si="6"/>
        <v>0</v>
      </c>
      <c r="U108" s="57"/>
      <c r="V108" s="2"/>
      <c r="W108" s="58"/>
      <c r="X108" s="59"/>
      <c r="Y108" s="71"/>
      <c r="Z108" s="71"/>
      <c r="AA108" s="62">
        <f>'VEA CLIENTE'!$Z108/(1-'VEA CLIENTE'!$AB108)-'VEA CLIENTE'!$Z108</f>
        <v>0</v>
      </c>
      <c r="AB108" s="72">
        <f t="shared" ref="AB108:AD108" si="361">AB$2</f>
        <v>0.13</v>
      </c>
      <c r="AC108" s="72">
        <f t="shared" si="361"/>
        <v>0</v>
      </c>
      <c r="AD108" s="72">
        <f t="shared" si="361"/>
        <v>0</v>
      </c>
      <c r="AE108" s="53">
        <f t="shared" si="7"/>
        <v>0</v>
      </c>
      <c r="AF108" s="63"/>
      <c r="AG108" s="2"/>
      <c r="AH108" s="64"/>
      <c r="AI108" s="73"/>
      <c r="AJ108" s="73"/>
      <c r="AK108" s="62">
        <f>'VEA CLIENTE'!$AJ108/(1-'VEA CLIENTE'!$AL108)-'VEA CLIENTE'!$AJ108</f>
        <v>0</v>
      </c>
      <c r="AL108" s="74">
        <f t="shared" ref="AL108:AN108" si="362">AL$2</f>
        <v>0.13</v>
      </c>
      <c r="AM108" s="74">
        <f t="shared" si="362"/>
        <v>0</v>
      </c>
      <c r="AN108" s="74">
        <f t="shared" si="362"/>
        <v>0</v>
      </c>
      <c r="AO108" s="53">
        <f t="shared" si="8"/>
        <v>0</v>
      </c>
      <c r="AP108" s="76" t="str">
        <f t="shared" ref="AP108:AQ108" si="363">AP$2</f>
        <v>NO</v>
      </c>
      <c r="AQ108" s="76" t="str">
        <f t="shared" si="363"/>
        <v>NO</v>
      </c>
      <c r="AR108" s="53">
        <f t="shared" si="9"/>
        <v>0</v>
      </c>
      <c r="AS108" s="53">
        <f t="shared" si="10"/>
        <v>0</v>
      </c>
      <c r="AT108" s="54">
        <f t="shared" si="11"/>
        <v>0</v>
      </c>
      <c r="AU108" s="68"/>
      <c r="AV108" s="2"/>
    </row>
    <row r="109" ht="15.75" customHeight="1">
      <c r="A109" s="78"/>
      <c r="B109" s="79"/>
      <c r="C109" s="79"/>
      <c r="D109" s="79"/>
      <c r="E109" s="80"/>
      <c r="F109" s="79" t="s">
        <v>14</v>
      </c>
      <c r="G109" s="79">
        <v>0.0</v>
      </c>
      <c r="H109" s="81">
        <v>0.0</v>
      </c>
      <c r="I109" s="79" t="s">
        <v>20</v>
      </c>
      <c r="J109" s="53">
        <f t="shared" si="2"/>
        <v>0</v>
      </c>
      <c r="K109" s="54">
        <f t="shared" si="3"/>
        <v>0</v>
      </c>
      <c r="L109" s="54">
        <f>('VEA CLIENTE'!$K109/(1-'VEA CLIENTE'!$M109))-'VEA CLIENTE'!$K109</f>
        <v>0</v>
      </c>
      <c r="M109" s="72">
        <f t="shared" ref="M109:O109" si="364">M$2</f>
        <v>0.13</v>
      </c>
      <c r="N109" s="72">
        <f t="shared" si="364"/>
        <v>0</v>
      </c>
      <c r="O109" s="72">
        <f t="shared" si="364"/>
        <v>0</v>
      </c>
      <c r="P109" s="53">
        <f t="shared" si="4"/>
        <v>0</v>
      </c>
      <c r="Q109" s="76" t="s">
        <v>53</v>
      </c>
      <c r="R109" s="53">
        <f t="shared" si="5"/>
        <v>0</v>
      </c>
      <c r="S109" s="53">
        <f>IF('VEA CLIENTE'!$E109&gt;0,'VEA CLIENTE'!$T109/'VEA CLIENTE'!$E109,0)</f>
        <v>0</v>
      </c>
      <c r="T109" s="53">
        <f t="shared" si="6"/>
        <v>0</v>
      </c>
      <c r="U109" s="57"/>
      <c r="V109" s="2"/>
      <c r="W109" s="58"/>
      <c r="X109" s="59"/>
      <c r="Y109" s="71"/>
      <c r="Z109" s="71"/>
      <c r="AA109" s="62">
        <f>'VEA CLIENTE'!$Z109/(1-'VEA CLIENTE'!$AB109)-'VEA CLIENTE'!$Z109</f>
        <v>0</v>
      </c>
      <c r="AB109" s="72">
        <f t="shared" ref="AB109:AD109" si="365">AB$2</f>
        <v>0.13</v>
      </c>
      <c r="AC109" s="72">
        <f t="shared" si="365"/>
        <v>0</v>
      </c>
      <c r="AD109" s="72">
        <f t="shared" si="365"/>
        <v>0</v>
      </c>
      <c r="AE109" s="53">
        <f t="shared" si="7"/>
        <v>0</v>
      </c>
      <c r="AF109" s="63"/>
      <c r="AG109" s="2"/>
      <c r="AH109" s="64"/>
      <c r="AI109" s="73"/>
      <c r="AJ109" s="73"/>
      <c r="AK109" s="62">
        <f>'VEA CLIENTE'!$AJ109/(1-'VEA CLIENTE'!$AL109)-'VEA CLIENTE'!$AJ109</f>
        <v>0</v>
      </c>
      <c r="AL109" s="74">
        <f t="shared" ref="AL109:AN109" si="366">AL$2</f>
        <v>0.13</v>
      </c>
      <c r="AM109" s="74">
        <f t="shared" si="366"/>
        <v>0</v>
      </c>
      <c r="AN109" s="74">
        <f t="shared" si="366"/>
        <v>0</v>
      </c>
      <c r="AO109" s="53">
        <f t="shared" si="8"/>
        <v>0</v>
      </c>
      <c r="AP109" s="76" t="str">
        <f t="shared" ref="AP109:AQ109" si="367">AP$2</f>
        <v>NO</v>
      </c>
      <c r="AQ109" s="76" t="str">
        <f t="shared" si="367"/>
        <v>NO</v>
      </c>
      <c r="AR109" s="53">
        <f t="shared" si="9"/>
        <v>0</v>
      </c>
      <c r="AS109" s="53">
        <f t="shared" si="10"/>
        <v>0</v>
      </c>
      <c r="AT109" s="54">
        <f t="shared" si="11"/>
        <v>0</v>
      </c>
      <c r="AU109" s="68"/>
      <c r="AV109" s="2"/>
    </row>
    <row r="110" ht="15.75" customHeight="1">
      <c r="A110" s="78"/>
      <c r="B110" s="79"/>
      <c r="C110" s="79"/>
      <c r="D110" s="79"/>
      <c r="E110" s="80"/>
      <c r="F110" s="79" t="s">
        <v>14</v>
      </c>
      <c r="G110" s="79">
        <v>0.0</v>
      </c>
      <c r="H110" s="81">
        <v>0.0</v>
      </c>
      <c r="I110" s="79" t="s">
        <v>20</v>
      </c>
      <c r="J110" s="53">
        <f t="shared" si="2"/>
        <v>0</v>
      </c>
      <c r="K110" s="54">
        <f t="shared" si="3"/>
        <v>0</v>
      </c>
      <c r="L110" s="54">
        <f>('VEA CLIENTE'!$K110/(1-'VEA CLIENTE'!$M110))-'VEA CLIENTE'!$K110</f>
        <v>0</v>
      </c>
      <c r="M110" s="72">
        <f t="shared" ref="M110:O110" si="368">M$2</f>
        <v>0.13</v>
      </c>
      <c r="N110" s="72">
        <f t="shared" si="368"/>
        <v>0</v>
      </c>
      <c r="O110" s="72">
        <f t="shared" si="368"/>
        <v>0</v>
      </c>
      <c r="P110" s="53">
        <f t="shared" si="4"/>
        <v>0</v>
      </c>
      <c r="Q110" s="76" t="s">
        <v>53</v>
      </c>
      <c r="R110" s="53">
        <f t="shared" si="5"/>
        <v>0</v>
      </c>
      <c r="S110" s="53">
        <f>IF('VEA CLIENTE'!$E110&gt;0,'VEA CLIENTE'!$T110/'VEA CLIENTE'!$E110,0)</f>
        <v>0</v>
      </c>
      <c r="T110" s="53">
        <f t="shared" si="6"/>
        <v>0</v>
      </c>
      <c r="U110" s="57"/>
      <c r="V110" s="2"/>
      <c r="W110" s="58"/>
      <c r="X110" s="59"/>
      <c r="Y110" s="71"/>
      <c r="Z110" s="71"/>
      <c r="AA110" s="62">
        <f>'VEA CLIENTE'!$Z110/(1-'VEA CLIENTE'!$AB110)-'VEA CLIENTE'!$Z110</f>
        <v>0</v>
      </c>
      <c r="AB110" s="72">
        <f t="shared" ref="AB110:AD110" si="369">AB$2</f>
        <v>0.13</v>
      </c>
      <c r="AC110" s="72">
        <f t="shared" si="369"/>
        <v>0</v>
      </c>
      <c r="AD110" s="72">
        <f t="shared" si="369"/>
        <v>0</v>
      </c>
      <c r="AE110" s="53">
        <f t="shared" si="7"/>
        <v>0</v>
      </c>
      <c r="AF110" s="63"/>
      <c r="AG110" s="2"/>
      <c r="AH110" s="64"/>
      <c r="AI110" s="73"/>
      <c r="AJ110" s="73"/>
      <c r="AK110" s="62">
        <f>'VEA CLIENTE'!$AJ110/(1-'VEA CLIENTE'!$AL110)-'VEA CLIENTE'!$AJ110</f>
        <v>0</v>
      </c>
      <c r="AL110" s="74">
        <f t="shared" ref="AL110:AN110" si="370">AL$2</f>
        <v>0.13</v>
      </c>
      <c r="AM110" s="74">
        <f t="shared" si="370"/>
        <v>0</v>
      </c>
      <c r="AN110" s="74">
        <f t="shared" si="370"/>
        <v>0</v>
      </c>
      <c r="AO110" s="53">
        <f t="shared" si="8"/>
        <v>0</v>
      </c>
      <c r="AP110" s="76" t="str">
        <f t="shared" ref="AP110:AQ110" si="371">AP$2</f>
        <v>NO</v>
      </c>
      <c r="AQ110" s="76" t="str">
        <f t="shared" si="371"/>
        <v>NO</v>
      </c>
      <c r="AR110" s="53">
        <f t="shared" si="9"/>
        <v>0</v>
      </c>
      <c r="AS110" s="53">
        <f t="shared" si="10"/>
        <v>0</v>
      </c>
      <c r="AT110" s="54">
        <f t="shared" si="11"/>
        <v>0</v>
      </c>
      <c r="AU110" s="68"/>
      <c r="AV110" s="2"/>
    </row>
    <row r="111" ht="15.75" customHeight="1">
      <c r="A111" s="78"/>
      <c r="B111" s="79"/>
      <c r="C111" s="79"/>
      <c r="D111" s="79" t="s">
        <v>73</v>
      </c>
      <c r="E111" s="80">
        <v>95.0</v>
      </c>
      <c r="F111" s="79" t="s">
        <v>14</v>
      </c>
      <c r="G111" s="79">
        <v>0.0</v>
      </c>
      <c r="H111" s="81">
        <v>0.0</v>
      </c>
      <c r="I111" s="79" t="s">
        <v>20</v>
      </c>
      <c r="J111" s="53">
        <f t="shared" si="2"/>
        <v>0</v>
      </c>
      <c r="K111" s="54">
        <f t="shared" si="3"/>
        <v>0</v>
      </c>
      <c r="L111" s="54">
        <f>('VEA CLIENTE'!$K111/(1-'VEA CLIENTE'!$M111))-'VEA CLIENTE'!$K111</f>
        <v>0</v>
      </c>
      <c r="M111" s="72">
        <f t="shared" ref="M111:O111" si="372">M$2</f>
        <v>0.13</v>
      </c>
      <c r="N111" s="72">
        <f t="shared" si="372"/>
        <v>0</v>
      </c>
      <c r="O111" s="72">
        <f t="shared" si="372"/>
        <v>0</v>
      </c>
      <c r="P111" s="53">
        <f t="shared" si="4"/>
        <v>0</v>
      </c>
      <c r="Q111" s="76" t="s">
        <v>53</v>
      </c>
      <c r="R111" s="53">
        <f t="shared" si="5"/>
        <v>0</v>
      </c>
      <c r="S111" s="53">
        <f>IF('VEA CLIENTE'!$E111&gt;0,'VEA CLIENTE'!$T111/'VEA CLIENTE'!$E111,0)</f>
        <v>0</v>
      </c>
      <c r="T111" s="53">
        <f t="shared" si="6"/>
        <v>0</v>
      </c>
      <c r="U111" s="57"/>
      <c r="V111" s="2"/>
      <c r="W111" s="58"/>
      <c r="X111" s="59"/>
      <c r="Y111" s="71"/>
      <c r="Z111" s="71"/>
      <c r="AA111" s="62">
        <f>'VEA CLIENTE'!$Z111/(1-'VEA CLIENTE'!$AB111)-'VEA CLIENTE'!$Z111</f>
        <v>0</v>
      </c>
      <c r="AB111" s="72">
        <f t="shared" ref="AB111:AD111" si="373">AB$2</f>
        <v>0.13</v>
      </c>
      <c r="AC111" s="72">
        <f t="shared" si="373"/>
        <v>0</v>
      </c>
      <c r="AD111" s="72">
        <f t="shared" si="373"/>
        <v>0</v>
      </c>
      <c r="AE111" s="53">
        <f t="shared" si="7"/>
        <v>0</v>
      </c>
      <c r="AF111" s="63"/>
      <c r="AG111" s="2"/>
      <c r="AH111" s="64"/>
      <c r="AI111" s="73"/>
      <c r="AJ111" s="73"/>
      <c r="AK111" s="62">
        <f>'VEA CLIENTE'!$AJ111/(1-'VEA CLIENTE'!$AL111)-'VEA CLIENTE'!$AJ111</f>
        <v>0</v>
      </c>
      <c r="AL111" s="74">
        <f t="shared" ref="AL111:AN111" si="374">AL$2</f>
        <v>0.13</v>
      </c>
      <c r="AM111" s="74">
        <f t="shared" si="374"/>
        <v>0</v>
      </c>
      <c r="AN111" s="74">
        <f t="shared" si="374"/>
        <v>0</v>
      </c>
      <c r="AO111" s="53">
        <f t="shared" si="8"/>
        <v>0</v>
      </c>
      <c r="AP111" s="76" t="str">
        <f t="shared" ref="AP111:AQ111" si="375">AP$2</f>
        <v>NO</v>
      </c>
      <c r="AQ111" s="76" t="str">
        <f t="shared" si="375"/>
        <v>NO</v>
      </c>
      <c r="AR111" s="53">
        <f t="shared" si="9"/>
        <v>0</v>
      </c>
      <c r="AS111" s="53">
        <f t="shared" si="10"/>
        <v>0</v>
      </c>
      <c r="AT111" s="54">
        <f t="shared" si="11"/>
        <v>0</v>
      </c>
      <c r="AU111" s="68"/>
      <c r="AV111" s="2"/>
    </row>
    <row r="112" ht="15.75" customHeight="1">
      <c r="A112" s="78"/>
      <c r="B112" s="79"/>
      <c r="C112" s="79"/>
      <c r="D112" s="79" t="s">
        <v>74</v>
      </c>
      <c r="E112" s="80">
        <v>96.0</v>
      </c>
      <c r="F112" s="79" t="s">
        <v>14</v>
      </c>
      <c r="G112" s="79">
        <v>0.0</v>
      </c>
      <c r="H112" s="81">
        <v>0.0</v>
      </c>
      <c r="I112" s="79" t="s">
        <v>20</v>
      </c>
      <c r="J112" s="53">
        <f t="shared" si="2"/>
        <v>0</v>
      </c>
      <c r="K112" s="54">
        <f t="shared" si="3"/>
        <v>0</v>
      </c>
      <c r="L112" s="54">
        <f>('VEA CLIENTE'!$K112/(1-'VEA CLIENTE'!$M112))-'VEA CLIENTE'!$K112</f>
        <v>0</v>
      </c>
      <c r="M112" s="72">
        <f t="shared" ref="M112:O112" si="376">M$2</f>
        <v>0.13</v>
      </c>
      <c r="N112" s="72">
        <f t="shared" si="376"/>
        <v>0</v>
      </c>
      <c r="O112" s="72">
        <f t="shared" si="376"/>
        <v>0</v>
      </c>
      <c r="P112" s="53">
        <f t="shared" si="4"/>
        <v>0</v>
      </c>
      <c r="Q112" s="76" t="s">
        <v>53</v>
      </c>
      <c r="R112" s="53">
        <f t="shared" si="5"/>
        <v>0</v>
      </c>
      <c r="S112" s="53">
        <f>IF('VEA CLIENTE'!$E112&gt;0,'VEA CLIENTE'!$T112/'VEA CLIENTE'!$E112,0)</f>
        <v>0</v>
      </c>
      <c r="T112" s="53">
        <f t="shared" si="6"/>
        <v>0</v>
      </c>
      <c r="U112" s="57"/>
      <c r="V112" s="2"/>
      <c r="W112" s="58"/>
      <c r="X112" s="59"/>
      <c r="Y112" s="82"/>
      <c r="Z112" s="82"/>
      <c r="AA112" s="83">
        <f>'VEA CLIENTE'!$Z112/(1-'VEA CLIENTE'!$AB112)-'VEA CLIENTE'!$Z112</f>
        <v>0</v>
      </c>
      <c r="AB112" s="72">
        <f t="shared" ref="AB112:AD112" si="377">AB$2</f>
        <v>0.13</v>
      </c>
      <c r="AC112" s="72">
        <f t="shared" si="377"/>
        <v>0</v>
      </c>
      <c r="AD112" s="72">
        <f t="shared" si="377"/>
        <v>0</v>
      </c>
      <c r="AE112" s="53">
        <f t="shared" si="7"/>
        <v>0</v>
      </c>
      <c r="AF112" s="63"/>
      <c r="AG112" s="2"/>
      <c r="AH112" s="64"/>
      <c r="AI112" s="84"/>
      <c r="AJ112" s="84"/>
      <c r="AK112" s="83">
        <f>'VEA CLIENTE'!$AJ112/(1-'VEA CLIENTE'!$AL112)-'VEA CLIENTE'!$AJ112</f>
        <v>0</v>
      </c>
      <c r="AL112" s="74">
        <f t="shared" ref="AL112:AN112" si="378">AL$2</f>
        <v>0.13</v>
      </c>
      <c r="AM112" s="74">
        <f t="shared" si="378"/>
        <v>0</v>
      </c>
      <c r="AN112" s="74">
        <f t="shared" si="378"/>
        <v>0</v>
      </c>
      <c r="AO112" s="53">
        <f t="shared" si="8"/>
        <v>0</v>
      </c>
      <c r="AP112" s="76" t="str">
        <f t="shared" ref="AP112:AQ112" si="379">AP$2</f>
        <v>NO</v>
      </c>
      <c r="AQ112" s="76" t="str">
        <f t="shared" si="379"/>
        <v>NO</v>
      </c>
      <c r="AR112" s="53">
        <f t="shared" si="9"/>
        <v>0</v>
      </c>
      <c r="AS112" s="53">
        <f t="shared" si="10"/>
        <v>0</v>
      </c>
      <c r="AT112" s="54">
        <f t="shared" si="11"/>
        <v>0</v>
      </c>
      <c r="AU112" s="68"/>
      <c r="AV112" s="2"/>
    </row>
    <row r="113" ht="15.75" customHeight="1">
      <c r="A113" s="2"/>
      <c r="B113" s="2"/>
      <c r="C113" s="2"/>
      <c r="D113" s="85"/>
      <c r="E113" s="85"/>
      <c r="F113" s="85"/>
      <c r="G113" s="85"/>
      <c r="H113" s="85"/>
      <c r="I113" s="86" t="s">
        <v>26</v>
      </c>
      <c r="J113" s="87"/>
      <c r="K113" s="88">
        <f>SUM('VEA CLIENTE'!$K$13:$K$112)</f>
        <v>201963.78</v>
      </c>
      <c r="L113" s="89"/>
      <c r="M113" s="89"/>
      <c r="N113" s="89"/>
      <c r="O113" s="2"/>
      <c r="P113" s="88">
        <f>SUM('VEA CLIENTE'!$P$13:$P$112)</f>
        <v>232271.4409</v>
      </c>
      <c r="Q113" s="2"/>
      <c r="R113" s="88">
        <f>SUM('VEA CLIENTE'!$R$13:$R$112)</f>
        <v>77958.9997</v>
      </c>
      <c r="S113" s="2"/>
      <c r="T113" s="88">
        <f>SUM('VEA CLIENTE'!$T$13:$T$112)</f>
        <v>260319</v>
      </c>
      <c r="U113" s="2"/>
      <c r="V113" s="2"/>
      <c r="W113" s="90" t="s">
        <v>75</v>
      </c>
      <c r="X113" s="87"/>
      <c r="Y113" s="2"/>
      <c r="Z113" s="91">
        <f>SUM('VEA CLIENTE'!$Z$13:$Z$112)</f>
        <v>570</v>
      </c>
      <c r="AA113" s="89"/>
      <c r="AB113" s="89"/>
      <c r="AC113" s="2"/>
      <c r="AD113" s="2"/>
      <c r="AE113" s="92">
        <f>SUM('VEA CLIENTE'!$AE$13:$AE$112)</f>
        <v>993.9970157</v>
      </c>
      <c r="AF113" s="2"/>
      <c r="AG113" s="2"/>
      <c r="AH113" s="86" t="s">
        <v>75</v>
      </c>
      <c r="AI113" s="87"/>
      <c r="AJ113" s="91">
        <f>SUM('VEA CLIENTE'!$AJ$13:$AJ$112)</f>
        <v>2300</v>
      </c>
      <c r="AK113" s="89"/>
      <c r="AL113" s="2"/>
      <c r="AM113" s="93"/>
      <c r="AN113" s="2"/>
      <c r="AO113" s="92">
        <f>SUM('VEA CLIENTE'!$AO$13:$AO$112)</f>
        <v>2828.134686</v>
      </c>
      <c r="AP113" s="2"/>
      <c r="AQ113" s="2"/>
      <c r="AR113" s="92">
        <f>SUM('VEA CLIENTE'!$AR$13:$AR$112)</f>
        <v>378.17511</v>
      </c>
      <c r="AS113" s="88">
        <f>IF(COUNTIFS('VEA CLIENTE'!$AS$13:$AS$112,"ERROR")=0,SUM('VEA CLIENTE'!$AS$13:$AS$112),"error")</f>
        <v>172.4137931</v>
      </c>
      <c r="AT113" s="92">
        <f>SUM('VEA CLIENTE'!$AT$13:$AT$112)</f>
        <v>441</v>
      </c>
      <c r="AU113" s="2"/>
      <c r="AV113" s="2"/>
    </row>
    <row r="114" ht="15.75" customHeight="1">
      <c r="A114" s="2"/>
      <c r="B114" s="2"/>
      <c r="C114" s="2"/>
      <c r="D114" s="85"/>
      <c r="E114" s="85"/>
      <c r="F114" s="85"/>
      <c r="G114" s="85"/>
      <c r="H114" s="85"/>
      <c r="I114" s="94"/>
      <c r="J114" s="94"/>
      <c r="K114" s="94"/>
      <c r="L114" s="94"/>
      <c r="M114" s="94"/>
      <c r="N114" s="94"/>
      <c r="O114" s="94"/>
      <c r="P114" s="95"/>
      <c r="Q114" s="95"/>
      <c r="R114" s="95"/>
      <c r="S114" s="94"/>
      <c r="T114" s="96"/>
      <c r="U114" s="2"/>
      <c r="V114" s="2"/>
      <c r="W114" s="2"/>
      <c r="X114" s="2"/>
      <c r="Y114" s="2"/>
      <c r="Z114" s="94"/>
      <c r="AA114" s="94"/>
      <c r="AB114" s="94"/>
      <c r="AC114" s="94"/>
      <c r="AD114" s="2"/>
      <c r="AE114" s="2"/>
      <c r="AF114" s="2"/>
      <c r="AG114" s="2"/>
      <c r="AH114" s="2"/>
      <c r="AI114" s="94"/>
      <c r="AJ114" s="94"/>
      <c r="AK114" s="94"/>
      <c r="AL114" s="94"/>
      <c r="AM114" s="94"/>
      <c r="AN114" s="94"/>
      <c r="AO114" s="94"/>
      <c r="AP114" s="95"/>
      <c r="AQ114" s="94"/>
      <c r="AR114" s="96"/>
      <c r="AS114" s="2"/>
      <c r="AT114" s="2"/>
      <c r="AU114" s="2"/>
      <c r="AV114" s="2"/>
    </row>
    <row r="115" ht="15.75" customHeight="1">
      <c r="A115" s="2"/>
      <c r="B115" s="2"/>
      <c r="C115" s="2"/>
      <c r="D115" s="85"/>
      <c r="E115" s="85"/>
      <c r="F115" s="85"/>
      <c r="G115" s="85"/>
      <c r="H115" s="85"/>
      <c r="I115" s="97"/>
      <c r="J115" s="97"/>
      <c r="K115" s="97"/>
      <c r="L115" s="97"/>
      <c r="M115" s="97"/>
      <c r="N115" s="97"/>
      <c r="O115" s="97"/>
      <c r="P115" s="97"/>
      <c r="Q115" s="97"/>
      <c r="R115" s="97"/>
      <c r="S115" s="97"/>
      <c r="T115" s="96"/>
      <c r="U115" s="2"/>
      <c r="V115" s="2"/>
      <c r="W115" s="2"/>
      <c r="X115" s="2"/>
      <c r="Y115" s="2"/>
      <c r="Z115" s="97"/>
      <c r="AA115" s="97"/>
      <c r="AB115" s="97"/>
      <c r="AC115" s="97"/>
      <c r="AD115" s="2"/>
      <c r="AE115" s="2"/>
      <c r="AF115" s="2"/>
      <c r="AG115" s="2"/>
      <c r="AH115" s="2"/>
      <c r="AI115" s="97"/>
      <c r="AJ115" s="97"/>
      <c r="AK115" s="97"/>
      <c r="AL115" s="97"/>
      <c r="AM115" s="97"/>
      <c r="AN115" s="97"/>
      <c r="AO115" s="97"/>
      <c r="AP115" s="97"/>
      <c r="AQ115" s="97"/>
      <c r="AR115" s="96"/>
      <c r="AS115" s="2"/>
      <c r="AT115" s="2"/>
      <c r="AU115" s="2"/>
      <c r="AV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18"/>
      <c r="AQ116" s="2"/>
      <c r="AR116" s="2"/>
      <c r="AS116" s="2"/>
      <c r="AT116" s="2"/>
      <c r="AU116" s="2"/>
      <c r="AV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row>
  </sheetData>
  <customSheetViews>
    <customSheetView guid="{777BA9CA-E8DE-4232-905B-894143FB4FE1}" filter="1" showAutoFilter="1">
      <autoFilter ref="$A$12:$U$112"/>
    </customSheetView>
    <customSheetView guid="{4BB05055-FCD6-4C7E-BA81-608746F01C66}" filter="1" showAutoFilter="1">
      <autoFilter ref="$A$12:$U$112">
        <filterColumn colId="0">
          <filters>
            <filter val="PRODUCTO"/>
          </filters>
        </filterColumn>
      </autoFilter>
    </customSheetView>
  </customSheetViews>
  <mergeCells count="7">
    <mergeCell ref="A10:U10"/>
    <mergeCell ref="W10:AF10"/>
    <mergeCell ref="AH10:AU10"/>
    <mergeCell ref="I11:J11"/>
    <mergeCell ref="I113:J113"/>
    <mergeCell ref="W113:X113"/>
    <mergeCell ref="AH113:AI113"/>
  </mergeCells>
  <conditionalFormatting sqref="I114:T115 AM113 AO113">
    <cfRule type="cellIs" dxfId="0" priority="1" operator="greaterThanOrEqual">
      <formula>1</formula>
    </cfRule>
  </conditionalFormatting>
  <conditionalFormatting sqref="AI114:AJ115">
    <cfRule type="cellIs" dxfId="0" priority="2" operator="greaterThanOrEqual">
      <formula>1</formula>
    </cfRule>
  </conditionalFormatting>
  <conditionalFormatting sqref="AK114:AO115 AQ114:AR115">
    <cfRule type="cellIs" dxfId="0" priority="3" operator="greaterThanOrEqual">
      <formula>1</formula>
    </cfRule>
  </conditionalFormatting>
  <conditionalFormatting sqref="Z114:AA115">
    <cfRule type="cellIs" dxfId="0" priority="4" operator="greaterThanOrEqual">
      <formula>1</formula>
    </cfRule>
  </conditionalFormatting>
  <conditionalFormatting sqref="AB114:AC115">
    <cfRule type="cellIs" dxfId="0" priority="5" operator="greaterThanOrEqual">
      <formula>1</formula>
    </cfRule>
  </conditionalFormatting>
  <conditionalFormatting sqref="AP114:AP115">
    <cfRule type="cellIs" dxfId="0" priority="6" operator="greaterThanOrEqual">
      <formula>1</formula>
    </cfRule>
  </conditionalFormatting>
  <printOptions/>
  <pageMargins bottom="0.75" footer="0.0" header="0.0" left="0.7" right="0.7" top="0.75"/>
  <pageSetup orientation="portrait"/>
  <drawing r:id="rId1"/>
  <tableParts count="3">
    <tablePart r:id="rId5"/>
    <tablePart r:id="rId6"/>
    <tablePart r:id="rId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38"/>
    <col customWidth="1" min="2" max="2" width="6.88"/>
    <col customWidth="1" min="3" max="3" width="9.63"/>
    <col customWidth="1" min="4" max="4" width="43.25"/>
    <col customWidth="1" min="5" max="5" width="28.13"/>
    <col customWidth="1" min="6" max="6" width="14.0"/>
    <col customWidth="1" min="7" max="9" width="10.25"/>
    <col customWidth="1" min="10" max="10" width="10.88"/>
    <col customWidth="1" min="11" max="11" width="16.13"/>
    <col customWidth="1" min="12" max="12" width="13.25"/>
    <col customWidth="1" min="13" max="13" width="19.63"/>
    <col customWidth="1" min="14" max="14" width="13.5"/>
    <col customWidth="1" min="15" max="15" width="19.63"/>
    <col customWidth="1" min="16" max="16" width="58.5"/>
    <col customWidth="1" min="17" max="17" width="43.0"/>
    <col customWidth="1" min="18" max="18" width="13.88"/>
    <col customWidth="1" min="19" max="19" width="27.88"/>
    <col customWidth="1" min="20" max="20" width="10.75"/>
    <col customWidth="1" min="21" max="21" width="9.13"/>
    <col customWidth="1" min="22" max="22" width="10.25"/>
    <col customWidth="1" min="23" max="23" width="19.63"/>
    <col customWidth="1" min="24" max="24" width="10.25"/>
    <col customWidth="1" min="25" max="25" width="19.63"/>
    <col customWidth="1" min="26" max="26" width="48.13"/>
    <col customWidth="1" min="27" max="27" width="14.13"/>
    <col customWidth="1" min="28" max="28" width="51.0"/>
    <col customWidth="1" min="29" max="29" width="10.75"/>
    <col customWidth="1" min="30" max="30" width="7.88"/>
    <col customWidth="1" min="31" max="31" width="10.25"/>
    <col customWidth="1" min="32" max="32" width="19.63"/>
    <col customWidth="1" min="33" max="33" width="30.63"/>
    <col customWidth="1" min="34" max="34" width="36.88"/>
    <col customWidth="1" min="35" max="35" width="52.63"/>
    <col customWidth="1" min="36" max="37" width="10.25"/>
    <col customWidth="1" min="38" max="38" width="37.75"/>
    <col customWidth="1" min="39" max="49" width="10.25"/>
  </cols>
  <sheetData>
    <row r="1">
      <c r="A1" s="1" t="s">
        <v>0</v>
      </c>
      <c r="B1" s="2"/>
      <c r="C1" s="2"/>
      <c r="D1" s="3"/>
      <c r="E1" s="2"/>
      <c r="F1" s="3"/>
      <c r="G1" s="3"/>
      <c r="H1" s="3"/>
      <c r="I1" s="4" t="s">
        <v>1</v>
      </c>
      <c r="J1" s="2"/>
      <c r="K1" s="2"/>
      <c r="L1" s="2"/>
      <c r="M1" s="1" t="s">
        <v>2</v>
      </c>
      <c r="N1" s="5" t="s">
        <v>3</v>
      </c>
      <c r="O1" s="5" t="s">
        <v>4</v>
      </c>
      <c r="P1" s="2"/>
      <c r="Q1" s="2"/>
      <c r="R1" s="2"/>
      <c r="S1" s="2"/>
      <c r="T1" s="2"/>
      <c r="U1" s="2"/>
      <c r="V1" s="2"/>
      <c r="W1" s="2"/>
      <c r="X1" s="4" t="s">
        <v>2</v>
      </c>
      <c r="Y1" s="5" t="s">
        <v>3</v>
      </c>
      <c r="Z1" s="5" t="s">
        <v>4</v>
      </c>
      <c r="AA1" s="2"/>
      <c r="AB1" s="2"/>
      <c r="AC1" s="2"/>
      <c r="AD1" s="2"/>
      <c r="AE1" s="2"/>
      <c r="AF1" s="2"/>
      <c r="AG1" s="2"/>
      <c r="AH1" s="4" t="s">
        <v>2</v>
      </c>
      <c r="AI1" s="5" t="s">
        <v>3</v>
      </c>
      <c r="AJ1" s="5" t="s">
        <v>4</v>
      </c>
      <c r="AK1" s="2"/>
      <c r="AL1" s="2"/>
      <c r="AM1" s="2"/>
      <c r="AN1" s="2"/>
      <c r="AO1" s="2"/>
      <c r="AP1" s="2"/>
      <c r="AQ1" s="2"/>
      <c r="AR1" s="2"/>
      <c r="AS1" s="2"/>
      <c r="AT1" s="2"/>
      <c r="AU1" s="2"/>
      <c r="AV1" s="2"/>
      <c r="AW1" s="2"/>
    </row>
    <row r="2">
      <c r="A2" s="98" t="s">
        <v>76</v>
      </c>
      <c r="B2" s="2"/>
      <c r="C2" s="2"/>
      <c r="D2" s="8"/>
      <c r="E2" s="2"/>
      <c r="F2" s="8"/>
      <c r="G2" s="8"/>
      <c r="H2" s="8"/>
      <c r="I2" s="99">
        <f>'VEA CLIENTE'!I2</f>
        <v>20.5</v>
      </c>
      <c r="J2" s="2"/>
      <c r="K2" s="2"/>
      <c r="L2" s="2"/>
      <c r="M2" s="11">
        <v>0.13</v>
      </c>
      <c r="N2" s="11">
        <v>0.0</v>
      </c>
      <c r="O2" s="11">
        <v>0.0</v>
      </c>
      <c r="P2" s="2"/>
      <c r="Q2" s="2"/>
      <c r="R2" s="14"/>
      <c r="S2" s="15"/>
      <c r="T2" s="2"/>
      <c r="U2" s="2"/>
      <c r="V2" s="2"/>
      <c r="W2" s="2"/>
      <c r="X2" s="10">
        <v>0.13</v>
      </c>
      <c r="Y2" s="10">
        <v>0.0</v>
      </c>
      <c r="Z2" s="10">
        <v>0.0</v>
      </c>
      <c r="AA2" s="2"/>
      <c r="AB2" s="2"/>
      <c r="AC2" s="2"/>
      <c r="AD2" s="2"/>
      <c r="AE2" s="2"/>
      <c r="AF2" s="2"/>
      <c r="AG2" s="2"/>
      <c r="AH2" s="10">
        <v>0.1</v>
      </c>
      <c r="AI2" s="10">
        <v>0.0</v>
      </c>
      <c r="AJ2" s="10">
        <v>0.0</v>
      </c>
      <c r="AK2" s="2"/>
      <c r="AL2" s="2"/>
      <c r="AM2" s="2"/>
      <c r="AN2" s="2"/>
      <c r="AO2" s="2"/>
      <c r="AP2" s="2"/>
      <c r="AQ2" s="2"/>
      <c r="AR2" s="2"/>
      <c r="AS2" s="2"/>
      <c r="AT2" s="2"/>
      <c r="AU2" s="2"/>
      <c r="AV2" s="2"/>
      <c r="AW2" s="2"/>
    </row>
    <row r="3">
      <c r="A3" s="98" t="s">
        <v>11</v>
      </c>
      <c r="B3" s="8"/>
      <c r="C3" s="2"/>
      <c r="D3" s="8"/>
      <c r="E3" s="2"/>
      <c r="F3" s="1" t="s">
        <v>12</v>
      </c>
      <c r="G3" s="8"/>
      <c r="H3" s="8"/>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row>
    <row r="4">
      <c r="A4" s="98" t="s">
        <v>13</v>
      </c>
      <c r="B4" s="8"/>
      <c r="C4" s="2"/>
      <c r="D4" s="8"/>
      <c r="E4" s="2"/>
      <c r="F4" s="19" t="s">
        <v>14</v>
      </c>
      <c r="G4" s="8"/>
      <c r="H4" s="8"/>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row>
    <row r="5">
      <c r="A5" s="98" t="s">
        <v>15</v>
      </c>
      <c r="B5" s="8"/>
      <c r="C5" s="2"/>
      <c r="D5" s="8"/>
      <c r="E5" s="2"/>
      <c r="F5" s="19" t="s">
        <v>16</v>
      </c>
      <c r="G5" s="8"/>
      <c r="H5" s="8"/>
      <c r="I5" s="1" t="s">
        <v>17</v>
      </c>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row>
    <row r="6">
      <c r="A6" s="98" t="s">
        <v>77</v>
      </c>
      <c r="B6" s="8"/>
      <c r="C6" s="2"/>
      <c r="D6" s="8"/>
      <c r="E6" s="2"/>
      <c r="F6" s="19" t="s">
        <v>19</v>
      </c>
      <c r="G6" s="8"/>
      <c r="H6" s="8"/>
      <c r="I6" s="19" t="s">
        <v>20</v>
      </c>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row>
    <row r="7">
      <c r="A7" s="98" t="s">
        <v>18</v>
      </c>
      <c r="B7" s="8"/>
      <c r="C7" s="2"/>
      <c r="D7" s="8"/>
      <c r="E7" s="2"/>
      <c r="F7" s="19" t="s">
        <v>21</v>
      </c>
      <c r="G7" s="8"/>
      <c r="H7" s="8"/>
      <c r="I7" s="19" t="s">
        <v>22</v>
      </c>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row>
    <row r="8">
      <c r="A8" s="98"/>
      <c r="B8" s="8"/>
      <c r="C8" s="2"/>
      <c r="D8" s="8"/>
      <c r="E8" s="2"/>
      <c r="F8" s="19"/>
      <c r="G8" s="8"/>
      <c r="H8" s="8"/>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row>
    <row r="9">
      <c r="A9" s="8"/>
      <c r="B9" s="8"/>
      <c r="C9" s="2"/>
      <c r="D9" s="8"/>
      <c r="E9" s="2"/>
      <c r="F9" s="8"/>
      <c r="G9" s="8"/>
      <c r="H9" s="8"/>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row>
    <row r="10">
      <c r="A10" s="22" t="s">
        <v>23</v>
      </c>
      <c r="B10" s="23"/>
      <c r="C10" s="23"/>
      <c r="D10" s="23"/>
      <c r="E10" s="23"/>
      <c r="F10" s="23"/>
      <c r="G10" s="23"/>
      <c r="H10" s="23"/>
      <c r="I10" s="23"/>
      <c r="J10" s="23"/>
      <c r="K10" s="23"/>
      <c r="L10" s="23"/>
      <c r="M10" s="23"/>
      <c r="N10" s="23"/>
      <c r="O10" s="23"/>
      <c r="P10" s="23"/>
      <c r="Q10" s="24"/>
      <c r="R10" s="8"/>
      <c r="S10" s="100" t="s">
        <v>24</v>
      </c>
      <c r="T10" s="23"/>
      <c r="U10" s="23"/>
      <c r="V10" s="23"/>
      <c r="W10" s="23"/>
      <c r="X10" s="23"/>
      <c r="Y10" s="23"/>
      <c r="Z10" s="23"/>
      <c r="AA10" s="23"/>
      <c r="AB10" s="24"/>
      <c r="AC10" s="8"/>
      <c r="AD10" s="101" t="s">
        <v>25</v>
      </c>
      <c r="AE10" s="23"/>
      <c r="AF10" s="23"/>
      <c r="AG10" s="23"/>
      <c r="AH10" s="23"/>
      <c r="AI10" s="23"/>
      <c r="AJ10" s="23"/>
      <c r="AK10" s="23"/>
      <c r="AL10" s="24"/>
      <c r="AM10" s="2"/>
      <c r="AN10" s="2"/>
      <c r="AO10" s="2"/>
      <c r="AP10" s="2"/>
      <c r="AQ10" s="2"/>
      <c r="AR10" s="2"/>
      <c r="AS10" s="2"/>
      <c r="AT10" s="2"/>
      <c r="AU10" s="2"/>
      <c r="AV10" s="2"/>
      <c r="AW10" s="2"/>
    </row>
    <row r="11">
      <c r="A11" s="8"/>
      <c r="B11" s="8"/>
      <c r="C11" s="102"/>
      <c r="D11" s="8"/>
      <c r="E11" s="102"/>
      <c r="F11" s="8"/>
      <c r="G11" s="8"/>
      <c r="H11" s="8"/>
      <c r="I11" s="27" t="s">
        <v>26</v>
      </c>
      <c r="J11" s="28"/>
      <c r="K11" s="88">
        <f>K113</f>
        <v>16875.73</v>
      </c>
      <c r="L11" s="102"/>
      <c r="M11" s="102"/>
      <c r="N11" s="102"/>
      <c r="O11" s="102"/>
      <c r="P11" s="88">
        <f>P113</f>
        <v>20162.23793</v>
      </c>
      <c r="Q11" s="102"/>
      <c r="R11" s="102"/>
      <c r="S11" s="102"/>
      <c r="T11" s="27" t="s">
        <v>75</v>
      </c>
      <c r="U11" s="28"/>
      <c r="V11" s="103">
        <f>V113</f>
        <v>2850</v>
      </c>
      <c r="W11" s="102"/>
      <c r="X11" s="102"/>
      <c r="Y11" s="102"/>
      <c r="Z11" s="102"/>
      <c r="AA11" s="104">
        <f>AA113</f>
        <v>3385.243377</v>
      </c>
      <c r="AB11" s="102"/>
      <c r="AC11" s="102"/>
      <c r="AD11" s="27" t="s">
        <v>75</v>
      </c>
      <c r="AE11" s="28"/>
      <c r="AF11" s="103">
        <f>AF113</f>
        <v>800</v>
      </c>
      <c r="AG11" s="89"/>
      <c r="AH11" s="102"/>
      <c r="AI11" s="105"/>
      <c r="AJ11" s="102"/>
      <c r="AK11" s="104">
        <f>AK113</f>
        <v>1108.382937</v>
      </c>
      <c r="AL11" s="102"/>
      <c r="AM11" s="2"/>
      <c r="AN11" s="2"/>
      <c r="AO11" s="2"/>
      <c r="AP11" s="2"/>
      <c r="AQ11" s="2"/>
      <c r="AR11" s="2"/>
      <c r="AS11" s="2"/>
      <c r="AT11" s="2"/>
      <c r="AU11" s="2"/>
      <c r="AV11" s="2"/>
      <c r="AW11" s="2"/>
    </row>
    <row r="12">
      <c r="A12" s="106" t="s">
        <v>0</v>
      </c>
      <c r="B12" s="107" t="s">
        <v>27</v>
      </c>
      <c r="C12" s="108" t="s">
        <v>28</v>
      </c>
      <c r="D12" s="108" t="s">
        <v>29</v>
      </c>
      <c r="E12" s="107" t="s">
        <v>30</v>
      </c>
      <c r="F12" s="107" t="s">
        <v>12</v>
      </c>
      <c r="G12" s="109" t="s">
        <v>31</v>
      </c>
      <c r="H12" s="107" t="s">
        <v>32</v>
      </c>
      <c r="I12" s="107" t="s">
        <v>17</v>
      </c>
      <c r="J12" s="107" t="s">
        <v>33</v>
      </c>
      <c r="K12" s="107" t="s">
        <v>34</v>
      </c>
      <c r="L12" s="110" t="s">
        <v>35</v>
      </c>
      <c r="M12" s="110" t="s">
        <v>36</v>
      </c>
      <c r="N12" s="110" t="s">
        <v>37</v>
      </c>
      <c r="O12" s="110" t="s">
        <v>4</v>
      </c>
      <c r="P12" s="110" t="s">
        <v>38</v>
      </c>
      <c r="Q12" s="111" t="s">
        <v>43</v>
      </c>
      <c r="R12" s="36" t="s">
        <v>78</v>
      </c>
      <c r="S12" s="112" t="s">
        <v>27</v>
      </c>
      <c r="T12" s="107" t="s">
        <v>24</v>
      </c>
      <c r="U12" s="113" t="s">
        <v>44</v>
      </c>
      <c r="V12" s="107" t="s">
        <v>45</v>
      </c>
      <c r="W12" s="110" t="s">
        <v>35</v>
      </c>
      <c r="X12" s="110" t="s">
        <v>36</v>
      </c>
      <c r="Y12" s="110" t="s">
        <v>37</v>
      </c>
      <c r="Z12" s="110" t="s">
        <v>4</v>
      </c>
      <c r="AA12" s="110" t="s">
        <v>38</v>
      </c>
      <c r="AB12" s="108" t="s">
        <v>43</v>
      </c>
      <c r="AC12" s="36" t="s">
        <v>78</v>
      </c>
      <c r="AD12" s="106" t="s">
        <v>25</v>
      </c>
      <c r="AE12" s="113" t="s">
        <v>44</v>
      </c>
      <c r="AF12" s="107" t="s">
        <v>45</v>
      </c>
      <c r="AG12" s="110" t="s">
        <v>35</v>
      </c>
      <c r="AH12" s="110" t="s">
        <v>36</v>
      </c>
      <c r="AI12" s="110" t="s">
        <v>37</v>
      </c>
      <c r="AJ12" s="110" t="s">
        <v>4</v>
      </c>
      <c r="AK12" s="110" t="s">
        <v>38</v>
      </c>
      <c r="AL12" s="111" t="s">
        <v>43</v>
      </c>
      <c r="AM12" s="36"/>
      <c r="AN12" s="36"/>
      <c r="AO12" s="36"/>
      <c r="AP12" s="36"/>
      <c r="AQ12" s="36"/>
      <c r="AR12" s="36"/>
      <c r="AS12" s="36"/>
      <c r="AT12" s="36"/>
      <c r="AU12" s="36"/>
      <c r="AV12" s="36"/>
      <c r="AW12" s="36"/>
    </row>
    <row r="13">
      <c r="A13" s="114" t="s">
        <v>11</v>
      </c>
      <c r="B13" s="75">
        <v>1.0</v>
      </c>
      <c r="C13" s="75">
        <v>2.3456789E7</v>
      </c>
      <c r="D13" s="56" t="s">
        <v>11</v>
      </c>
      <c r="E13" s="115">
        <v>1.0</v>
      </c>
      <c r="F13" s="56" t="s">
        <v>14</v>
      </c>
      <c r="G13" s="56">
        <v>0.0</v>
      </c>
      <c r="H13" s="116">
        <v>200.0</v>
      </c>
      <c r="I13" s="56" t="s">
        <v>20</v>
      </c>
      <c r="J13" s="53">
        <f t="shared" ref="J13:J112" si="1">IF(I13="MXN",H13,H13*I$2)</f>
        <v>200</v>
      </c>
      <c r="K13" s="54">
        <f t="shared" ref="K13:K29" si="2">IF(G13=0,J13*E13,J13*E13*G13)</f>
        <v>200</v>
      </c>
      <c r="L13" s="54">
        <f>'NO VEA CLIENTE'!$K13/(1-'NO VEA CLIENTE'!$M13)-'NO VEA CLIENTE'!$K13</f>
        <v>22.22222222</v>
      </c>
      <c r="M13" s="67">
        <v>0.1</v>
      </c>
      <c r="N13" s="67">
        <v>0.0</v>
      </c>
      <c r="O13" s="67">
        <v>0.2</v>
      </c>
      <c r="P13" s="53">
        <f t="shared" ref="P13:P112" si="3">(K13/(1-N13))/(1-M13)/(1-O13)</f>
        <v>277.7777778</v>
      </c>
      <c r="Q13" s="57"/>
      <c r="R13" s="2"/>
      <c r="S13" s="58">
        <v>1.0</v>
      </c>
      <c r="T13" s="59" t="s">
        <v>49</v>
      </c>
      <c r="U13" s="60" t="s">
        <v>50</v>
      </c>
      <c r="V13" s="61">
        <v>50.0</v>
      </c>
      <c r="W13" s="54">
        <f>'NO VEA CLIENTE'!$V13/(1-'NO VEA CLIENTE'!$X13)-'NO VEA CLIENTE'!$V13</f>
        <v>5.555555556</v>
      </c>
      <c r="X13" s="55">
        <v>0.1</v>
      </c>
      <c r="Y13" s="55">
        <v>0.02</v>
      </c>
      <c r="Z13" s="55">
        <v>0.02</v>
      </c>
      <c r="AA13" s="53">
        <f t="shared" ref="AA13:AA112" si="4">(V13/(1-Y13))/(1-X13)/(1-Z13)</f>
        <v>57.84626776</v>
      </c>
      <c r="AB13" s="63"/>
      <c r="AC13" s="2"/>
      <c r="AD13" s="117" t="s">
        <v>49</v>
      </c>
      <c r="AE13" s="60" t="s">
        <v>50</v>
      </c>
      <c r="AF13" s="61">
        <v>150.0</v>
      </c>
      <c r="AG13" s="62">
        <f>'NO VEA CLIENTE'!$AF13/(1-'NO VEA CLIENTE'!$AH13)-'NO VEA CLIENTE'!$AF13</f>
        <v>16.66666667</v>
      </c>
      <c r="AH13" s="55">
        <v>0.1</v>
      </c>
      <c r="AI13" s="55">
        <v>0.0</v>
      </c>
      <c r="AJ13" s="55">
        <v>0.0</v>
      </c>
      <c r="AK13" s="53">
        <f t="shared" ref="AK13:AK112" si="5">(AF13/(1-AI13))/(1-AH13)/(1-AJ13)</f>
        <v>166.6666667</v>
      </c>
      <c r="AL13" s="118"/>
      <c r="AM13" s="2"/>
      <c r="AN13" s="2"/>
      <c r="AO13" s="2"/>
      <c r="AP13" s="2"/>
      <c r="AQ13" s="2"/>
      <c r="AR13" s="2"/>
      <c r="AS13" s="2"/>
      <c r="AT13" s="2"/>
      <c r="AU13" s="2"/>
      <c r="AV13" s="2"/>
      <c r="AW13" s="2"/>
    </row>
    <row r="14" ht="29.25" customHeight="1">
      <c r="A14" s="114" t="s">
        <v>11</v>
      </c>
      <c r="B14" s="75">
        <v>2.0</v>
      </c>
      <c r="C14" s="119"/>
      <c r="D14" s="56" t="s">
        <v>79</v>
      </c>
      <c r="E14" s="115">
        <v>1.0</v>
      </c>
      <c r="F14" s="56" t="s">
        <v>14</v>
      </c>
      <c r="G14" s="56">
        <v>8.0</v>
      </c>
      <c r="H14" s="116">
        <v>50.0</v>
      </c>
      <c r="I14" s="56" t="s">
        <v>22</v>
      </c>
      <c r="J14" s="53">
        <f t="shared" si="1"/>
        <v>1025</v>
      </c>
      <c r="K14" s="54">
        <f t="shared" si="2"/>
        <v>8200</v>
      </c>
      <c r="L14" s="54">
        <f>'NO VEA CLIENTE'!$K14/(1-'NO VEA CLIENTE'!$M14)-'NO VEA CLIENTE'!$K14</f>
        <v>1225.287356</v>
      </c>
      <c r="M14" s="67">
        <v>0.13</v>
      </c>
      <c r="N14" s="67">
        <v>0.0</v>
      </c>
      <c r="O14" s="67">
        <v>0.0</v>
      </c>
      <c r="P14" s="53">
        <f t="shared" si="3"/>
        <v>9425.287356</v>
      </c>
      <c r="Q14" s="57">
        <f>'NO VEA CLIENTE'!$K14/0.9</f>
        <v>9111.111111</v>
      </c>
      <c r="R14" s="2"/>
      <c r="S14" s="58"/>
      <c r="T14" s="59"/>
      <c r="U14" s="69" t="s">
        <v>50</v>
      </c>
      <c r="V14" s="61">
        <v>500.0</v>
      </c>
      <c r="W14" s="54">
        <f>'NO VEA CLIENTE'!$V14/(1-'NO VEA CLIENTE'!$X14)-'NO VEA CLIENTE'!$V14</f>
        <v>74.71264368</v>
      </c>
      <c r="X14" s="55">
        <v>0.13</v>
      </c>
      <c r="Y14" s="55">
        <v>0.0</v>
      </c>
      <c r="Z14" s="55">
        <v>0.0</v>
      </c>
      <c r="AA14" s="53">
        <f t="shared" si="4"/>
        <v>574.7126437</v>
      </c>
      <c r="AB14" s="63"/>
      <c r="AC14" s="2"/>
      <c r="AD14" s="117"/>
      <c r="AE14" s="69" t="s">
        <v>50</v>
      </c>
      <c r="AF14" s="61">
        <v>150.0</v>
      </c>
      <c r="AG14" s="62">
        <f>'NO VEA CLIENTE'!$AF14/(1-'NO VEA CLIENTE'!$AH14)-'NO VEA CLIENTE'!$AF14</f>
        <v>16.66666667</v>
      </c>
      <c r="AH14" s="55">
        <v>0.1</v>
      </c>
      <c r="AI14" s="55">
        <v>0.0</v>
      </c>
      <c r="AJ14" s="55">
        <v>0.0</v>
      </c>
      <c r="AK14" s="53">
        <f t="shared" si="5"/>
        <v>166.6666667</v>
      </c>
      <c r="AL14" s="118"/>
      <c r="AM14" s="2"/>
      <c r="AN14" s="2"/>
      <c r="AO14" s="2"/>
      <c r="AP14" s="2"/>
      <c r="AQ14" s="2"/>
      <c r="AR14" s="2"/>
      <c r="AS14" s="2"/>
      <c r="AT14" s="2"/>
      <c r="AU14" s="2"/>
      <c r="AV14" s="2"/>
      <c r="AW14" s="2"/>
    </row>
    <row r="15">
      <c r="A15" s="114" t="s">
        <v>9</v>
      </c>
      <c r="B15" s="75">
        <v>3.0</v>
      </c>
      <c r="C15" s="120"/>
      <c r="D15" s="56" t="s">
        <v>80</v>
      </c>
      <c r="E15" s="115">
        <v>3.0</v>
      </c>
      <c r="F15" s="56" t="s">
        <v>14</v>
      </c>
      <c r="G15" s="56">
        <v>0.0</v>
      </c>
      <c r="H15" s="121">
        <v>10.34</v>
      </c>
      <c r="I15" s="56" t="s">
        <v>20</v>
      </c>
      <c r="J15" s="53">
        <f t="shared" si="1"/>
        <v>10.34</v>
      </c>
      <c r="K15" s="54">
        <f t="shared" si="2"/>
        <v>31.02</v>
      </c>
      <c r="L15" s="54">
        <f>'NO VEA CLIENTE'!$K15/(1-'NO VEA CLIENTE'!$M15)-'NO VEA CLIENTE'!$K15</f>
        <v>3.446666667</v>
      </c>
      <c r="M15" s="67">
        <v>0.1</v>
      </c>
      <c r="N15" s="67">
        <v>0.0</v>
      </c>
      <c r="O15" s="67">
        <v>0.0</v>
      </c>
      <c r="P15" s="53">
        <f t="shared" si="3"/>
        <v>34.46666667</v>
      </c>
      <c r="Q15" s="57">
        <f>'NO VEA CLIENTE'!$K15/0.9</f>
        <v>34.46666667</v>
      </c>
      <c r="R15" s="2"/>
      <c r="S15" s="58"/>
      <c r="T15" s="59"/>
      <c r="U15" s="69" t="s">
        <v>50</v>
      </c>
      <c r="V15" s="61">
        <v>2300.0</v>
      </c>
      <c r="W15" s="54">
        <f>'NO VEA CLIENTE'!$V15/(1-'NO VEA CLIENTE'!$X15)-'NO VEA CLIENTE'!$V15</f>
        <v>343.6781609</v>
      </c>
      <c r="X15" s="55">
        <v>0.13</v>
      </c>
      <c r="Y15" s="55">
        <v>0.02</v>
      </c>
      <c r="Z15" s="55">
        <v>0.02</v>
      </c>
      <c r="AA15" s="53">
        <f t="shared" si="4"/>
        <v>2752.684466</v>
      </c>
      <c r="AB15" s="63"/>
      <c r="AC15" s="2"/>
      <c r="AD15" s="117"/>
      <c r="AE15" s="69" t="s">
        <v>50</v>
      </c>
      <c r="AF15" s="61">
        <v>500.0</v>
      </c>
      <c r="AG15" s="62">
        <f>'NO VEA CLIENTE'!$AF15/(1-'NO VEA CLIENTE'!$AH15)-'NO VEA CLIENTE'!$AF15</f>
        <v>214.2857143</v>
      </c>
      <c r="AH15" s="55">
        <v>0.3</v>
      </c>
      <c r="AI15" s="55">
        <v>0.04</v>
      </c>
      <c r="AJ15" s="55">
        <v>0.04</v>
      </c>
      <c r="AK15" s="53">
        <f t="shared" si="5"/>
        <v>775.0496032</v>
      </c>
      <c r="AL15" s="118"/>
      <c r="AM15" s="2"/>
      <c r="AN15" s="2"/>
      <c r="AO15" s="2"/>
      <c r="AP15" s="2"/>
      <c r="AQ15" s="2"/>
      <c r="AR15" s="2"/>
      <c r="AS15" s="2"/>
      <c r="AT15" s="2"/>
      <c r="AU15" s="2"/>
      <c r="AV15" s="2"/>
      <c r="AW15" s="2"/>
    </row>
    <row r="16">
      <c r="A16" s="114" t="s">
        <v>9</v>
      </c>
      <c r="B16" s="75">
        <v>4.0</v>
      </c>
      <c r="C16" s="120"/>
      <c r="D16" s="56" t="s">
        <v>81</v>
      </c>
      <c r="E16" s="115">
        <v>2.0</v>
      </c>
      <c r="F16" s="56" t="s">
        <v>14</v>
      </c>
      <c r="G16" s="56">
        <v>0.0</v>
      </c>
      <c r="H16" s="121">
        <v>294.83</v>
      </c>
      <c r="I16" s="56" t="s">
        <v>20</v>
      </c>
      <c r="J16" s="53">
        <f t="shared" si="1"/>
        <v>294.83</v>
      </c>
      <c r="K16" s="54">
        <f t="shared" si="2"/>
        <v>589.66</v>
      </c>
      <c r="L16" s="54">
        <f>'NO VEA CLIENTE'!$K16/(1-'NO VEA CLIENTE'!$M16)-'NO VEA CLIENTE'!$K16</f>
        <v>104.0576471</v>
      </c>
      <c r="M16" s="67">
        <v>0.15</v>
      </c>
      <c r="N16" s="67">
        <v>0.0</v>
      </c>
      <c r="O16" s="67">
        <v>0.0</v>
      </c>
      <c r="P16" s="53">
        <f t="shared" si="3"/>
        <v>693.7176471</v>
      </c>
      <c r="Q16" s="57">
        <f>'NO VEA CLIENTE'!$K16/0.9</f>
        <v>655.1777778</v>
      </c>
      <c r="R16" s="2"/>
      <c r="S16" s="58"/>
      <c r="T16" s="59"/>
      <c r="U16" s="71"/>
      <c r="V16" s="71"/>
      <c r="W16" s="54">
        <f>'NO VEA CLIENTE'!$V16/(1-'NO VEA CLIENTE'!$X16)-'NO VEA CLIENTE'!$V16</f>
        <v>0</v>
      </c>
      <c r="X16" s="72">
        <f t="shared" ref="X16:Z16" si="6">X$2</f>
        <v>0.13</v>
      </c>
      <c r="Y16" s="72">
        <f t="shared" si="6"/>
        <v>0</v>
      </c>
      <c r="Z16" s="72">
        <f t="shared" si="6"/>
        <v>0</v>
      </c>
      <c r="AA16" s="53">
        <f t="shared" si="4"/>
        <v>0</v>
      </c>
      <c r="AB16" s="63"/>
      <c r="AC16" s="2"/>
      <c r="AD16" s="117"/>
      <c r="AE16" s="71"/>
      <c r="AF16" s="71"/>
      <c r="AG16" s="62">
        <f>'NO VEA CLIENTE'!$AF16/(1-'NO VEA CLIENTE'!$AH16)-'NO VEA CLIENTE'!$AF16</f>
        <v>0</v>
      </c>
      <c r="AH16" s="72">
        <f t="shared" ref="AH16:AJ16" si="7">AH$2</f>
        <v>0.1</v>
      </c>
      <c r="AI16" s="72">
        <f t="shared" si="7"/>
        <v>0</v>
      </c>
      <c r="AJ16" s="72">
        <f t="shared" si="7"/>
        <v>0</v>
      </c>
      <c r="AK16" s="53">
        <f t="shared" si="5"/>
        <v>0</v>
      </c>
      <c r="AL16" s="118"/>
      <c r="AM16" s="2"/>
      <c r="AN16" s="2"/>
      <c r="AO16" s="2"/>
      <c r="AP16" s="2"/>
      <c r="AQ16" s="2"/>
      <c r="AR16" s="2"/>
      <c r="AS16" s="2"/>
      <c r="AT16" s="2"/>
      <c r="AU16" s="2"/>
      <c r="AV16" s="2"/>
      <c r="AW16" s="2"/>
    </row>
    <row r="17">
      <c r="A17" s="114" t="s">
        <v>9</v>
      </c>
      <c r="B17" s="75">
        <v>5.0</v>
      </c>
      <c r="C17" s="120"/>
      <c r="D17" s="56" t="s">
        <v>82</v>
      </c>
      <c r="E17" s="115">
        <v>6.0</v>
      </c>
      <c r="F17" s="56" t="s">
        <v>14</v>
      </c>
      <c r="G17" s="56">
        <v>0.0</v>
      </c>
      <c r="H17" s="121">
        <v>25.86</v>
      </c>
      <c r="I17" s="56" t="s">
        <v>20</v>
      </c>
      <c r="J17" s="53">
        <f t="shared" si="1"/>
        <v>25.86</v>
      </c>
      <c r="K17" s="54">
        <f t="shared" si="2"/>
        <v>155.16</v>
      </c>
      <c r="L17" s="54">
        <f>'NO VEA CLIENTE'!$K17/(1-'NO VEA CLIENTE'!$M17)-'NO VEA CLIENTE'!$K17</f>
        <v>17.24</v>
      </c>
      <c r="M17" s="67">
        <v>0.1</v>
      </c>
      <c r="N17" s="67">
        <v>0.0</v>
      </c>
      <c r="O17" s="67">
        <v>0.0</v>
      </c>
      <c r="P17" s="53">
        <f t="shared" si="3"/>
        <v>172.4</v>
      </c>
      <c r="Q17" s="57">
        <f>'NO VEA CLIENTE'!$K17/0.9</f>
        <v>172.4</v>
      </c>
      <c r="R17" s="2"/>
      <c r="S17" s="58"/>
      <c r="T17" s="59"/>
      <c r="U17" s="71"/>
      <c r="V17" s="71"/>
      <c r="W17" s="54">
        <f>'NO VEA CLIENTE'!$V17/(1-'NO VEA CLIENTE'!$X17)-'NO VEA CLIENTE'!$V17</f>
        <v>0</v>
      </c>
      <c r="X17" s="72">
        <f t="shared" ref="X17:Z17" si="8">X$2</f>
        <v>0.13</v>
      </c>
      <c r="Y17" s="72">
        <f t="shared" si="8"/>
        <v>0</v>
      </c>
      <c r="Z17" s="72">
        <f t="shared" si="8"/>
        <v>0</v>
      </c>
      <c r="AA17" s="53">
        <f t="shared" si="4"/>
        <v>0</v>
      </c>
      <c r="AB17" s="63"/>
      <c r="AC17" s="2"/>
      <c r="AD17" s="117"/>
      <c r="AE17" s="71"/>
      <c r="AF17" s="71"/>
      <c r="AG17" s="62">
        <f>'NO VEA CLIENTE'!$AF17/(1-'NO VEA CLIENTE'!$AH17)-'NO VEA CLIENTE'!$AF17</f>
        <v>0</v>
      </c>
      <c r="AH17" s="72">
        <f t="shared" ref="AH17:AJ17" si="9">AH$2</f>
        <v>0.1</v>
      </c>
      <c r="AI17" s="72">
        <f t="shared" si="9"/>
        <v>0</v>
      </c>
      <c r="AJ17" s="72">
        <f t="shared" si="9"/>
        <v>0</v>
      </c>
      <c r="AK17" s="53">
        <f t="shared" si="5"/>
        <v>0</v>
      </c>
      <c r="AL17" s="118"/>
      <c r="AM17" s="2"/>
      <c r="AN17" s="2"/>
      <c r="AO17" s="2"/>
      <c r="AP17" s="2"/>
      <c r="AQ17" s="2"/>
      <c r="AR17" s="2"/>
      <c r="AS17" s="2"/>
      <c r="AT17" s="2"/>
      <c r="AU17" s="2"/>
      <c r="AV17" s="2"/>
      <c r="AW17" s="2"/>
    </row>
    <row r="18">
      <c r="A18" s="114" t="s">
        <v>9</v>
      </c>
      <c r="B18" s="75">
        <v>6.0</v>
      </c>
      <c r="C18" s="120"/>
      <c r="D18" s="56" t="s">
        <v>83</v>
      </c>
      <c r="E18" s="115">
        <v>5.0</v>
      </c>
      <c r="F18" s="56" t="s">
        <v>14</v>
      </c>
      <c r="G18" s="56">
        <v>0.0</v>
      </c>
      <c r="H18" s="121">
        <v>116.38</v>
      </c>
      <c r="I18" s="56" t="s">
        <v>20</v>
      </c>
      <c r="J18" s="53">
        <f t="shared" si="1"/>
        <v>116.38</v>
      </c>
      <c r="K18" s="54">
        <f t="shared" si="2"/>
        <v>581.9</v>
      </c>
      <c r="L18" s="54">
        <f>'NO VEA CLIENTE'!$K18/(1-'NO VEA CLIENTE'!$M18)-'NO VEA CLIENTE'!$K18</f>
        <v>79.35</v>
      </c>
      <c r="M18" s="67">
        <v>0.12</v>
      </c>
      <c r="N18" s="67">
        <v>0.0</v>
      </c>
      <c r="O18" s="67">
        <v>0.0</v>
      </c>
      <c r="P18" s="53">
        <f t="shared" si="3"/>
        <v>661.25</v>
      </c>
      <c r="Q18" s="57">
        <f>'NO VEA CLIENTE'!$K18/0.9</f>
        <v>646.5555556</v>
      </c>
      <c r="R18" s="2"/>
      <c r="S18" s="58"/>
      <c r="T18" s="59"/>
      <c r="U18" s="71"/>
      <c r="V18" s="71"/>
      <c r="W18" s="54">
        <f>'NO VEA CLIENTE'!$V18/(1-'NO VEA CLIENTE'!$X18)-'NO VEA CLIENTE'!$V18</f>
        <v>0</v>
      </c>
      <c r="X18" s="72">
        <f t="shared" ref="X18:Z18" si="10">X$2</f>
        <v>0.13</v>
      </c>
      <c r="Y18" s="72">
        <f t="shared" si="10"/>
        <v>0</v>
      </c>
      <c r="Z18" s="72">
        <f t="shared" si="10"/>
        <v>0</v>
      </c>
      <c r="AA18" s="53">
        <f t="shared" si="4"/>
        <v>0</v>
      </c>
      <c r="AB18" s="63"/>
      <c r="AC18" s="2"/>
      <c r="AD18" s="117"/>
      <c r="AE18" s="71"/>
      <c r="AF18" s="71"/>
      <c r="AG18" s="62">
        <f>'NO VEA CLIENTE'!$AF18/(1-'NO VEA CLIENTE'!$AH18)-'NO VEA CLIENTE'!$AF18</f>
        <v>0</v>
      </c>
      <c r="AH18" s="72">
        <f t="shared" ref="AH18:AJ18" si="11">AH$2</f>
        <v>0.1</v>
      </c>
      <c r="AI18" s="72">
        <f t="shared" si="11"/>
        <v>0</v>
      </c>
      <c r="AJ18" s="72">
        <f t="shared" si="11"/>
        <v>0</v>
      </c>
      <c r="AK18" s="53">
        <f t="shared" si="5"/>
        <v>0</v>
      </c>
      <c r="AL18" s="118"/>
      <c r="AM18" s="2"/>
      <c r="AN18" s="2"/>
      <c r="AO18" s="2"/>
      <c r="AP18" s="2"/>
      <c r="AQ18" s="2"/>
      <c r="AR18" s="2"/>
      <c r="AS18" s="2"/>
      <c r="AT18" s="2"/>
      <c r="AU18" s="2"/>
      <c r="AV18" s="2"/>
      <c r="AW18" s="2"/>
    </row>
    <row r="19">
      <c r="A19" s="114" t="s">
        <v>9</v>
      </c>
      <c r="B19" s="75">
        <v>7.0</v>
      </c>
      <c r="C19" s="120"/>
      <c r="D19" s="56" t="s">
        <v>84</v>
      </c>
      <c r="E19" s="115">
        <v>50.0</v>
      </c>
      <c r="F19" s="56" t="s">
        <v>14</v>
      </c>
      <c r="G19" s="56">
        <v>0.0</v>
      </c>
      <c r="H19" s="121">
        <v>15.52</v>
      </c>
      <c r="I19" s="56" t="s">
        <v>20</v>
      </c>
      <c r="J19" s="53">
        <f t="shared" si="1"/>
        <v>15.52</v>
      </c>
      <c r="K19" s="54">
        <f t="shared" si="2"/>
        <v>776</v>
      </c>
      <c r="L19" s="54">
        <f>'NO VEA CLIENTE'!$K19/(1-'NO VEA CLIENTE'!$M19)-'NO VEA CLIENTE'!$K19</f>
        <v>115.954023</v>
      </c>
      <c r="M19" s="67">
        <v>0.13</v>
      </c>
      <c r="N19" s="67">
        <v>0.0</v>
      </c>
      <c r="O19" s="67">
        <v>0.12</v>
      </c>
      <c r="P19" s="53">
        <f t="shared" si="3"/>
        <v>1013.584117</v>
      </c>
      <c r="Q19" s="57">
        <f>'NO VEA CLIENTE'!$K19/0.9</f>
        <v>862.2222222</v>
      </c>
      <c r="R19" s="2"/>
      <c r="S19" s="58"/>
      <c r="T19" s="59"/>
      <c r="U19" s="71"/>
      <c r="V19" s="71"/>
      <c r="W19" s="54">
        <f>'NO VEA CLIENTE'!$V19/(1-'NO VEA CLIENTE'!$X19)-'NO VEA CLIENTE'!$V19</f>
        <v>0</v>
      </c>
      <c r="X19" s="72">
        <f t="shared" ref="X19:Z19" si="12">X$2</f>
        <v>0.13</v>
      </c>
      <c r="Y19" s="72">
        <f t="shared" si="12"/>
        <v>0</v>
      </c>
      <c r="Z19" s="72">
        <f t="shared" si="12"/>
        <v>0</v>
      </c>
      <c r="AA19" s="53">
        <f t="shared" si="4"/>
        <v>0</v>
      </c>
      <c r="AB19" s="63"/>
      <c r="AC19" s="2"/>
      <c r="AD19" s="117"/>
      <c r="AE19" s="71"/>
      <c r="AF19" s="71"/>
      <c r="AG19" s="62">
        <f>'NO VEA CLIENTE'!$AF19/(1-'NO VEA CLIENTE'!$AH19)-'NO VEA CLIENTE'!$AF19</f>
        <v>0</v>
      </c>
      <c r="AH19" s="72">
        <f t="shared" ref="AH19:AJ19" si="13">AH$2</f>
        <v>0.1</v>
      </c>
      <c r="AI19" s="72">
        <f t="shared" si="13"/>
        <v>0</v>
      </c>
      <c r="AJ19" s="72">
        <f t="shared" si="13"/>
        <v>0</v>
      </c>
      <c r="AK19" s="53">
        <f t="shared" si="5"/>
        <v>0</v>
      </c>
      <c r="AL19" s="118"/>
      <c r="AM19" s="2"/>
      <c r="AN19" s="2"/>
      <c r="AO19" s="2"/>
      <c r="AP19" s="2"/>
      <c r="AQ19" s="2"/>
      <c r="AR19" s="2"/>
      <c r="AS19" s="2"/>
      <c r="AT19" s="2"/>
      <c r="AU19" s="2"/>
      <c r="AV19" s="2"/>
      <c r="AW19" s="2"/>
    </row>
    <row r="20">
      <c r="A20" s="114" t="s">
        <v>9</v>
      </c>
      <c r="B20" s="75">
        <v>8.0</v>
      </c>
      <c r="C20" s="120"/>
      <c r="D20" s="56" t="s">
        <v>85</v>
      </c>
      <c r="E20" s="115">
        <v>1.0</v>
      </c>
      <c r="F20" s="56" t="s">
        <v>14</v>
      </c>
      <c r="G20" s="56">
        <v>0.0</v>
      </c>
      <c r="H20" s="121">
        <v>25.86</v>
      </c>
      <c r="I20" s="56" t="s">
        <v>20</v>
      </c>
      <c r="J20" s="53">
        <f t="shared" si="1"/>
        <v>25.86</v>
      </c>
      <c r="K20" s="54">
        <f t="shared" si="2"/>
        <v>25.86</v>
      </c>
      <c r="L20" s="54">
        <f>'NO VEA CLIENTE'!$K20/(1-'NO VEA CLIENTE'!$M20)-'NO VEA CLIENTE'!$K20</f>
        <v>4.209767442</v>
      </c>
      <c r="M20" s="67">
        <v>0.14</v>
      </c>
      <c r="N20" s="67">
        <v>0.0</v>
      </c>
      <c r="O20" s="67">
        <v>0.0</v>
      </c>
      <c r="P20" s="53">
        <f t="shared" si="3"/>
        <v>30.06976744</v>
      </c>
      <c r="Q20" s="57">
        <f>'NO VEA CLIENTE'!$K20/0.9</f>
        <v>28.73333333</v>
      </c>
      <c r="R20" s="2"/>
      <c r="S20" s="58"/>
      <c r="T20" s="59"/>
      <c r="U20" s="71"/>
      <c r="V20" s="71"/>
      <c r="W20" s="54">
        <f>'NO VEA CLIENTE'!$V20/(1-'NO VEA CLIENTE'!$X20)-'NO VEA CLIENTE'!$V20</f>
        <v>0</v>
      </c>
      <c r="X20" s="72">
        <f t="shared" ref="X20:Z20" si="14">X$2</f>
        <v>0.13</v>
      </c>
      <c r="Y20" s="72">
        <f t="shared" si="14"/>
        <v>0</v>
      </c>
      <c r="Z20" s="72">
        <f t="shared" si="14"/>
        <v>0</v>
      </c>
      <c r="AA20" s="53">
        <f t="shared" si="4"/>
        <v>0</v>
      </c>
      <c r="AB20" s="63"/>
      <c r="AC20" s="2"/>
      <c r="AD20" s="117"/>
      <c r="AE20" s="71"/>
      <c r="AF20" s="71"/>
      <c r="AG20" s="62">
        <f>'NO VEA CLIENTE'!$AF20/(1-'NO VEA CLIENTE'!$AH20)-'NO VEA CLIENTE'!$AF20</f>
        <v>0</v>
      </c>
      <c r="AH20" s="72">
        <f t="shared" ref="AH20:AJ20" si="15">AH$2</f>
        <v>0.1</v>
      </c>
      <c r="AI20" s="72">
        <f t="shared" si="15"/>
        <v>0</v>
      </c>
      <c r="AJ20" s="72">
        <f t="shared" si="15"/>
        <v>0</v>
      </c>
      <c r="AK20" s="53">
        <f t="shared" si="5"/>
        <v>0</v>
      </c>
      <c r="AL20" s="118"/>
      <c r="AM20" s="2"/>
      <c r="AN20" s="2"/>
      <c r="AO20" s="2"/>
      <c r="AP20" s="2"/>
      <c r="AQ20" s="2"/>
      <c r="AR20" s="2"/>
      <c r="AS20" s="2"/>
      <c r="AT20" s="2"/>
      <c r="AU20" s="2"/>
      <c r="AV20" s="2"/>
      <c r="AW20" s="2"/>
    </row>
    <row r="21" ht="15.75" customHeight="1">
      <c r="A21" s="114" t="s">
        <v>9</v>
      </c>
      <c r="B21" s="75">
        <v>9.0</v>
      </c>
      <c r="C21" s="120"/>
      <c r="D21" s="56" t="s">
        <v>86</v>
      </c>
      <c r="E21" s="115">
        <v>10.0</v>
      </c>
      <c r="F21" s="56" t="s">
        <v>14</v>
      </c>
      <c r="G21" s="56">
        <v>0.0</v>
      </c>
      <c r="H21" s="121">
        <v>56.03</v>
      </c>
      <c r="I21" s="56" t="s">
        <v>20</v>
      </c>
      <c r="J21" s="53">
        <f t="shared" si="1"/>
        <v>56.03</v>
      </c>
      <c r="K21" s="54">
        <f t="shared" si="2"/>
        <v>560.3</v>
      </c>
      <c r="L21" s="54">
        <f>'NO VEA CLIENTE'!$K21/(1-'NO VEA CLIENTE'!$M21)-'NO VEA CLIENTE'!$K21</f>
        <v>98.87647059</v>
      </c>
      <c r="M21" s="67">
        <v>0.15</v>
      </c>
      <c r="N21" s="67">
        <v>0.0</v>
      </c>
      <c r="O21" s="67">
        <v>0.0</v>
      </c>
      <c r="P21" s="53">
        <f t="shared" si="3"/>
        <v>659.1764706</v>
      </c>
      <c r="Q21" s="57">
        <f>'NO VEA CLIENTE'!$K21/0.9</f>
        <v>622.5555556</v>
      </c>
      <c r="R21" s="2"/>
      <c r="S21" s="58"/>
      <c r="T21" s="59"/>
      <c r="U21" s="71"/>
      <c r="V21" s="71"/>
      <c r="W21" s="54">
        <f>'NO VEA CLIENTE'!$V21/(1-'NO VEA CLIENTE'!$X21)-'NO VEA CLIENTE'!$V21</f>
        <v>0</v>
      </c>
      <c r="X21" s="72">
        <f t="shared" ref="X21:Z21" si="16">X$2</f>
        <v>0.13</v>
      </c>
      <c r="Y21" s="72">
        <f t="shared" si="16"/>
        <v>0</v>
      </c>
      <c r="Z21" s="72">
        <f t="shared" si="16"/>
        <v>0</v>
      </c>
      <c r="AA21" s="53">
        <f t="shared" si="4"/>
        <v>0</v>
      </c>
      <c r="AB21" s="63"/>
      <c r="AC21" s="2"/>
      <c r="AD21" s="117"/>
      <c r="AE21" s="71"/>
      <c r="AF21" s="71"/>
      <c r="AG21" s="62">
        <f>'NO VEA CLIENTE'!$AF21/(1-'NO VEA CLIENTE'!$AH21)-'NO VEA CLIENTE'!$AF21</f>
        <v>0</v>
      </c>
      <c r="AH21" s="72">
        <f t="shared" ref="AH21:AJ21" si="17">AH$2</f>
        <v>0.1</v>
      </c>
      <c r="AI21" s="72">
        <f t="shared" si="17"/>
        <v>0</v>
      </c>
      <c r="AJ21" s="72">
        <f t="shared" si="17"/>
        <v>0</v>
      </c>
      <c r="AK21" s="53">
        <f t="shared" si="5"/>
        <v>0</v>
      </c>
      <c r="AL21" s="118"/>
      <c r="AM21" s="2"/>
      <c r="AN21" s="2"/>
      <c r="AO21" s="2"/>
      <c r="AP21" s="2"/>
      <c r="AQ21" s="2"/>
      <c r="AR21" s="2"/>
      <c r="AS21" s="2"/>
      <c r="AT21" s="2"/>
      <c r="AU21" s="2"/>
      <c r="AV21" s="2"/>
      <c r="AW21" s="2"/>
    </row>
    <row r="22" ht="15.75" customHeight="1">
      <c r="A22" s="114" t="s">
        <v>9</v>
      </c>
      <c r="B22" s="75">
        <v>10.0</v>
      </c>
      <c r="C22" s="120"/>
      <c r="D22" s="56" t="s">
        <v>87</v>
      </c>
      <c r="E22" s="115">
        <v>15.0</v>
      </c>
      <c r="F22" s="56" t="s">
        <v>14</v>
      </c>
      <c r="G22" s="56">
        <v>0.0</v>
      </c>
      <c r="H22" s="121">
        <v>6.03</v>
      </c>
      <c r="I22" s="56" t="s">
        <v>20</v>
      </c>
      <c r="J22" s="53">
        <f t="shared" si="1"/>
        <v>6.03</v>
      </c>
      <c r="K22" s="54">
        <f t="shared" si="2"/>
        <v>90.45</v>
      </c>
      <c r="L22" s="54">
        <f>'NO VEA CLIENTE'!$K22/(1-'NO VEA CLIENTE'!$M22)-'NO VEA CLIENTE'!$K22</f>
        <v>13.51551724</v>
      </c>
      <c r="M22" s="67">
        <v>0.13</v>
      </c>
      <c r="N22" s="67">
        <v>0.0</v>
      </c>
      <c r="O22" s="67">
        <v>0.0</v>
      </c>
      <c r="P22" s="53">
        <f t="shared" si="3"/>
        <v>103.9655172</v>
      </c>
      <c r="Q22" s="57">
        <f>'NO VEA CLIENTE'!$K22/0.9</f>
        <v>100.5</v>
      </c>
      <c r="R22" s="2"/>
      <c r="S22" s="58"/>
      <c r="T22" s="59"/>
      <c r="U22" s="71"/>
      <c r="V22" s="71"/>
      <c r="W22" s="54">
        <f>'NO VEA CLIENTE'!$V22/(1-'NO VEA CLIENTE'!$X22)-'NO VEA CLIENTE'!$V22</f>
        <v>0</v>
      </c>
      <c r="X22" s="72">
        <f t="shared" ref="X22:Z22" si="18">X$2</f>
        <v>0.13</v>
      </c>
      <c r="Y22" s="72">
        <f t="shared" si="18"/>
        <v>0</v>
      </c>
      <c r="Z22" s="72">
        <f t="shared" si="18"/>
        <v>0</v>
      </c>
      <c r="AA22" s="53">
        <f t="shared" si="4"/>
        <v>0</v>
      </c>
      <c r="AB22" s="63"/>
      <c r="AC22" s="2"/>
      <c r="AD22" s="117"/>
      <c r="AE22" s="71"/>
      <c r="AF22" s="71"/>
      <c r="AG22" s="62">
        <f>'NO VEA CLIENTE'!$AF22/(1-'NO VEA CLIENTE'!$AH22)-'NO VEA CLIENTE'!$AF22</f>
        <v>0</v>
      </c>
      <c r="AH22" s="72">
        <f t="shared" ref="AH22:AJ22" si="19">AH$2</f>
        <v>0.1</v>
      </c>
      <c r="AI22" s="72">
        <f t="shared" si="19"/>
        <v>0</v>
      </c>
      <c r="AJ22" s="72">
        <f t="shared" si="19"/>
        <v>0</v>
      </c>
      <c r="AK22" s="53">
        <f t="shared" si="5"/>
        <v>0</v>
      </c>
      <c r="AL22" s="118"/>
      <c r="AM22" s="2"/>
      <c r="AN22" s="2"/>
      <c r="AO22" s="2"/>
      <c r="AP22" s="2"/>
      <c r="AQ22" s="2"/>
      <c r="AR22" s="2"/>
      <c r="AS22" s="2"/>
      <c r="AT22" s="2"/>
      <c r="AU22" s="2"/>
      <c r="AV22" s="2"/>
      <c r="AW22" s="2"/>
    </row>
    <row r="23" ht="15.75" customHeight="1">
      <c r="A23" s="114" t="s">
        <v>9</v>
      </c>
      <c r="B23" s="75">
        <v>11.0</v>
      </c>
      <c r="C23" s="120"/>
      <c r="D23" s="56" t="s">
        <v>88</v>
      </c>
      <c r="E23" s="115">
        <v>15.0</v>
      </c>
      <c r="F23" s="56" t="s">
        <v>14</v>
      </c>
      <c r="G23" s="56">
        <v>0.0</v>
      </c>
      <c r="H23" s="121">
        <v>15.52</v>
      </c>
      <c r="I23" s="56" t="s">
        <v>20</v>
      </c>
      <c r="J23" s="53">
        <f t="shared" si="1"/>
        <v>15.52</v>
      </c>
      <c r="K23" s="54">
        <f t="shared" si="2"/>
        <v>232.8</v>
      </c>
      <c r="L23" s="54">
        <f>'NO VEA CLIENTE'!$K23/(1-'NO VEA CLIENTE'!$M23)-'NO VEA CLIENTE'!$K23</f>
        <v>4.751020408</v>
      </c>
      <c r="M23" s="67">
        <v>0.02</v>
      </c>
      <c r="N23" s="67">
        <v>0.0</v>
      </c>
      <c r="O23" s="67">
        <v>0.0</v>
      </c>
      <c r="P23" s="53">
        <f t="shared" si="3"/>
        <v>237.5510204</v>
      </c>
      <c r="Q23" s="57">
        <f>'NO VEA CLIENTE'!$K23/0.9</f>
        <v>258.6666667</v>
      </c>
      <c r="R23" s="2"/>
      <c r="S23" s="58"/>
      <c r="T23" s="59"/>
      <c r="U23" s="71"/>
      <c r="V23" s="71"/>
      <c r="W23" s="54">
        <f>'NO VEA CLIENTE'!$V23/(1-'NO VEA CLIENTE'!$X23)-'NO VEA CLIENTE'!$V23</f>
        <v>0</v>
      </c>
      <c r="X23" s="72">
        <f t="shared" ref="X23:Z23" si="20">X$2</f>
        <v>0.13</v>
      </c>
      <c r="Y23" s="72">
        <f t="shared" si="20"/>
        <v>0</v>
      </c>
      <c r="Z23" s="72">
        <f t="shared" si="20"/>
        <v>0</v>
      </c>
      <c r="AA23" s="53">
        <f t="shared" si="4"/>
        <v>0</v>
      </c>
      <c r="AB23" s="63"/>
      <c r="AC23" s="2"/>
      <c r="AD23" s="117"/>
      <c r="AE23" s="71"/>
      <c r="AF23" s="71"/>
      <c r="AG23" s="62">
        <f>'NO VEA CLIENTE'!$AF23/(1-'NO VEA CLIENTE'!$AH23)-'NO VEA CLIENTE'!$AF23</f>
        <v>0</v>
      </c>
      <c r="AH23" s="72">
        <f t="shared" ref="AH23:AJ23" si="21">AH$2</f>
        <v>0.1</v>
      </c>
      <c r="AI23" s="72">
        <f t="shared" si="21"/>
        <v>0</v>
      </c>
      <c r="AJ23" s="72">
        <f t="shared" si="21"/>
        <v>0</v>
      </c>
      <c r="AK23" s="53">
        <f t="shared" si="5"/>
        <v>0</v>
      </c>
      <c r="AL23" s="118"/>
      <c r="AM23" s="2"/>
      <c r="AN23" s="2"/>
      <c r="AO23" s="2"/>
      <c r="AP23" s="2"/>
      <c r="AQ23" s="2"/>
      <c r="AR23" s="2"/>
      <c r="AS23" s="2"/>
      <c r="AT23" s="2"/>
      <c r="AU23" s="2"/>
      <c r="AV23" s="2"/>
      <c r="AW23" s="2"/>
    </row>
    <row r="24" ht="15.75" customHeight="1">
      <c r="A24" s="114" t="s">
        <v>9</v>
      </c>
      <c r="B24" s="75">
        <v>12.0</v>
      </c>
      <c r="C24" s="120"/>
      <c r="D24" s="56" t="s">
        <v>89</v>
      </c>
      <c r="E24" s="115">
        <v>100.0</v>
      </c>
      <c r="F24" s="56" t="s">
        <v>14</v>
      </c>
      <c r="G24" s="56">
        <v>0.0</v>
      </c>
      <c r="H24" s="121">
        <v>0.34</v>
      </c>
      <c r="I24" s="56" t="s">
        <v>20</v>
      </c>
      <c r="J24" s="53">
        <f t="shared" si="1"/>
        <v>0.34</v>
      </c>
      <c r="K24" s="54">
        <f t="shared" si="2"/>
        <v>34</v>
      </c>
      <c r="L24" s="54">
        <f>'NO VEA CLIENTE'!$K24/(1-'NO VEA CLIENTE'!$M24)-'NO VEA CLIENTE'!$K24</f>
        <v>10.15584416</v>
      </c>
      <c r="M24" s="67">
        <v>0.23</v>
      </c>
      <c r="N24" s="67">
        <v>0.0</v>
      </c>
      <c r="O24" s="67">
        <v>0.0</v>
      </c>
      <c r="P24" s="53">
        <f t="shared" si="3"/>
        <v>44.15584416</v>
      </c>
      <c r="Q24" s="57">
        <f>'NO VEA CLIENTE'!$K24/0.9</f>
        <v>37.77777778</v>
      </c>
      <c r="R24" s="2"/>
      <c r="S24" s="58"/>
      <c r="T24" s="59"/>
      <c r="U24" s="71"/>
      <c r="V24" s="71"/>
      <c r="W24" s="54">
        <f>'NO VEA CLIENTE'!$V24/(1-'NO VEA CLIENTE'!$X24)-'NO VEA CLIENTE'!$V24</f>
        <v>0</v>
      </c>
      <c r="X24" s="72">
        <f t="shared" ref="X24:Z24" si="22">X$2</f>
        <v>0.13</v>
      </c>
      <c r="Y24" s="72">
        <f t="shared" si="22"/>
        <v>0</v>
      </c>
      <c r="Z24" s="72">
        <f t="shared" si="22"/>
        <v>0</v>
      </c>
      <c r="AA24" s="53">
        <f t="shared" si="4"/>
        <v>0</v>
      </c>
      <c r="AB24" s="63"/>
      <c r="AC24" s="2"/>
      <c r="AD24" s="117"/>
      <c r="AE24" s="71"/>
      <c r="AF24" s="71"/>
      <c r="AG24" s="62">
        <f>'NO VEA CLIENTE'!$AF24/(1-'NO VEA CLIENTE'!$AH24)-'NO VEA CLIENTE'!$AF24</f>
        <v>0</v>
      </c>
      <c r="AH24" s="72">
        <f t="shared" ref="AH24:AJ24" si="23">AH$2</f>
        <v>0.1</v>
      </c>
      <c r="AI24" s="72">
        <f t="shared" si="23"/>
        <v>0</v>
      </c>
      <c r="AJ24" s="72">
        <f t="shared" si="23"/>
        <v>0</v>
      </c>
      <c r="AK24" s="53">
        <f t="shared" si="5"/>
        <v>0</v>
      </c>
      <c r="AL24" s="118"/>
      <c r="AM24" s="2"/>
      <c r="AN24" s="2"/>
      <c r="AO24" s="2"/>
      <c r="AP24" s="2"/>
      <c r="AQ24" s="2"/>
      <c r="AR24" s="2"/>
      <c r="AS24" s="2"/>
      <c r="AT24" s="2"/>
      <c r="AU24" s="2"/>
      <c r="AV24" s="2"/>
      <c r="AW24" s="2"/>
    </row>
    <row r="25" ht="15.75" customHeight="1">
      <c r="A25" s="114" t="s">
        <v>9</v>
      </c>
      <c r="B25" s="75">
        <v>13.0</v>
      </c>
      <c r="C25" s="120"/>
      <c r="D25" s="56" t="s">
        <v>90</v>
      </c>
      <c r="E25" s="115">
        <v>80.0</v>
      </c>
      <c r="F25" s="56" t="s">
        <v>14</v>
      </c>
      <c r="G25" s="56">
        <v>0.0</v>
      </c>
      <c r="H25" s="121">
        <v>2.59</v>
      </c>
      <c r="I25" s="56" t="s">
        <v>20</v>
      </c>
      <c r="J25" s="53">
        <f t="shared" si="1"/>
        <v>2.59</v>
      </c>
      <c r="K25" s="54">
        <f t="shared" si="2"/>
        <v>207.2</v>
      </c>
      <c r="L25" s="54">
        <f>'NO VEA CLIENTE'!$K25/(1-'NO VEA CLIENTE'!$M25)-'NO VEA CLIENTE'!$K25</f>
        <v>734.6181818</v>
      </c>
      <c r="M25" s="67">
        <v>0.78</v>
      </c>
      <c r="N25" s="67">
        <v>0.0</v>
      </c>
      <c r="O25" s="67">
        <v>0.0</v>
      </c>
      <c r="P25" s="53">
        <f t="shared" si="3"/>
        <v>941.8181818</v>
      </c>
      <c r="Q25" s="57">
        <f>'NO VEA CLIENTE'!$K25/0.9</f>
        <v>230.2222222</v>
      </c>
      <c r="R25" s="2"/>
      <c r="S25" s="58"/>
      <c r="T25" s="59"/>
      <c r="U25" s="71"/>
      <c r="V25" s="71"/>
      <c r="W25" s="54">
        <f>'NO VEA CLIENTE'!$V25/(1-'NO VEA CLIENTE'!$X25)-'NO VEA CLIENTE'!$V25</f>
        <v>0</v>
      </c>
      <c r="X25" s="72">
        <f t="shared" ref="X25:Z25" si="24">X$2</f>
        <v>0.13</v>
      </c>
      <c r="Y25" s="72">
        <f t="shared" si="24"/>
        <v>0</v>
      </c>
      <c r="Z25" s="72">
        <f t="shared" si="24"/>
        <v>0</v>
      </c>
      <c r="AA25" s="53">
        <f t="shared" si="4"/>
        <v>0</v>
      </c>
      <c r="AB25" s="63"/>
      <c r="AC25" s="2"/>
      <c r="AD25" s="117"/>
      <c r="AE25" s="71"/>
      <c r="AF25" s="71"/>
      <c r="AG25" s="62">
        <f>'NO VEA CLIENTE'!$AF25/(1-'NO VEA CLIENTE'!$AH25)-'NO VEA CLIENTE'!$AF25</f>
        <v>0</v>
      </c>
      <c r="AH25" s="72">
        <f t="shared" ref="AH25:AJ25" si="25">AH$2</f>
        <v>0.1</v>
      </c>
      <c r="AI25" s="72">
        <f t="shared" si="25"/>
        <v>0</v>
      </c>
      <c r="AJ25" s="72">
        <f t="shared" si="25"/>
        <v>0</v>
      </c>
      <c r="AK25" s="53">
        <f t="shared" si="5"/>
        <v>0</v>
      </c>
      <c r="AL25" s="118"/>
      <c r="AM25" s="2"/>
      <c r="AN25" s="2"/>
      <c r="AO25" s="2"/>
      <c r="AP25" s="2"/>
      <c r="AQ25" s="2"/>
      <c r="AR25" s="2"/>
      <c r="AS25" s="2"/>
      <c r="AT25" s="2"/>
      <c r="AU25" s="2"/>
      <c r="AV25" s="2"/>
      <c r="AW25" s="2"/>
    </row>
    <row r="26" ht="15.75" customHeight="1">
      <c r="A26" s="114" t="s">
        <v>9</v>
      </c>
      <c r="B26" s="75">
        <v>14.0</v>
      </c>
      <c r="C26" s="120"/>
      <c r="D26" s="56" t="s">
        <v>91</v>
      </c>
      <c r="E26" s="115">
        <v>6.0</v>
      </c>
      <c r="F26" s="56" t="s">
        <v>14</v>
      </c>
      <c r="G26" s="56">
        <v>0.0</v>
      </c>
      <c r="H26" s="121">
        <v>96.55</v>
      </c>
      <c r="I26" s="56" t="s">
        <v>20</v>
      </c>
      <c r="J26" s="53">
        <f t="shared" si="1"/>
        <v>96.55</v>
      </c>
      <c r="K26" s="54">
        <f t="shared" si="2"/>
        <v>579.3</v>
      </c>
      <c r="L26" s="54">
        <f>'NO VEA CLIENTE'!$K26/(1-'NO VEA CLIENTE'!$M26)-'NO VEA CLIENTE'!$K26</f>
        <v>30.48947368</v>
      </c>
      <c r="M26" s="67">
        <v>0.05</v>
      </c>
      <c r="N26" s="67">
        <v>0.0</v>
      </c>
      <c r="O26" s="67">
        <v>0.05</v>
      </c>
      <c r="P26" s="53">
        <f t="shared" si="3"/>
        <v>641.8836565</v>
      </c>
      <c r="Q26" s="57">
        <f>'NO VEA CLIENTE'!$K26/0.9</f>
        <v>643.6666667</v>
      </c>
      <c r="R26" s="2"/>
      <c r="S26" s="58"/>
      <c r="T26" s="59"/>
      <c r="U26" s="71"/>
      <c r="V26" s="71"/>
      <c r="W26" s="54">
        <f>'NO VEA CLIENTE'!$V26/(1-'NO VEA CLIENTE'!$X26)-'NO VEA CLIENTE'!$V26</f>
        <v>0</v>
      </c>
      <c r="X26" s="72">
        <f t="shared" ref="X26:Z26" si="26">X$2</f>
        <v>0.13</v>
      </c>
      <c r="Y26" s="72">
        <f t="shared" si="26"/>
        <v>0</v>
      </c>
      <c r="Z26" s="72">
        <f t="shared" si="26"/>
        <v>0</v>
      </c>
      <c r="AA26" s="53">
        <f t="shared" si="4"/>
        <v>0</v>
      </c>
      <c r="AB26" s="63"/>
      <c r="AC26" s="2"/>
      <c r="AD26" s="117"/>
      <c r="AE26" s="71"/>
      <c r="AF26" s="71"/>
      <c r="AG26" s="62">
        <f>'NO VEA CLIENTE'!$AF26/(1-'NO VEA CLIENTE'!$AH26)-'NO VEA CLIENTE'!$AF26</f>
        <v>0</v>
      </c>
      <c r="AH26" s="72">
        <f t="shared" ref="AH26:AJ26" si="27">AH$2</f>
        <v>0.1</v>
      </c>
      <c r="AI26" s="72">
        <f t="shared" si="27"/>
        <v>0</v>
      </c>
      <c r="AJ26" s="72">
        <f t="shared" si="27"/>
        <v>0</v>
      </c>
      <c r="AK26" s="53">
        <f t="shared" si="5"/>
        <v>0</v>
      </c>
      <c r="AL26" s="118"/>
      <c r="AM26" s="2"/>
      <c r="AN26" s="2"/>
      <c r="AO26" s="2"/>
      <c r="AP26" s="2"/>
      <c r="AQ26" s="2"/>
      <c r="AR26" s="2"/>
      <c r="AS26" s="2"/>
      <c r="AT26" s="2"/>
      <c r="AU26" s="2"/>
      <c r="AV26" s="2"/>
      <c r="AW26" s="2"/>
    </row>
    <row r="27" ht="15.75" customHeight="1">
      <c r="A27" s="114" t="s">
        <v>9</v>
      </c>
      <c r="B27" s="75">
        <v>15.0</v>
      </c>
      <c r="C27" s="120"/>
      <c r="D27" s="56" t="s">
        <v>92</v>
      </c>
      <c r="E27" s="115">
        <v>22.0</v>
      </c>
      <c r="F27" s="56" t="s">
        <v>14</v>
      </c>
      <c r="G27" s="56">
        <v>0.0</v>
      </c>
      <c r="H27" s="121">
        <v>170.69</v>
      </c>
      <c r="I27" s="56" t="s">
        <v>20</v>
      </c>
      <c r="J27" s="53">
        <f t="shared" si="1"/>
        <v>170.69</v>
      </c>
      <c r="K27" s="54">
        <f t="shared" si="2"/>
        <v>3755.18</v>
      </c>
      <c r="L27" s="54">
        <f>'NO VEA CLIENTE'!$K27/(1-'NO VEA CLIENTE'!$M27)-'NO VEA CLIENTE'!$K27</f>
        <v>512.07</v>
      </c>
      <c r="M27" s="67">
        <v>0.12</v>
      </c>
      <c r="N27" s="67">
        <v>0.0</v>
      </c>
      <c r="O27" s="67">
        <v>0.0</v>
      </c>
      <c r="P27" s="53">
        <f t="shared" si="3"/>
        <v>4267.25</v>
      </c>
      <c r="Q27" s="57">
        <f>'NO VEA CLIENTE'!$K27/0.9</f>
        <v>4172.422222</v>
      </c>
      <c r="R27" s="2"/>
      <c r="S27" s="58"/>
      <c r="T27" s="59"/>
      <c r="U27" s="71"/>
      <c r="V27" s="71"/>
      <c r="W27" s="54">
        <f>'NO VEA CLIENTE'!$V27/(1-'NO VEA CLIENTE'!$X27)-'NO VEA CLIENTE'!$V27</f>
        <v>0</v>
      </c>
      <c r="X27" s="72">
        <f t="shared" ref="X27:Z27" si="28">X$2</f>
        <v>0.13</v>
      </c>
      <c r="Y27" s="72">
        <f t="shared" si="28"/>
        <v>0</v>
      </c>
      <c r="Z27" s="72">
        <f t="shared" si="28"/>
        <v>0</v>
      </c>
      <c r="AA27" s="53">
        <f t="shared" si="4"/>
        <v>0</v>
      </c>
      <c r="AB27" s="63"/>
      <c r="AC27" s="2"/>
      <c r="AD27" s="117"/>
      <c r="AE27" s="71"/>
      <c r="AF27" s="71"/>
      <c r="AG27" s="62">
        <f>'NO VEA CLIENTE'!$AF27/(1-'NO VEA CLIENTE'!$AH27)-'NO VEA CLIENTE'!$AF27</f>
        <v>0</v>
      </c>
      <c r="AH27" s="72">
        <f t="shared" ref="AH27:AJ27" si="29">AH$2</f>
        <v>0.1</v>
      </c>
      <c r="AI27" s="72">
        <f t="shared" si="29"/>
        <v>0</v>
      </c>
      <c r="AJ27" s="72">
        <f t="shared" si="29"/>
        <v>0</v>
      </c>
      <c r="AK27" s="53">
        <f t="shared" si="5"/>
        <v>0</v>
      </c>
      <c r="AL27" s="118"/>
      <c r="AM27" s="2"/>
      <c r="AN27" s="2"/>
      <c r="AO27" s="2"/>
      <c r="AP27" s="2"/>
      <c r="AQ27" s="2"/>
      <c r="AR27" s="2"/>
      <c r="AS27" s="2"/>
      <c r="AT27" s="2"/>
      <c r="AU27" s="2"/>
      <c r="AV27" s="2"/>
      <c r="AW27" s="2"/>
    </row>
    <row r="28" ht="15.75" customHeight="1">
      <c r="A28" s="114" t="s">
        <v>9</v>
      </c>
      <c r="B28" s="75">
        <v>16.0</v>
      </c>
      <c r="C28" s="120"/>
      <c r="D28" s="56" t="s">
        <v>93</v>
      </c>
      <c r="E28" s="115">
        <v>4.0</v>
      </c>
      <c r="F28" s="56" t="s">
        <v>14</v>
      </c>
      <c r="G28" s="56">
        <v>0.0</v>
      </c>
      <c r="H28" s="121">
        <v>37.07</v>
      </c>
      <c r="I28" s="56" t="s">
        <v>20</v>
      </c>
      <c r="J28" s="53">
        <f t="shared" si="1"/>
        <v>37.07</v>
      </c>
      <c r="K28" s="54">
        <f t="shared" si="2"/>
        <v>148.28</v>
      </c>
      <c r="L28" s="54">
        <f>'NO VEA CLIENTE'!$K28/(1-'NO VEA CLIENTE'!$M28)-'NO VEA CLIENTE'!$K28</f>
        <v>24.13860465</v>
      </c>
      <c r="M28" s="67">
        <v>0.14</v>
      </c>
      <c r="N28" s="67">
        <v>0.02</v>
      </c>
      <c r="O28" s="67">
        <v>0.03</v>
      </c>
      <c r="P28" s="53">
        <f t="shared" si="3"/>
        <v>181.3787131</v>
      </c>
      <c r="Q28" s="57">
        <f>'NO VEA CLIENTE'!$K28/0.9</f>
        <v>164.7555556</v>
      </c>
      <c r="R28" s="2"/>
      <c r="S28" s="58"/>
      <c r="T28" s="59"/>
      <c r="U28" s="71"/>
      <c r="V28" s="71"/>
      <c r="W28" s="54">
        <f>'NO VEA CLIENTE'!$V28/(1-'NO VEA CLIENTE'!$X28)-'NO VEA CLIENTE'!$V28</f>
        <v>0</v>
      </c>
      <c r="X28" s="72">
        <f t="shared" ref="X28:Z28" si="30">X$2</f>
        <v>0.13</v>
      </c>
      <c r="Y28" s="72">
        <f t="shared" si="30"/>
        <v>0</v>
      </c>
      <c r="Z28" s="72">
        <f t="shared" si="30"/>
        <v>0</v>
      </c>
      <c r="AA28" s="53">
        <f t="shared" si="4"/>
        <v>0</v>
      </c>
      <c r="AB28" s="63"/>
      <c r="AC28" s="2"/>
      <c r="AD28" s="117"/>
      <c r="AE28" s="71"/>
      <c r="AF28" s="71"/>
      <c r="AG28" s="62">
        <f>'NO VEA CLIENTE'!$AF28/(1-'NO VEA CLIENTE'!$AH28)-'NO VEA CLIENTE'!$AF28</f>
        <v>0</v>
      </c>
      <c r="AH28" s="72">
        <f t="shared" ref="AH28:AJ28" si="31">AH$2</f>
        <v>0.1</v>
      </c>
      <c r="AI28" s="72">
        <f t="shared" si="31"/>
        <v>0</v>
      </c>
      <c r="AJ28" s="72">
        <f t="shared" si="31"/>
        <v>0</v>
      </c>
      <c r="AK28" s="53">
        <f t="shared" si="5"/>
        <v>0</v>
      </c>
      <c r="AL28" s="118"/>
      <c r="AM28" s="2"/>
      <c r="AN28" s="2"/>
      <c r="AO28" s="2"/>
      <c r="AP28" s="2"/>
      <c r="AQ28" s="2"/>
      <c r="AR28" s="2"/>
      <c r="AS28" s="2"/>
      <c r="AT28" s="2"/>
      <c r="AU28" s="2"/>
      <c r="AV28" s="2"/>
      <c r="AW28" s="2"/>
    </row>
    <row r="29" ht="15.75" customHeight="1">
      <c r="A29" s="114" t="s">
        <v>9</v>
      </c>
      <c r="B29" s="75">
        <v>17.0</v>
      </c>
      <c r="C29" s="120"/>
      <c r="D29" s="56" t="s">
        <v>94</v>
      </c>
      <c r="E29" s="115">
        <v>1.0</v>
      </c>
      <c r="F29" s="56" t="s">
        <v>14</v>
      </c>
      <c r="G29" s="56">
        <v>0.0</v>
      </c>
      <c r="H29" s="121">
        <v>708.62</v>
      </c>
      <c r="I29" s="56" t="s">
        <v>20</v>
      </c>
      <c r="J29" s="53">
        <f t="shared" si="1"/>
        <v>708.62</v>
      </c>
      <c r="K29" s="54">
        <f t="shared" si="2"/>
        <v>708.62</v>
      </c>
      <c r="L29" s="54">
        <f>'NO VEA CLIENTE'!$K29/(1-'NO VEA CLIENTE'!$M29)-'NO VEA CLIENTE'!$K29</f>
        <v>29.52583333</v>
      </c>
      <c r="M29" s="67">
        <v>0.04</v>
      </c>
      <c r="N29" s="67">
        <v>0.02</v>
      </c>
      <c r="O29" s="67">
        <v>0.03</v>
      </c>
      <c r="P29" s="53">
        <f t="shared" si="3"/>
        <v>776.5051897</v>
      </c>
      <c r="Q29" s="57">
        <f>'NO VEA CLIENTE'!$K29/0.9</f>
        <v>787.3555556</v>
      </c>
      <c r="R29" s="2"/>
      <c r="S29" s="58"/>
      <c r="T29" s="59"/>
      <c r="U29" s="71"/>
      <c r="V29" s="71"/>
      <c r="W29" s="54">
        <f>'NO VEA CLIENTE'!$V29/(1-'NO VEA CLIENTE'!$X29)-'NO VEA CLIENTE'!$V29</f>
        <v>0</v>
      </c>
      <c r="X29" s="72">
        <f t="shared" ref="X29:Z29" si="32">X$2</f>
        <v>0.13</v>
      </c>
      <c r="Y29" s="72">
        <f t="shared" si="32"/>
        <v>0</v>
      </c>
      <c r="Z29" s="72">
        <f t="shared" si="32"/>
        <v>0</v>
      </c>
      <c r="AA29" s="53">
        <f t="shared" si="4"/>
        <v>0</v>
      </c>
      <c r="AB29" s="63"/>
      <c r="AC29" s="2"/>
      <c r="AD29" s="117"/>
      <c r="AE29" s="71"/>
      <c r="AF29" s="71"/>
      <c r="AG29" s="62">
        <f>'NO VEA CLIENTE'!$AF29/(1-'NO VEA CLIENTE'!$AH29)-'NO VEA CLIENTE'!$AF29</f>
        <v>0</v>
      </c>
      <c r="AH29" s="72">
        <f t="shared" ref="AH29:AJ29" si="33">AH$2</f>
        <v>0.1</v>
      </c>
      <c r="AI29" s="72">
        <f t="shared" si="33"/>
        <v>0</v>
      </c>
      <c r="AJ29" s="72">
        <f t="shared" si="33"/>
        <v>0</v>
      </c>
      <c r="AK29" s="53">
        <f t="shared" si="5"/>
        <v>0</v>
      </c>
      <c r="AL29" s="118"/>
      <c r="AM29" s="2"/>
      <c r="AN29" s="2"/>
      <c r="AO29" s="2"/>
      <c r="AP29" s="2"/>
      <c r="AQ29" s="2"/>
      <c r="AR29" s="2"/>
      <c r="AS29" s="2"/>
      <c r="AT29" s="2"/>
      <c r="AU29" s="2"/>
      <c r="AV29" s="2"/>
      <c r="AW29" s="2"/>
    </row>
    <row r="30" ht="15.75" customHeight="1">
      <c r="A30" s="122"/>
      <c r="B30" s="76"/>
      <c r="C30" s="76"/>
      <c r="D30" s="76"/>
      <c r="E30" s="123"/>
      <c r="F30" s="76"/>
      <c r="G30" s="76"/>
      <c r="H30" s="124"/>
      <c r="I30" s="76"/>
      <c r="J30" s="53">
        <f t="shared" si="1"/>
        <v>0</v>
      </c>
      <c r="K30" s="54">
        <v>0.0</v>
      </c>
      <c r="L30" s="54">
        <f>'NO VEA CLIENTE'!$K30/(1-'NO VEA CLIENTE'!$M30)-'NO VEA CLIENTE'!$K30</f>
        <v>0</v>
      </c>
      <c r="M30" s="74">
        <f t="shared" ref="M30:O30" si="34">M$2</f>
        <v>0.13</v>
      </c>
      <c r="N30" s="74">
        <f t="shared" si="34"/>
        <v>0</v>
      </c>
      <c r="O30" s="74">
        <f t="shared" si="34"/>
        <v>0</v>
      </c>
      <c r="P30" s="53">
        <f t="shared" si="3"/>
        <v>0</v>
      </c>
      <c r="Q30" s="57">
        <f>'NO VEA CLIENTE'!$K30/0.9</f>
        <v>0</v>
      </c>
      <c r="R30" s="2"/>
      <c r="S30" s="58"/>
      <c r="T30" s="59"/>
      <c r="U30" s="71"/>
      <c r="V30" s="71"/>
      <c r="W30" s="54">
        <f>'NO VEA CLIENTE'!$V30/(1-'NO VEA CLIENTE'!$X30)-'NO VEA CLIENTE'!$V30</f>
        <v>0</v>
      </c>
      <c r="X30" s="72">
        <f t="shared" ref="X30:Z30" si="35">X$2</f>
        <v>0.13</v>
      </c>
      <c r="Y30" s="72">
        <f t="shared" si="35"/>
        <v>0</v>
      </c>
      <c r="Z30" s="72">
        <f t="shared" si="35"/>
        <v>0</v>
      </c>
      <c r="AA30" s="53">
        <f t="shared" si="4"/>
        <v>0</v>
      </c>
      <c r="AB30" s="63"/>
      <c r="AC30" s="2"/>
      <c r="AD30" s="117"/>
      <c r="AE30" s="71"/>
      <c r="AF30" s="71"/>
      <c r="AG30" s="62">
        <f>'NO VEA CLIENTE'!$AF30/(1-'NO VEA CLIENTE'!$AH30)-'NO VEA CLIENTE'!$AF30</f>
        <v>0</v>
      </c>
      <c r="AH30" s="72">
        <f t="shared" ref="AH30:AJ30" si="36">AH$2</f>
        <v>0.1</v>
      </c>
      <c r="AI30" s="72">
        <f t="shared" si="36"/>
        <v>0</v>
      </c>
      <c r="AJ30" s="72">
        <f t="shared" si="36"/>
        <v>0</v>
      </c>
      <c r="AK30" s="53">
        <f t="shared" si="5"/>
        <v>0</v>
      </c>
      <c r="AL30" s="118"/>
      <c r="AM30" s="2"/>
      <c r="AN30" s="2"/>
      <c r="AO30" s="2"/>
      <c r="AP30" s="2"/>
      <c r="AQ30" s="2"/>
      <c r="AR30" s="2"/>
      <c r="AS30" s="2"/>
      <c r="AT30" s="2"/>
      <c r="AU30" s="2"/>
      <c r="AV30" s="2"/>
      <c r="AW30" s="2"/>
    </row>
    <row r="31" ht="15.75" customHeight="1">
      <c r="A31" s="122"/>
      <c r="B31" s="76"/>
      <c r="C31" s="76"/>
      <c r="D31" s="76"/>
      <c r="E31" s="123"/>
      <c r="F31" s="76"/>
      <c r="G31" s="76"/>
      <c r="H31" s="124"/>
      <c r="I31" s="76"/>
      <c r="J31" s="53">
        <f t="shared" si="1"/>
        <v>0</v>
      </c>
      <c r="K31" s="54">
        <v>0.0</v>
      </c>
      <c r="L31" s="54">
        <f>'NO VEA CLIENTE'!$K31/(1-'NO VEA CLIENTE'!$M31)-'NO VEA CLIENTE'!$K31</f>
        <v>0</v>
      </c>
      <c r="M31" s="74">
        <f t="shared" ref="M31:O31" si="37">M$2</f>
        <v>0.13</v>
      </c>
      <c r="N31" s="74">
        <f t="shared" si="37"/>
        <v>0</v>
      </c>
      <c r="O31" s="74">
        <f t="shared" si="37"/>
        <v>0</v>
      </c>
      <c r="P31" s="53">
        <f t="shared" si="3"/>
        <v>0</v>
      </c>
      <c r="Q31" s="57">
        <f>'NO VEA CLIENTE'!$K31/0.9</f>
        <v>0</v>
      </c>
      <c r="R31" s="2"/>
      <c r="S31" s="58"/>
      <c r="T31" s="59"/>
      <c r="U31" s="71"/>
      <c r="V31" s="71"/>
      <c r="W31" s="54">
        <f>'NO VEA CLIENTE'!$V31/(1-'NO VEA CLIENTE'!$X31)-'NO VEA CLIENTE'!$V31</f>
        <v>0</v>
      </c>
      <c r="X31" s="72">
        <f t="shared" ref="X31:Z31" si="38">X$2</f>
        <v>0.13</v>
      </c>
      <c r="Y31" s="72">
        <f t="shared" si="38"/>
        <v>0</v>
      </c>
      <c r="Z31" s="72">
        <f t="shared" si="38"/>
        <v>0</v>
      </c>
      <c r="AA31" s="53">
        <f t="shared" si="4"/>
        <v>0</v>
      </c>
      <c r="AB31" s="63"/>
      <c r="AC31" s="2"/>
      <c r="AD31" s="117"/>
      <c r="AE31" s="71"/>
      <c r="AF31" s="71"/>
      <c r="AG31" s="62">
        <f>'NO VEA CLIENTE'!$AF31/(1-'NO VEA CLIENTE'!$AH31)-'NO VEA CLIENTE'!$AF31</f>
        <v>0</v>
      </c>
      <c r="AH31" s="72">
        <f t="shared" ref="AH31:AJ31" si="39">AH$2</f>
        <v>0.1</v>
      </c>
      <c r="AI31" s="72">
        <f t="shared" si="39"/>
        <v>0</v>
      </c>
      <c r="AJ31" s="72">
        <f t="shared" si="39"/>
        <v>0</v>
      </c>
      <c r="AK31" s="53">
        <f t="shared" si="5"/>
        <v>0</v>
      </c>
      <c r="AL31" s="118"/>
      <c r="AM31" s="2"/>
      <c r="AN31" s="2"/>
      <c r="AO31" s="2"/>
      <c r="AP31" s="2"/>
      <c r="AQ31" s="2"/>
      <c r="AR31" s="2"/>
      <c r="AS31" s="2"/>
      <c r="AT31" s="2"/>
      <c r="AU31" s="2"/>
      <c r="AV31" s="2"/>
      <c r="AW31" s="2"/>
    </row>
    <row r="32" ht="15.75" customHeight="1">
      <c r="A32" s="122"/>
      <c r="B32" s="76"/>
      <c r="C32" s="76"/>
      <c r="D32" s="76"/>
      <c r="E32" s="123"/>
      <c r="F32" s="76"/>
      <c r="G32" s="76"/>
      <c r="H32" s="124"/>
      <c r="I32" s="76"/>
      <c r="J32" s="53">
        <f t="shared" si="1"/>
        <v>0</v>
      </c>
      <c r="K32" s="54">
        <v>0.0</v>
      </c>
      <c r="L32" s="54">
        <f>'NO VEA CLIENTE'!$K32/(1-'NO VEA CLIENTE'!$M32)-'NO VEA CLIENTE'!$K32</f>
        <v>0</v>
      </c>
      <c r="M32" s="74">
        <f t="shared" ref="M32:O32" si="40">M$2</f>
        <v>0.13</v>
      </c>
      <c r="N32" s="74">
        <f t="shared" si="40"/>
        <v>0</v>
      </c>
      <c r="O32" s="74">
        <f t="shared" si="40"/>
        <v>0</v>
      </c>
      <c r="P32" s="53">
        <f t="shared" si="3"/>
        <v>0</v>
      </c>
      <c r="Q32" s="57">
        <f>'NO VEA CLIENTE'!$K32/0.9</f>
        <v>0</v>
      </c>
      <c r="R32" s="2"/>
      <c r="S32" s="58"/>
      <c r="T32" s="59"/>
      <c r="U32" s="71"/>
      <c r="V32" s="71"/>
      <c r="W32" s="54">
        <f>'NO VEA CLIENTE'!$V32/(1-'NO VEA CLIENTE'!$X32)-'NO VEA CLIENTE'!$V32</f>
        <v>0</v>
      </c>
      <c r="X32" s="72">
        <f t="shared" ref="X32:Z32" si="41">X$2</f>
        <v>0.13</v>
      </c>
      <c r="Y32" s="72">
        <f t="shared" si="41"/>
        <v>0</v>
      </c>
      <c r="Z32" s="72">
        <f t="shared" si="41"/>
        <v>0</v>
      </c>
      <c r="AA32" s="53">
        <f t="shared" si="4"/>
        <v>0</v>
      </c>
      <c r="AB32" s="63"/>
      <c r="AC32" s="2"/>
      <c r="AD32" s="117"/>
      <c r="AE32" s="71"/>
      <c r="AF32" s="71"/>
      <c r="AG32" s="62">
        <f>'NO VEA CLIENTE'!$AF32/(1-'NO VEA CLIENTE'!$AH32)-'NO VEA CLIENTE'!$AF32</f>
        <v>0</v>
      </c>
      <c r="AH32" s="72">
        <f t="shared" ref="AH32:AJ32" si="42">AH$2</f>
        <v>0.1</v>
      </c>
      <c r="AI32" s="72">
        <f t="shared" si="42"/>
        <v>0</v>
      </c>
      <c r="AJ32" s="72">
        <f t="shared" si="42"/>
        <v>0</v>
      </c>
      <c r="AK32" s="53">
        <f t="shared" si="5"/>
        <v>0</v>
      </c>
      <c r="AL32" s="118"/>
      <c r="AM32" s="2"/>
      <c r="AN32" s="2"/>
      <c r="AO32" s="2"/>
      <c r="AP32" s="2"/>
      <c r="AQ32" s="2"/>
      <c r="AR32" s="2"/>
      <c r="AS32" s="2"/>
      <c r="AT32" s="2"/>
      <c r="AU32" s="2"/>
      <c r="AV32" s="2"/>
      <c r="AW32" s="2"/>
    </row>
    <row r="33" ht="15.75" customHeight="1">
      <c r="A33" s="122"/>
      <c r="B33" s="76"/>
      <c r="C33" s="76"/>
      <c r="D33" s="76"/>
      <c r="E33" s="123"/>
      <c r="F33" s="76"/>
      <c r="G33" s="76"/>
      <c r="H33" s="124"/>
      <c r="I33" s="76"/>
      <c r="J33" s="53">
        <f t="shared" si="1"/>
        <v>0</v>
      </c>
      <c r="K33" s="54">
        <v>0.0</v>
      </c>
      <c r="L33" s="54">
        <f>'NO VEA CLIENTE'!$K33/(1-'NO VEA CLIENTE'!$M33)-'NO VEA CLIENTE'!$K33</f>
        <v>0</v>
      </c>
      <c r="M33" s="74">
        <f t="shared" ref="M33:O33" si="43">M$2</f>
        <v>0.13</v>
      </c>
      <c r="N33" s="74">
        <f t="shared" si="43"/>
        <v>0</v>
      </c>
      <c r="O33" s="74">
        <f t="shared" si="43"/>
        <v>0</v>
      </c>
      <c r="P33" s="53">
        <f t="shared" si="3"/>
        <v>0</v>
      </c>
      <c r="Q33" s="57">
        <f>'NO VEA CLIENTE'!$K33/0.9</f>
        <v>0</v>
      </c>
      <c r="R33" s="2"/>
      <c r="S33" s="58"/>
      <c r="T33" s="59"/>
      <c r="U33" s="71"/>
      <c r="V33" s="71"/>
      <c r="W33" s="54">
        <f>'NO VEA CLIENTE'!$V33/(1-'NO VEA CLIENTE'!$X33)-'NO VEA CLIENTE'!$V33</f>
        <v>0</v>
      </c>
      <c r="X33" s="72">
        <f t="shared" ref="X33:Z33" si="44">X$2</f>
        <v>0.13</v>
      </c>
      <c r="Y33" s="72">
        <f t="shared" si="44"/>
        <v>0</v>
      </c>
      <c r="Z33" s="72">
        <f t="shared" si="44"/>
        <v>0</v>
      </c>
      <c r="AA33" s="53">
        <f t="shared" si="4"/>
        <v>0</v>
      </c>
      <c r="AB33" s="63"/>
      <c r="AC33" s="2"/>
      <c r="AD33" s="117"/>
      <c r="AE33" s="71"/>
      <c r="AF33" s="71"/>
      <c r="AG33" s="62">
        <f>'NO VEA CLIENTE'!$AF33/(1-'NO VEA CLIENTE'!$AH33)-'NO VEA CLIENTE'!$AF33</f>
        <v>0</v>
      </c>
      <c r="AH33" s="72">
        <f t="shared" ref="AH33:AJ33" si="45">AH$2</f>
        <v>0.1</v>
      </c>
      <c r="AI33" s="72">
        <f t="shared" si="45"/>
        <v>0</v>
      </c>
      <c r="AJ33" s="72">
        <f t="shared" si="45"/>
        <v>0</v>
      </c>
      <c r="AK33" s="53">
        <f t="shared" si="5"/>
        <v>0</v>
      </c>
      <c r="AL33" s="118"/>
      <c r="AM33" s="2"/>
      <c r="AN33" s="2"/>
      <c r="AO33" s="2"/>
      <c r="AP33" s="2"/>
      <c r="AQ33" s="2"/>
      <c r="AR33" s="2"/>
      <c r="AS33" s="2"/>
      <c r="AT33" s="2"/>
      <c r="AU33" s="2"/>
      <c r="AV33" s="2"/>
      <c r="AW33" s="2"/>
    </row>
    <row r="34" ht="15.75" customHeight="1">
      <c r="A34" s="122"/>
      <c r="B34" s="76"/>
      <c r="C34" s="76"/>
      <c r="D34" s="76"/>
      <c r="E34" s="123"/>
      <c r="F34" s="76"/>
      <c r="G34" s="76"/>
      <c r="H34" s="124"/>
      <c r="I34" s="76"/>
      <c r="J34" s="53">
        <f t="shared" si="1"/>
        <v>0</v>
      </c>
      <c r="K34" s="54">
        <v>0.0</v>
      </c>
      <c r="L34" s="54">
        <f>'NO VEA CLIENTE'!$K34/(1-'NO VEA CLIENTE'!$M34)-'NO VEA CLIENTE'!$K34</f>
        <v>0</v>
      </c>
      <c r="M34" s="74">
        <f t="shared" ref="M34:O34" si="46">M$2</f>
        <v>0.13</v>
      </c>
      <c r="N34" s="74">
        <f t="shared" si="46"/>
        <v>0</v>
      </c>
      <c r="O34" s="74">
        <f t="shared" si="46"/>
        <v>0</v>
      </c>
      <c r="P34" s="53">
        <f t="shared" si="3"/>
        <v>0</v>
      </c>
      <c r="Q34" s="57">
        <f>'NO VEA CLIENTE'!$K34/0.9</f>
        <v>0</v>
      </c>
      <c r="R34" s="2"/>
      <c r="S34" s="58"/>
      <c r="T34" s="59"/>
      <c r="U34" s="71"/>
      <c r="V34" s="71"/>
      <c r="W34" s="54">
        <f>'NO VEA CLIENTE'!$V34/(1-'NO VEA CLIENTE'!$X34)-'NO VEA CLIENTE'!$V34</f>
        <v>0</v>
      </c>
      <c r="X34" s="72">
        <f t="shared" ref="X34:Z34" si="47">X$2</f>
        <v>0.13</v>
      </c>
      <c r="Y34" s="72">
        <f t="shared" si="47"/>
        <v>0</v>
      </c>
      <c r="Z34" s="72">
        <f t="shared" si="47"/>
        <v>0</v>
      </c>
      <c r="AA34" s="53">
        <f t="shared" si="4"/>
        <v>0</v>
      </c>
      <c r="AB34" s="63"/>
      <c r="AC34" s="2"/>
      <c r="AD34" s="117"/>
      <c r="AE34" s="71"/>
      <c r="AF34" s="71"/>
      <c r="AG34" s="62">
        <f>'NO VEA CLIENTE'!$AF34/(1-'NO VEA CLIENTE'!$AH34)-'NO VEA CLIENTE'!$AF34</f>
        <v>0</v>
      </c>
      <c r="AH34" s="72">
        <f t="shared" ref="AH34:AJ34" si="48">AH$2</f>
        <v>0.1</v>
      </c>
      <c r="AI34" s="72">
        <f t="shared" si="48"/>
        <v>0</v>
      </c>
      <c r="AJ34" s="72">
        <f t="shared" si="48"/>
        <v>0</v>
      </c>
      <c r="AK34" s="53">
        <f t="shared" si="5"/>
        <v>0</v>
      </c>
      <c r="AL34" s="118"/>
      <c r="AM34" s="2"/>
      <c r="AN34" s="2"/>
      <c r="AO34" s="2"/>
      <c r="AP34" s="2"/>
      <c r="AQ34" s="2"/>
      <c r="AR34" s="2"/>
      <c r="AS34" s="2"/>
      <c r="AT34" s="2"/>
      <c r="AU34" s="2"/>
      <c r="AV34" s="2"/>
      <c r="AW34" s="2"/>
    </row>
    <row r="35" ht="15.75" customHeight="1">
      <c r="A35" s="122"/>
      <c r="B35" s="76"/>
      <c r="C35" s="76"/>
      <c r="D35" s="76"/>
      <c r="E35" s="123"/>
      <c r="F35" s="76"/>
      <c r="G35" s="76"/>
      <c r="H35" s="124"/>
      <c r="I35" s="76"/>
      <c r="J35" s="53">
        <f t="shared" si="1"/>
        <v>0</v>
      </c>
      <c r="K35" s="54">
        <v>0.0</v>
      </c>
      <c r="L35" s="54">
        <f>'NO VEA CLIENTE'!$K35/(1-'NO VEA CLIENTE'!$M35)-'NO VEA CLIENTE'!$K35</f>
        <v>0</v>
      </c>
      <c r="M35" s="74">
        <f t="shared" ref="M35:O35" si="49">M$2</f>
        <v>0.13</v>
      </c>
      <c r="N35" s="74">
        <f t="shared" si="49"/>
        <v>0</v>
      </c>
      <c r="O35" s="74">
        <f t="shared" si="49"/>
        <v>0</v>
      </c>
      <c r="P35" s="53">
        <f t="shared" si="3"/>
        <v>0</v>
      </c>
      <c r="Q35" s="57">
        <f>'NO VEA CLIENTE'!$K35/0.9</f>
        <v>0</v>
      </c>
      <c r="R35" s="2"/>
      <c r="S35" s="58"/>
      <c r="T35" s="59"/>
      <c r="U35" s="71"/>
      <c r="V35" s="71"/>
      <c r="W35" s="54">
        <f>'NO VEA CLIENTE'!$V35/(1-'NO VEA CLIENTE'!$X35)-'NO VEA CLIENTE'!$V35</f>
        <v>0</v>
      </c>
      <c r="X35" s="72">
        <f t="shared" ref="X35:Z35" si="50">X$2</f>
        <v>0.13</v>
      </c>
      <c r="Y35" s="72">
        <f t="shared" si="50"/>
        <v>0</v>
      </c>
      <c r="Z35" s="72">
        <f t="shared" si="50"/>
        <v>0</v>
      </c>
      <c r="AA35" s="53">
        <f t="shared" si="4"/>
        <v>0</v>
      </c>
      <c r="AB35" s="63"/>
      <c r="AC35" s="2"/>
      <c r="AD35" s="117"/>
      <c r="AE35" s="71"/>
      <c r="AF35" s="71"/>
      <c r="AG35" s="62">
        <f>'NO VEA CLIENTE'!$AF35/(1-'NO VEA CLIENTE'!$AH35)-'NO VEA CLIENTE'!$AF35</f>
        <v>0</v>
      </c>
      <c r="AH35" s="72">
        <f t="shared" ref="AH35:AJ35" si="51">AH$2</f>
        <v>0.1</v>
      </c>
      <c r="AI35" s="72">
        <f t="shared" si="51"/>
        <v>0</v>
      </c>
      <c r="AJ35" s="72">
        <f t="shared" si="51"/>
        <v>0</v>
      </c>
      <c r="AK35" s="53">
        <f t="shared" si="5"/>
        <v>0</v>
      </c>
      <c r="AL35" s="118"/>
      <c r="AM35" s="2"/>
      <c r="AN35" s="2"/>
      <c r="AO35" s="2"/>
      <c r="AP35" s="2"/>
      <c r="AQ35" s="2"/>
      <c r="AR35" s="2"/>
      <c r="AS35" s="2"/>
      <c r="AT35" s="2"/>
      <c r="AU35" s="2"/>
      <c r="AV35" s="2"/>
      <c r="AW35" s="2"/>
    </row>
    <row r="36" ht="15.75" customHeight="1">
      <c r="A36" s="122"/>
      <c r="B36" s="76"/>
      <c r="C36" s="76"/>
      <c r="D36" s="76"/>
      <c r="E36" s="123"/>
      <c r="F36" s="76"/>
      <c r="G36" s="76"/>
      <c r="H36" s="124"/>
      <c r="I36" s="76"/>
      <c r="J36" s="53">
        <f t="shared" si="1"/>
        <v>0</v>
      </c>
      <c r="K36" s="54">
        <v>0.0</v>
      </c>
      <c r="L36" s="54">
        <f>'NO VEA CLIENTE'!$K36/(1-'NO VEA CLIENTE'!$M36)-'NO VEA CLIENTE'!$K36</f>
        <v>0</v>
      </c>
      <c r="M36" s="74">
        <f t="shared" ref="M36:O36" si="52">M$2</f>
        <v>0.13</v>
      </c>
      <c r="N36" s="74">
        <f t="shared" si="52"/>
        <v>0</v>
      </c>
      <c r="O36" s="74">
        <f t="shared" si="52"/>
        <v>0</v>
      </c>
      <c r="P36" s="53">
        <f t="shared" si="3"/>
        <v>0</v>
      </c>
      <c r="Q36" s="57">
        <f>'NO VEA CLIENTE'!$K36/0.9</f>
        <v>0</v>
      </c>
      <c r="R36" s="2"/>
      <c r="S36" s="58"/>
      <c r="T36" s="59"/>
      <c r="U36" s="71"/>
      <c r="V36" s="71"/>
      <c r="W36" s="54">
        <f>'NO VEA CLIENTE'!$V36/(1-'NO VEA CLIENTE'!$X36)-'NO VEA CLIENTE'!$V36</f>
        <v>0</v>
      </c>
      <c r="X36" s="72">
        <f t="shared" ref="X36:Z36" si="53">X$2</f>
        <v>0.13</v>
      </c>
      <c r="Y36" s="72">
        <f t="shared" si="53"/>
        <v>0</v>
      </c>
      <c r="Z36" s="72">
        <f t="shared" si="53"/>
        <v>0</v>
      </c>
      <c r="AA36" s="53">
        <f t="shared" si="4"/>
        <v>0</v>
      </c>
      <c r="AB36" s="63"/>
      <c r="AC36" s="2"/>
      <c r="AD36" s="117"/>
      <c r="AE36" s="71"/>
      <c r="AF36" s="71"/>
      <c r="AG36" s="62">
        <f>'NO VEA CLIENTE'!$AF36/(1-'NO VEA CLIENTE'!$AH36)-'NO VEA CLIENTE'!$AF36</f>
        <v>0</v>
      </c>
      <c r="AH36" s="72">
        <f t="shared" ref="AH36:AJ36" si="54">AH$2</f>
        <v>0.1</v>
      </c>
      <c r="AI36" s="72">
        <f t="shared" si="54"/>
        <v>0</v>
      </c>
      <c r="AJ36" s="72">
        <f t="shared" si="54"/>
        <v>0</v>
      </c>
      <c r="AK36" s="53">
        <f t="shared" si="5"/>
        <v>0</v>
      </c>
      <c r="AL36" s="118"/>
      <c r="AM36" s="2"/>
      <c r="AN36" s="2"/>
      <c r="AO36" s="2"/>
      <c r="AP36" s="2"/>
      <c r="AQ36" s="2"/>
      <c r="AR36" s="2"/>
      <c r="AS36" s="2"/>
      <c r="AT36" s="2"/>
      <c r="AU36" s="2"/>
      <c r="AV36" s="2"/>
      <c r="AW36" s="2"/>
    </row>
    <row r="37" ht="15.75" customHeight="1">
      <c r="A37" s="122"/>
      <c r="B37" s="76"/>
      <c r="C37" s="76"/>
      <c r="D37" s="76"/>
      <c r="E37" s="123"/>
      <c r="F37" s="76"/>
      <c r="G37" s="76"/>
      <c r="H37" s="124"/>
      <c r="I37" s="76"/>
      <c r="J37" s="53">
        <f t="shared" si="1"/>
        <v>0</v>
      </c>
      <c r="K37" s="54">
        <v>0.0</v>
      </c>
      <c r="L37" s="54">
        <f>'NO VEA CLIENTE'!$K37/(1-'NO VEA CLIENTE'!$M37)-'NO VEA CLIENTE'!$K37</f>
        <v>0</v>
      </c>
      <c r="M37" s="74">
        <f t="shared" ref="M37:O37" si="55">M$2</f>
        <v>0.13</v>
      </c>
      <c r="N37" s="74">
        <f t="shared" si="55"/>
        <v>0</v>
      </c>
      <c r="O37" s="74">
        <f t="shared" si="55"/>
        <v>0</v>
      </c>
      <c r="P37" s="53">
        <f t="shared" si="3"/>
        <v>0</v>
      </c>
      <c r="Q37" s="57">
        <f>'NO VEA CLIENTE'!$K37/0.9</f>
        <v>0</v>
      </c>
      <c r="R37" s="2"/>
      <c r="S37" s="58"/>
      <c r="T37" s="59"/>
      <c r="U37" s="71"/>
      <c r="V37" s="71"/>
      <c r="W37" s="54">
        <f>'NO VEA CLIENTE'!$V37/(1-'NO VEA CLIENTE'!$X37)-'NO VEA CLIENTE'!$V37</f>
        <v>0</v>
      </c>
      <c r="X37" s="72">
        <f t="shared" ref="X37:Z37" si="56">X$2</f>
        <v>0.13</v>
      </c>
      <c r="Y37" s="72">
        <f t="shared" si="56"/>
        <v>0</v>
      </c>
      <c r="Z37" s="72">
        <f t="shared" si="56"/>
        <v>0</v>
      </c>
      <c r="AA37" s="53">
        <f t="shared" si="4"/>
        <v>0</v>
      </c>
      <c r="AB37" s="63"/>
      <c r="AC37" s="2"/>
      <c r="AD37" s="117"/>
      <c r="AE37" s="71"/>
      <c r="AF37" s="71"/>
      <c r="AG37" s="62">
        <f>'NO VEA CLIENTE'!$AF37/(1-'NO VEA CLIENTE'!$AH37)-'NO VEA CLIENTE'!$AF37</f>
        <v>0</v>
      </c>
      <c r="AH37" s="72">
        <f t="shared" ref="AH37:AJ37" si="57">AH$2</f>
        <v>0.1</v>
      </c>
      <c r="AI37" s="72">
        <f t="shared" si="57"/>
        <v>0</v>
      </c>
      <c r="AJ37" s="72">
        <f t="shared" si="57"/>
        <v>0</v>
      </c>
      <c r="AK37" s="53">
        <f t="shared" si="5"/>
        <v>0</v>
      </c>
      <c r="AL37" s="118"/>
      <c r="AM37" s="2"/>
      <c r="AN37" s="2"/>
      <c r="AO37" s="2"/>
      <c r="AP37" s="2"/>
      <c r="AQ37" s="2"/>
      <c r="AR37" s="2"/>
      <c r="AS37" s="2"/>
      <c r="AT37" s="2"/>
      <c r="AU37" s="2"/>
      <c r="AV37" s="2"/>
      <c r="AW37" s="2"/>
    </row>
    <row r="38" ht="15.75" customHeight="1">
      <c r="A38" s="122"/>
      <c r="B38" s="76"/>
      <c r="C38" s="76"/>
      <c r="D38" s="76"/>
      <c r="E38" s="123"/>
      <c r="F38" s="76"/>
      <c r="G38" s="76"/>
      <c r="H38" s="124"/>
      <c r="I38" s="76"/>
      <c r="J38" s="53">
        <f t="shared" si="1"/>
        <v>0</v>
      </c>
      <c r="K38" s="54">
        <v>0.0</v>
      </c>
      <c r="L38" s="54">
        <f>'NO VEA CLIENTE'!$K38/(1-'NO VEA CLIENTE'!$M38)-'NO VEA CLIENTE'!$K38</f>
        <v>0</v>
      </c>
      <c r="M38" s="74">
        <f t="shared" ref="M38:O38" si="58">M$2</f>
        <v>0.13</v>
      </c>
      <c r="N38" s="74">
        <f t="shared" si="58"/>
        <v>0</v>
      </c>
      <c r="O38" s="74">
        <f t="shared" si="58"/>
        <v>0</v>
      </c>
      <c r="P38" s="53">
        <f t="shared" si="3"/>
        <v>0</v>
      </c>
      <c r="Q38" s="57">
        <f>'NO VEA CLIENTE'!$K38/0.9</f>
        <v>0</v>
      </c>
      <c r="R38" s="2"/>
      <c r="S38" s="58"/>
      <c r="T38" s="59"/>
      <c r="U38" s="71"/>
      <c r="V38" s="71"/>
      <c r="W38" s="54">
        <f>'NO VEA CLIENTE'!$V38/(1-'NO VEA CLIENTE'!$X38)-'NO VEA CLIENTE'!$V38</f>
        <v>0</v>
      </c>
      <c r="X38" s="72">
        <f t="shared" ref="X38:Z38" si="59">X$2</f>
        <v>0.13</v>
      </c>
      <c r="Y38" s="72">
        <f t="shared" si="59"/>
        <v>0</v>
      </c>
      <c r="Z38" s="72">
        <f t="shared" si="59"/>
        <v>0</v>
      </c>
      <c r="AA38" s="53">
        <f t="shared" si="4"/>
        <v>0</v>
      </c>
      <c r="AB38" s="63"/>
      <c r="AC38" s="2"/>
      <c r="AD38" s="117"/>
      <c r="AE38" s="71"/>
      <c r="AF38" s="71"/>
      <c r="AG38" s="62">
        <f>'NO VEA CLIENTE'!$AF38/(1-'NO VEA CLIENTE'!$AH38)-'NO VEA CLIENTE'!$AF38</f>
        <v>0</v>
      </c>
      <c r="AH38" s="72">
        <f t="shared" ref="AH38:AJ38" si="60">AH$2</f>
        <v>0.1</v>
      </c>
      <c r="AI38" s="72">
        <f t="shared" si="60"/>
        <v>0</v>
      </c>
      <c r="AJ38" s="72">
        <f t="shared" si="60"/>
        <v>0</v>
      </c>
      <c r="AK38" s="53">
        <f t="shared" si="5"/>
        <v>0</v>
      </c>
      <c r="AL38" s="118"/>
      <c r="AM38" s="2"/>
      <c r="AN38" s="2"/>
      <c r="AO38" s="2"/>
      <c r="AP38" s="2"/>
      <c r="AQ38" s="2"/>
      <c r="AR38" s="2"/>
      <c r="AS38" s="2"/>
      <c r="AT38" s="2"/>
      <c r="AU38" s="2"/>
      <c r="AV38" s="2"/>
      <c r="AW38" s="2"/>
    </row>
    <row r="39" ht="15.75" customHeight="1">
      <c r="A39" s="122"/>
      <c r="B39" s="76"/>
      <c r="C39" s="76"/>
      <c r="D39" s="76"/>
      <c r="E39" s="123"/>
      <c r="F39" s="76"/>
      <c r="G39" s="76"/>
      <c r="H39" s="124"/>
      <c r="I39" s="76"/>
      <c r="J39" s="53">
        <f t="shared" si="1"/>
        <v>0</v>
      </c>
      <c r="K39" s="54">
        <v>0.0</v>
      </c>
      <c r="L39" s="54">
        <f>'NO VEA CLIENTE'!$K39/(1-'NO VEA CLIENTE'!$M39)-'NO VEA CLIENTE'!$K39</f>
        <v>0</v>
      </c>
      <c r="M39" s="74">
        <f t="shared" ref="M39:O39" si="61">M$2</f>
        <v>0.13</v>
      </c>
      <c r="N39" s="74">
        <f t="shared" si="61"/>
        <v>0</v>
      </c>
      <c r="O39" s="74">
        <f t="shared" si="61"/>
        <v>0</v>
      </c>
      <c r="P39" s="53">
        <f t="shared" si="3"/>
        <v>0</v>
      </c>
      <c r="Q39" s="57">
        <f>'NO VEA CLIENTE'!$K39/0.9</f>
        <v>0</v>
      </c>
      <c r="R39" s="2"/>
      <c r="S39" s="58"/>
      <c r="T39" s="59"/>
      <c r="U39" s="71"/>
      <c r="V39" s="71"/>
      <c r="W39" s="54">
        <f>'NO VEA CLIENTE'!$V39/(1-'NO VEA CLIENTE'!$X39)-'NO VEA CLIENTE'!$V39</f>
        <v>0</v>
      </c>
      <c r="X39" s="72">
        <f t="shared" ref="X39:Z39" si="62">X$2</f>
        <v>0.13</v>
      </c>
      <c r="Y39" s="72">
        <f t="shared" si="62"/>
        <v>0</v>
      </c>
      <c r="Z39" s="72">
        <f t="shared" si="62"/>
        <v>0</v>
      </c>
      <c r="AA39" s="53">
        <f t="shared" si="4"/>
        <v>0</v>
      </c>
      <c r="AB39" s="63"/>
      <c r="AC39" s="2"/>
      <c r="AD39" s="117"/>
      <c r="AE39" s="71"/>
      <c r="AF39" s="71"/>
      <c r="AG39" s="62">
        <f>'NO VEA CLIENTE'!$AF39/(1-'NO VEA CLIENTE'!$AH39)-'NO VEA CLIENTE'!$AF39</f>
        <v>0</v>
      </c>
      <c r="AH39" s="72">
        <f t="shared" ref="AH39:AJ39" si="63">AH$2</f>
        <v>0.1</v>
      </c>
      <c r="AI39" s="72">
        <f t="shared" si="63"/>
        <v>0</v>
      </c>
      <c r="AJ39" s="72">
        <f t="shared" si="63"/>
        <v>0</v>
      </c>
      <c r="AK39" s="53">
        <f t="shared" si="5"/>
        <v>0</v>
      </c>
      <c r="AL39" s="118"/>
      <c r="AM39" s="2"/>
      <c r="AN39" s="2"/>
      <c r="AO39" s="2"/>
      <c r="AP39" s="2"/>
      <c r="AQ39" s="2"/>
      <c r="AR39" s="2"/>
      <c r="AS39" s="2"/>
      <c r="AT39" s="2"/>
      <c r="AU39" s="2"/>
      <c r="AV39" s="2"/>
      <c r="AW39" s="2"/>
    </row>
    <row r="40" ht="15.75" customHeight="1">
      <c r="A40" s="122"/>
      <c r="B40" s="76"/>
      <c r="C40" s="76"/>
      <c r="D40" s="76"/>
      <c r="E40" s="123"/>
      <c r="F40" s="76"/>
      <c r="G40" s="76"/>
      <c r="H40" s="124"/>
      <c r="I40" s="76"/>
      <c r="J40" s="53">
        <f t="shared" si="1"/>
        <v>0</v>
      </c>
      <c r="K40" s="54">
        <v>0.0</v>
      </c>
      <c r="L40" s="54">
        <f>'NO VEA CLIENTE'!$K40/(1-'NO VEA CLIENTE'!$M40)-'NO VEA CLIENTE'!$K40</f>
        <v>0</v>
      </c>
      <c r="M40" s="74">
        <f t="shared" ref="M40:O40" si="64">M$2</f>
        <v>0.13</v>
      </c>
      <c r="N40" s="74">
        <f t="shared" si="64"/>
        <v>0</v>
      </c>
      <c r="O40" s="74">
        <f t="shared" si="64"/>
        <v>0</v>
      </c>
      <c r="P40" s="53">
        <f t="shared" si="3"/>
        <v>0</v>
      </c>
      <c r="Q40" s="57">
        <f>'NO VEA CLIENTE'!$K40/0.9</f>
        <v>0</v>
      </c>
      <c r="R40" s="2"/>
      <c r="S40" s="58"/>
      <c r="T40" s="59"/>
      <c r="U40" s="71"/>
      <c r="V40" s="71"/>
      <c r="W40" s="54">
        <f>'NO VEA CLIENTE'!$V40/(1-'NO VEA CLIENTE'!$X40)-'NO VEA CLIENTE'!$V40</f>
        <v>0</v>
      </c>
      <c r="X40" s="72">
        <f t="shared" ref="X40:Z40" si="65">X$2</f>
        <v>0.13</v>
      </c>
      <c r="Y40" s="72">
        <f t="shared" si="65"/>
        <v>0</v>
      </c>
      <c r="Z40" s="72">
        <f t="shared" si="65"/>
        <v>0</v>
      </c>
      <c r="AA40" s="53">
        <f t="shared" si="4"/>
        <v>0</v>
      </c>
      <c r="AB40" s="63"/>
      <c r="AC40" s="2"/>
      <c r="AD40" s="117"/>
      <c r="AE40" s="71"/>
      <c r="AF40" s="71"/>
      <c r="AG40" s="62">
        <f>'NO VEA CLIENTE'!$AF40/(1-'NO VEA CLIENTE'!$AH40)-'NO VEA CLIENTE'!$AF40</f>
        <v>0</v>
      </c>
      <c r="AH40" s="72">
        <f t="shared" ref="AH40:AJ40" si="66">AH$2</f>
        <v>0.1</v>
      </c>
      <c r="AI40" s="72">
        <f t="shared" si="66"/>
        <v>0</v>
      </c>
      <c r="AJ40" s="72">
        <f t="shared" si="66"/>
        <v>0</v>
      </c>
      <c r="AK40" s="53">
        <f t="shared" si="5"/>
        <v>0</v>
      </c>
      <c r="AL40" s="118"/>
      <c r="AM40" s="2"/>
      <c r="AN40" s="2"/>
      <c r="AO40" s="2"/>
      <c r="AP40" s="2"/>
      <c r="AQ40" s="2"/>
      <c r="AR40" s="2"/>
      <c r="AS40" s="2"/>
      <c r="AT40" s="2"/>
      <c r="AU40" s="2"/>
      <c r="AV40" s="2"/>
      <c r="AW40" s="2"/>
    </row>
    <row r="41" ht="15.75" customHeight="1">
      <c r="A41" s="122"/>
      <c r="B41" s="76"/>
      <c r="C41" s="76"/>
      <c r="D41" s="76"/>
      <c r="E41" s="123"/>
      <c r="F41" s="76"/>
      <c r="G41" s="76"/>
      <c r="H41" s="124"/>
      <c r="I41" s="76"/>
      <c r="J41" s="53">
        <f t="shared" si="1"/>
        <v>0</v>
      </c>
      <c r="K41" s="54">
        <v>0.0</v>
      </c>
      <c r="L41" s="54">
        <f>'NO VEA CLIENTE'!$K41/(1-'NO VEA CLIENTE'!$M41)-'NO VEA CLIENTE'!$K41</f>
        <v>0</v>
      </c>
      <c r="M41" s="74">
        <f t="shared" ref="M41:O41" si="67">M$2</f>
        <v>0.13</v>
      </c>
      <c r="N41" s="74">
        <f t="shared" si="67"/>
        <v>0</v>
      </c>
      <c r="O41" s="74">
        <f t="shared" si="67"/>
        <v>0</v>
      </c>
      <c r="P41" s="53">
        <f t="shared" si="3"/>
        <v>0</v>
      </c>
      <c r="Q41" s="57">
        <f>'NO VEA CLIENTE'!$K41/0.9</f>
        <v>0</v>
      </c>
      <c r="R41" s="2"/>
      <c r="S41" s="58"/>
      <c r="T41" s="59"/>
      <c r="U41" s="71"/>
      <c r="V41" s="71"/>
      <c r="W41" s="54">
        <f>'NO VEA CLIENTE'!$V41/(1-'NO VEA CLIENTE'!$X41)-'NO VEA CLIENTE'!$V41</f>
        <v>0</v>
      </c>
      <c r="X41" s="72">
        <f t="shared" ref="X41:Z41" si="68">X$2</f>
        <v>0.13</v>
      </c>
      <c r="Y41" s="72">
        <f t="shared" si="68"/>
        <v>0</v>
      </c>
      <c r="Z41" s="72">
        <f t="shared" si="68"/>
        <v>0</v>
      </c>
      <c r="AA41" s="53">
        <f t="shared" si="4"/>
        <v>0</v>
      </c>
      <c r="AB41" s="63"/>
      <c r="AC41" s="2"/>
      <c r="AD41" s="117"/>
      <c r="AE41" s="71"/>
      <c r="AF41" s="71"/>
      <c r="AG41" s="62">
        <f>'NO VEA CLIENTE'!$AF41/(1-'NO VEA CLIENTE'!$AH41)-'NO VEA CLIENTE'!$AF41</f>
        <v>0</v>
      </c>
      <c r="AH41" s="72">
        <f t="shared" ref="AH41:AJ41" si="69">AH$2</f>
        <v>0.1</v>
      </c>
      <c r="AI41" s="72">
        <f t="shared" si="69"/>
        <v>0</v>
      </c>
      <c r="AJ41" s="72">
        <f t="shared" si="69"/>
        <v>0</v>
      </c>
      <c r="AK41" s="53">
        <f t="shared" si="5"/>
        <v>0</v>
      </c>
      <c r="AL41" s="118"/>
      <c r="AM41" s="2"/>
      <c r="AN41" s="2"/>
      <c r="AO41" s="2"/>
      <c r="AP41" s="2"/>
      <c r="AQ41" s="2"/>
      <c r="AR41" s="2"/>
      <c r="AS41" s="2"/>
      <c r="AT41" s="2"/>
      <c r="AU41" s="2"/>
      <c r="AV41" s="2"/>
      <c r="AW41" s="2"/>
    </row>
    <row r="42" ht="15.75" customHeight="1">
      <c r="A42" s="122"/>
      <c r="B42" s="76"/>
      <c r="C42" s="76"/>
      <c r="D42" s="76"/>
      <c r="E42" s="123"/>
      <c r="F42" s="76"/>
      <c r="G42" s="76"/>
      <c r="H42" s="124"/>
      <c r="I42" s="76"/>
      <c r="J42" s="53">
        <f t="shared" si="1"/>
        <v>0</v>
      </c>
      <c r="K42" s="54">
        <v>0.0</v>
      </c>
      <c r="L42" s="54">
        <f>'NO VEA CLIENTE'!$K42/(1-'NO VEA CLIENTE'!$M42)-'NO VEA CLIENTE'!$K42</f>
        <v>0</v>
      </c>
      <c r="M42" s="74">
        <f t="shared" ref="M42:O42" si="70">M$2</f>
        <v>0.13</v>
      </c>
      <c r="N42" s="74">
        <f t="shared" si="70"/>
        <v>0</v>
      </c>
      <c r="O42" s="74">
        <f t="shared" si="70"/>
        <v>0</v>
      </c>
      <c r="P42" s="53">
        <f t="shared" si="3"/>
        <v>0</v>
      </c>
      <c r="Q42" s="57">
        <f>'NO VEA CLIENTE'!$K42/0.9</f>
        <v>0</v>
      </c>
      <c r="R42" s="2"/>
      <c r="S42" s="58"/>
      <c r="T42" s="59"/>
      <c r="U42" s="71"/>
      <c r="V42" s="71"/>
      <c r="W42" s="54">
        <f>'NO VEA CLIENTE'!$V42/(1-'NO VEA CLIENTE'!$X42)-'NO VEA CLIENTE'!$V42</f>
        <v>0</v>
      </c>
      <c r="X42" s="72">
        <f t="shared" ref="X42:Z42" si="71">X$2</f>
        <v>0.13</v>
      </c>
      <c r="Y42" s="72">
        <f t="shared" si="71"/>
        <v>0</v>
      </c>
      <c r="Z42" s="72">
        <f t="shared" si="71"/>
        <v>0</v>
      </c>
      <c r="AA42" s="53">
        <f t="shared" si="4"/>
        <v>0</v>
      </c>
      <c r="AB42" s="63"/>
      <c r="AC42" s="2"/>
      <c r="AD42" s="117"/>
      <c r="AE42" s="71"/>
      <c r="AF42" s="71"/>
      <c r="AG42" s="62">
        <f>'NO VEA CLIENTE'!$AF42/(1-'NO VEA CLIENTE'!$AH42)-'NO VEA CLIENTE'!$AF42</f>
        <v>0</v>
      </c>
      <c r="AH42" s="72">
        <f t="shared" ref="AH42:AJ42" si="72">AH$2</f>
        <v>0.1</v>
      </c>
      <c r="AI42" s="72">
        <f t="shared" si="72"/>
        <v>0</v>
      </c>
      <c r="AJ42" s="72">
        <f t="shared" si="72"/>
        <v>0</v>
      </c>
      <c r="AK42" s="53">
        <f t="shared" si="5"/>
        <v>0</v>
      </c>
      <c r="AL42" s="118"/>
      <c r="AM42" s="2"/>
      <c r="AN42" s="2"/>
      <c r="AO42" s="2"/>
      <c r="AP42" s="2"/>
      <c r="AQ42" s="2"/>
      <c r="AR42" s="2"/>
      <c r="AS42" s="2"/>
      <c r="AT42" s="2"/>
      <c r="AU42" s="2"/>
      <c r="AV42" s="2"/>
      <c r="AW42" s="2"/>
    </row>
    <row r="43" ht="15.75" customHeight="1">
      <c r="A43" s="122"/>
      <c r="B43" s="76"/>
      <c r="C43" s="76"/>
      <c r="D43" s="76"/>
      <c r="E43" s="123"/>
      <c r="F43" s="76"/>
      <c r="G43" s="76"/>
      <c r="H43" s="124"/>
      <c r="I43" s="76"/>
      <c r="J43" s="53">
        <f t="shared" si="1"/>
        <v>0</v>
      </c>
      <c r="K43" s="54">
        <v>0.0</v>
      </c>
      <c r="L43" s="54">
        <f>'NO VEA CLIENTE'!$K43/(1-'NO VEA CLIENTE'!$M43)-'NO VEA CLIENTE'!$K43</f>
        <v>0</v>
      </c>
      <c r="M43" s="74">
        <f t="shared" ref="M43:O43" si="73">M$2</f>
        <v>0.13</v>
      </c>
      <c r="N43" s="74">
        <f t="shared" si="73"/>
        <v>0</v>
      </c>
      <c r="O43" s="74">
        <f t="shared" si="73"/>
        <v>0</v>
      </c>
      <c r="P43" s="53">
        <f t="shared" si="3"/>
        <v>0</v>
      </c>
      <c r="Q43" s="57">
        <f>'NO VEA CLIENTE'!$K43/0.9</f>
        <v>0</v>
      </c>
      <c r="R43" s="2"/>
      <c r="S43" s="58"/>
      <c r="T43" s="59"/>
      <c r="U43" s="71"/>
      <c r="V43" s="71"/>
      <c r="W43" s="54">
        <f>'NO VEA CLIENTE'!$V43/(1-'NO VEA CLIENTE'!$X43)-'NO VEA CLIENTE'!$V43</f>
        <v>0</v>
      </c>
      <c r="X43" s="72">
        <f t="shared" ref="X43:Z43" si="74">X$2</f>
        <v>0.13</v>
      </c>
      <c r="Y43" s="72">
        <f t="shared" si="74"/>
        <v>0</v>
      </c>
      <c r="Z43" s="72">
        <f t="shared" si="74"/>
        <v>0</v>
      </c>
      <c r="AA43" s="53">
        <f t="shared" si="4"/>
        <v>0</v>
      </c>
      <c r="AB43" s="63"/>
      <c r="AC43" s="2"/>
      <c r="AD43" s="117"/>
      <c r="AE43" s="71"/>
      <c r="AF43" s="71"/>
      <c r="AG43" s="62">
        <f>'NO VEA CLIENTE'!$AF43/(1-'NO VEA CLIENTE'!$AH43)-'NO VEA CLIENTE'!$AF43</f>
        <v>0</v>
      </c>
      <c r="AH43" s="72">
        <f t="shared" ref="AH43:AJ43" si="75">AH$2</f>
        <v>0.1</v>
      </c>
      <c r="AI43" s="72">
        <f t="shared" si="75"/>
        <v>0</v>
      </c>
      <c r="AJ43" s="72">
        <f t="shared" si="75"/>
        <v>0</v>
      </c>
      <c r="AK43" s="53">
        <f t="shared" si="5"/>
        <v>0</v>
      </c>
      <c r="AL43" s="118"/>
      <c r="AM43" s="2"/>
      <c r="AN43" s="2"/>
      <c r="AO43" s="2"/>
      <c r="AP43" s="2"/>
      <c r="AQ43" s="2"/>
      <c r="AR43" s="2"/>
      <c r="AS43" s="2"/>
      <c r="AT43" s="2"/>
      <c r="AU43" s="2"/>
      <c r="AV43" s="2"/>
      <c r="AW43" s="2"/>
    </row>
    <row r="44" ht="15.75" customHeight="1">
      <c r="A44" s="122"/>
      <c r="B44" s="76"/>
      <c r="C44" s="76"/>
      <c r="D44" s="76"/>
      <c r="E44" s="123"/>
      <c r="F44" s="76"/>
      <c r="G44" s="76"/>
      <c r="H44" s="124"/>
      <c r="I44" s="76"/>
      <c r="J44" s="53">
        <f t="shared" si="1"/>
        <v>0</v>
      </c>
      <c r="K44" s="54">
        <v>0.0</v>
      </c>
      <c r="L44" s="54">
        <f>'NO VEA CLIENTE'!$K44/(1-'NO VEA CLIENTE'!$M44)-'NO VEA CLIENTE'!$K44</f>
        <v>0</v>
      </c>
      <c r="M44" s="74">
        <f t="shared" ref="M44:O44" si="76">M$2</f>
        <v>0.13</v>
      </c>
      <c r="N44" s="74">
        <f t="shared" si="76"/>
        <v>0</v>
      </c>
      <c r="O44" s="74">
        <f t="shared" si="76"/>
        <v>0</v>
      </c>
      <c r="P44" s="53">
        <f t="shared" si="3"/>
        <v>0</v>
      </c>
      <c r="Q44" s="57">
        <f>'NO VEA CLIENTE'!$K44/0.9</f>
        <v>0</v>
      </c>
      <c r="R44" s="2"/>
      <c r="S44" s="58"/>
      <c r="T44" s="59"/>
      <c r="U44" s="71"/>
      <c r="V44" s="71"/>
      <c r="W44" s="54">
        <f>'NO VEA CLIENTE'!$V44/(1-'NO VEA CLIENTE'!$X44)-'NO VEA CLIENTE'!$V44</f>
        <v>0</v>
      </c>
      <c r="X44" s="72">
        <f t="shared" ref="X44:Z44" si="77">X$2</f>
        <v>0.13</v>
      </c>
      <c r="Y44" s="72">
        <f t="shared" si="77"/>
        <v>0</v>
      </c>
      <c r="Z44" s="72">
        <f t="shared" si="77"/>
        <v>0</v>
      </c>
      <c r="AA44" s="53">
        <f t="shared" si="4"/>
        <v>0</v>
      </c>
      <c r="AB44" s="63"/>
      <c r="AC44" s="2"/>
      <c r="AD44" s="117"/>
      <c r="AE44" s="71"/>
      <c r="AF44" s="71"/>
      <c r="AG44" s="62">
        <f>'NO VEA CLIENTE'!$AF44/(1-'NO VEA CLIENTE'!$AH44)-'NO VEA CLIENTE'!$AF44</f>
        <v>0</v>
      </c>
      <c r="AH44" s="72">
        <f t="shared" ref="AH44:AJ44" si="78">AH$2</f>
        <v>0.1</v>
      </c>
      <c r="AI44" s="72">
        <f t="shared" si="78"/>
        <v>0</v>
      </c>
      <c r="AJ44" s="72">
        <f t="shared" si="78"/>
        <v>0</v>
      </c>
      <c r="AK44" s="53">
        <f t="shared" si="5"/>
        <v>0</v>
      </c>
      <c r="AL44" s="118"/>
      <c r="AM44" s="2"/>
      <c r="AN44" s="2"/>
      <c r="AO44" s="2"/>
      <c r="AP44" s="2"/>
      <c r="AQ44" s="2"/>
      <c r="AR44" s="2"/>
      <c r="AS44" s="2"/>
      <c r="AT44" s="2"/>
      <c r="AU44" s="2"/>
      <c r="AV44" s="2"/>
      <c r="AW44" s="2"/>
    </row>
    <row r="45" ht="15.75" customHeight="1">
      <c r="A45" s="122"/>
      <c r="B45" s="76"/>
      <c r="C45" s="76"/>
      <c r="D45" s="76"/>
      <c r="E45" s="123"/>
      <c r="F45" s="76"/>
      <c r="G45" s="76"/>
      <c r="H45" s="124"/>
      <c r="I45" s="76"/>
      <c r="J45" s="53">
        <f t="shared" si="1"/>
        <v>0</v>
      </c>
      <c r="K45" s="54">
        <v>0.0</v>
      </c>
      <c r="L45" s="54">
        <f>'NO VEA CLIENTE'!$K45/(1-'NO VEA CLIENTE'!$M45)-'NO VEA CLIENTE'!$K45</f>
        <v>0</v>
      </c>
      <c r="M45" s="74">
        <f t="shared" ref="M45:O45" si="79">M$2</f>
        <v>0.13</v>
      </c>
      <c r="N45" s="74">
        <f t="shared" si="79"/>
        <v>0</v>
      </c>
      <c r="O45" s="74">
        <f t="shared" si="79"/>
        <v>0</v>
      </c>
      <c r="P45" s="53">
        <f t="shared" si="3"/>
        <v>0</v>
      </c>
      <c r="Q45" s="57">
        <f>'NO VEA CLIENTE'!$K45/0.9</f>
        <v>0</v>
      </c>
      <c r="R45" s="2"/>
      <c r="S45" s="58"/>
      <c r="T45" s="59"/>
      <c r="U45" s="71"/>
      <c r="V45" s="71"/>
      <c r="W45" s="54">
        <f>'NO VEA CLIENTE'!$V45/(1-'NO VEA CLIENTE'!$X45)-'NO VEA CLIENTE'!$V45</f>
        <v>0</v>
      </c>
      <c r="X45" s="72">
        <f t="shared" ref="X45:Z45" si="80">X$2</f>
        <v>0.13</v>
      </c>
      <c r="Y45" s="72">
        <f t="shared" si="80"/>
        <v>0</v>
      </c>
      <c r="Z45" s="72">
        <f t="shared" si="80"/>
        <v>0</v>
      </c>
      <c r="AA45" s="53">
        <f t="shared" si="4"/>
        <v>0</v>
      </c>
      <c r="AB45" s="63"/>
      <c r="AC45" s="2"/>
      <c r="AD45" s="117"/>
      <c r="AE45" s="71"/>
      <c r="AF45" s="71"/>
      <c r="AG45" s="62">
        <f>'NO VEA CLIENTE'!$AF45/(1-'NO VEA CLIENTE'!$AH45)-'NO VEA CLIENTE'!$AF45</f>
        <v>0</v>
      </c>
      <c r="AH45" s="72">
        <f t="shared" ref="AH45:AJ45" si="81">AH$2</f>
        <v>0.1</v>
      </c>
      <c r="AI45" s="72">
        <f t="shared" si="81"/>
        <v>0</v>
      </c>
      <c r="AJ45" s="72">
        <f t="shared" si="81"/>
        <v>0</v>
      </c>
      <c r="AK45" s="53">
        <f t="shared" si="5"/>
        <v>0</v>
      </c>
      <c r="AL45" s="118"/>
      <c r="AM45" s="2"/>
      <c r="AN45" s="2"/>
      <c r="AO45" s="2"/>
      <c r="AP45" s="2"/>
      <c r="AQ45" s="2"/>
      <c r="AR45" s="2"/>
      <c r="AS45" s="2"/>
      <c r="AT45" s="2"/>
      <c r="AU45" s="2"/>
      <c r="AV45" s="2"/>
      <c r="AW45" s="2"/>
    </row>
    <row r="46" ht="15.75" customHeight="1">
      <c r="A46" s="122"/>
      <c r="B46" s="76"/>
      <c r="C46" s="76"/>
      <c r="D46" s="76"/>
      <c r="E46" s="123"/>
      <c r="F46" s="76"/>
      <c r="G46" s="76"/>
      <c r="H46" s="124"/>
      <c r="I46" s="76"/>
      <c r="J46" s="53">
        <f t="shared" si="1"/>
        <v>0</v>
      </c>
      <c r="K46" s="54">
        <v>0.0</v>
      </c>
      <c r="L46" s="54">
        <f>'NO VEA CLIENTE'!$K46/(1-'NO VEA CLIENTE'!$M46)-'NO VEA CLIENTE'!$K46</f>
        <v>0</v>
      </c>
      <c r="M46" s="74">
        <f t="shared" ref="M46:O46" si="82">M$2</f>
        <v>0.13</v>
      </c>
      <c r="N46" s="74">
        <f t="shared" si="82"/>
        <v>0</v>
      </c>
      <c r="O46" s="74">
        <f t="shared" si="82"/>
        <v>0</v>
      </c>
      <c r="P46" s="53">
        <f t="shared" si="3"/>
        <v>0</v>
      </c>
      <c r="Q46" s="57">
        <f>'NO VEA CLIENTE'!$K46/0.9</f>
        <v>0</v>
      </c>
      <c r="R46" s="2"/>
      <c r="S46" s="58"/>
      <c r="T46" s="59"/>
      <c r="U46" s="71"/>
      <c r="V46" s="71"/>
      <c r="W46" s="54">
        <f>'NO VEA CLIENTE'!$V46/(1-'NO VEA CLIENTE'!$X46)-'NO VEA CLIENTE'!$V46</f>
        <v>0</v>
      </c>
      <c r="X46" s="72">
        <f t="shared" ref="X46:Z46" si="83">X$2</f>
        <v>0.13</v>
      </c>
      <c r="Y46" s="72">
        <f t="shared" si="83"/>
        <v>0</v>
      </c>
      <c r="Z46" s="72">
        <f t="shared" si="83"/>
        <v>0</v>
      </c>
      <c r="AA46" s="53">
        <f t="shared" si="4"/>
        <v>0</v>
      </c>
      <c r="AB46" s="63"/>
      <c r="AC46" s="2"/>
      <c r="AD46" s="117"/>
      <c r="AE46" s="71"/>
      <c r="AF46" s="71"/>
      <c r="AG46" s="62">
        <f>'NO VEA CLIENTE'!$AF46/(1-'NO VEA CLIENTE'!$AH46)-'NO VEA CLIENTE'!$AF46</f>
        <v>0</v>
      </c>
      <c r="AH46" s="72">
        <f t="shared" ref="AH46:AJ46" si="84">AH$2</f>
        <v>0.1</v>
      </c>
      <c r="AI46" s="72">
        <f t="shared" si="84"/>
        <v>0</v>
      </c>
      <c r="AJ46" s="72">
        <f t="shared" si="84"/>
        <v>0</v>
      </c>
      <c r="AK46" s="53">
        <f t="shared" si="5"/>
        <v>0</v>
      </c>
      <c r="AL46" s="118"/>
      <c r="AM46" s="2"/>
      <c r="AN46" s="2"/>
      <c r="AO46" s="2"/>
      <c r="AP46" s="2"/>
      <c r="AQ46" s="2"/>
      <c r="AR46" s="2"/>
      <c r="AS46" s="2"/>
      <c r="AT46" s="2"/>
      <c r="AU46" s="2"/>
      <c r="AV46" s="2"/>
      <c r="AW46" s="2"/>
    </row>
    <row r="47" ht="15.75" customHeight="1">
      <c r="A47" s="122"/>
      <c r="B47" s="76"/>
      <c r="C47" s="76"/>
      <c r="D47" s="76"/>
      <c r="E47" s="123"/>
      <c r="F47" s="76"/>
      <c r="G47" s="76"/>
      <c r="H47" s="124"/>
      <c r="I47" s="76"/>
      <c r="J47" s="53">
        <f t="shared" si="1"/>
        <v>0</v>
      </c>
      <c r="K47" s="54">
        <v>0.0</v>
      </c>
      <c r="L47" s="54">
        <f>'NO VEA CLIENTE'!$K47/(1-'NO VEA CLIENTE'!$M47)-'NO VEA CLIENTE'!$K47</f>
        <v>0</v>
      </c>
      <c r="M47" s="74">
        <f t="shared" ref="M47:O47" si="85">M$2</f>
        <v>0.13</v>
      </c>
      <c r="N47" s="74">
        <f t="shared" si="85"/>
        <v>0</v>
      </c>
      <c r="O47" s="74">
        <f t="shared" si="85"/>
        <v>0</v>
      </c>
      <c r="P47" s="53">
        <f t="shared" si="3"/>
        <v>0</v>
      </c>
      <c r="Q47" s="57">
        <f>'NO VEA CLIENTE'!$K47/0.9</f>
        <v>0</v>
      </c>
      <c r="R47" s="2"/>
      <c r="S47" s="58"/>
      <c r="T47" s="59"/>
      <c r="U47" s="71"/>
      <c r="V47" s="71"/>
      <c r="W47" s="54">
        <f>'NO VEA CLIENTE'!$V47/(1-'NO VEA CLIENTE'!$X47)-'NO VEA CLIENTE'!$V47</f>
        <v>0</v>
      </c>
      <c r="X47" s="72">
        <f t="shared" ref="X47:Z47" si="86">X$2</f>
        <v>0.13</v>
      </c>
      <c r="Y47" s="72">
        <f t="shared" si="86"/>
        <v>0</v>
      </c>
      <c r="Z47" s="72">
        <f t="shared" si="86"/>
        <v>0</v>
      </c>
      <c r="AA47" s="53">
        <f t="shared" si="4"/>
        <v>0</v>
      </c>
      <c r="AB47" s="63"/>
      <c r="AC47" s="2"/>
      <c r="AD47" s="117"/>
      <c r="AE47" s="71"/>
      <c r="AF47" s="71"/>
      <c r="AG47" s="62">
        <f>'NO VEA CLIENTE'!$AF47/(1-'NO VEA CLIENTE'!$AH47)-'NO VEA CLIENTE'!$AF47</f>
        <v>0</v>
      </c>
      <c r="AH47" s="72">
        <f t="shared" ref="AH47:AJ47" si="87">AH$2</f>
        <v>0.1</v>
      </c>
      <c r="AI47" s="72">
        <f t="shared" si="87"/>
        <v>0</v>
      </c>
      <c r="AJ47" s="72">
        <f t="shared" si="87"/>
        <v>0</v>
      </c>
      <c r="AK47" s="53">
        <f t="shared" si="5"/>
        <v>0</v>
      </c>
      <c r="AL47" s="118"/>
      <c r="AM47" s="2"/>
      <c r="AN47" s="2"/>
      <c r="AO47" s="2"/>
      <c r="AP47" s="2"/>
      <c r="AQ47" s="2"/>
      <c r="AR47" s="2"/>
      <c r="AS47" s="2"/>
      <c r="AT47" s="2"/>
      <c r="AU47" s="2"/>
      <c r="AV47" s="2"/>
      <c r="AW47" s="2"/>
    </row>
    <row r="48" ht="15.75" customHeight="1">
      <c r="A48" s="122"/>
      <c r="B48" s="76"/>
      <c r="C48" s="76"/>
      <c r="D48" s="76"/>
      <c r="E48" s="123"/>
      <c r="F48" s="76"/>
      <c r="G48" s="76"/>
      <c r="H48" s="124"/>
      <c r="I48" s="76"/>
      <c r="J48" s="53">
        <f t="shared" si="1"/>
        <v>0</v>
      </c>
      <c r="K48" s="54">
        <v>0.0</v>
      </c>
      <c r="L48" s="54">
        <f>'NO VEA CLIENTE'!$K48/(1-'NO VEA CLIENTE'!$M48)-'NO VEA CLIENTE'!$K48</f>
        <v>0</v>
      </c>
      <c r="M48" s="74">
        <f t="shared" ref="M48:O48" si="88">M$2</f>
        <v>0.13</v>
      </c>
      <c r="N48" s="74">
        <f t="shared" si="88"/>
        <v>0</v>
      </c>
      <c r="O48" s="74">
        <f t="shared" si="88"/>
        <v>0</v>
      </c>
      <c r="P48" s="53">
        <f t="shared" si="3"/>
        <v>0</v>
      </c>
      <c r="Q48" s="57">
        <f>'NO VEA CLIENTE'!$K48/0.9</f>
        <v>0</v>
      </c>
      <c r="R48" s="2"/>
      <c r="S48" s="58"/>
      <c r="T48" s="59"/>
      <c r="U48" s="71"/>
      <c r="V48" s="71"/>
      <c r="W48" s="54">
        <f>'NO VEA CLIENTE'!$V48/(1-'NO VEA CLIENTE'!$X48)-'NO VEA CLIENTE'!$V48</f>
        <v>0</v>
      </c>
      <c r="X48" s="72">
        <f t="shared" ref="X48:Z48" si="89">X$2</f>
        <v>0.13</v>
      </c>
      <c r="Y48" s="72">
        <f t="shared" si="89"/>
        <v>0</v>
      </c>
      <c r="Z48" s="72">
        <f t="shared" si="89"/>
        <v>0</v>
      </c>
      <c r="AA48" s="53">
        <f t="shared" si="4"/>
        <v>0</v>
      </c>
      <c r="AB48" s="63"/>
      <c r="AC48" s="2"/>
      <c r="AD48" s="117"/>
      <c r="AE48" s="71"/>
      <c r="AF48" s="71"/>
      <c r="AG48" s="62">
        <f>'NO VEA CLIENTE'!$AF48/(1-'NO VEA CLIENTE'!$AH48)-'NO VEA CLIENTE'!$AF48</f>
        <v>0</v>
      </c>
      <c r="AH48" s="72">
        <f t="shared" ref="AH48:AJ48" si="90">AH$2</f>
        <v>0.1</v>
      </c>
      <c r="AI48" s="72">
        <f t="shared" si="90"/>
        <v>0</v>
      </c>
      <c r="AJ48" s="72">
        <f t="shared" si="90"/>
        <v>0</v>
      </c>
      <c r="AK48" s="53">
        <f t="shared" si="5"/>
        <v>0</v>
      </c>
      <c r="AL48" s="118"/>
      <c r="AM48" s="2"/>
      <c r="AN48" s="2"/>
      <c r="AO48" s="2"/>
      <c r="AP48" s="2"/>
      <c r="AQ48" s="2"/>
      <c r="AR48" s="2"/>
      <c r="AS48" s="2"/>
      <c r="AT48" s="2"/>
      <c r="AU48" s="2"/>
      <c r="AV48" s="2"/>
      <c r="AW48" s="2"/>
    </row>
    <row r="49" ht="15.75" customHeight="1">
      <c r="A49" s="122"/>
      <c r="B49" s="76"/>
      <c r="C49" s="76"/>
      <c r="D49" s="76"/>
      <c r="E49" s="123"/>
      <c r="F49" s="76"/>
      <c r="G49" s="76"/>
      <c r="H49" s="124"/>
      <c r="I49" s="76"/>
      <c r="J49" s="53">
        <f t="shared" si="1"/>
        <v>0</v>
      </c>
      <c r="K49" s="54">
        <v>0.0</v>
      </c>
      <c r="L49" s="54">
        <f>'NO VEA CLIENTE'!$K49/(1-'NO VEA CLIENTE'!$M49)-'NO VEA CLIENTE'!$K49</f>
        <v>0</v>
      </c>
      <c r="M49" s="74">
        <f t="shared" ref="M49:O49" si="91">M$2</f>
        <v>0.13</v>
      </c>
      <c r="N49" s="74">
        <f t="shared" si="91"/>
        <v>0</v>
      </c>
      <c r="O49" s="74">
        <f t="shared" si="91"/>
        <v>0</v>
      </c>
      <c r="P49" s="53">
        <f t="shared" si="3"/>
        <v>0</v>
      </c>
      <c r="Q49" s="57">
        <f>'NO VEA CLIENTE'!$K49/0.9</f>
        <v>0</v>
      </c>
      <c r="R49" s="2"/>
      <c r="S49" s="58"/>
      <c r="T49" s="59"/>
      <c r="U49" s="71"/>
      <c r="V49" s="71"/>
      <c r="W49" s="54">
        <f>'NO VEA CLIENTE'!$V49/(1-'NO VEA CLIENTE'!$X49)-'NO VEA CLIENTE'!$V49</f>
        <v>0</v>
      </c>
      <c r="X49" s="72">
        <f t="shared" ref="X49:Z49" si="92">X$2</f>
        <v>0.13</v>
      </c>
      <c r="Y49" s="72">
        <f t="shared" si="92"/>
        <v>0</v>
      </c>
      <c r="Z49" s="72">
        <f t="shared" si="92"/>
        <v>0</v>
      </c>
      <c r="AA49" s="53">
        <f t="shared" si="4"/>
        <v>0</v>
      </c>
      <c r="AB49" s="63"/>
      <c r="AC49" s="2"/>
      <c r="AD49" s="117"/>
      <c r="AE49" s="71"/>
      <c r="AF49" s="71"/>
      <c r="AG49" s="62">
        <f>'NO VEA CLIENTE'!$AF49/(1-'NO VEA CLIENTE'!$AH49)-'NO VEA CLIENTE'!$AF49</f>
        <v>0</v>
      </c>
      <c r="AH49" s="72">
        <f t="shared" ref="AH49:AJ49" si="93">AH$2</f>
        <v>0.1</v>
      </c>
      <c r="AI49" s="72">
        <f t="shared" si="93"/>
        <v>0</v>
      </c>
      <c r="AJ49" s="72">
        <f t="shared" si="93"/>
        <v>0</v>
      </c>
      <c r="AK49" s="53">
        <f t="shared" si="5"/>
        <v>0</v>
      </c>
      <c r="AL49" s="118"/>
      <c r="AM49" s="2"/>
      <c r="AN49" s="2"/>
      <c r="AO49" s="2"/>
      <c r="AP49" s="2"/>
      <c r="AQ49" s="2"/>
      <c r="AR49" s="2"/>
      <c r="AS49" s="2"/>
      <c r="AT49" s="2"/>
      <c r="AU49" s="2"/>
      <c r="AV49" s="2"/>
      <c r="AW49" s="2"/>
    </row>
    <row r="50" ht="15.75" customHeight="1">
      <c r="A50" s="122"/>
      <c r="B50" s="76"/>
      <c r="C50" s="76"/>
      <c r="D50" s="76"/>
      <c r="E50" s="123"/>
      <c r="F50" s="76"/>
      <c r="G50" s="76"/>
      <c r="H50" s="124"/>
      <c r="I50" s="76"/>
      <c r="J50" s="53">
        <f t="shared" si="1"/>
        <v>0</v>
      </c>
      <c r="K50" s="54">
        <v>0.0</v>
      </c>
      <c r="L50" s="54">
        <f>'NO VEA CLIENTE'!$K50/(1-'NO VEA CLIENTE'!$M50)-'NO VEA CLIENTE'!$K50</f>
        <v>0</v>
      </c>
      <c r="M50" s="74">
        <f t="shared" ref="M50:O50" si="94">M$2</f>
        <v>0.13</v>
      </c>
      <c r="N50" s="74">
        <f t="shared" si="94"/>
        <v>0</v>
      </c>
      <c r="O50" s="74">
        <f t="shared" si="94"/>
        <v>0</v>
      </c>
      <c r="P50" s="53">
        <f t="shared" si="3"/>
        <v>0</v>
      </c>
      <c r="Q50" s="57">
        <f>'NO VEA CLIENTE'!$K50/0.9</f>
        <v>0</v>
      </c>
      <c r="R50" s="2"/>
      <c r="S50" s="58"/>
      <c r="T50" s="59"/>
      <c r="U50" s="71"/>
      <c r="V50" s="71"/>
      <c r="W50" s="54">
        <f>'NO VEA CLIENTE'!$V50/(1-'NO VEA CLIENTE'!$X50)-'NO VEA CLIENTE'!$V50</f>
        <v>0</v>
      </c>
      <c r="X50" s="72">
        <f t="shared" ref="X50:Z50" si="95">X$2</f>
        <v>0.13</v>
      </c>
      <c r="Y50" s="72">
        <f t="shared" si="95"/>
        <v>0</v>
      </c>
      <c r="Z50" s="72">
        <f t="shared" si="95"/>
        <v>0</v>
      </c>
      <c r="AA50" s="53">
        <f t="shared" si="4"/>
        <v>0</v>
      </c>
      <c r="AB50" s="63"/>
      <c r="AC50" s="2"/>
      <c r="AD50" s="117"/>
      <c r="AE50" s="71"/>
      <c r="AF50" s="71"/>
      <c r="AG50" s="62">
        <f>'NO VEA CLIENTE'!$AF50/(1-'NO VEA CLIENTE'!$AH50)-'NO VEA CLIENTE'!$AF50</f>
        <v>0</v>
      </c>
      <c r="AH50" s="72">
        <f t="shared" ref="AH50:AJ50" si="96">AH$2</f>
        <v>0.1</v>
      </c>
      <c r="AI50" s="72">
        <f t="shared" si="96"/>
        <v>0</v>
      </c>
      <c r="AJ50" s="72">
        <f t="shared" si="96"/>
        <v>0</v>
      </c>
      <c r="AK50" s="53">
        <f t="shared" si="5"/>
        <v>0</v>
      </c>
      <c r="AL50" s="118"/>
      <c r="AM50" s="2"/>
      <c r="AN50" s="2"/>
      <c r="AO50" s="2"/>
      <c r="AP50" s="2"/>
      <c r="AQ50" s="2"/>
      <c r="AR50" s="2"/>
      <c r="AS50" s="2"/>
      <c r="AT50" s="2"/>
      <c r="AU50" s="2"/>
      <c r="AV50" s="2"/>
      <c r="AW50" s="2"/>
    </row>
    <row r="51" ht="15.75" customHeight="1">
      <c r="A51" s="122"/>
      <c r="B51" s="76"/>
      <c r="C51" s="76"/>
      <c r="D51" s="76"/>
      <c r="E51" s="123"/>
      <c r="F51" s="76"/>
      <c r="G51" s="76"/>
      <c r="H51" s="124"/>
      <c r="I51" s="76"/>
      <c r="J51" s="53">
        <f t="shared" si="1"/>
        <v>0</v>
      </c>
      <c r="K51" s="54">
        <v>0.0</v>
      </c>
      <c r="L51" s="54">
        <f>'NO VEA CLIENTE'!$K51/(1-'NO VEA CLIENTE'!$M51)-'NO VEA CLIENTE'!$K51</f>
        <v>0</v>
      </c>
      <c r="M51" s="74">
        <f t="shared" ref="M51:O51" si="97">M$2</f>
        <v>0.13</v>
      </c>
      <c r="N51" s="74">
        <f t="shared" si="97"/>
        <v>0</v>
      </c>
      <c r="O51" s="74">
        <f t="shared" si="97"/>
        <v>0</v>
      </c>
      <c r="P51" s="53">
        <f t="shared" si="3"/>
        <v>0</v>
      </c>
      <c r="Q51" s="57">
        <f>'NO VEA CLIENTE'!$K51/0.9</f>
        <v>0</v>
      </c>
      <c r="R51" s="2"/>
      <c r="S51" s="58"/>
      <c r="T51" s="59"/>
      <c r="U51" s="71"/>
      <c r="V51" s="71"/>
      <c r="W51" s="54">
        <f>'NO VEA CLIENTE'!$V51/(1-'NO VEA CLIENTE'!$X51)-'NO VEA CLIENTE'!$V51</f>
        <v>0</v>
      </c>
      <c r="X51" s="72">
        <f t="shared" ref="X51:Z51" si="98">X$2</f>
        <v>0.13</v>
      </c>
      <c r="Y51" s="72">
        <f t="shared" si="98"/>
        <v>0</v>
      </c>
      <c r="Z51" s="72">
        <f t="shared" si="98"/>
        <v>0</v>
      </c>
      <c r="AA51" s="53">
        <f t="shared" si="4"/>
        <v>0</v>
      </c>
      <c r="AB51" s="63"/>
      <c r="AC51" s="2"/>
      <c r="AD51" s="117"/>
      <c r="AE51" s="71"/>
      <c r="AF51" s="71"/>
      <c r="AG51" s="62">
        <f>'NO VEA CLIENTE'!$AF51/(1-'NO VEA CLIENTE'!$AH51)-'NO VEA CLIENTE'!$AF51</f>
        <v>0</v>
      </c>
      <c r="AH51" s="72">
        <f t="shared" ref="AH51:AJ51" si="99">AH$2</f>
        <v>0.1</v>
      </c>
      <c r="AI51" s="72">
        <f t="shared" si="99"/>
        <v>0</v>
      </c>
      <c r="AJ51" s="72">
        <f t="shared" si="99"/>
        <v>0</v>
      </c>
      <c r="AK51" s="53">
        <f t="shared" si="5"/>
        <v>0</v>
      </c>
      <c r="AL51" s="118"/>
      <c r="AM51" s="2"/>
      <c r="AN51" s="2"/>
      <c r="AO51" s="2"/>
      <c r="AP51" s="2"/>
      <c r="AQ51" s="2"/>
      <c r="AR51" s="2"/>
      <c r="AS51" s="2"/>
      <c r="AT51" s="2"/>
      <c r="AU51" s="2"/>
      <c r="AV51" s="2"/>
      <c r="AW51" s="2"/>
    </row>
    <row r="52" ht="15.75" customHeight="1">
      <c r="A52" s="122"/>
      <c r="B52" s="76"/>
      <c r="C52" s="76"/>
      <c r="D52" s="76"/>
      <c r="E52" s="123"/>
      <c r="F52" s="76"/>
      <c r="G52" s="76"/>
      <c r="H52" s="124"/>
      <c r="I52" s="76"/>
      <c r="J52" s="53">
        <f t="shared" si="1"/>
        <v>0</v>
      </c>
      <c r="K52" s="54">
        <v>0.0</v>
      </c>
      <c r="L52" s="54">
        <f>'NO VEA CLIENTE'!$K52/(1-'NO VEA CLIENTE'!$M52)-'NO VEA CLIENTE'!$K52</f>
        <v>0</v>
      </c>
      <c r="M52" s="74">
        <f t="shared" ref="M52:O52" si="100">M$2</f>
        <v>0.13</v>
      </c>
      <c r="N52" s="74">
        <f t="shared" si="100"/>
        <v>0</v>
      </c>
      <c r="O52" s="74">
        <f t="shared" si="100"/>
        <v>0</v>
      </c>
      <c r="P52" s="53">
        <f t="shared" si="3"/>
        <v>0</v>
      </c>
      <c r="Q52" s="57">
        <f>'NO VEA CLIENTE'!$K52/0.9</f>
        <v>0</v>
      </c>
      <c r="R52" s="2"/>
      <c r="S52" s="58"/>
      <c r="T52" s="59"/>
      <c r="U52" s="71"/>
      <c r="V52" s="71"/>
      <c r="W52" s="54">
        <f>'NO VEA CLIENTE'!$V52/(1-'NO VEA CLIENTE'!$X52)-'NO VEA CLIENTE'!$V52</f>
        <v>0</v>
      </c>
      <c r="X52" s="72">
        <f t="shared" ref="X52:Z52" si="101">X$2</f>
        <v>0.13</v>
      </c>
      <c r="Y52" s="72">
        <f t="shared" si="101"/>
        <v>0</v>
      </c>
      <c r="Z52" s="72">
        <f t="shared" si="101"/>
        <v>0</v>
      </c>
      <c r="AA52" s="53">
        <f t="shared" si="4"/>
        <v>0</v>
      </c>
      <c r="AB52" s="63"/>
      <c r="AC52" s="2"/>
      <c r="AD52" s="117"/>
      <c r="AE52" s="71"/>
      <c r="AF52" s="71"/>
      <c r="AG52" s="62">
        <f>'NO VEA CLIENTE'!$AF52/(1-'NO VEA CLIENTE'!$AH52)-'NO VEA CLIENTE'!$AF52</f>
        <v>0</v>
      </c>
      <c r="AH52" s="72">
        <f t="shared" ref="AH52:AJ52" si="102">AH$2</f>
        <v>0.1</v>
      </c>
      <c r="AI52" s="72">
        <f t="shared" si="102"/>
        <v>0</v>
      </c>
      <c r="AJ52" s="72">
        <f t="shared" si="102"/>
        <v>0</v>
      </c>
      <c r="AK52" s="53">
        <f t="shared" si="5"/>
        <v>0</v>
      </c>
      <c r="AL52" s="118"/>
      <c r="AM52" s="2"/>
      <c r="AN52" s="2"/>
      <c r="AO52" s="2"/>
      <c r="AP52" s="2"/>
      <c r="AQ52" s="2"/>
      <c r="AR52" s="2"/>
      <c r="AS52" s="2"/>
      <c r="AT52" s="2"/>
      <c r="AU52" s="2"/>
      <c r="AV52" s="2"/>
      <c r="AW52" s="2"/>
    </row>
    <row r="53" ht="15.75" customHeight="1">
      <c r="A53" s="122"/>
      <c r="B53" s="76"/>
      <c r="C53" s="76"/>
      <c r="D53" s="76"/>
      <c r="E53" s="123"/>
      <c r="F53" s="76"/>
      <c r="G53" s="76"/>
      <c r="H53" s="124"/>
      <c r="I53" s="76"/>
      <c r="J53" s="53">
        <f t="shared" si="1"/>
        <v>0</v>
      </c>
      <c r="K53" s="54">
        <v>0.0</v>
      </c>
      <c r="L53" s="54">
        <f>'NO VEA CLIENTE'!$K53/(1-'NO VEA CLIENTE'!$M53)-'NO VEA CLIENTE'!$K53</f>
        <v>0</v>
      </c>
      <c r="M53" s="74">
        <f t="shared" ref="M53:O53" si="103">M$2</f>
        <v>0.13</v>
      </c>
      <c r="N53" s="74">
        <f t="shared" si="103"/>
        <v>0</v>
      </c>
      <c r="O53" s="74">
        <f t="shared" si="103"/>
        <v>0</v>
      </c>
      <c r="P53" s="53">
        <f t="shared" si="3"/>
        <v>0</v>
      </c>
      <c r="Q53" s="57">
        <f>'NO VEA CLIENTE'!$K53/0.9</f>
        <v>0</v>
      </c>
      <c r="R53" s="2"/>
      <c r="S53" s="58"/>
      <c r="T53" s="59"/>
      <c r="U53" s="71"/>
      <c r="V53" s="71"/>
      <c r="W53" s="54">
        <f>'NO VEA CLIENTE'!$V53/(1-'NO VEA CLIENTE'!$X53)-'NO VEA CLIENTE'!$V53</f>
        <v>0</v>
      </c>
      <c r="X53" s="72">
        <f t="shared" ref="X53:Z53" si="104">X$2</f>
        <v>0.13</v>
      </c>
      <c r="Y53" s="72">
        <f t="shared" si="104"/>
        <v>0</v>
      </c>
      <c r="Z53" s="72">
        <f t="shared" si="104"/>
        <v>0</v>
      </c>
      <c r="AA53" s="53">
        <f t="shared" si="4"/>
        <v>0</v>
      </c>
      <c r="AB53" s="63"/>
      <c r="AC53" s="2"/>
      <c r="AD53" s="117"/>
      <c r="AE53" s="71"/>
      <c r="AF53" s="71"/>
      <c r="AG53" s="62">
        <f>'NO VEA CLIENTE'!$AF53/(1-'NO VEA CLIENTE'!$AH53)-'NO VEA CLIENTE'!$AF53</f>
        <v>0</v>
      </c>
      <c r="AH53" s="72">
        <f t="shared" ref="AH53:AJ53" si="105">AH$2</f>
        <v>0.1</v>
      </c>
      <c r="AI53" s="72">
        <f t="shared" si="105"/>
        <v>0</v>
      </c>
      <c r="AJ53" s="72">
        <f t="shared" si="105"/>
        <v>0</v>
      </c>
      <c r="AK53" s="53">
        <f t="shared" si="5"/>
        <v>0</v>
      </c>
      <c r="AL53" s="118"/>
      <c r="AM53" s="2"/>
      <c r="AN53" s="2"/>
      <c r="AO53" s="2"/>
      <c r="AP53" s="2"/>
      <c r="AQ53" s="2"/>
      <c r="AR53" s="2"/>
      <c r="AS53" s="2"/>
      <c r="AT53" s="2"/>
      <c r="AU53" s="2"/>
      <c r="AV53" s="2"/>
      <c r="AW53" s="2"/>
    </row>
    <row r="54" ht="15.75" customHeight="1">
      <c r="A54" s="122"/>
      <c r="B54" s="76"/>
      <c r="C54" s="76"/>
      <c r="D54" s="76"/>
      <c r="E54" s="123"/>
      <c r="F54" s="76"/>
      <c r="G54" s="76"/>
      <c r="H54" s="124"/>
      <c r="I54" s="76"/>
      <c r="J54" s="53">
        <f t="shared" si="1"/>
        <v>0</v>
      </c>
      <c r="K54" s="54">
        <v>0.0</v>
      </c>
      <c r="L54" s="54">
        <f>'NO VEA CLIENTE'!$K54/(1-'NO VEA CLIENTE'!$M54)-'NO VEA CLIENTE'!$K54</f>
        <v>0</v>
      </c>
      <c r="M54" s="74">
        <f t="shared" ref="M54:O54" si="106">M$2</f>
        <v>0.13</v>
      </c>
      <c r="N54" s="74">
        <f t="shared" si="106"/>
        <v>0</v>
      </c>
      <c r="O54" s="74">
        <f t="shared" si="106"/>
        <v>0</v>
      </c>
      <c r="P54" s="53">
        <f t="shared" si="3"/>
        <v>0</v>
      </c>
      <c r="Q54" s="57">
        <f>'NO VEA CLIENTE'!$K54/0.9</f>
        <v>0</v>
      </c>
      <c r="R54" s="2"/>
      <c r="S54" s="58"/>
      <c r="T54" s="59"/>
      <c r="U54" s="71"/>
      <c r="V54" s="71"/>
      <c r="W54" s="54">
        <f>'NO VEA CLIENTE'!$V54/(1-'NO VEA CLIENTE'!$X54)-'NO VEA CLIENTE'!$V54</f>
        <v>0</v>
      </c>
      <c r="X54" s="72">
        <f t="shared" ref="X54:Z54" si="107">X$2</f>
        <v>0.13</v>
      </c>
      <c r="Y54" s="72">
        <f t="shared" si="107"/>
        <v>0</v>
      </c>
      <c r="Z54" s="72">
        <f t="shared" si="107"/>
        <v>0</v>
      </c>
      <c r="AA54" s="53">
        <f t="shared" si="4"/>
        <v>0</v>
      </c>
      <c r="AB54" s="63"/>
      <c r="AC54" s="2"/>
      <c r="AD54" s="117"/>
      <c r="AE54" s="71"/>
      <c r="AF54" s="71"/>
      <c r="AG54" s="62">
        <f>'NO VEA CLIENTE'!$AF54/(1-'NO VEA CLIENTE'!$AH54)-'NO VEA CLIENTE'!$AF54</f>
        <v>0</v>
      </c>
      <c r="AH54" s="72">
        <f t="shared" ref="AH54:AJ54" si="108">AH$2</f>
        <v>0.1</v>
      </c>
      <c r="AI54" s="72">
        <f t="shared" si="108"/>
        <v>0</v>
      </c>
      <c r="AJ54" s="72">
        <f t="shared" si="108"/>
        <v>0</v>
      </c>
      <c r="AK54" s="53">
        <f t="shared" si="5"/>
        <v>0</v>
      </c>
      <c r="AL54" s="118"/>
      <c r="AM54" s="2"/>
      <c r="AN54" s="2"/>
      <c r="AO54" s="2"/>
      <c r="AP54" s="2"/>
      <c r="AQ54" s="2"/>
      <c r="AR54" s="2"/>
      <c r="AS54" s="2"/>
      <c r="AT54" s="2"/>
      <c r="AU54" s="2"/>
      <c r="AV54" s="2"/>
      <c r="AW54" s="2"/>
    </row>
    <row r="55" ht="15.75" customHeight="1">
      <c r="A55" s="122"/>
      <c r="B55" s="76"/>
      <c r="C55" s="76"/>
      <c r="D55" s="76"/>
      <c r="E55" s="123"/>
      <c r="F55" s="76"/>
      <c r="G55" s="76"/>
      <c r="H55" s="124"/>
      <c r="I55" s="76"/>
      <c r="J55" s="53">
        <f t="shared" si="1"/>
        <v>0</v>
      </c>
      <c r="K55" s="54">
        <v>0.0</v>
      </c>
      <c r="L55" s="54">
        <f>'NO VEA CLIENTE'!$K55/(1-'NO VEA CLIENTE'!$M55)-'NO VEA CLIENTE'!$K55</f>
        <v>0</v>
      </c>
      <c r="M55" s="74">
        <f t="shared" ref="M55:O55" si="109">M$2</f>
        <v>0.13</v>
      </c>
      <c r="N55" s="74">
        <f t="shared" si="109"/>
        <v>0</v>
      </c>
      <c r="O55" s="74">
        <f t="shared" si="109"/>
        <v>0</v>
      </c>
      <c r="P55" s="53">
        <f t="shared" si="3"/>
        <v>0</v>
      </c>
      <c r="Q55" s="57">
        <f>'NO VEA CLIENTE'!$K55/0.9</f>
        <v>0</v>
      </c>
      <c r="R55" s="2"/>
      <c r="S55" s="58"/>
      <c r="T55" s="59"/>
      <c r="U55" s="71"/>
      <c r="V55" s="71"/>
      <c r="W55" s="54">
        <f>'NO VEA CLIENTE'!$V55/(1-'NO VEA CLIENTE'!$X55)-'NO VEA CLIENTE'!$V55</f>
        <v>0</v>
      </c>
      <c r="X55" s="72">
        <f t="shared" ref="X55:Z55" si="110">X$2</f>
        <v>0.13</v>
      </c>
      <c r="Y55" s="72">
        <f t="shared" si="110"/>
        <v>0</v>
      </c>
      <c r="Z55" s="72">
        <f t="shared" si="110"/>
        <v>0</v>
      </c>
      <c r="AA55" s="53">
        <f t="shared" si="4"/>
        <v>0</v>
      </c>
      <c r="AB55" s="63"/>
      <c r="AC55" s="2"/>
      <c r="AD55" s="117"/>
      <c r="AE55" s="71"/>
      <c r="AF55" s="71"/>
      <c r="AG55" s="62">
        <f>'NO VEA CLIENTE'!$AF55/(1-'NO VEA CLIENTE'!$AH55)-'NO VEA CLIENTE'!$AF55</f>
        <v>0</v>
      </c>
      <c r="AH55" s="72">
        <f t="shared" ref="AH55:AJ55" si="111">AH$2</f>
        <v>0.1</v>
      </c>
      <c r="AI55" s="72">
        <f t="shared" si="111"/>
        <v>0</v>
      </c>
      <c r="AJ55" s="72">
        <f t="shared" si="111"/>
        <v>0</v>
      </c>
      <c r="AK55" s="53">
        <f t="shared" si="5"/>
        <v>0</v>
      </c>
      <c r="AL55" s="118"/>
      <c r="AM55" s="2"/>
      <c r="AN55" s="2"/>
      <c r="AO55" s="2"/>
      <c r="AP55" s="2"/>
      <c r="AQ55" s="2"/>
      <c r="AR55" s="2"/>
      <c r="AS55" s="2"/>
      <c r="AT55" s="2"/>
      <c r="AU55" s="2"/>
      <c r="AV55" s="2"/>
      <c r="AW55" s="2"/>
    </row>
    <row r="56" ht="15.75" customHeight="1">
      <c r="A56" s="122"/>
      <c r="B56" s="76"/>
      <c r="C56" s="76"/>
      <c r="D56" s="76"/>
      <c r="E56" s="123"/>
      <c r="F56" s="76"/>
      <c r="G56" s="76"/>
      <c r="H56" s="124"/>
      <c r="I56" s="76"/>
      <c r="J56" s="53">
        <f t="shared" si="1"/>
        <v>0</v>
      </c>
      <c r="K56" s="54">
        <v>0.0</v>
      </c>
      <c r="L56" s="54">
        <f>'NO VEA CLIENTE'!$K56/(1-'NO VEA CLIENTE'!$M56)-'NO VEA CLIENTE'!$K56</f>
        <v>0</v>
      </c>
      <c r="M56" s="74">
        <f t="shared" ref="M56:O56" si="112">M$2</f>
        <v>0.13</v>
      </c>
      <c r="N56" s="74">
        <f t="shared" si="112"/>
        <v>0</v>
      </c>
      <c r="O56" s="74">
        <f t="shared" si="112"/>
        <v>0</v>
      </c>
      <c r="P56" s="53">
        <f t="shared" si="3"/>
        <v>0</v>
      </c>
      <c r="Q56" s="57">
        <f>'NO VEA CLIENTE'!$K56/0.9</f>
        <v>0</v>
      </c>
      <c r="R56" s="2"/>
      <c r="S56" s="58"/>
      <c r="T56" s="59"/>
      <c r="U56" s="71"/>
      <c r="V56" s="71"/>
      <c r="W56" s="54">
        <f>'NO VEA CLIENTE'!$V56/(1-'NO VEA CLIENTE'!$X56)-'NO VEA CLIENTE'!$V56</f>
        <v>0</v>
      </c>
      <c r="X56" s="72">
        <f t="shared" ref="X56:Z56" si="113">X$2</f>
        <v>0.13</v>
      </c>
      <c r="Y56" s="72">
        <f t="shared" si="113"/>
        <v>0</v>
      </c>
      <c r="Z56" s="72">
        <f t="shared" si="113"/>
        <v>0</v>
      </c>
      <c r="AA56" s="53">
        <f t="shared" si="4"/>
        <v>0</v>
      </c>
      <c r="AB56" s="63"/>
      <c r="AC56" s="2"/>
      <c r="AD56" s="117"/>
      <c r="AE56" s="71"/>
      <c r="AF56" s="71"/>
      <c r="AG56" s="62">
        <f>'NO VEA CLIENTE'!$AF56/(1-'NO VEA CLIENTE'!$AH56)-'NO VEA CLIENTE'!$AF56</f>
        <v>0</v>
      </c>
      <c r="AH56" s="72">
        <f t="shared" ref="AH56:AJ56" si="114">AH$2</f>
        <v>0.1</v>
      </c>
      <c r="AI56" s="72">
        <f t="shared" si="114"/>
        <v>0</v>
      </c>
      <c r="AJ56" s="72">
        <f t="shared" si="114"/>
        <v>0</v>
      </c>
      <c r="AK56" s="53">
        <f t="shared" si="5"/>
        <v>0</v>
      </c>
      <c r="AL56" s="118"/>
      <c r="AM56" s="2"/>
      <c r="AN56" s="2"/>
      <c r="AO56" s="2"/>
      <c r="AP56" s="2"/>
      <c r="AQ56" s="2"/>
      <c r="AR56" s="2"/>
      <c r="AS56" s="2"/>
      <c r="AT56" s="2"/>
      <c r="AU56" s="2"/>
      <c r="AV56" s="2"/>
      <c r="AW56" s="2"/>
    </row>
    <row r="57" ht="15.75" customHeight="1">
      <c r="A57" s="122"/>
      <c r="B57" s="76"/>
      <c r="C57" s="76"/>
      <c r="D57" s="76"/>
      <c r="E57" s="123"/>
      <c r="F57" s="76"/>
      <c r="G57" s="76"/>
      <c r="H57" s="124"/>
      <c r="I57" s="76"/>
      <c r="J57" s="53">
        <f t="shared" si="1"/>
        <v>0</v>
      </c>
      <c r="K57" s="54">
        <v>0.0</v>
      </c>
      <c r="L57" s="54">
        <f>'NO VEA CLIENTE'!$K57/(1-'NO VEA CLIENTE'!$M57)-'NO VEA CLIENTE'!$K57</f>
        <v>0</v>
      </c>
      <c r="M57" s="74">
        <f t="shared" ref="M57:O57" si="115">M$2</f>
        <v>0.13</v>
      </c>
      <c r="N57" s="74">
        <f t="shared" si="115"/>
        <v>0</v>
      </c>
      <c r="O57" s="74">
        <f t="shared" si="115"/>
        <v>0</v>
      </c>
      <c r="P57" s="53">
        <f t="shared" si="3"/>
        <v>0</v>
      </c>
      <c r="Q57" s="57">
        <f>'NO VEA CLIENTE'!$K57/0.9</f>
        <v>0</v>
      </c>
      <c r="R57" s="2"/>
      <c r="S57" s="58"/>
      <c r="T57" s="59"/>
      <c r="U57" s="71"/>
      <c r="V57" s="71"/>
      <c r="W57" s="54">
        <f>'NO VEA CLIENTE'!$V57/(1-'NO VEA CLIENTE'!$X57)-'NO VEA CLIENTE'!$V57</f>
        <v>0</v>
      </c>
      <c r="X57" s="72">
        <f t="shared" ref="X57:Z57" si="116">X$2</f>
        <v>0.13</v>
      </c>
      <c r="Y57" s="72">
        <f t="shared" si="116"/>
        <v>0</v>
      </c>
      <c r="Z57" s="72">
        <f t="shared" si="116"/>
        <v>0</v>
      </c>
      <c r="AA57" s="53">
        <f t="shared" si="4"/>
        <v>0</v>
      </c>
      <c r="AB57" s="63"/>
      <c r="AC57" s="2"/>
      <c r="AD57" s="117"/>
      <c r="AE57" s="71"/>
      <c r="AF57" s="71"/>
      <c r="AG57" s="62">
        <f>'NO VEA CLIENTE'!$AF57/(1-'NO VEA CLIENTE'!$AH57)-'NO VEA CLIENTE'!$AF57</f>
        <v>0</v>
      </c>
      <c r="AH57" s="72">
        <f t="shared" ref="AH57:AJ57" si="117">AH$2</f>
        <v>0.1</v>
      </c>
      <c r="AI57" s="72">
        <f t="shared" si="117"/>
        <v>0</v>
      </c>
      <c r="AJ57" s="72">
        <f t="shared" si="117"/>
        <v>0</v>
      </c>
      <c r="AK57" s="53">
        <f t="shared" si="5"/>
        <v>0</v>
      </c>
      <c r="AL57" s="118"/>
      <c r="AM57" s="2"/>
      <c r="AN57" s="2"/>
      <c r="AO57" s="2"/>
      <c r="AP57" s="2"/>
      <c r="AQ57" s="2"/>
      <c r="AR57" s="2"/>
      <c r="AS57" s="2"/>
      <c r="AT57" s="2"/>
      <c r="AU57" s="2"/>
      <c r="AV57" s="2"/>
      <c r="AW57" s="2"/>
    </row>
    <row r="58" ht="15.75" customHeight="1">
      <c r="A58" s="122"/>
      <c r="B58" s="76"/>
      <c r="C58" s="76"/>
      <c r="D58" s="76"/>
      <c r="E58" s="123"/>
      <c r="F58" s="76"/>
      <c r="G58" s="76"/>
      <c r="H58" s="124"/>
      <c r="I58" s="76"/>
      <c r="J58" s="53">
        <f t="shared" si="1"/>
        <v>0</v>
      </c>
      <c r="K58" s="54">
        <v>0.0</v>
      </c>
      <c r="L58" s="54">
        <f>'NO VEA CLIENTE'!$K58/(1-'NO VEA CLIENTE'!$M58)-'NO VEA CLIENTE'!$K58</f>
        <v>0</v>
      </c>
      <c r="M58" s="74">
        <f t="shared" ref="M58:O58" si="118">M$2</f>
        <v>0.13</v>
      </c>
      <c r="N58" s="74">
        <f t="shared" si="118"/>
        <v>0</v>
      </c>
      <c r="O58" s="74">
        <f t="shared" si="118"/>
        <v>0</v>
      </c>
      <c r="P58" s="53">
        <f t="shared" si="3"/>
        <v>0</v>
      </c>
      <c r="Q58" s="57">
        <f>'NO VEA CLIENTE'!$K58/0.9</f>
        <v>0</v>
      </c>
      <c r="R58" s="2"/>
      <c r="S58" s="58"/>
      <c r="T58" s="59"/>
      <c r="U58" s="71"/>
      <c r="V58" s="71"/>
      <c r="W58" s="54">
        <f>'NO VEA CLIENTE'!$V58/(1-'NO VEA CLIENTE'!$X58)-'NO VEA CLIENTE'!$V58</f>
        <v>0</v>
      </c>
      <c r="X58" s="72">
        <f t="shared" ref="X58:Z58" si="119">X$2</f>
        <v>0.13</v>
      </c>
      <c r="Y58" s="72">
        <f t="shared" si="119"/>
        <v>0</v>
      </c>
      <c r="Z58" s="72">
        <f t="shared" si="119"/>
        <v>0</v>
      </c>
      <c r="AA58" s="53">
        <f t="shared" si="4"/>
        <v>0</v>
      </c>
      <c r="AB58" s="63"/>
      <c r="AC58" s="2"/>
      <c r="AD58" s="117"/>
      <c r="AE58" s="71"/>
      <c r="AF58" s="71"/>
      <c r="AG58" s="62">
        <f>'NO VEA CLIENTE'!$AF58/(1-'NO VEA CLIENTE'!$AH58)-'NO VEA CLIENTE'!$AF58</f>
        <v>0</v>
      </c>
      <c r="AH58" s="72">
        <f t="shared" ref="AH58:AJ58" si="120">AH$2</f>
        <v>0.1</v>
      </c>
      <c r="AI58" s="72">
        <f t="shared" si="120"/>
        <v>0</v>
      </c>
      <c r="AJ58" s="72">
        <f t="shared" si="120"/>
        <v>0</v>
      </c>
      <c r="AK58" s="53">
        <f t="shared" si="5"/>
        <v>0</v>
      </c>
      <c r="AL58" s="118"/>
      <c r="AM58" s="2"/>
      <c r="AN58" s="2"/>
      <c r="AO58" s="2"/>
      <c r="AP58" s="2"/>
      <c r="AQ58" s="2"/>
      <c r="AR58" s="2"/>
      <c r="AS58" s="2"/>
      <c r="AT58" s="2"/>
      <c r="AU58" s="2"/>
      <c r="AV58" s="2"/>
      <c r="AW58" s="2"/>
    </row>
    <row r="59" ht="15.75" customHeight="1">
      <c r="A59" s="122"/>
      <c r="B59" s="76"/>
      <c r="C59" s="76"/>
      <c r="D59" s="76"/>
      <c r="E59" s="123"/>
      <c r="F59" s="76"/>
      <c r="G59" s="76"/>
      <c r="H59" s="124"/>
      <c r="I59" s="76"/>
      <c r="J59" s="53">
        <f t="shared" si="1"/>
        <v>0</v>
      </c>
      <c r="K59" s="54">
        <v>0.0</v>
      </c>
      <c r="L59" s="54">
        <f>'NO VEA CLIENTE'!$K59/(1-'NO VEA CLIENTE'!$M59)-'NO VEA CLIENTE'!$K59</f>
        <v>0</v>
      </c>
      <c r="M59" s="74">
        <f t="shared" ref="M59:O59" si="121">M$2</f>
        <v>0.13</v>
      </c>
      <c r="N59" s="74">
        <f t="shared" si="121"/>
        <v>0</v>
      </c>
      <c r="O59" s="74">
        <f t="shared" si="121"/>
        <v>0</v>
      </c>
      <c r="P59" s="53">
        <f t="shared" si="3"/>
        <v>0</v>
      </c>
      <c r="Q59" s="57">
        <f>'NO VEA CLIENTE'!$K59/0.9</f>
        <v>0</v>
      </c>
      <c r="R59" s="2"/>
      <c r="S59" s="58"/>
      <c r="T59" s="59"/>
      <c r="U59" s="71"/>
      <c r="V59" s="71"/>
      <c r="W59" s="54">
        <f>'NO VEA CLIENTE'!$V59/(1-'NO VEA CLIENTE'!$X59)-'NO VEA CLIENTE'!$V59</f>
        <v>0</v>
      </c>
      <c r="X59" s="72">
        <f t="shared" ref="X59:Z59" si="122">X$2</f>
        <v>0.13</v>
      </c>
      <c r="Y59" s="72">
        <f t="shared" si="122"/>
        <v>0</v>
      </c>
      <c r="Z59" s="72">
        <f t="shared" si="122"/>
        <v>0</v>
      </c>
      <c r="AA59" s="53">
        <f t="shared" si="4"/>
        <v>0</v>
      </c>
      <c r="AB59" s="63"/>
      <c r="AC59" s="2"/>
      <c r="AD59" s="117"/>
      <c r="AE59" s="71"/>
      <c r="AF59" s="71"/>
      <c r="AG59" s="62">
        <f>'NO VEA CLIENTE'!$AF59/(1-'NO VEA CLIENTE'!$AH59)-'NO VEA CLIENTE'!$AF59</f>
        <v>0</v>
      </c>
      <c r="AH59" s="72">
        <f t="shared" ref="AH59:AJ59" si="123">AH$2</f>
        <v>0.1</v>
      </c>
      <c r="AI59" s="72">
        <f t="shared" si="123"/>
        <v>0</v>
      </c>
      <c r="AJ59" s="72">
        <f t="shared" si="123"/>
        <v>0</v>
      </c>
      <c r="AK59" s="53">
        <f t="shared" si="5"/>
        <v>0</v>
      </c>
      <c r="AL59" s="118"/>
      <c r="AM59" s="2"/>
      <c r="AN59" s="2"/>
      <c r="AO59" s="2"/>
      <c r="AP59" s="2"/>
      <c r="AQ59" s="2"/>
      <c r="AR59" s="2"/>
      <c r="AS59" s="2"/>
      <c r="AT59" s="2"/>
      <c r="AU59" s="2"/>
      <c r="AV59" s="2"/>
      <c r="AW59" s="2"/>
    </row>
    <row r="60" ht="15.75" customHeight="1">
      <c r="A60" s="122"/>
      <c r="B60" s="76"/>
      <c r="C60" s="76"/>
      <c r="D60" s="76"/>
      <c r="E60" s="123"/>
      <c r="F60" s="76"/>
      <c r="G60" s="76"/>
      <c r="H60" s="124"/>
      <c r="I60" s="76"/>
      <c r="J60" s="53">
        <f t="shared" si="1"/>
        <v>0</v>
      </c>
      <c r="K60" s="54">
        <v>0.0</v>
      </c>
      <c r="L60" s="54">
        <f>'NO VEA CLIENTE'!$K60/(1-'NO VEA CLIENTE'!$M60)-'NO VEA CLIENTE'!$K60</f>
        <v>0</v>
      </c>
      <c r="M60" s="74">
        <f t="shared" ref="M60:O60" si="124">M$2</f>
        <v>0.13</v>
      </c>
      <c r="N60" s="74">
        <f t="shared" si="124"/>
        <v>0</v>
      </c>
      <c r="O60" s="74">
        <f t="shared" si="124"/>
        <v>0</v>
      </c>
      <c r="P60" s="53">
        <f t="shared" si="3"/>
        <v>0</v>
      </c>
      <c r="Q60" s="57">
        <f>'NO VEA CLIENTE'!$K60/0.9</f>
        <v>0</v>
      </c>
      <c r="R60" s="2"/>
      <c r="S60" s="58"/>
      <c r="T60" s="59"/>
      <c r="U60" s="71"/>
      <c r="V60" s="71"/>
      <c r="W60" s="54">
        <f>'NO VEA CLIENTE'!$V60/(1-'NO VEA CLIENTE'!$X60)-'NO VEA CLIENTE'!$V60</f>
        <v>0</v>
      </c>
      <c r="X60" s="72">
        <f t="shared" ref="X60:Z60" si="125">X$2</f>
        <v>0.13</v>
      </c>
      <c r="Y60" s="72">
        <f t="shared" si="125"/>
        <v>0</v>
      </c>
      <c r="Z60" s="72">
        <f t="shared" si="125"/>
        <v>0</v>
      </c>
      <c r="AA60" s="53">
        <f t="shared" si="4"/>
        <v>0</v>
      </c>
      <c r="AB60" s="63"/>
      <c r="AC60" s="2"/>
      <c r="AD60" s="117"/>
      <c r="AE60" s="71"/>
      <c r="AF60" s="71"/>
      <c r="AG60" s="62">
        <f>'NO VEA CLIENTE'!$AF60/(1-'NO VEA CLIENTE'!$AH60)-'NO VEA CLIENTE'!$AF60</f>
        <v>0</v>
      </c>
      <c r="AH60" s="72">
        <f t="shared" ref="AH60:AJ60" si="126">AH$2</f>
        <v>0.1</v>
      </c>
      <c r="AI60" s="72">
        <f t="shared" si="126"/>
        <v>0</v>
      </c>
      <c r="AJ60" s="72">
        <f t="shared" si="126"/>
        <v>0</v>
      </c>
      <c r="AK60" s="53">
        <f t="shared" si="5"/>
        <v>0</v>
      </c>
      <c r="AL60" s="118"/>
      <c r="AM60" s="2"/>
      <c r="AN60" s="2"/>
      <c r="AO60" s="2"/>
      <c r="AP60" s="2"/>
      <c r="AQ60" s="2"/>
      <c r="AR60" s="2"/>
      <c r="AS60" s="2"/>
      <c r="AT60" s="2"/>
      <c r="AU60" s="2"/>
      <c r="AV60" s="2"/>
      <c r="AW60" s="2"/>
    </row>
    <row r="61" ht="15.75" customHeight="1">
      <c r="A61" s="122"/>
      <c r="B61" s="76"/>
      <c r="C61" s="76"/>
      <c r="D61" s="76"/>
      <c r="E61" s="123"/>
      <c r="F61" s="76"/>
      <c r="G61" s="76"/>
      <c r="H61" s="124"/>
      <c r="I61" s="76"/>
      <c r="J61" s="53">
        <f t="shared" si="1"/>
        <v>0</v>
      </c>
      <c r="K61" s="54">
        <v>0.0</v>
      </c>
      <c r="L61" s="54">
        <f>'NO VEA CLIENTE'!$K61/(1-'NO VEA CLIENTE'!$M61)-'NO VEA CLIENTE'!$K61</f>
        <v>0</v>
      </c>
      <c r="M61" s="74">
        <f t="shared" ref="M61:O61" si="127">M$2</f>
        <v>0.13</v>
      </c>
      <c r="N61" s="74">
        <f t="shared" si="127"/>
        <v>0</v>
      </c>
      <c r="O61" s="74">
        <f t="shared" si="127"/>
        <v>0</v>
      </c>
      <c r="P61" s="53">
        <f t="shared" si="3"/>
        <v>0</v>
      </c>
      <c r="Q61" s="57">
        <f>'NO VEA CLIENTE'!$K61/0.9</f>
        <v>0</v>
      </c>
      <c r="R61" s="2"/>
      <c r="S61" s="58"/>
      <c r="T61" s="59"/>
      <c r="U61" s="71"/>
      <c r="V61" s="71"/>
      <c r="W61" s="54">
        <f>'NO VEA CLIENTE'!$V61/(1-'NO VEA CLIENTE'!$X61)-'NO VEA CLIENTE'!$V61</f>
        <v>0</v>
      </c>
      <c r="X61" s="72">
        <f t="shared" ref="X61:Z61" si="128">X$2</f>
        <v>0.13</v>
      </c>
      <c r="Y61" s="72">
        <f t="shared" si="128"/>
        <v>0</v>
      </c>
      <c r="Z61" s="72">
        <f t="shared" si="128"/>
        <v>0</v>
      </c>
      <c r="AA61" s="53">
        <f t="shared" si="4"/>
        <v>0</v>
      </c>
      <c r="AB61" s="63"/>
      <c r="AC61" s="2"/>
      <c r="AD61" s="117"/>
      <c r="AE61" s="71"/>
      <c r="AF61" s="71"/>
      <c r="AG61" s="62">
        <f>'NO VEA CLIENTE'!$AF61/(1-'NO VEA CLIENTE'!$AH61)-'NO VEA CLIENTE'!$AF61</f>
        <v>0</v>
      </c>
      <c r="AH61" s="72">
        <f t="shared" ref="AH61:AJ61" si="129">AH$2</f>
        <v>0.1</v>
      </c>
      <c r="AI61" s="72">
        <f t="shared" si="129"/>
        <v>0</v>
      </c>
      <c r="AJ61" s="72">
        <f t="shared" si="129"/>
        <v>0</v>
      </c>
      <c r="AK61" s="53">
        <f t="shared" si="5"/>
        <v>0</v>
      </c>
      <c r="AL61" s="118"/>
      <c r="AM61" s="2"/>
      <c r="AN61" s="2"/>
      <c r="AO61" s="2"/>
      <c r="AP61" s="2"/>
      <c r="AQ61" s="2"/>
      <c r="AR61" s="2"/>
      <c r="AS61" s="2"/>
      <c r="AT61" s="2"/>
      <c r="AU61" s="2"/>
      <c r="AV61" s="2"/>
      <c r="AW61" s="2"/>
    </row>
    <row r="62" ht="15.75" customHeight="1">
      <c r="A62" s="122"/>
      <c r="B62" s="76"/>
      <c r="C62" s="76"/>
      <c r="D62" s="76"/>
      <c r="E62" s="123"/>
      <c r="F62" s="76"/>
      <c r="G62" s="76"/>
      <c r="H62" s="124"/>
      <c r="I62" s="76"/>
      <c r="J62" s="53">
        <f t="shared" si="1"/>
        <v>0</v>
      </c>
      <c r="K62" s="54">
        <v>0.0</v>
      </c>
      <c r="L62" s="54">
        <f>'NO VEA CLIENTE'!$K62/(1-'NO VEA CLIENTE'!$M62)-'NO VEA CLIENTE'!$K62</f>
        <v>0</v>
      </c>
      <c r="M62" s="74">
        <f t="shared" ref="M62:O62" si="130">M$2</f>
        <v>0.13</v>
      </c>
      <c r="N62" s="74">
        <f t="shared" si="130"/>
        <v>0</v>
      </c>
      <c r="O62" s="74">
        <f t="shared" si="130"/>
        <v>0</v>
      </c>
      <c r="P62" s="53">
        <f t="shared" si="3"/>
        <v>0</v>
      </c>
      <c r="Q62" s="57">
        <f>'NO VEA CLIENTE'!$K62/0.9</f>
        <v>0</v>
      </c>
      <c r="R62" s="2"/>
      <c r="S62" s="58"/>
      <c r="T62" s="59"/>
      <c r="U62" s="71"/>
      <c r="V62" s="71"/>
      <c r="W62" s="54">
        <f>'NO VEA CLIENTE'!$V62/(1-'NO VEA CLIENTE'!$X62)-'NO VEA CLIENTE'!$V62</f>
        <v>0</v>
      </c>
      <c r="X62" s="72">
        <f t="shared" ref="X62:Z62" si="131">X$2</f>
        <v>0.13</v>
      </c>
      <c r="Y62" s="72">
        <f t="shared" si="131"/>
        <v>0</v>
      </c>
      <c r="Z62" s="72">
        <f t="shared" si="131"/>
        <v>0</v>
      </c>
      <c r="AA62" s="53">
        <f t="shared" si="4"/>
        <v>0</v>
      </c>
      <c r="AB62" s="63"/>
      <c r="AC62" s="2"/>
      <c r="AD62" s="117"/>
      <c r="AE62" s="71"/>
      <c r="AF62" s="71"/>
      <c r="AG62" s="62">
        <f>'NO VEA CLIENTE'!$AF62/(1-'NO VEA CLIENTE'!$AH62)-'NO VEA CLIENTE'!$AF62</f>
        <v>0</v>
      </c>
      <c r="AH62" s="72">
        <f t="shared" ref="AH62:AJ62" si="132">AH$2</f>
        <v>0.1</v>
      </c>
      <c r="AI62" s="72">
        <f t="shared" si="132"/>
        <v>0</v>
      </c>
      <c r="AJ62" s="72">
        <f t="shared" si="132"/>
        <v>0</v>
      </c>
      <c r="AK62" s="53">
        <f t="shared" si="5"/>
        <v>0</v>
      </c>
      <c r="AL62" s="118"/>
      <c r="AM62" s="2"/>
      <c r="AN62" s="2"/>
      <c r="AO62" s="2"/>
      <c r="AP62" s="2"/>
      <c r="AQ62" s="2"/>
      <c r="AR62" s="2"/>
      <c r="AS62" s="2"/>
      <c r="AT62" s="2"/>
      <c r="AU62" s="2"/>
      <c r="AV62" s="2"/>
      <c r="AW62" s="2"/>
    </row>
    <row r="63" ht="15.75" customHeight="1">
      <c r="A63" s="122"/>
      <c r="B63" s="76"/>
      <c r="C63" s="76"/>
      <c r="D63" s="76"/>
      <c r="E63" s="123"/>
      <c r="F63" s="76"/>
      <c r="G63" s="76"/>
      <c r="H63" s="124"/>
      <c r="I63" s="76"/>
      <c r="J63" s="53">
        <f t="shared" si="1"/>
        <v>0</v>
      </c>
      <c r="K63" s="54">
        <v>0.0</v>
      </c>
      <c r="L63" s="54">
        <f>'NO VEA CLIENTE'!$K63/(1-'NO VEA CLIENTE'!$M63)-'NO VEA CLIENTE'!$K63</f>
        <v>0</v>
      </c>
      <c r="M63" s="74">
        <f t="shared" ref="M63:O63" si="133">M$2</f>
        <v>0.13</v>
      </c>
      <c r="N63" s="74">
        <f t="shared" si="133"/>
        <v>0</v>
      </c>
      <c r="O63" s="74">
        <f t="shared" si="133"/>
        <v>0</v>
      </c>
      <c r="P63" s="53">
        <f t="shared" si="3"/>
        <v>0</v>
      </c>
      <c r="Q63" s="57">
        <f>'NO VEA CLIENTE'!$K63/0.9</f>
        <v>0</v>
      </c>
      <c r="R63" s="2"/>
      <c r="S63" s="58"/>
      <c r="T63" s="59"/>
      <c r="U63" s="71"/>
      <c r="V63" s="71"/>
      <c r="W63" s="54">
        <f>'NO VEA CLIENTE'!$V63/(1-'NO VEA CLIENTE'!$X63)-'NO VEA CLIENTE'!$V63</f>
        <v>0</v>
      </c>
      <c r="X63" s="72">
        <f t="shared" ref="X63:Z63" si="134">X$2</f>
        <v>0.13</v>
      </c>
      <c r="Y63" s="72">
        <f t="shared" si="134"/>
        <v>0</v>
      </c>
      <c r="Z63" s="72">
        <f t="shared" si="134"/>
        <v>0</v>
      </c>
      <c r="AA63" s="53">
        <f t="shared" si="4"/>
        <v>0</v>
      </c>
      <c r="AB63" s="63"/>
      <c r="AC63" s="2"/>
      <c r="AD63" s="117"/>
      <c r="AE63" s="71"/>
      <c r="AF63" s="71"/>
      <c r="AG63" s="62">
        <f>'NO VEA CLIENTE'!$AF63/(1-'NO VEA CLIENTE'!$AH63)-'NO VEA CLIENTE'!$AF63</f>
        <v>0</v>
      </c>
      <c r="AH63" s="72">
        <f t="shared" ref="AH63:AJ63" si="135">AH$2</f>
        <v>0.1</v>
      </c>
      <c r="AI63" s="72">
        <f t="shared" si="135"/>
        <v>0</v>
      </c>
      <c r="AJ63" s="72">
        <f t="shared" si="135"/>
        <v>0</v>
      </c>
      <c r="AK63" s="53">
        <f t="shared" si="5"/>
        <v>0</v>
      </c>
      <c r="AL63" s="118"/>
      <c r="AM63" s="2"/>
      <c r="AN63" s="2"/>
      <c r="AO63" s="2"/>
      <c r="AP63" s="2"/>
      <c r="AQ63" s="2"/>
      <c r="AR63" s="2"/>
      <c r="AS63" s="2"/>
      <c r="AT63" s="2"/>
      <c r="AU63" s="2"/>
      <c r="AV63" s="2"/>
      <c r="AW63" s="2"/>
    </row>
    <row r="64" ht="15.75" customHeight="1">
      <c r="A64" s="122"/>
      <c r="B64" s="76"/>
      <c r="C64" s="76"/>
      <c r="D64" s="76"/>
      <c r="E64" s="123"/>
      <c r="F64" s="76"/>
      <c r="G64" s="76"/>
      <c r="H64" s="124"/>
      <c r="I64" s="76"/>
      <c r="J64" s="53">
        <f t="shared" si="1"/>
        <v>0</v>
      </c>
      <c r="K64" s="54">
        <v>0.0</v>
      </c>
      <c r="L64" s="54">
        <f>'NO VEA CLIENTE'!$K64/(1-'NO VEA CLIENTE'!$M64)-'NO VEA CLIENTE'!$K64</f>
        <v>0</v>
      </c>
      <c r="M64" s="74">
        <f t="shared" ref="M64:O64" si="136">M$2</f>
        <v>0.13</v>
      </c>
      <c r="N64" s="74">
        <f t="shared" si="136"/>
        <v>0</v>
      </c>
      <c r="O64" s="74">
        <f t="shared" si="136"/>
        <v>0</v>
      </c>
      <c r="P64" s="53">
        <f t="shared" si="3"/>
        <v>0</v>
      </c>
      <c r="Q64" s="57">
        <f>'NO VEA CLIENTE'!$K64/0.9</f>
        <v>0</v>
      </c>
      <c r="R64" s="2"/>
      <c r="S64" s="58"/>
      <c r="T64" s="59"/>
      <c r="U64" s="71"/>
      <c r="V64" s="71"/>
      <c r="W64" s="54">
        <f>'NO VEA CLIENTE'!$V64/(1-'NO VEA CLIENTE'!$X64)-'NO VEA CLIENTE'!$V64</f>
        <v>0</v>
      </c>
      <c r="X64" s="72">
        <f t="shared" ref="X64:Z64" si="137">X$2</f>
        <v>0.13</v>
      </c>
      <c r="Y64" s="72">
        <f t="shared" si="137"/>
        <v>0</v>
      </c>
      <c r="Z64" s="72">
        <f t="shared" si="137"/>
        <v>0</v>
      </c>
      <c r="AA64" s="53">
        <f t="shared" si="4"/>
        <v>0</v>
      </c>
      <c r="AB64" s="63"/>
      <c r="AC64" s="2"/>
      <c r="AD64" s="117"/>
      <c r="AE64" s="71"/>
      <c r="AF64" s="71"/>
      <c r="AG64" s="62">
        <f>'NO VEA CLIENTE'!$AF64/(1-'NO VEA CLIENTE'!$AH64)-'NO VEA CLIENTE'!$AF64</f>
        <v>0</v>
      </c>
      <c r="AH64" s="72">
        <f t="shared" ref="AH64:AJ64" si="138">AH$2</f>
        <v>0.1</v>
      </c>
      <c r="AI64" s="72">
        <f t="shared" si="138"/>
        <v>0</v>
      </c>
      <c r="AJ64" s="72">
        <f t="shared" si="138"/>
        <v>0</v>
      </c>
      <c r="AK64" s="53">
        <f t="shared" si="5"/>
        <v>0</v>
      </c>
      <c r="AL64" s="118"/>
      <c r="AM64" s="2"/>
      <c r="AN64" s="2"/>
      <c r="AO64" s="2"/>
      <c r="AP64" s="2"/>
      <c r="AQ64" s="2"/>
      <c r="AR64" s="2"/>
      <c r="AS64" s="2"/>
      <c r="AT64" s="2"/>
      <c r="AU64" s="2"/>
      <c r="AV64" s="2"/>
      <c r="AW64" s="2"/>
    </row>
    <row r="65" ht="15.75" customHeight="1">
      <c r="A65" s="122"/>
      <c r="B65" s="76"/>
      <c r="C65" s="76"/>
      <c r="D65" s="76"/>
      <c r="E65" s="123"/>
      <c r="F65" s="76"/>
      <c r="G65" s="76"/>
      <c r="H65" s="124"/>
      <c r="I65" s="76"/>
      <c r="J65" s="53">
        <f t="shared" si="1"/>
        <v>0</v>
      </c>
      <c r="K65" s="54">
        <v>0.0</v>
      </c>
      <c r="L65" s="54">
        <f>'NO VEA CLIENTE'!$K65/(1-'NO VEA CLIENTE'!$M65)-'NO VEA CLIENTE'!$K65</f>
        <v>0</v>
      </c>
      <c r="M65" s="74">
        <f t="shared" ref="M65:O65" si="139">M$2</f>
        <v>0.13</v>
      </c>
      <c r="N65" s="74">
        <f t="shared" si="139"/>
        <v>0</v>
      </c>
      <c r="O65" s="74">
        <f t="shared" si="139"/>
        <v>0</v>
      </c>
      <c r="P65" s="53">
        <f t="shared" si="3"/>
        <v>0</v>
      </c>
      <c r="Q65" s="57">
        <f>'NO VEA CLIENTE'!$K65/0.9</f>
        <v>0</v>
      </c>
      <c r="R65" s="2"/>
      <c r="S65" s="58"/>
      <c r="T65" s="59"/>
      <c r="U65" s="71"/>
      <c r="V65" s="71"/>
      <c r="W65" s="54">
        <f>'NO VEA CLIENTE'!$V65/(1-'NO VEA CLIENTE'!$X65)-'NO VEA CLIENTE'!$V65</f>
        <v>0</v>
      </c>
      <c r="X65" s="72">
        <f t="shared" ref="X65:Z65" si="140">X$2</f>
        <v>0.13</v>
      </c>
      <c r="Y65" s="72">
        <f t="shared" si="140"/>
        <v>0</v>
      </c>
      <c r="Z65" s="72">
        <f t="shared" si="140"/>
        <v>0</v>
      </c>
      <c r="AA65" s="53">
        <f t="shared" si="4"/>
        <v>0</v>
      </c>
      <c r="AB65" s="63"/>
      <c r="AC65" s="2"/>
      <c r="AD65" s="117"/>
      <c r="AE65" s="71"/>
      <c r="AF65" s="71"/>
      <c r="AG65" s="62">
        <f>'NO VEA CLIENTE'!$AF65/(1-'NO VEA CLIENTE'!$AH65)-'NO VEA CLIENTE'!$AF65</f>
        <v>0</v>
      </c>
      <c r="AH65" s="72">
        <f t="shared" ref="AH65:AJ65" si="141">AH$2</f>
        <v>0.1</v>
      </c>
      <c r="AI65" s="72">
        <f t="shared" si="141"/>
        <v>0</v>
      </c>
      <c r="AJ65" s="72">
        <f t="shared" si="141"/>
        <v>0</v>
      </c>
      <c r="AK65" s="53">
        <f t="shared" si="5"/>
        <v>0</v>
      </c>
      <c r="AL65" s="118"/>
      <c r="AM65" s="2"/>
      <c r="AN65" s="2"/>
      <c r="AO65" s="2"/>
      <c r="AP65" s="2"/>
      <c r="AQ65" s="2"/>
      <c r="AR65" s="2"/>
      <c r="AS65" s="2"/>
      <c r="AT65" s="2"/>
      <c r="AU65" s="2"/>
      <c r="AV65" s="2"/>
      <c r="AW65" s="2"/>
    </row>
    <row r="66" ht="15.75" customHeight="1">
      <c r="A66" s="122"/>
      <c r="B66" s="76"/>
      <c r="C66" s="76"/>
      <c r="D66" s="76"/>
      <c r="E66" s="123"/>
      <c r="F66" s="76"/>
      <c r="G66" s="76"/>
      <c r="H66" s="124"/>
      <c r="I66" s="76"/>
      <c r="J66" s="53">
        <f t="shared" si="1"/>
        <v>0</v>
      </c>
      <c r="K66" s="54">
        <v>0.0</v>
      </c>
      <c r="L66" s="54">
        <f>'NO VEA CLIENTE'!$K66/(1-'NO VEA CLIENTE'!$M66)-'NO VEA CLIENTE'!$K66</f>
        <v>0</v>
      </c>
      <c r="M66" s="74">
        <f t="shared" ref="M66:O66" si="142">M$2</f>
        <v>0.13</v>
      </c>
      <c r="N66" s="74">
        <f t="shared" si="142"/>
        <v>0</v>
      </c>
      <c r="O66" s="74">
        <f t="shared" si="142"/>
        <v>0</v>
      </c>
      <c r="P66" s="53">
        <f t="shared" si="3"/>
        <v>0</v>
      </c>
      <c r="Q66" s="57">
        <f>'NO VEA CLIENTE'!$K66/0.9</f>
        <v>0</v>
      </c>
      <c r="R66" s="2"/>
      <c r="S66" s="58"/>
      <c r="T66" s="59"/>
      <c r="U66" s="71"/>
      <c r="V66" s="71"/>
      <c r="W66" s="54">
        <f>'NO VEA CLIENTE'!$V66/(1-'NO VEA CLIENTE'!$X66)-'NO VEA CLIENTE'!$V66</f>
        <v>0</v>
      </c>
      <c r="X66" s="72">
        <f t="shared" ref="X66:Z66" si="143">X$2</f>
        <v>0.13</v>
      </c>
      <c r="Y66" s="72">
        <f t="shared" si="143"/>
        <v>0</v>
      </c>
      <c r="Z66" s="72">
        <f t="shared" si="143"/>
        <v>0</v>
      </c>
      <c r="AA66" s="53">
        <f t="shared" si="4"/>
        <v>0</v>
      </c>
      <c r="AB66" s="63"/>
      <c r="AC66" s="2"/>
      <c r="AD66" s="117"/>
      <c r="AE66" s="71"/>
      <c r="AF66" s="71"/>
      <c r="AG66" s="62">
        <f>'NO VEA CLIENTE'!$AF66/(1-'NO VEA CLIENTE'!$AH66)-'NO VEA CLIENTE'!$AF66</f>
        <v>0</v>
      </c>
      <c r="AH66" s="72">
        <f t="shared" ref="AH66:AJ66" si="144">AH$2</f>
        <v>0.1</v>
      </c>
      <c r="AI66" s="72">
        <f t="shared" si="144"/>
        <v>0</v>
      </c>
      <c r="AJ66" s="72">
        <f t="shared" si="144"/>
        <v>0</v>
      </c>
      <c r="AK66" s="53">
        <f t="shared" si="5"/>
        <v>0</v>
      </c>
      <c r="AL66" s="118"/>
      <c r="AM66" s="2"/>
      <c r="AN66" s="2"/>
      <c r="AO66" s="2"/>
      <c r="AP66" s="2"/>
      <c r="AQ66" s="2"/>
      <c r="AR66" s="2"/>
      <c r="AS66" s="2"/>
      <c r="AT66" s="2"/>
      <c r="AU66" s="2"/>
      <c r="AV66" s="2"/>
      <c r="AW66" s="2"/>
    </row>
    <row r="67" ht="15.75" customHeight="1">
      <c r="A67" s="122"/>
      <c r="B67" s="76"/>
      <c r="C67" s="76"/>
      <c r="D67" s="76"/>
      <c r="E67" s="123"/>
      <c r="F67" s="76"/>
      <c r="G67" s="76"/>
      <c r="H67" s="124"/>
      <c r="I67" s="76"/>
      <c r="J67" s="53">
        <f t="shared" si="1"/>
        <v>0</v>
      </c>
      <c r="K67" s="54">
        <v>0.0</v>
      </c>
      <c r="L67" s="54">
        <f>'NO VEA CLIENTE'!$K67/(1-'NO VEA CLIENTE'!$M67)-'NO VEA CLIENTE'!$K67</f>
        <v>0</v>
      </c>
      <c r="M67" s="74">
        <f t="shared" ref="M67:O67" si="145">M$2</f>
        <v>0.13</v>
      </c>
      <c r="N67" s="74">
        <f t="shared" si="145"/>
        <v>0</v>
      </c>
      <c r="O67" s="74">
        <f t="shared" si="145"/>
        <v>0</v>
      </c>
      <c r="P67" s="53">
        <f t="shared" si="3"/>
        <v>0</v>
      </c>
      <c r="Q67" s="57">
        <f>'NO VEA CLIENTE'!$K67/0.9</f>
        <v>0</v>
      </c>
      <c r="R67" s="2"/>
      <c r="S67" s="58"/>
      <c r="T67" s="59"/>
      <c r="U67" s="71"/>
      <c r="V67" s="71"/>
      <c r="W67" s="54">
        <f>'NO VEA CLIENTE'!$V67/(1-'NO VEA CLIENTE'!$X67)-'NO VEA CLIENTE'!$V67</f>
        <v>0</v>
      </c>
      <c r="X67" s="72">
        <f t="shared" ref="X67:Z67" si="146">X$2</f>
        <v>0.13</v>
      </c>
      <c r="Y67" s="72">
        <f t="shared" si="146"/>
        <v>0</v>
      </c>
      <c r="Z67" s="72">
        <f t="shared" si="146"/>
        <v>0</v>
      </c>
      <c r="AA67" s="53">
        <f t="shared" si="4"/>
        <v>0</v>
      </c>
      <c r="AB67" s="63"/>
      <c r="AC67" s="2"/>
      <c r="AD67" s="117"/>
      <c r="AE67" s="71"/>
      <c r="AF67" s="71"/>
      <c r="AG67" s="62">
        <f>'NO VEA CLIENTE'!$AF67/(1-'NO VEA CLIENTE'!$AH67)-'NO VEA CLIENTE'!$AF67</f>
        <v>0</v>
      </c>
      <c r="AH67" s="72">
        <f t="shared" ref="AH67:AJ67" si="147">AH$2</f>
        <v>0.1</v>
      </c>
      <c r="AI67" s="72">
        <f t="shared" si="147"/>
        <v>0</v>
      </c>
      <c r="AJ67" s="72">
        <f t="shared" si="147"/>
        <v>0</v>
      </c>
      <c r="AK67" s="53">
        <f t="shared" si="5"/>
        <v>0</v>
      </c>
      <c r="AL67" s="118"/>
      <c r="AM67" s="2"/>
      <c r="AN67" s="2"/>
      <c r="AO67" s="2"/>
      <c r="AP67" s="2"/>
      <c r="AQ67" s="2"/>
      <c r="AR67" s="2"/>
      <c r="AS67" s="2"/>
      <c r="AT67" s="2"/>
      <c r="AU67" s="2"/>
      <c r="AV67" s="2"/>
      <c r="AW67" s="2"/>
    </row>
    <row r="68" ht="15.75" customHeight="1">
      <c r="A68" s="122"/>
      <c r="B68" s="76"/>
      <c r="C68" s="76"/>
      <c r="D68" s="76"/>
      <c r="E68" s="123"/>
      <c r="F68" s="76"/>
      <c r="G68" s="76"/>
      <c r="H68" s="124"/>
      <c r="I68" s="76"/>
      <c r="J68" s="53">
        <f t="shared" si="1"/>
        <v>0</v>
      </c>
      <c r="K68" s="54">
        <v>0.0</v>
      </c>
      <c r="L68" s="54">
        <f>'NO VEA CLIENTE'!$K68/(1-'NO VEA CLIENTE'!$M68)-'NO VEA CLIENTE'!$K68</f>
        <v>0</v>
      </c>
      <c r="M68" s="74">
        <f t="shared" ref="M68:O68" si="148">M$2</f>
        <v>0.13</v>
      </c>
      <c r="N68" s="74">
        <f t="shared" si="148"/>
        <v>0</v>
      </c>
      <c r="O68" s="74">
        <f t="shared" si="148"/>
        <v>0</v>
      </c>
      <c r="P68" s="53">
        <f t="shared" si="3"/>
        <v>0</v>
      </c>
      <c r="Q68" s="57">
        <f>'NO VEA CLIENTE'!$K68/0.9</f>
        <v>0</v>
      </c>
      <c r="R68" s="2"/>
      <c r="S68" s="58"/>
      <c r="T68" s="59"/>
      <c r="U68" s="71"/>
      <c r="V68" s="71"/>
      <c r="W68" s="54">
        <f>'NO VEA CLIENTE'!$V68/(1-'NO VEA CLIENTE'!$X68)-'NO VEA CLIENTE'!$V68</f>
        <v>0</v>
      </c>
      <c r="X68" s="72">
        <f t="shared" ref="X68:Z68" si="149">X$2</f>
        <v>0.13</v>
      </c>
      <c r="Y68" s="72">
        <f t="shared" si="149"/>
        <v>0</v>
      </c>
      <c r="Z68" s="72">
        <f t="shared" si="149"/>
        <v>0</v>
      </c>
      <c r="AA68" s="53">
        <f t="shared" si="4"/>
        <v>0</v>
      </c>
      <c r="AB68" s="63"/>
      <c r="AC68" s="2"/>
      <c r="AD68" s="117"/>
      <c r="AE68" s="71"/>
      <c r="AF68" s="71"/>
      <c r="AG68" s="62">
        <f>'NO VEA CLIENTE'!$AF68/(1-'NO VEA CLIENTE'!$AH68)-'NO VEA CLIENTE'!$AF68</f>
        <v>0</v>
      </c>
      <c r="AH68" s="72">
        <f t="shared" ref="AH68:AJ68" si="150">AH$2</f>
        <v>0.1</v>
      </c>
      <c r="AI68" s="72">
        <f t="shared" si="150"/>
        <v>0</v>
      </c>
      <c r="AJ68" s="72">
        <f t="shared" si="150"/>
        <v>0</v>
      </c>
      <c r="AK68" s="53">
        <f t="shared" si="5"/>
        <v>0</v>
      </c>
      <c r="AL68" s="118"/>
      <c r="AM68" s="2"/>
      <c r="AN68" s="2"/>
      <c r="AO68" s="2"/>
      <c r="AP68" s="2"/>
      <c r="AQ68" s="2"/>
      <c r="AR68" s="2"/>
      <c r="AS68" s="2"/>
      <c r="AT68" s="2"/>
      <c r="AU68" s="2"/>
      <c r="AV68" s="2"/>
      <c r="AW68" s="2"/>
    </row>
    <row r="69" ht="15.75" customHeight="1">
      <c r="A69" s="122"/>
      <c r="B69" s="76"/>
      <c r="C69" s="76"/>
      <c r="D69" s="76"/>
      <c r="E69" s="123"/>
      <c r="F69" s="76"/>
      <c r="G69" s="76"/>
      <c r="H69" s="124"/>
      <c r="I69" s="76"/>
      <c r="J69" s="53">
        <f t="shared" si="1"/>
        <v>0</v>
      </c>
      <c r="K69" s="54">
        <v>0.0</v>
      </c>
      <c r="L69" s="54">
        <f>'NO VEA CLIENTE'!$K69/(1-'NO VEA CLIENTE'!$M69)-'NO VEA CLIENTE'!$K69</f>
        <v>0</v>
      </c>
      <c r="M69" s="74">
        <f t="shared" ref="M69:O69" si="151">M$2</f>
        <v>0.13</v>
      </c>
      <c r="N69" s="74">
        <f t="shared" si="151"/>
        <v>0</v>
      </c>
      <c r="O69" s="74">
        <f t="shared" si="151"/>
        <v>0</v>
      </c>
      <c r="P69" s="53">
        <f t="shared" si="3"/>
        <v>0</v>
      </c>
      <c r="Q69" s="57">
        <f>'NO VEA CLIENTE'!$K69/0.9</f>
        <v>0</v>
      </c>
      <c r="R69" s="2"/>
      <c r="S69" s="58"/>
      <c r="T69" s="59"/>
      <c r="U69" s="71"/>
      <c r="V69" s="71"/>
      <c r="W69" s="54">
        <f>'NO VEA CLIENTE'!$V69/(1-'NO VEA CLIENTE'!$X69)-'NO VEA CLIENTE'!$V69</f>
        <v>0</v>
      </c>
      <c r="X69" s="72">
        <f t="shared" ref="X69:Z69" si="152">X$2</f>
        <v>0.13</v>
      </c>
      <c r="Y69" s="72">
        <f t="shared" si="152"/>
        <v>0</v>
      </c>
      <c r="Z69" s="72">
        <f t="shared" si="152"/>
        <v>0</v>
      </c>
      <c r="AA69" s="53">
        <f t="shared" si="4"/>
        <v>0</v>
      </c>
      <c r="AB69" s="63"/>
      <c r="AC69" s="2"/>
      <c r="AD69" s="117"/>
      <c r="AE69" s="71"/>
      <c r="AF69" s="71"/>
      <c r="AG69" s="62">
        <f>'NO VEA CLIENTE'!$AF69/(1-'NO VEA CLIENTE'!$AH69)-'NO VEA CLIENTE'!$AF69</f>
        <v>0</v>
      </c>
      <c r="AH69" s="72">
        <f t="shared" ref="AH69:AJ69" si="153">AH$2</f>
        <v>0.1</v>
      </c>
      <c r="AI69" s="72">
        <f t="shared" si="153"/>
        <v>0</v>
      </c>
      <c r="AJ69" s="72">
        <f t="shared" si="153"/>
        <v>0</v>
      </c>
      <c r="AK69" s="53">
        <f t="shared" si="5"/>
        <v>0</v>
      </c>
      <c r="AL69" s="118"/>
      <c r="AM69" s="2"/>
      <c r="AN69" s="2"/>
      <c r="AO69" s="2"/>
      <c r="AP69" s="2"/>
      <c r="AQ69" s="2"/>
      <c r="AR69" s="2"/>
      <c r="AS69" s="2"/>
      <c r="AT69" s="2"/>
      <c r="AU69" s="2"/>
      <c r="AV69" s="2"/>
      <c r="AW69" s="2"/>
    </row>
    <row r="70" ht="15.75" customHeight="1">
      <c r="A70" s="122"/>
      <c r="B70" s="76"/>
      <c r="C70" s="76"/>
      <c r="D70" s="76"/>
      <c r="E70" s="123"/>
      <c r="F70" s="76"/>
      <c r="G70" s="76"/>
      <c r="H70" s="124"/>
      <c r="I70" s="76"/>
      <c r="J70" s="53">
        <f t="shared" si="1"/>
        <v>0</v>
      </c>
      <c r="K70" s="54">
        <v>0.0</v>
      </c>
      <c r="L70" s="54">
        <f>'NO VEA CLIENTE'!$K70/(1-'NO VEA CLIENTE'!$M70)-'NO VEA CLIENTE'!$K70</f>
        <v>0</v>
      </c>
      <c r="M70" s="74">
        <f t="shared" ref="M70:O70" si="154">M$2</f>
        <v>0.13</v>
      </c>
      <c r="N70" s="74">
        <f t="shared" si="154"/>
        <v>0</v>
      </c>
      <c r="O70" s="74">
        <f t="shared" si="154"/>
        <v>0</v>
      </c>
      <c r="P70" s="53">
        <f t="shared" si="3"/>
        <v>0</v>
      </c>
      <c r="Q70" s="57">
        <f>'NO VEA CLIENTE'!$K70/0.9</f>
        <v>0</v>
      </c>
      <c r="R70" s="2"/>
      <c r="S70" s="58"/>
      <c r="T70" s="59"/>
      <c r="U70" s="71"/>
      <c r="V70" s="71"/>
      <c r="W70" s="54">
        <f>'NO VEA CLIENTE'!$V70/(1-'NO VEA CLIENTE'!$X70)-'NO VEA CLIENTE'!$V70</f>
        <v>0</v>
      </c>
      <c r="X70" s="72">
        <f t="shared" ref="X70:Z70" si="155">X$2</f>
        <v>0.13</v>
      </c>
      <c r="Y70" s="72">
        <f t="shared" si="155"/>
        <v>0</v>
      </c>
      <c r="Z70" s="72">
        <f t="shared" si="155"/>
        <v>0</v>
      </c>
      <c r="AA70" s="53">
        <f t="shared" si="4"/>
        <v>0</v>
      </c>
      <c r="AB70" s="63"/>
      <c r="AC70" s="2"/>
      <c r="AD70" s="117"/>
      <c r="AE70" s="71"/>
      <c r="AF70" s="71"/>
      <c r="AG70" s="62">
        <f>'NO VEA CLIENTE'!$AF70/(1-'NO VEA CLIENTE'!$AH70)-'NO VEA CLIENTE'!$AF70</f>
        <v>0</v>
      </c>
      <c r="AH70" s="72">
        <f t="shared" ref="AH70:AJ70" si="156">AH$2</f>
        <v>0.1</v>
      </c>
      <c r="AI70" s="72">
        <f t="shared" si="156"/>
        <v>0</v>
      </c>
      <c r="AJ70" s="72">
        <f t="shared" si="156"/>
        <v>0</v>
      </c>
      <c r="AK70" s="53">
        <f t="shared" si="5"/>
        <v>0</v>
      </c>
      <c r="AL70" s="118"/>
      <c r="AM70" s="2"/>
      <c r="AN70" s="2"/>
      <c r="AO70" s="2"/>
      <c r="AP70" s="2"/>
      <c r="AQ70" s="2"/>
      <c r="AR70" s="2"/>
      <c r="AS70" s="2"/>
      <c r="AT70" s="2"/>
      <c r="AU70" s="2"/>
      <c r="AV70" s="2"/>
      <c r="AW70" s="2"/>
    </row>
    <row r="71" ht="15.75" customHeight="1">
      <c r="A71" s="122"/>
      <c r="B71" s="76"/>
      <c r="C71" s="76"/>
      <c r="D71" s="76"/>
      <c r="E71" s="123"/>
      <c r="F71" s="76"/>
      <c r="G71" s="76"/>
      <c r="H71" s="124"/>
      <c r="I71" s="76"/>
      <c r="J71" s="53">
        <f t="shared" si="1"/>
        <v>0</v>
      </c>
      <c r="K71" s="54">
        <v>0.0</v>
      </c>
      <c r="L71" s="54">
        <f>'NO VEA CLIENTE'!$K71/(1-'NO VEA CLIENTE'!$M71)-'NO VEA CLIENTE'!$K71</f>
        <v>0</v>
      </c>
      <c r="M71" s="74">
        <f t="shared" ref="M71:O71" si="157">M$2</f>
        <v>0.13</v>
      </c>
      <c r="N71" s="74">
        <f t="shared" si="157"/>
        <v>0</v>
      </c>
      <c r="O71" s="74">
        <f t="shared" si="157"/>
        <v>0</v>
      </c>
      <c r="P71" s="53">
        <f t="shared" si="3"/>
        <v>0</v>
      </c>
      <c r="Q71" s="57">
        <f>'NO VEA CLIENTE'!$K71/0.9</f>
        <v>0</v>
      </c>
      <c r="R71" s="2"/>
      <c r="S71" s="58"/>
      <c r="T71" s="59"/>
      <c r="U71" s="71"/>
      <c r="V71" s="71"/>
      <c r="W71" s="54">
        <f>'NO VEA CLIENTE'!$V71/(1-'NO VEA CLIENTE'!$X71)-'NO VEA CLIENTE'!$V71</f>
        <v>0</v>
      </c>
      <c r="X71" s="72">
        <f t="shared" ref="X71:Z71" si="158">X$2</f>
        <v>0.13</v>
      </c>
      <c r="Y71" s="72">
        <f t="shared" si="158"/>
        <v>0</v>
      </c>
      <c r="Z71" s="72">
        <f t="shared" si="158"/>
        <v>0</v>
      </c>
      <c r="AA71" s="53">
        <f t="shared" si="4"/>
        <v>0</v>
      </c>
      <c r="AB71" s="63"/>
      <c r="AC71" s="2"/>
      <c r="AD71" s="117"/>
      <c r="AE71" s="71"/>
      <c r="AF71" s="71"/>
      <c r="AG71" s="62">
        <f>'NO VEA CLIENTE'!$AF71/(1-'NO VEA CLIENTE'!$AH71)-'NO VEA CLIENTE'!$AF71</f>
        <v>0</v>
      </c>
      <c r="AH71" s="72">
        <f t="shared" ref="AH71:AJ71" si="159">AH$2</f>
        <v>0.1</v>
      </c>
      <c r="AI71" s="72">
        <f t="shared" si="159"/>
        <v>0</v>
      </c>
      <c r="AJ71" s="72">
        <f t="shared" si="159"/>
        <v>0</v>
      </c>
      <c r="AK71" s="53">
        <f t="shared" si="5"/>
        <v>0</v>
      </c>
      <c r="AL71" s="118"/>
      <c r="AM71" s="2"/>
      <c r="AN71" s="2"/>
      <c r="AO71" s="2"/>
      <c r="AP71" s="2"/>
      <c r="AQ71" s="2"/>
      <c r="AR71" s="2"/>
      <c r="AS71" s="2"/>
      <c r="AT71" s="2"/>
      <c r="AU71" s="2"/>
      <c r="AV71" s="2"/>
      <c r="AW71" s="2"/>
    </row>
    <row r="72" ht="15.75" customHeight="1">
      <c r="A72" s="122"/>
      <c r="B72" s="76"/>
      <c r="C72" s="76"/>
      <c r="D72" s="76"/>
      <c r="E72" s="123"/>
      <c r="F72" s="76"/>
      <c r="G72" s="76"/>
      <c r="H72" s="124"/>
      <c r="I72" s="76"/>
      <c r="J72" s="53">
        <f t="shared" si="1"/>
        <v>0</v>
      </c>
      <c r="K72" s="54">
        <v>0.0</v>
      </c>
      <c r="L72" s="54">
        <f>'NO VEA CLIENTE'!$K72/(1-'NO VEA CLIENTE'!$M72)-'NO VEA CLIENTE'!$K72</f>
        <v>0</v>
      </c>
      <c r="M72" s="74">
        <f t="shared" ref="M72:O72" si="160">M$2</f>
        <v>0.13</v>
      </c>
      <c r="N72" s="74">
        <f t="shared" si="160"/>
        <v>0</v>
      </c>
      <c r="O72" s="74">
        <f t="shared" si="160"/>
        <v>0</v>
      </c>
      <c r="P72" s="53">
        <f t="shared" si="3"/>
        <v>0</v>
      </c>
      <c r="Q72" s="57">
        <f>'NO VEA CLIENTE'!$K72/0.9</f>
        <v>0</v>
      </c>
      <c r="R72" s="2"/>
      <c r="S72" s="58"/>
      <c r="T72" s="59"/>
      <c r="U72" s="71"/>
      <c r="V72" s="71"/>
      <c r="W72" s="54">
        <f>'NO VEA CLIENTE'!$V72/(1-'NO VEA CLIENTE'!$X72)-'NO VEA CLIENTE'!$V72</f>
        <v>0</v>
      </c>
      <c r="X72" s="72">
        <f t="shared" ref="X72:Z72" si="161">X$2</f>
        <v>0.13</v>
      </c>
      <c r="Y72" s="72">
        <f t="shared" si="161"/>
        <v>0</v>
      </c>
      <c r="Z72" s="72">
        <f t="shared" si="161"/>
        <v>0</v>
      </c>
      <c r="AA72" s="53">
        <f t="shared" si="4"/>
        <v>0</v>
      </c>
      <c r="AB72" s="63"/>
      <c r="AC72" s="2"/>
      <c r="AD72" s="117"/>
      <c r="AE72" s="71"/>
      <c r="AF72" s="71"/>
      <c r="AG72" s="62">
        <f>'NO VEA CLIENTE'!$AF72/(1-'NO VEA CLIENTE'!$AH72)-'NO VEA CLIENTE'!$AF72</f>
        <v>0</v>
      </c>
      <c r="AH72" s="72">
        <f t="shared" ref="AH72:AJ72" si="162">AH$2</f>
        <v>0.1</v>
      </c>
      <c r="AI72" s="72">
        <f t="shared" si="162"/>
        <v>0</v>
      </c>
      <c r="AJ72" s="72">
        <f t="shared" si="162"/>
        <v>0</v>
      </c>
      <c r="AK72" s="53">
        <f t="shared" si="5"/>
        <v>0</v>
      </c>
      <c r="AL72" s="118"/>
      <c r="AM72" s="2"/>
      <c r="AN72" s="2"/>
      <c r="AO72" s="2"/>
      <c r="AP72" s="2"/>
      <c r="AQ72" s="2"/>
      <c r="AR72" s="2"/>
      <c r="AS72" s="2"/>
      <c r="AT72" s="2"/>
      <c r="AU72" s="2"/>
      <c r="AV72" s="2"/>
      <c r="AW72" s="2"/>
    </row>
    <row r="73" ht="15.75" customHeight="1">
      <c r="A73" s="122"/>
      <c r="B73" s="76"/>
      <c r="C73" s="76"/>
      <c r="D73" s="76"/>
      <c r="E73" s="123"/>
      <c r="F73" s="76"/>
      <c r="G73" s="76"/>
      <c r="H73" s="124"/>
      <c r="I73" s="76"/>
      <c r="J73" s="53">
        <f t="shared" si="1"/>
        <v>0</v>
      </c>
      <c r="K73" s="54">
        <v>0.0</v>
      </c>
      <c r="L73" s="54">
        <f>'NO VEA CLIENTE'!$K73/(1-'NO VEA CLIENTE'!$M73)-'NO VEA CLIENTE'!$K73</f>
        <v>0</v>
      </c>
      <c r="M73" s="74">
        <f t="shared" ref="M73:O73" si="163">M$2</f>
        <v>0.13</v>
      </c>
      <c r="N73" s="74">
        <f t="shared" si="163"/>
        <v>0</v>
      </c>
      <c r="O73" s="74">
        <f t="shared" si="163"/>
        <v>0</v>
      </c>
      <c r="P73" s="53">
        <f t="shared" si="3"/>
        <v>0</v>
      </c>
      <c r="Q73" s="57">
        <f>'NO VEA CLIENTE'!$K73/0.9</f>
        <v>0</v>
      </c>
      <c r="R73" s="2"/>
      <c r="S73" s="58"/>
      <c r="T73" s="59"/>
      <c r="U73" s="71"/>
      <c r="V73" s="71"/>
      <c r="W73" s="54">
        <f>'NO VEA CLIENTE'!$V73/(1-'NO VEA CLIENTE'!$X73)-'NO VEA CLIENTE'!$V73</f>
        <v>0</v>
      </c>
      <c r="X73" s="72">
        <f t="shared" ref="X73:Z73" si="164">X$2</f>
        <v>0.13</v>
      </c>
      <c r="Y73" s="72">
        <f t="shared" si="164"/>
        <v>0</v>
      </c>
      <c r="Z73" s="72">
        <f t="shared" si="164"/>
        <v>0</v>
      </c>
      <c r="AA73" s="53">
        <f t="shared" si="4"/>
        <v>0</v>
      </c>
      <c r="AB73" s="63"/>
      <c r="AC73" s="2"/>
      <c r="AD73" s="117"/>
      <c r="AE73" s="71"/>
      <c r="AF73" s="71"/>
      <c r="AG73" s="62">
        <f>'NO VEA CLIENTE'!$AF73/(1-'NO VEA CLIENTE'!$AH73)-'NO VEA CLIENTE'!$AF73</f>
        <v>0</v>
      </c>
      <c r="AH73" s="72">
        <f t="shared" ref="AH73:AJ73" si="165">AH$2</f>
        <v>0.1</v>
      </c>
      <c r="AI73" s="72">
        <f t="shared" si="165"/>
        <v>0</v>
      </c>
      <c r="AJ73" s="72">
        <f t="shared" si="165"/>
        <v>0</v>
      </c>
      <c r="AK73" s="53">
        <f t="shared" si="5"/>
        <v>0</v>
      </c>
      <c r="AL73" s="118"/>
      <c r="AM73" s="2"/>
      <c r="AN73" s="2"/>
      <c r="AO73" s="2"/>
      <c r="AP73" s="2"/>
      <c r="AQ73" s="2"/>
      <c r="AR73" s="2"/>
      <c r="AS73" s="2"/>
      <c r="AT73" s="2"/>
      <c r="AU73" s="2"/>
      <c r="AV73" s="2"/>
      <c r="AW73" s="2"/>
    </row>
    <row r="74" ht="15.75" customHeight="1">
      <c r="A74" s="122"/>
      <c r="B74" s="76"/>
      <c r="C74" s="76"/>
      <c r="D74" s="76"/>
      <c r="E74" s="123"/>
      <c r="F74" s="76"/>
      <c r="G74" s="76"/>
      <c r="H74" s="124"/>
      <c r="I74" s="76"/>
      <c r="J74" s="53">
        <f t="shared" si="1"/>
        <v>0</v>
      </c>
      <c r="K74" s="54">
        <v>0.0</v>
      </c>
      <c r="L74" s="54">
        <f>'NO VEA CLIENTE'!$K74/(1-'NO VEA CLIENTE'!$M74)-'NO VEA CLIENTE'!$K74</f>
        <v>0</v>
      </c>
      <c r="M74" s="74">
        <f t="shared" ref="M74:O74" si="166">M$2</f>
        <v>0.13</v>
      </c>
      <c r="N74" s="74">
        <f t="shared" si="166"/>
        <v>0</v>
      </c>
      <c r="O74" s="74">
        <f t="shared" si="166"/>
        <v>0</v>
      </c>
      <c r="P74" s="53">
        <f t="shared" si="3"/>
        <v>0</v>
      </c>
      <c r="Q74" s="57">
        <f>'NO VEA CLIENTE'!$K74/0.9</f>
        <v>0</v>
      </c>
      <c r="R74" s="2"/>
      <c r="S74" s="58"/>
      <c r="T74" s="59"/>
      <c r="U74" s="71"/>
      <c r="V74" s="71"/>
      <c r="W74" s="54">
        <f>'NO VEA CLIENTE'!$V74/(1-'NO VEA CLIENTE'!$X74)-'NO VEA CLIENTE'!$V74</f>
        <v>0</v>
      </c>
      <c r="X74" s="72">
        <f t="shared" ref="X74:Z74" si="167">X$2</f>
        <v>0.13</v>
      </c>
      <c r="Y74" s="72">
        <f t="shared" si="167"/>
        <v>0</v>
      </c>
      <c r="Z74" s="72">
        <f t="shared" si="167"/>
        <v>0</v>
      </c>
      <c r="AA74" s="53">
        <f t="shared" si="4"/>
        <v>0</v>
      </c>
      <c r="AB74" s="63"/>
      <c r="AC74" s="2"/>
      <c r="AD74" s="117"/>
      <c r="AE74" s="71"/>
      <c r="AF74" s="71"/>
      <c r="AG74" s="62">
        <f>'NO VEA CLIENTE'!$AF74/(1-'NO VEA CLIENTE'!$AH74)-'NO VEA CLIENTE'!$AF74</f>
        <v>0</v>
      </c>
      <c r="AH74" s="72">
        <f t="shared" ref="AH74:AJ74" si="168">AH$2</f>
        <v>0.1</v>
      </c>
      <c r="AI74" s="72">
        <f t="shared" si="168"/>
        <v>0</v>
      </c>
      <c r="AJ74" s="72">
        <f t="shared" si="168"/>
        <v>0</v>
      </c>
      <c r="AK74" s="53">
        <f t="shared" si="5"/>
        <v>0</v>
      </c>
      <c r="AL74" s="118"/>
      <c r="AM74" s="2"/>
      <c r="AN74" s="2"/>
      <c r="AO74" s="2"/>
      <c r="AP74" s="2"/>
      <c r="AQ74" s="2"/>
      <c r="AR74" s="2"/>
      <c r="AS74" s="2"/>
      <c r="AT74" s="2"/>
      <c r="AU74" s="2"/>
      <c r="AV74" s="2"/>
      <c r="AW74" s="2"/>
    </row>
    <row r="75" ht="15.75" customHeight="1">
      <c r="A75" s="122"/>
      <c r="B75" s="76"/>
      <c r="C75" s="76"/>
      <c r="D75" s="76"/>
      <c r="E75" s="123"/>
      <c r="F75" s="76"/>
      <c r="G75" s="76"/>
      <c r="H75" s="124"/>
      <c r="I75" s="76"/>
      <c r="J75" s="53">
        <f t="shared" si="1"/>
        <v>0</v>
      </c>
      <c r="K75" s="54">
        <v>0.0</v>
      </c>
      <c r="L75" s="54">
        <f>'NO VEA CLIENTE'!$K75/(1-'NO VEA CLIENTE'!$M75)-'NO VEA CLIENTE'!$K75</f>
        <v>0</v>
      </c>
      <c r="M75" s="74">
        <f t="shared" ref="M75:O75" si="169">M$2</f>
        <v>0.13</v>
      </c>
      <c r="N75" s="74">
        <f t="shared" si="169"/>
        <v>0</v>
      </c>
      <c r="O75" s="74">
        <f t="shared" si="169"/>
        <v>0</v>
      </c>
      <c r="P75" s="53">
        <f t="shared" si="3"/>
        <v>0</v>
      </c>
      <c r="Q75" s="57">
        <f>'NO VEA CLIENTE'!$K75/0.9</f>
        <v>0</v>
      </c>
      <c r="R75" s="2"/>
      <c r="S75" s="58"/>
      <c r="T75" s="59"/>
      <c r="U75" s="71"/>
      <c r="V75" s="71"/>
      <c r="W75" s="54">
        <f>'NO VEA CLIENTE'!$V75/(1-'NO VEA CLIENTE'!$X75)-'NO VEA CLIENTE'!$V75</f>
        <v>0</v>
      </c>
      <c r="X75" s="72">
        <f t="shared" ref="X75:Z75" si="170">X$2</f>
        <v>0.13</v>
      </c>
      <c r="Y75" s="72">
        <f t="shared" si="170"/>
        <v>0</v>
      </c>
      <c r="Z75" s="72">
        <f t="shared" si="170"/>
        <v>0</v>
      </c>
      <c r="AA75" s="53">
        <f t="shared" si="4"/>
        <v>0</v>
      </c>
      <c r="AB75" s="63"/>
      <c r="AC75" s="2"/>
      <c r="AD75" s="117"/>
      <c r="AE75" s="71"/>
      <c r="AF75" s="71"/>
      <c r="AG75" s="62">
        <f>'NO VEA CLIENTE'!$AF75/(1-'NO VEA CLIENTE'!$AH75)-'NO VEA CLIENTE'!$AF75</f>
        <v>0</v>
      </c>
      <c r="AH75" s="72">
        <f t="shared" ref="AH75:AJ75" si="171">AH$2</f>
        <v>0.1</v>
      </c>
      <c r="AI75" s="72">
        <f t="shared" si="171"/>
        <v>0</v>
      </c>
      <c r="AJ75" s="72">
        <f t="shared" si="171"/>
        <v>0</v>
      </c>
      <c r="AK75" s="53">
        <f t="shared" si="5"/>
        <v>0</v>
      </c>
      <c r="AL75" s="118"/>
      <c r="AM75" s="2"/>
      <c r="AN75" s="2"/>
      <c r="AO75" s="2"/>
      <c r="AP75" s="2"/>
      <c r="AQ75" s="2"/>
      <c r="AR75" s="2"/>
      <c r="AS75" s="2"/>
      <c r="AT75" s="2"/>
      <c r="AU75" s="2"/>
      <c r="AV75" s="2"/>
      <c r="AW75" s="2"/>
    </row>
    <row r="76" ht="15.75" customHeight="1">
      <c r="A76" s="122"/>
      <c r="B76" s="76"/>
      <c r="C76" s="76"/>
      <c r="D76" s="76"/>
      <c r="E76" s="123"/>
      <c r="F76" s="76"/>
      <c r="G76" s="76"/>
      <c r="H76" s="124"/>
      <c r="I76" s="76"/>
      <c r="J76" s="53">
        <f t="shared" si="1"/>
        <v>0</v>
      </c>
      <c r="K76" s="54">
        <v>0.0</v>
      </c>
      <c r="L76" s="54">
        <f>'NO VEA CLIENTE'!$K76/(1-'NO VEA CLIENTE'!$M76)-'NO VEA CLIENTE'!$K76</f>
        <v>0</v>
      </c>
      <c r="M76" s="74">
        <f t="shared" ref="M76:O76" si="172">M$2</f>
        <v>0.13</v>
      </c>
      <c r="N76" s="74">
        <f t="shared" si="172"/>
        <v>0</v>
      </c>
      <c r="O76" s="74">
        <f t="shared" si="172"/>
        <v>0</v>
      </c>
      <c r="P76" s="53">
        <f t="shared" si="3"/>
        <v>0</v>
      </c>
      <c r="Q76" s="57">
        <f>'NO VEA CLIENTE'!$K76/0.9</f>
        <v>0</v>
      </c>
      <c r="R76" s="2"/>
      <c r="S76" s="58"/>
      <c r="T76" s="59"/>
      <c r="U76" s="71"/>
      <c r="V76" s="71"/>
      <c r="W76" s="54">
        <f>'NO VEA CLIENTE'!$V76/(1-'NO VEA CLIENTE'!$X76)-'NO VEA CLIENTE'!$V76</f>
        <v>0</v>
      </c>
      <c r="X76" s="72">
        <f t="shared" ref="X76:Z76" si="173">X$2</f>
        <v>0.13</v>
      </c>
      <c r="Y76" s="72">
        <f t="shared" si="173"/>
        <v>0</v>
      </c>
      <c r="Z76" s="72">
        <f t="shared" si="173"/>
        <v>0</v>
      </c>
      <c r="AA76" s="53">
        <f t="shared" si="4"/>
        <v>0</v>
      </c>
      <c r="AB76" s="63"/>
      <c r="AC76" s="2"/>
      <c r="AD76" s="117"/>
      <c r="AE76" s="71"/>
      <c r="AF76" s="71"/>
      <c r="AG76" s="62">
        <f>'NO VEA CLIENTE'!$AF76/(1-'NO VEA CLIENTE'!$AH76)-'NO VEA CLIENTE'!$AF76</f>
        <v>0</v>
      </c>
      <c r="AH76" s="72">
        <f t="shared" ref="AH76:AJ76" si="174">AH$2</f>
        <v>0.1</v>
      </c>
      <c r="AI76" s="72">
        <f t="shared" si="174"/>
        <v>0</v>
      </c>
      <c r="AJ76" s="72">
        <f t="shared" si="174"/>
        <v>0</v>
      </c>
      <c r="AK76" s="53">
        <f t="shared" si="5"/>
        <v>0</v>
      </c>
      <c r="AL76" s="118"/>
      <c r="AM76" s="2"/>
      <c r="AN76" s="2"/>
      <c r="AO76" s="2"/>
      <c r="AP76" s="2"/>
      <c r="AQ76" s="2"/>
      <c r="AR76" s="2"/>
      <c r="AS76" s="2"/>
      <c r="AT76" s="2"/>
      <c r="AU76" s="2"/>
      <c r="AV76" s="2"/>
      <c r="AW76" s="2"/>
    </row>
    <row r="77" ht="15.75" customHeight="1">
      <c r="A77" s="122"/>
      <c r="B77" s="76"/>
      <c r="C77" s="76"/>
      <c r="D77" s="76"/>
      <c r="E77" s="123"/>
      <c r="F77" s="76"/>
      <c r="G77" s="76"/>
      <c r="H77" s="124"/>
      <c r="I77" s="76"/>
      <c r="J77" s="53">
        <f t="shared" si="1"/>
        <v>0</v>
      </c>
      <c r="K77" s="54">
        <v>0.0</v>
      </c>
      <c r="L77" s="54">
        <f>'NO VEA CLIENTE'!$K77/(1-'NO VEA CLIENTE'!$M77)-'NO VEA CLIENTE'!$K77</f>
        <v>0</v>
      </c>
      <c r="M77" s="74">
        <f t="shared" ref="M77:O77" si="175">M$2</f>
        <v>0.13</v>
      </c>
      <c r="N77" s="74">
        <f t="shared" si="175"/>
        <v>0</v>
      </c>
      <c r="O77" s="74">
        <f t="shared" si="175"/>
        <v>0</v>
      </c>
      <c r="P77" s="53">
        <f t="shared" si="3"/>
        <v>0</v>
      </c>
      <c r="Q77" s="57">
        <f>'NO VEA CLIENTE'!$K77/0.9</f>
        <v>0</v>
      </c>
      <c r="R77" s="2"/>
      <c r="S77" s="58"/>
      <c r="T77" s="59"/>
      <c r="U77" s="71"/>
      <c r="V77" s="71"/>
      <c r="W77" s="54">
        <f>'NO VEA CLIENTE'!$V77/(1-'NO VEA CLIENTE'!$X77)-'NO VEA CLIENTE'!$V77</f>
        <v>0</v>
      </c>
      <c r="X77" s="72">
        <f t="shared" ref="X77:Z77" si="176">X$2</f>
        <v>0.13</v>
      </c>
      <c r="Y77" s="72">
        <f t="shared" si="176"/>
        <v>0</v>
      </c>
      <c r="Z77" s="72">
        <f t="shared" si="176"/>
        <v>0</v>
      </c>
      <c r="AA77" s="53">
        <f t="shared" si="4"/>
        <v>0</v>
      </c>
      <c r="AB77" s="63"/>
      <c r="AC77" s="2"/>
      <c r="AD77" s="117"/>
      <c r="AE77" s="71"/>
      <c r="AF77" s="71"/>
      <c r="AG77" s="62">
        <f>'NO VEA CLIENTE'!$AF77/(1-'NO VEA CLIENTE'!$AH77)-'NO VEA CLIENTE'!$AF77</f>
        <v>0</v>
      </c>
      <c r="AH77" s="72">
        <f t="shared" ref="AH77:AJ77" si="177">AH$2</f>
        <v>0.1</v>
      </c>
      <c r="AI77" s="72">
        <f t="shared" si="177"/>
        <v>0</v>
      </c>
      <c r="AJ77" s="72">
        <f t="shared" si="177"/>
        <v>0</v>
      </c>
      <c r="AK77" s="53">
        <f t="shared" si="5"/>
        <v>0</v>
      </c>
      <c r="AL77" s="118"/>
      <c r="AM77" s="2"/>
      <c r="AN77" s="2"/>
      <c r="AO77" s="2"/>
      <c r="AP77" s="2"/>
      <c r="AQ77" s="2"/>
      <c r="AR77" s="2"/>
      <c r="AS77" s="2"/>
      <c r="AT77" s="2"/>
      <c r="AU77" s="2"/>
      <c r="AV77" s="2"/>
      <c r="AW77" s="2"/>
    </row>
    <row r="78" ht="15.75" customHeight="1">
      <c r="A78" s="122"/>
      <c r="B78" s="76"/>
      <c r="C78" s="76"/>
      <c r="D78" s="76"/>
      <c r="E78" s="123"/>
      <c r="F78" s="76"/>
      <c r="G78" s="76"/>
      <c r="H78" s="124"/>
      <c r="I78" s="76"/>
      <c r="J78" s="53">
        <f t="shared" si="1"/>
        <v>0</v>
      </c>
      <c r="K78" s="54">
        <v>0.0</v>
      </c>
      <c r="L78" s="54">
        <f>'NO VEA CLIENTE'!$K78/(1-'NO VEA CLIENTE'!$M78)-'NO VEA CLIENTE'!$K78</f>
        <v>0</v>
      </c>
      <c r="M78" s="74">
        <f t="shared" ref="M78:O78" si="178">M$2</f>
        <v>0.13</v>
      </c>
      <c r="N78" s="74">
        <f t="shared" si="178"/>
        <v>0</v>
      </c>
      <c r="O78" s="74">
        <f t="shared" si="178"/>
        <v>0</v>
      </c>
      <c r="P78" s="53">
        <f t="shared" si="3"/>
        <v>0</v>
      </c>
      <c r="Q78" s="57">
        <f>'NO VEA CLIENTE'!$K78/0.9</f>
        <v>0</v>
      </c>
      <c r="R78" s="2"/>
      <c r="S78" s="58"/>
      <c r="T78" s="59"/>
      <c r="U78" s="71"/>
      <c r="V78" s="71"/>
      <c r="W78" s="54">
        <f>'NO VEA CLIENTE'!$V78/(1-'NO VEA CLIENTE'!$X78)-'NO VEA CLIENTE'!$V78</f>
        <v>0</v>
      </c>
      <c r="X78" s="72">
        <f t="shared" ref="X78:Z78" si="179">X$2</f>
        <v>0.13</v>
      </c>
      <c r="Y78" s="72">
        <f t="shared" si="179"/>
        <v>0</v>
      </c>
      <c r="Z78" s="72">
        <f t="shared" si="179"/>
        <v>0</v>
      </c>
      <c r="AA78" s="53">
        <f t="shared" si="4"/>
        <v>0</v>
      </c>
      <c r="AB78" s="63"/>
      <c r="AC78" s="2"/>
      <c r="AD78" s="117"/>
      <c r="AE78" s="71"/>
      <c r="AF78" s="71"/>
      <c r="AG78" s="62">
        <f>'NO VEA CLIENTE'!$AF78/(1-'NO VEA CLIENTE'!$AH78)-'NO VEA CLIENTE'!$AF78</f>
        <v>0</v>
      </c>
      <c r="AH78" s="72">
        <f t="shared" ref="AH78:AJ78" si="180">AH$2</f>
        <v>0.1</v>
      </c>
      <c r="AI78" s="72">
        <f t="shared" si="180"/>
        <v>0</v>
      </c>
      <c r="AJ78" s="72">
        <f t="shared" si="180"/>
        <v>0</v>
      </c>
      <c r="AK78" s="53">
        <f t="shared" si="5"/>
        <v>0</v>
      </c>
      <c r="AL78" s="118"/>
      <c r="AM78" s="2"/>
      <c r="AN78" s="2"/>
      <c r="AO78" s="2"/>
      <c r="AP78" s="2"/>
      <c r="AQ78" s="2"/>
      <c r="AR78" s="2"/>
      <c r="AS78" s="2"/>
      <c r="AT78" s="2"/>
      <c r="AU78" s="2"/>
      <c r="AV78" s="2"/>
      <c r="AW78" s="2"/>
    </row>
    <row r="79" ht="15.75" customHeight="1">
      <c r="A79" s="122"/>
      <c r="B79" s="76"/>
      <c r="C79" s="76"/>
      <c r="D79" s="76"/>
      <c r="E79" s="123"/>
      <c r="F79" s="76"/>
      <c r="G79" s="76"/>
      <c r="H79" s="124"/>
      <c r="I79" s="76"/>
      <c r="J79" s="53">
        <f t="shared" si="1"/>
        <v>0</v>
      </c>
      <c r="K79" s="54">
        <v>0.0</v>
      </c>
      <c r="L79" s="54">
        <f>'NO VEA CLIENTE'!$K79/(1-'NO VEA CLIENTE'!$M79)-'NO VEA CLIENTE'!$K79</f>
        <v>0</v>
      </c>
      <c r="M79" s="74">
        <f t="shared" ref="M79:O79" si="181">M$2</f>
        <v>0.13</v>
      </c>
      <c r="N79" s="74">
        <f t="shared" si="181"/>
        <v>0</v>
      </c>
      <c r="O79" s="74">
        <f t="shared" si="181"/>
        <v>0</v>
      </c>
      <c r="P79" s="53">
        <f t="shared" si="3"/>
        <v>0</v>
      </c>
      <c r="Q79" s="57">
        <f>'NO VEA CLIENTE'!$K79/0.9</f>
        <v>0</v>
      </c>
      <c r="R79" s="2"/>
      <c r="S79" s="58"/>
      <c r="T79" s="59"/>
      <c r="U79" s="71"/>
      <c r="V79" s="71"/>
      <c r="W79" s="54">
        <f>'NO VEA CLIENTE'!$V79/(1-'NO VEA CLIENTE'!$X79)-'NO VEA CLIENTE'!$V79</f>
        <v>0</v>
      </c>
      <c r="X79" s="72">
        <f t="shared" ref="X79:Z79" si="182">X$2</f>
        <v>0.13</v>
      </c>
      <c r="Y79" s="72">
        <f t="shared" si="182"/>
        <v>0</v>
      </c>
      <c r="Z79" s="72">
        <f t="shared" si="182"/>
        <v>0</v>
      </c>
      <c r="AA79" s="53">
        <f t="shared" si="4"/>
        <v>0</v>
      </c>
      <c r="AB79" s="63"/>
      <c r="AC79" s="2"/>
      <c r="AD79" s="117"/>
      <c r="AE79" s="71"/>
      <c r="AF79" s="71"/>
      <c r="AG79" s="62">
        <f>'NO VEA CLIENTE'!$AF79/(1-'NO VEA CLIENTE'!$AH79)-'NO VEA CLIENTE'!$AF79</f>
        <v>0</v>
      </c>
      <c r="AH79" s="72">
        <f t="shared" ref="AH79:AJ79" si="183">AH$2</f>
        <v>0.1</v>
      </c>
      <c r="AI79" s="72">
        <f t="shared" si="183"/>
        <v>0</v>
      </c>
      <c r="AJ79" s="72">
        <f t="shared" si="183"/>
        <v>0</v>
      </c>
      <c r="AK79" s="53">
        <f t="shared" si="5"/>
        <v>0</v>
      </c>
      <c r="AL79" s="118"/>
      <c r="AM79" s="2"/>
      <c r="AN79" s="2"/>
      <c r="AO79" s="2"/>
      <c r="AP79" s="2"/>
      <c r="AQ79" s="2"/>
      <c r="AR79" s="2"/>
      <c r="AS79" s="2"/>
      <c r="AT79" s="2"/>
      <c r="AU79" s="2"/>
      <c r="AV79" s="2"/>
      <c r="AW79" s="2"/>
    </row>
    <row r="80" ht="15.75" customHeight="1">
      <c r="A80" s="122"/>
      <c r="B80" s="76"/>
      <c r="C80" s="76"/>
      <c r="D80" s="76"/>
      <c r="E80" s="123"/>
      <c r="F80" s="76"/>
      <c r="G80" s="76"/>
      <c r="H80" s="124"/>
      <c r="I80" s="76"/>
      <c r="J80" s="53">
        <f t="shared" si="1"/>
        <v>0</v>
      </c>
      <c r="K80" s="54">
        <v>0.0</v>
      </c>
      <c r="L80" s="54">
        <f>'NO VEA CLIENTE'!$K80/(1-'NO VEA CLIENTE'!$M80)-'NO VEA CLIENTE'!$K80</f>
        <v>0</v>
      </c>
      <c r="M80" s="74">
        <f t="shared" ref="M80:O80" si="184">M$2</f>
        <v>0.13</v>
      </c>
      <c r="N80" s="74">
        <f t="shared" si="184"/>
        <v>0</v>
      </c>
      <c r="O80" s="74">
        <f t="shared" si="184"/>
        <v>0</v>
      </c>
      <c r="P80" s="53">
        <f t="shared" si="3"/>
        <v>0</v>
      </c>
      <c r="Q80" s="57">
        <f>'NO VEA CLIENTE'!$K80/0.9</f>
        <v>0</v>
      </c>
      <c r="R80" s="2"/>
      <c r="S80" s="58"/>
      <c r="T80" s="59"/>
      <c r="U80" s="71"/>
      <c r="V80" s="71"/>
      <c r="W80" s="54">
        <f>'NO VEA CLIENTE'!$V80/(1-'NO VEA CLIENTE'!$X80)-'NO VEA CLIENTE'!$V80</f>
        <v>0</v>
      </c>
      <c r="X80" s="72">
        <f t="shared" ref="X80:Z80" si="185">X$2</f>
        <v>0.13</v>
      </c>
      <c r="Y80" s="72">
        <f t="shared" si="185"/>
        <v>0</v>
      </c>
      <c r="Z80" s="72">
        <f t="shared" si="185"/>
        <v>0</v>
      </c>
      <c r="AA80" s="53">
        <f t="shared" si="4"/>
        <v>0</v>
      </c>
      <c r="AB80" s="63"/>
      <c r="AC80" s="2"/>
      <c r="AD80" s="117"/>
      <c r="AE80" s="71"/>
      <c r="AF80" s="71"/>
      <c r="AG80" s="62">
        <f>'NO VEA CLIENTE'!$AF80/(1-'NO VEA CLIENTE'!$AH80)-'NO VEA CLIENTE'!$AF80</f>
        <v>0</v>
      </c>
      <c r="AH80" s="72">
        <f t="shared" ref="AH80:AJ80" si="186">AH$2</f>
        <v>0.1</v>
      </c>
      <c r="AI80" s="72">
        <f t="shared" si="186"/>
        <v>0</v>
      </c>
      <c r="AJ80" s="72">
        <f t="shared" si="186"/>
        <v>0</v>
      </c>
      <c r="AK80" s="53">
        <f t="shared" si="5"/>
        <v>0</v>
      </c>
      <c r="AL80" s="118"/>
      <c r="AM80" s="2"/>
      <c r="AN80" s="2"/>
      <c r="AO80" s="2"/>
      <c r="AP80" s="2"/>
      <c r="AQ80" s="2"/>
      <c r="AR80" s="2"/>
      <c r="AS80" s="2"/>
      <c r="AT80" s="2"/>
      <c r="AU80" s="2"/>
      <c r="AV80" s="2"/>
      <c r="AW80" s="2"/>
    </row>
    <row r="81" ht="15.75" customHeight="1">
      <c r="A81" s="122"/>
      <c r="B81" s="76"/>
      <c r="C81" s="76"/>
      <c r="D81" s="76"/>
      <c r="E81" s="123"/>
      <c r="F81" s="76"/>
      <c r="G81" s="76"/>
      <c r="H81" s="124"/>
      <c r="I81" s="76"/>
      <c r="J81" s="53">
        <f t="shared" si="1"/>
        <v>0</v>
      </c>
      <c r="K81" s="54">
        <v>0.0</v>
      </c>
      <c r="L81" s="54">
        <f>'NO VEA CLIENTE'!$K81/(1-'NO VEA CLIENTE'!$M81)-'NO VEA CLIENTE'!$K81</f>
        <v>0</v>
      </c>
      <c r="M81" s="74">
        <f t="shared" ref="M81:O81" si="187">M$2</f>
        <v>0.13</v>
      </c>
      <c r="N81" s="74">
        <f t="shared" si="187"/>
        <v>0</v>
      </c>
      <c r="O81" s="74">
        <f t="shared" si="187"/>
        <v>0</v>
      </c>
      <c r="P81" s="53">
        <f t="shared" si="3"/>
        <v>0</v>
      </c>
      <c r="Q81" s="57">
        <f>'NO VEA CLIENTE'!$K81/0.9</f>
        <v>0</v>
      </c>
      <c r="R81" s="2"/>
      <c r="S81" s="58"/>
      <c r="T81" s="59"/>
      <c r="U81" s="71"/>
      <c r="V81" s="71"/>
      <c r="W81" s="54">
        <f>'NO VEA CLIENTE'!$V81/(1-'NO VEA CLIENTE'!$X81)-'NO VEA CLIENTE'!$V81</f>
        <v>0</v>
      </c>
      <c r="X81" s="72">
        <f t="shared" ref="X81:Z81" si="188">X$2</f>
        <v>0.13</v>
      </c>
      <c r="Y81" s="72">
        <f t="shared" si="188"/>
        <v>0</v>
      </c>
      <c r="Z81" s="72">
        <f t="shared" si="188"/>
        <v>0</v>
      </c>
      <c r="AA81" s="53">
        <f t="shared" si="4"/>
        <v>0</v>
      </c>
      <c r="AB81" s="63"/>
      <c r="AC81" s="2"/>
      <c r="AD81" s="117"/>
      <c r="AE81" s="71"/>
      <c r="AF81" s="71"/>
      <c r="AG81" s="62">
        <f>'NO VEA CLIENTE'!$AF81/(1-'NO VEA CLIENTE'!$AH81)-'NO VEA CLIENTE'!$AF81</f>
        <v>0</v>
      </c>
      <c r="AH81" s="72">
        <f t="shared" ref="AH81:AJ81" si="189">AH$2</f>
        <v>0.1</v>
      </c>
      <c r="AI81" s="72">
        <f t="shared" si="189"/>
        <v>0</v>
      </c>
      <c r="AJ81" s="72">
        <f t="shared" si="189"/>
        <v>0</v>
      </c>
      <c r="AK81" s="53">
        <f t="shared" si="5"/>
        <v>0</v>
      </c>
      <c r="AL81" s="118"/>
      <c r="AM81" s="2"/>
      <c r="AN81" s="2"/>
      <c r="AO81" s="2"/>
      <c r="AP81" s="2"/>
      <c r="AQ81" s="2"/>
      <c r="AR81" s="2"/>
      <c r="AS81" s="2"/>
      <c r="AT81" s="2"/>
      <c r="AU81" s="2"/>
      <c r="AV81" s="2"/>
      <c r="AW81" s="2"/>
    </row>
    <row r="82" ht="15.75" customHeight="1">
      <c r="A82" s="122"/>
      <c r="B82" s="76"/>
      <c r="C82" s="76"/>
      <c r="D82" s="76"/>
      <c r="E82" s="123"/>
      <c r="F82" s="76"/>
      <c r="G82" s="76"/>
      <c r="H82" s="124"/>
      <c r="I82" s="76"/>
      <c r="J82" s="53">
        <f t="shared" si="1"/>
        <v>0</v>
      </c>
      <c r="K82" s="54">
        <v>0.0</v>
      </c>
      <c r="L82" s="54">
        <f>'NO VEA CLIENTE'!$K82/(1-'NO VEA CLIENTE'!$M82)-'NO VEA CLIENTE'!$K82</f>
        <v>0</v>
      </c>
      <c r="M82" s="74">
        <f t="shared" ref="M82:O82" si="190">M$2</f>
        <v>0.13</v>
      </c>
      <c r="N82" s="74">
        <f t="shared" si="190"/>
        <v>0</v>
      </c>
      <c r="O82" s="74">
        <f t="shared" si="190"/>
        <v>0</v>
      </c>
      <c r="P82" s="53">
        <f t="shared" si="3"/>
        <v>0</v>
      </c>
      <c r="Q82" s="57">
        <f>'NO VEA CLIENTE'!$K82/0.9</f>
        <v>0</v>
      </c>
      <c r="R82" s="2"/>
      <c r="S82" s="58"/>
      <c r="T82" s="59"/>
      <c r="U82" s="71"/>
      <c r="V82" s="71"/>
      <c r="W82" s="54">
        <f>'NO VEA CLIENTE'!$V82/(1-'NO VEA CLIENTE'!$X82)-'NO VEA CLIENTE'!$V82</f>
        <v>0</v>
      </c>
      <c r="X82" s="72">
        <f t="shared" ref="X82:Z82" si="191">X$2</f>
        <v>0.13</v>
      </c>
      <c r="Y82" s="72">
        <f t="shared" si="191"/>
        <v>0</v>
      </c>
      <c r="Z82" s="72">
        <f t="shared" si="191"/>
        <v>0</v>
      </c>
      <c r="AA82" s="53">
        <f t="shared" si="4"/>
        <v>0</v>
      </c>
      <c r="AB82" s="63"/>
      <c r="AC82" s="2"/>
      <c r="AD82" s="117"/>
      <c r="AE82" s="71"/>
      <c r="AF82" s="71"/>
      <c r="AG82" s="62">
        <f>'NO VEA CLIENTE'!$AF82/(1-'NO VEA CLIENTE'!$AH82)-'NO VEA CLIENTE'!$AF82</f>
        <v>0</v>
      </c>
      <c r="AH82" s="72">
        <f t="shared" ref="AH82:AJ82" si="192">AH$2</f>
        <v>0.1</v>
      </c>
      <c r="AI82" s="72">
        <f t="shared" si="192"/>
        <v>0</v>
      </c>
      <c r="AJ82" s="72">
        <f t="shared" si="192"/>
        <v>0</v>
      </c>
      <c r="AK82" s="53">
        <f t="shared" si="5"/>
        <v>0</v>
      </c>
      <c r="AL82" s="118"/>
      <c r="AM82" s="2"/>
      <c r="AN82" s="2"/>
      <c r="AO82" s="2"/>
      <c r="AP82" s="2"/>
      <c r="AQ82" s="2"/>
      <c r="AR82" s="2"/>
      <c r="AS82" s="2"/>
      <c r="AT82" s="2"/>
      <c r="AU82" s="2"/>
      <c r="AV82" s="2"/>
      <c r="AW82" s="2"/>
    </row>
    <row r="83" ht="15.75" customHeight="1">
      <c r="A83" s="122"/>
      <c r="B83" s="76"/>
      <c r="C83" s="76"/>
      <c r="D83" s="76"/>
      <c r="E83" s="123"/>
      <c r="F83" s="76"/>
      <c r="G83" s="76"/>
      <c r="H83" s="124"/>
      <c r="I83" s="76"/>
      <c r="J83" s="53">
        <f t="shared" si="1"/>
        <v>0</v>
      </c>
      <c r="K83" s="54">
        <v>0.0</v>
      </c>
      <c r="L83" s="54">
        <f>'NO VEA CLIENTE'!$K83/(1-'NO VEA CLIENTE'!$M83)-'NO VEA CLIENTE'!$K83</f>
        <v>0</v>
      </c>
      <c r="M83" s="74">
        <f t="shared" ref="M83:O83" si="193">M$2</f>
        <v>0.13</v>
      </c>
      <c r="N83" s="74">
        <f t="shared" si="193"/>
        <v>0</v>
      </c>
      <c r="O83" s="74">
        <f t="shared" si="193"/>
        <v>0</v>
      </c>
      <c r="P83" s="53">
        <f t="shared" si="3"/>
        <v>0</v>
      </c>
      <c r="Q83" s="57">
        <f>'NO VEA CLIENTE'!$K83/0.9</f>
        <v>0</v>
      </c>
      <c r="R83" s="2"/>
      <c r="S83" s="58"/>
      <c r="T83" s="59"/>
      <c r="U83" s="71"/>
      <c r="V83" s="71"/>
      <c r="W83" s="54">
        <f>'NO VEA CLIENTE'!$V83/(1-'NO VEA CLIENTE'!$X83)-'NO VEA CLIENTE'!$V83</f>
        <v>0</v>
      </c>
      <c r="X83" s="72">
        <f t="shared" ref="X83:Z83" si="194">X$2</f>
        <v>0.13</v>
      </c>
      <c r="Y83" s="72">
        <f t="shared" si="194"/>
        <v>0</v>
      </c>
      <c r="Z83" s="72">
        <f t="shared" si="194"/>
        <v>0</v>
      </c>
      <c r="AA83" s="53">
        <f t="shared" si="4"/>
        <v>0</v>
      </c>
      <c r="AB83" s="63"/>
      <c r="AC83" s="2"/>
      <c r="AD83" s="117"/>
      <c r="AE83" s="71"/>
      <c r="AF83" s="71"/>
      <c r="AG83" s="62">
        <f>'NO VEA CLIENTE'!$AF83/(1-'NO VEA CLIENTE'!$AH83)-'NO VEA CLIENTE'!$AF83</f>
        <v>0</v>
      </c>
      <c r="AH83" s="72">
        <f t="shared" ref="AH83:AJ83" si="195">AH$2</f>
        <v>0.1</v>
      </c>
      <c r="AI83" s="72">
        <f t="shared" si="195"/>
        <v>0</v>
      </c>
      <c r="AJ83" s="72">
        <f t="shared" si="195"/>
        <v>0</v>
      </c>
      <c r="AK83" s="53">
        <f t="shared" si="5"/>
        <v>0</v>
      </c>
      <c r="AL83" s="118"/>
      <c r="AM83" s="2"/>
      <c r="AN83" s="2"/>
      <c r="AO83" s="2"/>
      <c r="AP83" s="2"/>
      <c r="AQ83" s="2"/>
      <c r="AR83" s="2"/>
      <c r="AS83" s="2"/>
      <c r="AT83" s="2"/>
      <c r="AU83" s="2"/>
      <c r="AV83" s="2"/>
      <c r="AW83" s="2"/>
    </row>
    <row r="84" ht="15.75" customHeight="1">
      <c r="A84" s="122"/>
      <c r="B84" s="76"/>
      <c r="C84" s="76"/>
      <c r="D84" s="76"/>
      <c r="E84" s="123"/>
      <c r="F84" s="76"/>
      <c r="G84" s="76"/>
      <c r="H84" s="124"/>
      <c r="I84" s="76"/>
      <c r="J84" s="53">
        <f t="shared" si="1"/>
        <v>0</v>
      </c>
      <c r="K84" s="54">
        <v>0.0</v>
      </c>
      <c r="L84" s="54">
        <f>'NO VEA CLIENTE'!$K84/(1-'NO VEA CLIENTE'!$M84)-'NO VEA CLIENTE'!$K84</f>
        <v>0</v>
      </c>
      <c r="M84" s="74">
        <f t="shared" ref="M84:O84" si="196">M$2</f>
        <v>0.13</v>
      </c>
      <c r="N84" s="74">
        <f t="shared" si="196"/>
        <v>0</v>
      </c>
      <c r="O84" s="74">
        <f t="shared" si="196"/>
        <v>0</v>
      </c>
      <c r="P84" s="53">
        <f t="shared" si="3"/>
        <v>0</v>
      </c>
      <c r="Q84" s="57">
        <f>'NO VEA CLIENTE'!$K84/0.9</f>
        <v>0</v>
      </c>
      <c r="R84" s="2"/>
      <c r="S84" s="58"/>
      <c r="T84" s="59"/>
      <c r="U84" s="71"/>
      <c r="V84" s="71"/>
      <c r="W84" s="54">
        <f>'NO VEA CLIENTE'!$V84/(1-'NO VEA CLIENTE'!$X84)-'NO VEA CLIENTE'!$V84</f>
        <v>0</v>
      </c>
      <c r="X84" s="72">
        <f t="shared" ref="X84:Z84" si="197">X$2</f>
        <v>0.13</v>
      </c>
      <c r="Y84" s="72">
        <f t="shared" si="197"/>
        <v>0</v>
      </c>
      <c r="Z84" s="72">
        <f t="shared" si="197"/>
        <v>0</v>
      </c>
      <c r="AA84" s="53">
        <f t="shared" si="4"/>
        <v>0</v>
      </c>
      <c r="AB84" s="63"/>
      <c r="AC84" s="2"/>
      <c r="AD84" s="117"/>
      <c r="AE84" s="71"/>
      <c r="AF84" s="71"/>
      <c r="AG84" s="62">
        <f>'NO VEA CLIENTE'!$AF84/(1-'NO VEA CLIENTE'!$AH84)-'NO VEA CLIENTE'!$AF84</f>
        <v>0</v>
      </c>
      <c r="AH84" s="72">
        <f t="shared" ref="AH84:AJ84" si="198">AH$2</f>
        <v>0.1</v>
      </c>
      <c r="AI84" s="72">
        <f t="shared" si="198"/>
        <v>0</v>
      </c>
      <c r="AJ84" s="72">
        <f t="shared" si="198"/>
        <v>0</v>
      </c>
      <c r="AK84" s="53">
        <f t="shared" si="5"/>
        <v>0</v>
      </c>
      <c r="AL84" s="118"/>
      <c r="AM84" s="2"/>
      <c r="AN84" s="2"/>
      <c r="AO84" s="2"/>
      <c r="AP84" s="2"/>
      <c r="AQ84" s="2"/>
      <c r="AR84" s="2"/>
      <c r="AS84" s="2"/>
      <c r="AT84" s="2"/>
      <c r="AU84" s="2"/>
      <c r="AV84" s="2"/>
      <c r="AW84" s="2"/>
    </row>
    <row r="85" ht="15.75" customHeight="1">
      <c r="A85" s="122"/>
      <c r="B85" s="76"/>
      <c r="C85" s="76"/>
      <c r="D85" s="76"/>
      <c r="E85" s="123"/>
      <c r="F85" s="76"/>
      <c r="G85" s="76"/>
      <c r="H85" s="124"/>
      <c r="I85" s="76"/>
      <c r="J85" s="53">
        <f t="shared" si="1"/>
        <v>0</v>
      </c>
      <c r="K85" s="54">
        <v>0.0</v>
      </c>
      <c r="L85" s="54">
        <f>'NO VEA CLIENTE'!$K85/(1-'NO VEA CLIENTE'!$M85)-'NO VEA CLIENTE'!$K85</f>
        <v>0</v>
      </c>
      <c r="M85" s="74">
        <f t="shared" ref="M85:O85" si="199">M$2</f>
        <v>0.13</v>
      </c>
      <c r="N85" s="74">
        <f t="shared" si="199"/>
        <v>0</v>
      </c>
      <c r="O85" s="74">
        <f t="shared" si="199"/>
        <v>0</v>
      </c>
      <c r="P85" s="53">
        <f t="shared" si="3"/>
        <v>0</v>
      </c>
      <c r="Q85" s="57">
        <f>'NO VEA CLIENTE'!$K85/0.9</f>
        <v>0</v>
      </c>
      <c r="R85" s="2"/>
      <c r="S85" s="58"/>
      <c r="T85" s="59"/>
      <c r="U85" s="71"/>
      <c r="V85" s="71"/>
      <c r="W85" s="54">
        <f>'NO VEA CLIENTE'!$V85/(1-'NO VEA CLIENTE'!$X85)-'NO VEA CLIENTE'!$V85</f>
        <v>0</v>
      </c>
      <c r="X85" s="72">
        <f t="shared" ref="X85:Z85" si="200">X$2</f>
        <v>0.13</v>
      </c>
      <c r="Y85" s="72">
        <f t="shared" si="200"/>
        <v>0</v>
      </c>
      <c r="Z85" s="72">
        <f t="shared" si="200"/>
        <v>0</v>
      </c>
      <c r="AA85" s="53">
        <f t="shared" si="4"/>
        <v>0</v>
      </c>
      <c r="AB85" s="63"/>
      <c r="AC85" s="2"/>
      <c r="AD85" s="117"/>
      <c r="AE85" s="71"/>
      <c r="AF85" s="71"/>
      <c r="AG85" s="62">
        <f>'NO VEA CLIENTE'!$AF85/(1-'NO VEA CLIENTE'!$AH85)-'NO VEA CLIENTE'!$AF85</f>
        <v>0</v>
      </c>
      <c r="AH85" s="72">
        <f t="shared" ref="AH85:AJ85" si="201">AH$2</f>
        <v>0.1</v>
      </c>
      <c r="AI85" s="72">
        <f t="shared" si="201"/>
        <v>0</v>
      </c>
      <c r="AJ85" s="72">
        <f t="shared" si="201"/>
        <v>0</v>
      </c>
      <c r="AK85" s="53">
        <f t="shared" si="5"/>
        <v>0</v>
      </c>
      <c r="AL85" s="118"/>
      <c r="AM85" s="2"/>
      <c r="AN85" s="2"/>
      <c r="AO85" s="2"/>
      <c r="AP85" s="2"/>
      <c r="AQ85" s="2"/>
      <c r="AR85" s="2"/>
      <c r="AS85" s="2"/>
      <c r="AT85" s="2"/>
      <c r="AU85" s="2"/>
      <c r="AV85" s="2"/>
      <c r="AW85" s="2"/>
    </row>
    <row r="86" ht="15.75" customHeight="1">
      <c r="A86" s="122"/>
      <c r="B86" s="76"/>
      <c r="C86" s="76"/>
      <c r="D86" s="76"/>
      <c r="E86" s="123"/>
      <c r="F86" s="76"/>
      <c r="G86" s="76"/>
      <c r="H86" s="124"/>
      <c r="I86" s="76"/>
      <c r="J86" s="53">
        <f t="shared" si="1"/>
        <v>0</v>
      </c>
      <c r="K86" s="54">
        <v>0.0</v>
      </c>
      <c r="L86" s="54">
        <f>'NO VEA CLIENTE'!$K86/(1-'NO VEA CLIENTE'!$M86)-'NO VEA CLIENTE'!$K86</f>
        <v>0</v>
      </c>
      <c r="M86" s="74">
        <f t="shared" ref="M86:O86" si="202">M$2</f>
        <v>0.13</v>
      </c>
      <c r="N86" s="74">
        <f t="shared" si="202"/>
        <v>0</v>
      </c>
      <c r="O86" s="74">
        <f t="shared" si="202"/>
        <v>0</v>
      </c>
      <c r="P86" s="53">
        <f t="shared" si="3"/>
        <v>0</v>
      </c>
      <c r="Q86" s="57">
        <f>'NO VEA CLIENTE'!$K86/0.9</f>
        <v>0</v>
      </c>
      <c r="R86" s="2"/>
      <c r="S86" s="58"/>
      <c r="T86" s="59"/>
      <c r="U86" s="71"/>
      <c r="V86" s="71"/>
      <c r="W86" s="54">
        <f>'NO VEA CLIENTE'!$V86/(1-'NO VEA CLIENTE'!$X86)-'NO VEA CLIENTE'!$V86</f>
        <v>0</v>
      </c>
      <c r="X86" s="72">
        <f t="shared" ref="X86:Z86" si="203">X$2</f>
        <v>0.13</v>
      </c>
      <c r="Y86" s="72">
        <f t="shared" si="203"/>
        <v>0</v>
      </c>
      <c r="Z86" s="72">
        <f t="shared" si="203"/>
        <v>0</v>
      </c>
      <c r="AA86" s="53">
        <f t="shared" si="4"/>
        <v>0</v>
      </c>
      <c r="AB86" s="63"/>
      <c r="AC86" s="2"/>
      <c r="AD86" s="117"/>
      <c r="AE86" s="71"/>
      <c r="AF86" s="71"/>
      <c r="AG86" s="62">
        <f>'NO VEA CLIENTE'!$AF86/(1-'NO VEA CLIENTE'!$AH86)-'NO VEA CLIENTE'!$AF86</f>
        <v>0</v>
      </c>
      <c r="AH86" s="72">
        <f t="shared" ref="AH86:AJ86" si="204">AH$2</f>
        <v>0.1</v>
      </c>
      <c r="AI86" s="72">
        <f t="shared" si="204"/>
        <v>0</v>
      </c>
      <c r="AJ86" s="72">
        <f t="shared" si="204"/>
        <v>0</v>
      </c>
      <c r="AK86" s="53">
        <f t="shared" si="5"/>
        <v>0</v>
      </c>
      <c r="AL86" s="118"/>
      <c r="AM86" s="2"/>
      <c r="AN86" s="2"/>
      <c r="AO86" s="2"/>
      <c r="AP86" s="2"/>
      <c r="AQ86" s="2"/>
      <c r="AR86" s="2"/>
      <c r="AS86" s="2"/>
      <c r="AT86" s="2"/>
      <c r="AU86" s="2"/>
      <c r="AV86" s="2"/>
      <c r="AW86" s="2"/>
    </row>
    <row r="87" ht="15.75" customHeight="1">
      <c r="A87" s="122"/>
      <c r="B87" s="76"/>
      <c r="C87" s="76"/>
      <c r="D87" s="76"/>
      <c r="E87" s="123"/>
      <c r="F87" s="76"/>
      <c r="G87" s="76"/>
      <c r="H87" s="124"/>
      <c r="I87" s="76"/>
      <c r="J87" s="53">
        <f t="shared" si="1"/>
        <v>0</v>
      </c>
      <c r="K87" s="54">
        <v>0.0</v>
      </c>
      <c r="L87" s="54">
        <f>'NO VEA CLIENTE'!$K87/(1-'NO VEA CLIENTE'!$M87)-'NO VEA CLIENTE'!$K87</f>
        <v>0</v>
      </c>
      <c r="M87" s="74">
        <f t="shared" ref="M87:O87" si="205">M$2</f>
        <v>0.13</v>
      </c>
      <c r="N87" s="74">
        <f t="shared" si="205"/>
        <v>0</v>
      </c>
      <c r="O87" s="74">
        <f t="shared" si="205"/>
        <v>0</v>
      </c>
      <c r="P87" s="53">
        <f t="shared" si="3"/>
        <v>0</v>
      </c>
      <c r="Q87" s="57">
        <f>'NO VEA CLIENTE'!$K87/0.9</f>
        <v>0</v>
      </c>
      <c r="R87" s="2"/>
      <c r="S87" s="58"/>
      <c r="T87" s="59"/>
      <c r="U87" s="71"/>
      <c r="V87" s="71"/>
      <c r="W87" s="54">
        <f>'NO VEA CLIENTE'!$V87/(1-'NO VEA CLIENTE'!$X87)-'NO VEA CLIENTE'!$V87</f>
        <v>0</v>
      </c>
      <c r="X87" s="72">
        <f t="shared" ref="X87:Z87" si="206">X$2</f>
        <v>0.13</v>
      </c>
      <c r="Y87" s="72">
        <f t="shared" si="206"/>
        <v>0</v>
      </c>
      <c r="Z87" s="72">
        <f t="shared" si="206"/>
        <v>0</v>
      </c>
      <c r="AA87" s="53">
        <f t="shared" si="4"/>
        <v>0</v>
      </c>
      <c r="AB87" s="63"/>
      <c r="AC87" s="2"/>
      <c r="AD87" s="117"/>
      <c r="AE87" s="71"/>
      <c r="AF87" s="71"/>
      <c r="AG87" s="62">
        <f>'NO VEA CLIENTE'!$AF87/(1-'NO VEA CLIENTE'!$AH87)-'NO VEA CLIENTE'!$AF87</f>
        <v>0</v>
      </c>
      <c r="AH87" s="72">
        <f t="shared" ref="AH87:AJ87" si="207">AH$2</f>
        <v>0.1</v>
      </c>
      <c r="AI87" s="72">
        <f t="shared" si="207"/>
        <v>0</v>
      </c>
      <c r="AJ87" s="72">
        <f t="shared" si="207"/>
        <v>0</v>
      </c>
      <c r="AK87" s="53">
        <f t="shared" si="5"/>
        <v>0</v>
      </c>
      <c r="AL87" s="118"/>
      <c r="AM87" s="2"/>
      <c r="AN87" s="2"/>
      <c r="AO87" s="2"/>
      <c r="AP87" s="2"/>
      <c r="AQ87" s="2"/>
      <c r="AR87" s="2"/>
      <c r="AS87" s="2"/>
      <c r="AT87" s="2"/>
      <c r="AU87" s="2"/>
      <c r="AV87" s="2"/>
      <c r="AW87" s="2"/>
    </row>
    <row r="88" ht="15.75" customHeight="1">
      <c r="A88" s="122"/>
      <c r="B88" s="76"/>
      <c r="C88" s="76"/>
      <c r="D88" s="76"/>
      <c r="E88" s="123"/>
      <c r="F88" s="76"/>
      <c r="G88" s="76"/>
      <c r="H88" s="124"/>
      <c r="I88" s="76"/>
      <c r="J88" s="53">
        <f t="shared" si="1"/>
        <v>0</v>
      </c>
      <c r="K88" s="54">
        <v>0.0</v>
      </c>
      <c r="L88" s="54">
        <f>'NO VEA CLIENTE'!$K88/(1-'NO VEA CLIENTE'!$M88)-'NO VEA CLIENTE'!$K88</f>
        <v>0</v>
      </c>
      <c r="M88" s="74">
        <f t="shared" ref="M88:O88" si="208">M$2</f>
        <v>0.13</v>
      </c>
      <c r="N88" s="74">
        <f t="shared" si="208"/>
        <v>0</v>
      </c>
      <c r="O88" s="74">
        <f t="shared" si="208"/>
        <v>0</v>
      </c>
      <c r="P88" s="53">
        <f t="shared" si="3"/>
        <v>0</v>
      </c>
      <c r="Q88" s="57">
        <f>'NO VEA CLIENTE'!$K88/0.9</f>
        <v>0</v>
      </c>
      <c r="R88" s="2"/>
      <c r="S88" s="58"/>
      <c r="T88" s="59"/>
      <c r="U88" s="71"/>
      <c r="V88" s="71"/>
      <c r="W88" s="54">
        <f>'NO VEA CLIENTE'!$V88/(1-'NO VEA CLIENTE'!$X88)-'NO VEA CLIENTE'!$V88</f>
        <v>0</v>
      </c>
      <c r="X88" s="72">
        <f t="shared" ref="X88:Z88" si="209">X$2</f>
        <v>0.13</v>
      </c>
      <c r="Y88" s="72">
        <f t="shared" si="209"/>
        <v>0</v>
      </c>
      <c r="Z88" s="72">
        <f t="shared" si="209"/>
        <v>0</v>
      </c>
      <c r="AA88" s="53">
        <f t="shared" si="4"/>
        <v>0</v>
      </c>
      <c r="AB88" s="63"/>
      <c r="AC88" s="2"/>
      <c r="AD88" s="117"/>
      <c r="AE88" s="71"/>
      <c r="AF88" s="71"/>
      <c r="AG88" s="62">
        <f>'NO VEA CLIENTE'!$AF88/(1-'NO VEA CLIENTE'!$AH88)-'NO VEA CLIENTE'!$AF88</f>
        <v>0</v>
      </c>
      <c r="AH88" s="72">
        <f t="shared" ref="AH88:AJ88" si="210">AH$2</f>
        <v>0.1</v>
      </c>
      <c r="AI88" s="72">
        <f t="shared" si="210"/>
        <v>0</v>
      </c>
      <c r="AJ88" s="72">
        <f t="shared" si="210"/>
        <v>0</v>
      </c>
      <c r="AK88" s="53">
        <f t="shared" si="5"/>
        <v>0</v>
      </c>
      <c r="AL88" s="118"/>
      <c r="AM88" s="2"/>
      <c r="AN88" s="2"/>
      <c r="AO88" s="2"/>
      <c r="AP88" s="2"/>
      <c r="AQ88" s="2"/>
      <c r="AR88" s="2"/>
      <c r="AS88" s="2"/>
      <c r="AT88" s="2"/>
      <c r="AU88" s="2"/>
      <c r="AV88" s="2"/>
      <c r="AW88" s="2"/>
    </row>
    <row r="89" ht="15.75" customHeight="1">
      <c r="A89" s="122"/>
      <c r="B89" s="76"/>
      <c r="C89" s="76"/>
      <c r="D89" s="76"/>
      <c r="E89" s="123"/>
      <c r="F89" s="76"/>
      <c r="G89" s="76"/>
      <c r="H89" s="124"/>
      <c r="I89" s="76"/>
      <c r="J89" s="53">
        <f t="shared" si="1"/>
        <v>0</v>
      </c>
      <c r="K89" s="54">
        <v>0.0</v>
      </c>
      <c r="L89" s="54">
        <f>'NO VEA CLIENTE'!$K89/(1-'NO VEA CLIENTE'!$M89)-'NO VEA CLIENTE'!$K89</f>
        <v>0</v>
      </c>
      <c r="M89" s="74">
        <f t="shared" ref="M89:O89" si="211">M$2</f>
        <v>0.13</v>
      </c>
      <c r="N89" s="74">
        <f t="shared" si="211"/>
        <v>0</v>
      </c>
      <c r="O89" s="74">
        <f t="shared" si="211"/>
        <v>0</v>
      </c>
      <c r="P89" s="53">
        <f t="shared" si="3"/>
        <v>0</v>
      </c>
      <c r="Q89" s="57">
        <f>'NO VEA CLIENTE'!$K89/0.9</f>
        <v>0</v>
      </c>
      <c r="R89" s="2"/>
      <c r="S89" s="58"/>
      <c r="T89" s="59"/>
      <c r="U89" s="71"/>
      <c r="V89" s="71"/>
      <c r="W89" s="54">
        <f>'NO VEA CLIENTE'!$V89/(1-'NO VEA CLIENTE'!$X89)-'NO VEA CLIENTE'!$V89</f>
        <v>0</v>
      </c>
      <c r="X89" s="72">
        <f t="shared" ref="X89:Z89" si="212">X$2</f>
        <v>0.13</v>
      </c>
      <c r="Y89" s="72">
        <f t="shared" si="212"/>
        <v>0</v>
      </c>
      <c r="Z89" s="72">
        <f t="shared" si="212"/>
        <v>0</v>
      </c>
      <c r="AA89" s="53">
        <f t="shared" si="4"/>
        <v>0</v>
      </c>
      <c r="AB89" s="63"/>
      <c r="AC89" s="2"/>
      <c r="AD89" s="117"/>
      <c r="AE89" s="71"/>
      <c r="AF89" s="71"/>
      <c r="AG89" s="62">
        <f>'NO VEA CLIENTE'!$AF89/(1-'NO VEA CLIENTE'!$AH89)-'NO VEA CLIENTE'!$AF89</f>
        <v>0</v>
      </c>
      <c r="AH89" s="72">
        <f t="shared" ref="AH89:AJ89" si="213">AH$2</f>
        <v>0.1</v>
      </c>
      <c r="AI89" s="72">
        <f t="shared" si="213"/>
        <v>0</v>
      </c>
      <c r="AJ89" s="72">
        <f t="shared" si="213"/>
        <v>0</v>
      </c>
      <c r="AK89" s="53">
        <f t="shared" si="5"/>
        <v>0</v>
      </c>
      <c r="AL89" s="118"/>
      <c r="AM89" s="2"/>
      <c r="AN89" s="2"/>
      <c r="AO89" s="2"/>
      <c r="AP89" s="2"/>
      <c r="AQ89" s="2"/>
      <c r="AR89" s="2"/>
      <c r="AS89" s="2"/>
      <c r="AT89" s="2"/>
      <c r="AU89" s="2"/>
      <c r="AV89" s="2"/>
      <c r="AW89" s="2"/>
    </row>
    <row r="90" ht="15.75" customHeight="1">
      <c r="A90" s="122"/>
      <c r="B90" s="76"/>
      <c r="C90" s="76"/>
      <c r="D90" s="76"/>
      <c r="E90" s="123"/>
      <c r="F90" s="76"/>
      <c r="G90" s="76"/>
      <c r="H90" s="124"/>
      <c r="I90" s="76"/>
      <c r="J90" s="53">
        <f t="shared" si="1"/>
        <v>0</v>
      </c>
      <c r="K90" s="54">
        <v>0.0</v>
      </c>
      <c r="L90" s="54">
        <f>'NO VEA CLIENTE'!$K90/(1-'NO VEA CLIENTE'!$M90)-'NO VEA CLIENTE'!$K90</f>
        <v>0</v>
      </c>
      <c r="M90" s="74">
        <f t="shared" ref="M90:O90" si="214">M$2</f>
        <v>0.13</v>
      </c>
      <c r="N90" s="74">
        <f t="shared" si="214"/>
        <v>0</v>
      </c>
      <c r="O90" s="74">
        <f t="shared" si="214"/>
        <v>0</v>
      </c>
      <c r="P90" s="53">
        <f t="shared" si="3"/>
        <v>0</v>
      </c>
      <c r="Q90" s="57">
        <f>'NO VEA CLIENTE'!$K90/0.9</f>
        <v>0</v>
      </c>
      <c r="R90" s="2"/>
      <c r="S90" s="58"/>
      <c r="T90" s="59"/>
      <c r="U90" s="71"/>
      <c r="V90" s="71"/>
      <c r="W90" s="54">
        <f>'NO VEA CLIENTE'!$V90/(1-'NO VEA CLIENTE'!$X90)-'NO VEA CLIENTE'!$V90</f>
        <v>0</v>
      </c>
      <c r="X90" s="72">
        <f t="shared" ref="X90:Z90" si="215">X$2</f>
        <v>0.13</v>
      </c>
      <c r="Y90" s="72">
        <f t="shared" si="215"/>
        <v>0</v>
      </c>
      <c r="Z90" s="72">
        <f t="shared" si="215"/>
        <v>0</v>
      </c>
      <c r="AA90" s="53">
        <f t="shared" si="4"/>
        <v>0</v>
      </c>
      <c r="AB90" s="63"/>
      <c r="AC90" s="2"/>
      <c r="AD90" s="117"/>
      <c r="AE90" s="71"/>
      <c r="AF90" s="71"/>
      <c r="AG90" s="62">
        <f>'NO VEA CLIENTE'!$AF90/(1-'NO VEA CLIENTE'!$AH90)-'NO VEA CLIENTE'!$AF90</f>
        <v>0</v>
      </c>
      <c r="AH90" s="72">
        <f t="shared" ref="AH90:AJ90" si="216">AH$2</f>
        <v>0.1</v>
      </c>
      <c r="AI90" s="72">
        <f t="shared" si="216"/>
        <v>0</v>
      </c>
      <c r="AJ90" s="72">
        <f t="shared" si="216"/>
        <v>0</v>
      </c>
      <c r="AK90" s="53">
        <f t="shared" si="5"/>
        <v>0</v>
      </c>
      <c r="AL90" s="118"/>
      <c r="AM90" s="2"/>
      <c r="AN90" s="2"/>
      <c r="AO90" s="2"/>
      <c r="AP90" s="2"/>
      <c r="AQ90" s="2"/>
      <c r="AR90" s="2"/>
      <c r="AS90" s="2"/>
      <c r="AT90" s="2"/>
      <c r="AU90" s="2"/>
      <c r="AV90" s="2"/>
      <c r="AW90" s="2"/>
    </row>
    <row r="91" ht="15.75" customHeight="1">
      <c r="A91" s="122"/>
      <c r="B91" s="76"/>
      <c r="C91" s="76"/>
      <c r="D91" s="76"/>
      <c r="E91" s="123"/>
      <c r="F91" s="76"/>
      <c r="G91" s="76"/>
      <c r="H91" s="124"/>
      <c r="I91" s="76"/>
      <c r="J91" s="53">
        <f t="shared" si="1"/>
        <v>0</v>
      </c>
      <c r="K91" s="54">
        <v>0.0</v>
      </c>
      <c r="L91" s="54">
        <f>'NO VEA CLIENTE'!$K91/(1-'NO VEA CLIENTE'!$M91)-'NO VEA CLIENTE'!$K91</f>
        <v>0</v>
      </c>
      <c r="M91" s="74">
        <f t="shared" ref="M91:O91" si="217">M$2</f>
        <v>0.13</v>
      </c>
      <c r="N91" s="74">
        <f t="shared" si="217"/>
        <v>0</v>
      </c>
      <c r="O91" s="74">
        <f t="shared" si="217"/>
        <v>0</v>
      </c>
      <c r="P91" s="53">
        <f t="shared" si="3"/>
        <v>0</v>
      </c>
      <c r="Q91" s="57">
        <f>'NO VEA CLIENTE'!$K91/0.9</f>
        <v>0</v>
      </c>
      <c r="R91" s="2"/>
      <c r="S91" s="58"/>
      <c r="T91" s="59"/>
      <c r="U91" s="71"/>
      <c r="V91" s="71"/>
      <c r="W91" s="54">
        <f>'NO VEA CLIENTE'!$V91/(1-'NO VEA CLIENTE'!$X91)-'NO VEA CLIENTE'!$V91</f>
        <v>0</v>
      </c>
      <c r="X91" s="72">
        <f t="shared" ref="X91:Z91" si="218">X$2</f>
        <v>0.13</v>
      </c>
      <c r="Y91" s="72">
        <f t="shared" si="218"/>
        <v>0</v>
      </c>
      <c r="Z91" s="72">
        <f t="shared" si="218"/>
        <v>0</v>
      </c>
      <c r="AA91" s="53">
        <f t="shared" si="4"/>
        <v>0</v>
      </c>
      <c r="AB91" s="63"/>
      <c r="AC91" s="2"/>
      <c r="AD91" s="117"/>
      <c r="AE91" s="71"/>
      <c r="AF91" s="71"/>
      <c r="AG91" s="62">
        <f>'NO VEA CLIENTE'!$AF91/(1-'NO VEA CLIENTE'!$AH91)-'NO VEA CLIENTE'!$AF91</f>
        <v>0</v>
      </c>
      <c r="AH91" s="72">
        <f t="shared" ref="AH91:AJ91" si="219">AH$2</f>
        <v>0.1</v>
      </c>
      <c r="AI91" s="72">
        <f t="shared" si="219"/>
        <v>0</v>
      </c>
      <c r="AJ91" s="72">
        <f t="shared" si="219"/>
        <v>0</v>
      </c>
      <c r="AK91" s="53">
        <f t="shared" si="5"/>
        <v>0</v>
      </c>
      <c r="AL91" s="118"/>
      <c r="AM91" s="2"/>
      <c r="AN91" s="2"/>
      <c r="AO91" s="2"/>
      <c r="AP91" s="2"/>
      <c r="AQ91" s="2"/>
      <c r="AR91" s="2"/>
      <c r="AS91" s="2"/>
      <c r="AT91" s="2"/>
      <c r="AU91" s="2"/>
      <c r="AV91" s="2"/>
      <c r="AW91" s="2"/>
    </row>
    <row r="92" ht="15.75" customHeight="1">
      <c r="A92" s="122"/>
      <c r="B92" s="76"/>
      <c r="C92" s="76"/>
      <c r="D92" s="76"/>
      <c r="E92" s="123"/>
      <c r="F92" s="76"/>
      <c r="G92" s="76"/>
      <c r="H92" s="124"/>
      <c r="I92" s="76"/>
      <c r="J92" s="53">
        <f t="shared" si="1"/>
        <v>0</v>
      </c>
      <c r="K92" s="54">
        <v>0.0</v>
      </c>
      <c r="L92" s="54">
        <f>'NO VEA CLIENTE'!$K92/(1-'NO VEA CLIENTE'!$M92)-'NO VEA CLIENTE'!$K92</f>
        <v>0</v>
      </c>
      <c r="M92" s="74">
        <f t="shared" ref="M92:O92" si="220">M$2</f>
        <v>0.13</v>
      </c>
      <c r="N92" s="74">
        <f t="shared" si="220"/>
        <v>0</v>
      </c>
      <c r="O92" s="74">
        <f t="shared" si="220"/>
        <v>0</v>
      </c>
      <c r="P92" s="53">
        <f t="shared" si="3"/>
        <v>0</v>
      </c>
      <c r="Q92" s="57">
        <f>'NO VEA CLIENTE'!$K92/0.9</f>
        <v>0</v>
      </c>
      <c r="R92" s="2"/>
      <c r="S92" s="58"/>
      <c r="T92" s="59"/>
      <c r="U92" s="71"/>
      <c r="V92" s="71"/>
      <c r="W92" s="54">
        <f>'NO VEA CLIENTE'!$V92/(1-'NO VEA CLIENTE'!$X92)-'NO VEA CLIENTE'!$V92</f>
        <v>0</v>
      </c>
      <c r="X92" s="72">
        <f t="shared" ref="X92:Z92" si="221">X$2</f>
        <v>0.13</v>
      </c>
      <c r="Y92" s="72">
        <f t="shared" si="221"/>
        <v>0</v>
      </c>
      <c r="Z92" s="72">
        <f t="shared" si="221"/>
        <v>0</v>
      </c>
      <c r="AA92" s="53">
        <f t="shared" si="4"/>
        <v>0</v>
      </c>
      <c r="AB92" s="63"/>
      <c r="AC92" s="2"/>
      <c r="AD92" s="117"/>
      <c r="AE92" s="71"/>
      <c r="AF92" s="71"/>
      <c r="AG92" s="62">
        <f>'NO VEA CLIENTE'!$AF92/(1-'NO VEA CLIENTE'!$AH92)-'NO VEA CLIENTE'!$AF92</f>
        <v>0</v>
      </c>
      <c r="AH92" s="72">
        <f t="shared" ref="AH92:AJ92" si="222">AH$2</f>
        <v>0.1</v>
      </c>
      <c r="AI92" s="72">
        <f t="shared" si="222"/>
        <v>0</v>
      </c>
      <c r="AJ92" s="72">
        <f t="shared" si="222"/>
        <v>0</v>
      </c>
      <c r="AK92" s="53">
        <f t="shared" si="5"/>
        <v>0</v>
      </c>
      <c r="AL92" s="118"/>
      <c r="AM92" s="2"/>
      <c r="AN92" s="2"/>
      <c r="AO92" s="2"/>
      <c r="AP92" s="2"/>
      <c r="AQ92" s="2"/>
      <c r="AR92" s="2"/>
      <c r="AS92" s="2"/>
      <c r="AT92" s="2"/>
      <c r="AU92" s="2"/>
      <c r="AV92" s="2"/>
      <c r="AW92" s="2"/>
    </row>
    <row r="93" ht="15.75" customHeight="1">
      <c r="A93" s="122"/>
      <c r="B93" s="76"/>
      <c r="C93" s="76"/>
      <c r="D93" s="76"/>
      <c r="E93" s="123"/>
      <c r="F93" s="76"/>
      <c r="G93" s="76"/>
      <c r="H93" s="124"/>
      <c r="I93" s="76"/>
      <c r="J93" s="53">
        <f t="shared" si="1"/>
        <v>0</v>
      </c>
      <c r="K93" s="54">
        <v>0.0</v>
      </c>
      <c r="L93" s="54">
        <f>'NO VEA CLIENTE'!$K93/(1-'NO VEA CLIENTE'!$M93)-'NO VEA CLIENTE'!$K93</f>
        <v>0</v>
      </c>
      <c r="M93" s="74">
        <f t="shared" ref="M93:O93" si="223">M$2</f>
        <v>0.13</v>
      </c>
      <c r="N93" s="74">
        <f t="shared" si="223"/>
        <v>0</v>
      </c>
      <c r="O93" s="74">
        <f t="shared" si="223"/>
        <v>0</v>
      </c>
      <c r="P93" s="53">
        <f t="shared" si="3"/>
        <v>0</v>
      </c>
      <c r="Q93" s="57">
        <f>'NO VEA CLIENTE'!$K93/0.9</f>
        <v>0</v>
      </c>
      <c r="R93" s="2"/>
      <c r="S93" s="58"/>
      <c r="T93" s="59"/>
      <c r="U93" s="71"/>
      <c r="V93" s="71"/>
      <c r="W93" s="54">
        <f>'NO VEA CLIENTE'!$V93/(1-'NO VEA CLIENTE'!$X93)-'NO VEA CLIENTE'!$V93</f>
        <v>0</v>
      </c>
      <c r="X93" s="72">
        <f t="shared" ref="X93:Z93" si="224">X$2</f>
        <v>0.13</v>
      </c>
      <c r="Y93" s="72">
        <f t="shared" si="224"/>
        <v>0</v>
      </c>
      <c r="Z93" s="72">
        <f t="shared" si="224"/>
        <v>0</v>
      </c>
      <c r="AA93" s="53">
        <f t="shared" si="4"/>
        <v>0</v>
      </c>
      <c r="AB93" s="63"/>
      <c r="AC93" s="2"/>
      <c r="AD93" s="117"/>
      <c r="AE93" s="71"/>
      <c r="AF93" s="71"/>
      <c r="AG93" s="62">
        <f>'NO VEA CLIENTE'!$AF93/(1-'NO VEA CLIENTE'!$AH93)-'NO VEA CLIENTE'!$AF93</f>
        <v>0</v>
      </c>
      <c r="AH93" s="72">
        <f t="shared" ref="AH93:AJ93" si="225">AH$2</f>
        <v>0.1</v>
      </c>
      <c r="AI93" s="72">
        <f t="shared" si="225"/>
        <v>0</v>
      </c>
      <c r="AJ93" s="72">
        <f t="shared" si="225"/>
        <v>0</v>
      </c>
      <c r="AK93" s="53">
        <f t="shared" si="5"/>
        <v>0</v>
      </c>
      <c r="AL93" s="118"/>
      <c r="AM93" s="2"/>
      <c r="AN93" s="2"/>
      <c r="AO93" s="2"/>
      <c r="AP93" s="2"/>
      <c r="AQ93" s="2"/>
      <c r="AR93" s="2"/>
      <c r="AS93" s="2"/>
      <c r="AT93" s="2"/>
      <c r="AU93" s="2"/>
      <c r="AV93" s="2"/>
      <c r="AW93" s="2"/>
    </row>
    <row r="94" ht="15.75" customHeight="1">
      <c r="A94" s="122"/>
      <c r="B94" s="76"/>
      <c r="C94" s="76"/>
      <c r="D94" s="76"/>
      <c r="E94" s="123"/>
      <c r="F94" s="76"/>
      <c r="G94" s="76"/>
      <c r="H94" s="124"/>
      <c r="I94" s="76"/>
      <c r="J94" s="53">
        <f t="shared" si="1"/>
        <v>0</v>
      </c>
      <c r="K94" s="54">
        <v>0.0</v>
      </c>
      <c r="L94" s="54">
        <f>'NO VEA CLIENTE'!$K94/(1-'NO VEA CLIENTE'!$M94)-'NO VEA CLIENTE'!$K94</f>
        <v>0</v>
      </c>
      <c r="M94" s="74">
        <f t="shared" ref="M94:O94" si="226">M$2</f>
        <v>0.13</v>
      </c>
      <c r="N94" s="74">
        <f t="shared" si="226"/>
        <v>0</v>
      </c>
      <c r="O94" s="74">
        <f t="shared" si="226"/>
        <v>0</v>
      </c>
      <c r="P94" s="53">
        <f t="shared" si="3"/>
        <v>0</v>
      </c>
      <c r="Q94" s="57">
        <f>'NO VEA CLIENTE'!$K94/0.9</f>
        <v>0</v>
      </c>
      <c r="R94" s="2"/>
      <c r="S94" s="58"/>
      <c r="T94" s="59"/>
      <c r="U94" s="71"/>
      <c r="V94" s="71"/>
      <c r="W94" s="54">
        <f>'NO VEA CLIENTE'!$V94/(1-'NO VEA CLIENTE'!$X94)-'NO VEA CLIENTE'!$V94</f>
        <v>0</v>
      </c>
      <c r="X94" s="72">
        <f t="shared" ref="X94:Z94" si="227">X$2</f>
        <v>0.13</v>
      </c>
      <c r="Y94" s="72">
        <f t="shared" si="227"/>
        <v>0</v>
      </c>
      <c r="Z94" s="72">
        <f t="shared" si="227"/>
        <v>0</v>
      </c>
      <c r="AA94" s="53">
        <f t="shared" si="4"/>
        <v>0</v>
      </c>
      <c r="AB94" s="63"/>
      <c r="AC94" s="2"/>
      <c r="AD94" s="117"/>
      <c r="AE94" s="71"/>
      <c r="AF94" s="71"/>
      <c r="AG94" s="62">
        <f>'NO VEA CLIENTE'!$AF94/(1-'NO VEA CLIENTE'!$AH94)-'NO VEA CLIENTE'!$AF94</f>
        <v>0</v>
      </c>
      <c r="AH94" s="72">
        <f t="shared" ref="AH94:AJ94" si="228">AH$2</f>
        <v>0.1</v>
      </c>
      <c r="AI94" s="72">
        <f t="shared" si="228"/>
        <v>0</v>
      </c>
      <c r="AJ94" s="72">
        <f t="shared" si="228"/>
        <v>0</v>
      </c>
      <c r="AK94" s="53">
        <f t="shared" si="5"/>
        <v>0</v>
      </c>
      <c r="AL94" s="118"/>
      <c r="AM94" s="2"/>
      <c r="AN94" s="2"/>
      <c r="AO94" s="2"/>
      <c r="AP94" s="2"/>
      <c r="AQ94" s="2"/>
      <c r="AR94" s="2"/>
      <c r="AS94" s="2"/>
      <c r="AT94" s="2"/>
      <c r="AU94" s="2"/>
      <c r="AV94" s="2"/>
      <c r="AW94" s="2"/>
    </row>
    <row r="95" ht="15.75" customHeight="1">
      <c r="A95" s="122"/>
      <c r="B95" s="76"/>
      <c r="C95" s="76"/>
      <c r="D95" s="76"/>
      <c r="E95" s="123"/>
      <c r="F95" s="76"/>
      <c r="G95" s="76"/>
      <c r="H95" s="124"/>
      <c r="I95" s="76"/>
      <c r="J95" s="53">
        <f t="shared" si="1"/>
        <v>0</v>
      </c>
      <c r="K95" s="54">
        <v>0.0</v>
      </c>
      <c r="L95" s="54">
        <f>'NO VEA CLIENTE'!$K95/(1-'NO VEA CLIENTE'!$M95)-'NO VEA CLIENTE'!$K95</f>
        <v>0</v>
      </c>
      <c r="M95" s="74">
        <f t="shared" ref="M95:O95" si="229">M$2</f>
        <v>0.13</v>
      </c>
      <c r="N95" s="74">
        <f t="shared" si="229"/>
        <v>0</v>
      </c>
      <c r="O95" s="74">
        <f t="shared" si="229"/>
        <v>0</v>
      </c>
      <c r="P95" s="53">
        <f t="shared" si="3"/>
        <v>0</v>
      </c>
      <c r="Q95" s="57">
        <f>'NO VEA CLIENTE'!$K95/0.9</f>
        <v>0</v>
      </c>
      <c r="R95" s="2"/>
      <c r="S95" s="58"/>
      <c r="T95" s="59"/>
      <c r="U95" s="71"/>
      <c r="V95" s="71"/>
      <c r="W95" s="54">
        <f>'NO VEA CLIENTE'!$V95/(1-'NO VEA CLIENTE'!$X95)-'NO VEA CLIENTE'!$V95</f>
        <v>0</v>
      </c>
      <c r="X95" s="72">
        <f t="shared" ref="X95:Z95" si="230">X$2</f>
        <v>0.13</v>
      </c>
      <c r="Y95" s="72">
        <f t="shared" si="230"/>
        <v>0</v>
      </c>
      <c r="Z95" s="72">
        <f t="shared" si="230"/>
        <v>0</v>
      </c>
      <c r="AA95" s="53">
        <f t="shared" si="4"/>
        <v>0</v>
      </c>
      <c r="AB95" s="63"/>
      <c r="AC95" s="2"/>
      <c r="AD95" s="117"/>
      <c r="AE95" s="71"/>
      <c r="AF95" s="71"/>
      <c r="AG95" s="62">
        <f>'NO VEA CLIENTE'!$AF95/(1-'NO VEA CLIENTE'!$AH95)-'NO VEA CLIENTE'!$AF95</f>
        <v>0</v>
      </c>
      <c r="AH95" s="72">
        <f t="shared" ref="AH95:AJ95" si="231">AH$2</f>
        <v>0.1</v>
      </c>
      <c r="AI95" s="72">
        <f t="shared" si="231"/>
        <v>0</v>
      </c>
      <c r="AJ95" s="72">
        <f t="shared" si="231"/>
        <v>0</v>
      </c>
      <c r="AK95" s="53">
        <f t="shared" si="5"/>
        <v>0</v>
      </c>
      <c r="AL95" s="118"/>
      <c r="AM95" s="2"/>
      <c r="AN95" s="2"/>
      <c r="AO95" s="2"/>
      <c r="AP95" s="2"/>
      <c r="AQ95" s="2"/>
      <c r="AR95" s="2"/>
      <c r="AS95" s="2"/>
      <c r="AT95" s="2"/>
      <c r="AU95" s="2"/>
      <c r="AV95" s="2"/>
      <c r="AW95" s="2"/>
    </row>
    <row r="96" ht="15.75" customHeight="1">
      <c r="A96" s="122"/>
      <c r="B96" s="76"/>
      <c r="C96" s="76"/>
      <c r="D96" s="76"/>
      <c r="E96" s="123"/>
      <c r="F96" s="76"/>
      <c r="G96" s="76"/>
      <c r="H96" s="124"/>
      <c r="I96" s="76"/>
      <c r="J96" s="53">
        <f t="shared" si="1"/>
        <v>0</v>
      </c>
      <c r="K96" s="54">
        <v>0.0</v>
      </c>
      <c r="L96" s="54">
        <f>'NO VEA CLIENTE'!$K96/(1-'NO VEA CLIENTE'!$M96)-'NO VEA CLIENTE'!$K96</f>
        <v>0</v>
      </c>
      <c r="M96" s="74">
        <f t="shared" ref="M96:O96" si="232">M$2</f>
        <v>0.13</v>
      </c>
      <c r="N96" s="74">
        <f t="shared" si="232"/>
        <v>0</v>
      </c>
      <c r="O96" s="74">
        <f t="shared" si="232"/>
        <v>0</v>
      </c>
      <c r="P96" s="53">
        <f t="shared" si="3"/>
        <v>0</v>
      </c>
      <c r="Q96" s="57">
        <f>'NO VEA CLIENTE'!$K96/0.9</f>
        <v>0</v>
      </c>
      <c r="R96" s="2"/>
      <c r="S96" s="58"/>
      <c r="T96" s="59"/>
      <c r="U96" s="71"/>
      <c r="V96" s="71"/>
      <c r="W96" s="54">
        <f>'NO VEA CLIENTE'!$V96/(1-'NO VEA CLIENTE'!$X96)-'NO VEA CLIENTE'!$V96</f>
        <v>0</v>
      </c>
      <c r="X96" s="72">
        <f t="shared" ref="X96:Z96" si="233">X$2</f>
        <v>0.13</v>
      </c>
      <c r="Y96" s="72">
        <f t="shared" si="233"/>
        <v>0</v>
      </c>
      <c r="Z96" s="72">
        <f t="shared" si="233"/>
        <v>0</v>
      </c>
      <c r="AA96" s="53">
        <f t="shared" si="4"/>
        <v>0</v>
      </c>
      <c r="AB96" s="63"/>
      <c r="AC96" s="2"/>
      <c r="AD96" s="117"/>
      <c r="AE96" s="71"/>
      <c r="AF96" s="71"/>
      <c r="AG96" s="62">
        <f>'NO VEA CLIENTE'!$AF96/(1-'NO VEA CLIENTE'!$AH96)-'NO VEA CLIENTE'!$AF96</f>
        <v>0</v>
      </c>
      <c r="AH96" s="72">
        <f t="shared" ref="AH96:AJ96" si="234">AH$2</f>
        <v>0.1</v>
      </c>
      <c r="AI96" s="72">
        <f t="shared" si="234"/>
        <v>0</v>
      </c>
      <c r="AJ96" s="72">
        <f t="shared" si="234"/>
        <v>0</v>
      </c>
      <c r="AK96" s="53">
        <f t="shared" si="5"/>
        <v>0</v>
      </c>
      <c r="AL96" s="118"/>
      <c r="AM96" s="2"/>
      <c r="AN96" s="2"/>
      <c r="AO96" s="2"/>
      <c r="AP96" s="2"/>
      <c r="AQ96" s="2"/>
      <c r="AR96" s="2"/>
      <c r="AS96" s="2"/>
      <c r="AT96" s="2"/>
      <c r="AU96" s="2"/>
      <c r="AV96" s="2"/>
      <c r="AW96" s="2"/>
    </row>
    <row r="97" ht="15.75" customHeight="1">
      <c r="A97" s="122"/>
      <c r="B97" s="76"/>
      <c r="C97" s="76"/>
      <c r="D97" s="76"/>
      <c r="E97" s="123"/>
      <c r="F97" s="76"/>
      <c r="G97" s="76"/>
      <c r="H97" s="124"/>
      <c r="I97" s="76"/>
      <c r="J97" s="53">
        <f t="shared" si="1"/>
        <v>0</v>
      </c>
      <c r="K97" s="54">
        <v>0.0</v>
      </c>
      <c r="L97" s="54">
        <f>'NO VEA CLIENTE'!$K97/(1-'NO VEA CLIENTE'!$M97)-'NO VEA CLIENTE'!$K97</f>
        <v>0</v>
      </c>
      <c r="M97" s="74">
        <f t="shared" ref="M97:O97" si="235">M$2</f>
        <v>0.13</v>
      </c>
      <c r="N97" s="74">
        <f t="shared" si="235"/>
        <v>0</v>
      </c>
      <c r="O97" s="74">
        <f t="shared" si="235"/>
        <v>0</v>
      </c>
      <c r="P97" s="53">
        <f t="shared" si="3"/>
        <v>0</v>
      </c>
      <c r="Q97" s="57">
        <f>'NO VEA CLIENTE'!$K97/0.9</f>
        <v>0</v>
      </c>
      <c r="R97" s="2"/>
      <c r="S97" s="58"/>
      <c r="T97" s="59"/>
      <c r="U97" s="71"/>
      <c r="V97" s="71"/>
      <c r="W97" s="54">
        <f>'NO VEA CLIENTE'!$V97/(1-'NO VEA CLIENTE'!$X97)-'NO VEA CLIENTE'!$V97</f>
        <v>0</v>
      </c>
      <c r="X97" s="72">
        <f t="shared" ref="X97:Z97" si="236">X$2</f>
        <v>0.13</v>
      </c>
      <c r="Y97" s="72">
        <f t="shared" si="236"/>
        <v>0</v>
      </c>
      <c r="Z97" s="72">
        <f t="shared" si="236"/>
        <v>0</v>
      </c>
      <c r="AA97" s="53">
        <f t="shared" si="4"/>
        <v>0</v>
      </c>
      <c r="AB97" s="63"/>
      <c r="AC97" s="2"/>
      <c r="AD97" s="117"/>
      <c r="AE97" s="71"/>
      <c r="AF97" s="71"/>
      <c r="AG97" s="62">
        <f>'NO VEA CLIENTE'!$AF97/(1-'NO VEA CLIENTE'!$AH97)-'NO VEA CLIENTE'!$AF97</f>
        <v>0</v>
      </c>
      <c r="AH97" s="72">
        <f t="shared" ref="AH97:AJ97" si="237">AH$2</f>
        <v>0.1</v>
      </c>
      <c r="AI97" s="72">
        <f t="shared" si="237"/>
        <v>0</v>
      </c>
      <c r="AJ97" s="72">
        <f t="shared" si="237"/>
        <v>0</v>
      </c>
      <c r="AK97" s="53">
        <f t="shared" si="5"/>
        <v>0</v>
      </c>
      <c r="AL97" s="118"/>
      <c r="AM97" s="2"/>
      <c r="AN97" s="2"/>
      <c r="AO97" s="2"/>
      <c r="AP97" s="2"/>
      <c r="AQ97" s="2"/>
      <c r="AR97" s="2"/>
      <c r="AS97" s="2"/>
      <c r="AT97" s="2"/>
      <c r="AU97" s="2"/>
      <c r="AV97" s="2"/>
      <c r="AW97" s="2"/>
    </row>
    <row r="98" ht="15.75" customHeight="1">
      <c r="A98" s="122"/>
      <c r="B98" s="76"/>
      <c r="C98" s="76"/>
      <c r="D98" s="76"/>
      <c r="E98" s="123"/>
      <c r="F98" s="76"/>
      <c r="G98" s="76"/>
      <c r="H98" s="124"/>
      <c r="I98" s="76"/>
      <c r="J98" s="53">
        <f t="shared" si="1"/>
        <v>0</v>
      </c>
      <c r="K98" s="54">
        <v>0.0</v>
      </c>
      <c r="L98" s="54">
        <f>'NO VEA CLIENTE'!$K98/(1-'NO VEA CLIENTE'!$M98)-'NO VEA CLIENTE'!$K98</f>
        <v>0</v>
      </c>
      <c r="M98" s="74">
        <f t="shared" ref="M98:O98" si="238">M$2</f>
        <v>0.13</v>
      </c>
      <c r="N98" s="74">
        <f t="shared" si="238"/>
        <v>0</v>
      </c>
      <c r="O98" s="74">
        <f t="shared" si="238"/>
        <v>0</v>
      </c>
      <c r="P98" s="53">
        <f t="shared" si="3"/>
        <v>0</v>
      </c>
      <c r="Q98" s="57">
        <f>'NO VEA CLIENTE'!$K98/0.9</f>
        <v>0</v>
      </c>
      <c r="R98" s="2"/>
      <c r="S98" s="58"/>
      <c r="T98" s="59"/>
      <c r="U98" s="71"/>
      <c r="V98" s="71"/>
      <c r="W98" s="54">
        <f>'NO VEA CLIENTE'!$V98/(1-'NO VEA CLIENTE'!$X98)-'NO VEA CLIENTE'!$V98</f>
        <v>0</v>
      </c>
      <c r="X98" s="72">
        <f t="shared" ref="X98:Z98" si="239">X$2</f>
        <v>0.13</v>
      </c>
      <c r="Y98" s="72">
        <f t="shared" si="239"/>
        <v>0</v>
      </c>
      <c r="Z98" s="72">
        <f t="shared" si="239"/>
        <v>0</v>
      </c>
      <c r="AA98" s="53">
        <f t="shared" si="4"/>
        <v>0</v>
      </c>
      <c r="AB98" s="63"/>
      <c r="AC98" s="2"/>
      <c r="AD98" s="117"/>
      <c r="AE98" s="71"/>
      <c r="AF98" s="71"/>
      <c r="AG98" s="62">
        <f>'NO VEA CLIENTE'!$AF98/(1-'NO VEA CLIENTE'!$AH98)-'NO VEA CLIENTE'!$AF98</f>
        <v>0</v>
      </c>
      <c r="AH98" s="72">
        <f t="shared" ref="AH98:AJ98" si="240">AH$2</f>
        <v>0.1</v>
      </c>
      <c r="AI98" s="72">
        <f t="shared" si="240"/>
        <v>0</v>
      </c>
      <c r="AJ98" s="72">
        <f t="shared" si="240"/>
        <v>0</v>
      </c>
      <c r="AK98" s="53">
        <f t="shared" si="5"/>
        <v>0</v>
      </c>
      <c r="AL98" s="118"/>
      <c r="AM98" s="2"/>
      <c r="AN98" s="2"/>
      <c r="AO98" s="2"/>
      <c r="AP98" s="2"/>
      <c r="AQ98" s="2"/>
      <c r="AR98" s="2"/>
      <c r="AS98" s="2"/>
      <c r="AT98" s="2"/>
      <c r="AU98" s="2"/>
      <c r="AV98" s="2"/>
      <c r="AW98" s="2"/>
    </row>
    <row r="99" ht="15.75" customHeight="1">
      <c r="A99" s="122"/>
      <c r="B99" s="76"/>
      <c r="C99" s="76"/>
      <c r="D99" s="76"/>
      <c r="E99" s="123"/>
      <c r="F99" s="76"/>
      <c r="G99" s="76"/>
      <c r="H99" s="124"/>
      <c r="I99" s="76"/>
      <c r="J99" s="53">
        <f t="shared" si="1"/>
        <v>0</v>
      </c>
      <c r="K99" s="54">
        <v>0.0</v>
      </c>
      <c r="L99" s="54">
        <f>'NO VEA CLIENTE'!$K99/(1-'NO VEA CLIENTE'!$M99)-'NO VEA CLIENTE'!$K99</f>
        <v>0</v>
      </c>
      <c r="M99" s="74">
        <f t="shared" ref="M99:O99" si="241">M$2</f>
        <v>0.13</v>
      </c>
      <c r="N99" s="74">
        <f t="shared" si="241"/>
        <v>0</v>
      </c>
      <c r="O99" s="74">
        <f t="shared" si="241"/>
        <v>0</v>
      </c>
      <c r="P99" s="53">
        <f t="shared" si="3"/>
        <v>0</v>
      </c>
      <c r="Q99" s="57">
        <f>'NO VEA CLIENTE'!$K99/0.9</f>
        <v>0</v>
      </c>
      <c r="R99" s="2"/>
      <c r="S99" s="58"/>
      <c r="T99" s="59"/>
      <c r="U99" s="71"/>
      <c r="V99" s="71"/>
      <c r="W99" s="54">
        <f>'NO VEA CLIENTE'!$V99/(1-'NO VEA CLIENTE'!$X99)-'NO VEA CLIENTE'!$V99</f>
        <v>0</v>
      </c>
      <c r="X99" s="72">
        <f t="shared" ref="X99:Z99" si="242">X$2</f>
        <v>0.13</v>
      </c>
      <c r="Y99" s="72">
        <f t="shared" si="242"/>
        <v>0</v>
      </c>
      <c r="Z99" s="72">
        <f t="shared" si="242"/>
        <v>0</v>
      </c>
      <c r="AA99" s="53">
        <f t="shared" si="4"/>
        <v>0</v>
      </c>
      <c r="AB99" s="63"/>
      <c r="AC99" s="2"/>
      <c r="AD99" s="117"/>
      <c r="AE99" s="71"/>
      <c r="AF99" s="71"/>
      <c r="AG99" s="62">
        <f>'NO VEA CLIENTE'!$AF99/(1-'NO VEA CLIENTE'!$AH99)-'NO VEA CLIENTE'!$AF99</f>
        <v>0</v>
      </c>
      <c r="AH99" s="72">
        <f t="shared" ref="AH99:AJ99" si="243">AH$2</f>
        <v>0.1</v>
      </c>
      <c r="AI99" s="72">
        <f t="shared" si="243"/>
        <v>0</v>
      </c>
      <c r="AJ99" s="72">
        <f t="shared" si="243"/>
        <v>0</v>
      </c>
      <c r="AK99" s="53">
        <f t="shared" si="5"/>
        <v>0</v>
      </c>
      <c r="AL99" s="118"/>
      <c r="AM99" s="2"/>
      <c r="AN99" s="2"/>
      <c r="AO99" s="2"/>
      <c r="AP99" s="2"/>
      <c r="AQ99" s="2"/>
      <c r="AR99" s="2"/>
      <c r="AS99" s="2"/>
      <c r="AT99" s="2"/>
      <c r="AU99" s="2"/>
      <c r="AV99" s="2"/>
      <c r="AW99" s="2"/>
    </row>
    <row r="100" ht="15.75" customHeight="1">
      <c r="A100" s="122"/>
      <c r="B100" s="76"/>
      <c r="C100" s="76"/>
      <c r="D100" s="76"/>
      <c r="E100" s="123"/>
      <c r="F100" s="76"/>
      <c r="G100" s="76"/>
      <c r="H100" s="124"/>
      <c r="I100" s="76"/>
      <c r="J100" s="53">
        <f t="shared" si="1"/>
        <v>0</v>
      </c>
      <c r="K100" s="54">
        <v>0.0</v>
      </c>
      <c r="L100" s="54">
        <f>'NO VEA CLIENTE'!$K100/(1-'NO VEA CLIENTE'!$M100)-'NO VEA CLIENTE'!$K100</f>
        <v>0</v>
      </c>
      <c r="M100" s="74">
        <f t="shared" ref="M100:O100" si="244">M$2</f>
        <v>0.13</v>
      </c>
      <c r="N100" s="74">
        <f t="shared" si="244"/>
        <v>0</v>
      </c>
      <c r="O100" s="74">
        <f t="shared" si="244"/>
        <v>0</v>
      </c>
      <c r="P100" s="53">
        <f t="shared" si="3"/>
        <v>0</v>
      </c>
      <c r="Q100" s="57">
        <f>'NO VEA CLIENTE'!$K100/0.9</f>
        <v>0</v>
      </c>
      <c r="R100" s="2"/>
      <c r="S100" s="58"/>
      <c r="T100" s="59"/>
      <c r="U100" s="71"/>
      <c r="V100" s="71"/>
      <c r="W100" s="54">
        <f>'NO VEA CLIENTE'!$V100/(1-'NO VEA CLIENTE'!$X100)-'NO VEA CLIENTE'!$V100</f>
        <v>0</v>
      </c>
      <c r="X100" s="72">
        <f t="shared" ref="X100:Z100" si="245">X$2</f>
        <v>0.13</v>
      </c>
      <c r="Y100" s="72">
        <f t="shared" si="245"/>
        <v>0</v>
      </c>
      <c r="Z100" s="72">
        <f t="shared" si="245"/>
        <v>0</v>
      </c>
      <c r="AA100" s="53">
        <f t="shared" si="4"/>
        <v>0</v>
      </c>
      <c r="AB100" s="63"/>
      <c r="AC100" s="2"/>
      <c r="AD100" s="117"/>
      <c r="AE100" s="71"/>
      <c r="AF100" s="71"/>
      <c r="AG100" s="62">
        <f>'NO VEA CLIENTE'!$AF100/(1-'NO VEA CLIENTE'!$AH100)-'NO VEA CLIENTE'!$AF100</f>
        <v>0</v>
      </c>
      <c r="AH100" s="72">
        <f t="shared" ref="AH100:AJ100" si="246">AH$2</f>
        <v>0.1</v>
      </c>
      <c r="AI100" s="72">
        <f t="shared" si="246"/>
        <v>0</v>
      </c>
      <c r="AJ100" s="72">
        <f t="shared" si="246"/>
        <v>0</v>
      </c>
      <c r="AK100" s="53">
        <f t="shared" si="5"/>
        <v>0</v>
      </c>
      <c r="AL100" s="118"/>
      <c r="AM100" s="2"/>
      <c r="AN100" s="2"/>
      <c r="AO100" s="2"/>
      <c r="AP100" s="2"/>
      <c r="AQ100" s="2"/>
      <c r="AR100" s="2"/>
      <c r="AS100" s="2"/>
      <c r="AT100" s="2"/>
      <c r="AU100" s="2"/>
      <c r="AV100" s="2"/>
      <c r="AW100" s="2"/>
    </row>
    <row r="101" ht="15.75" customHeight="1">
      <c r="A101" s="122"/>
      <c r="B101" s="76"/>
      <c r="C101" s="76"/>
      <c r="D101" s="76"/>
      <c r="E101" s="123"/>
      <c r="F101" s="76"/>
      <c r="G101" s="76"/>
      <c r="H101" s="124"/>
      <c r="I101" s="76"/>
      <c r="J101" s="53">
        <f t="shared" si="1"/>
        <v>0</v>
      </c>
      <c r="K101" s="54">
        <v>0.0</v>
      </c>
      <c r="L101" s="54">
        <f>'NO VEA CLIENTE'!$K101/(1-'NO VEA CLIENTE'!$M101)-'NO VEA CLIENTE'!$K101</f>
        <v>0</v>
      </c>
      <c r="M101" s="74">
        <f t="shared" ref="M101:O101" si="247">M$2</f>
        <v>0.13</v>
      </c>
      <c r="N101" s="74">
        <f t="shared" si="247"/>
        <v>0</v>
      </c>
      <c r="O101" s="74">
        <f t="shared" si="247"/>
        <v>0</v>
      </c>
      <c r="P101" s="53">
        <f t="shared" si="3"/>
        <v>0</v>
      </c>
      <c r="Q101" s="57">
        <f>'NO VEA CLIENTE'!$K101/0.9</f>
        <v>0</v>
      </c>
      <c r="R101" s="2"/>
      <c r="S101" s="58"/>
      <c r="T101" s="59"/>
      <c r="U101" s="71"/>
      <c r="V101" s="71"/>
      <c r="W101" s="54">
        <f>'NO VEA CLIENTE'!$V101/(1-'NO VEA CLIENTE'!$X101)-'NO VEA CLIENTE'!$V101</f>
        <v>0</v>
      </c>
      <c r="X101" s="72">
        <f t="shared" ref="X101:Z101" si="248">X$2</f>
        <v>0.13</v>
      </c>
      <c r="Y101" s="72">
        <f t="shared" si="248"/>
        <v>0</v>
      </c>
      <c r="Z101" s="72">
        <f t="shared" si="248"/>
        <v>0</v>
      </c>
      <c r="AA101" s="53">
        <f t="shared" si="4"/>
        <v>0</v>
      </c>
      <c r="AB101" s="63"/>
      <c r="AC101" s="2"/>
      <c r="AD101" s="117"/>
      <c r="AE101" s="71"/>
      <c r="AF101" s="71"/>
      <c r="AG101" s="62">
        <f>'NO VEA CLIENTE'!$AF101/(1-'NO VEA CLIENTE'!$AH101)-'NO VEA CLIENTE'!$AF101</f>
        <v>0</v>
      </c>
      <c r="AH101" s="72">
        <f t="shared" ref="AH101:AJ101" si="249">AH$2</f>
        <v>0.1</v>
      </c>
      <c r="AI101" s="72">
        <f t="shared" si="249"/>
        <v>0</v>
      </c>
      <c r="AJ101" s="72">
        <f t="shared" si="249"/>
        <v>0</v>
      </c>
      <c r="AK101" s="53">
        <f t="shared" si="5"/>
        <v>0</v>
      </c>
      <c r="AL101" s="118"/>
      <c r="AM101" s="2"/>
      <c r="AN101" s="2"/>
      <c r="AO101" s="2"/>
      <c r="AP101" s="2"/>
      <c r="AQ101" s="2"/>
      <c r="AR101" s="2"/>
      <c r="AS101" s="2"/>
      <c r="AT101" s="2"/>
      <c r="AU101" s="2"/>
      <c r="AV101" s="2"/>
      <c r="AW101" s="2"/>
    </row>
    <row r="102" ht="15.75" customHeight="1">
      <c r="A102" s="122"/>
      <c r="B102" s="76"/>
      <c r="C102" s="76"/>
      <c r="D102" s="76"/>
      <c r="E102" s="123"/>
      <c r="F102" s="76"/>
      <c r="G102" s="76"/>
      <c r="H102" s="124"/>
      <c r="I102" s="76"/>
      <c r="J102" s="53">
        <f t="shared" si="1"/>
        <v>0</v>
      </c>
      <c r="K102" s="54">
        <v>0.0</v>
      </c>
      <c r="L102" s="54">
        <f>'NO VEA CLIENTE'!$K102/(1-'NO VEA CLIENTE'!$M102)-'NO VEA CLIENTE'!$K102</f>
        <v>0</v>
      </c>
      <c r="M102" s="74">
        <f t="shared" ref="M102:O102" si="250">M$2</f>
        <v>0.13</v>
      </c>
      <c r="N102" s="74">
        <f t="shared" si="250"/>
        <v>0</v>
      </c>
      <c r="O102" s="74">
        <f t="shared" si="250"/>
        <v>0</v>
      </c>
      <c r="P102" s="53">
        <f t="shared" si="3"/>
        <v>0</v>
      </c>
      <c r="Q102" s="57">
        <f>'NO VEA CLIENTE'!$K102/0.9</f>
        <v>0</v>
      </c>
      <c r="R102" s="2"/>
      <c r="S102" s="58"/>
      <c r="T102" s="59"/>
      <c r="U102" s="71"/>
      <c r="V102" s="71"/>
      <c r="W102" s="54">
        <f>'NO VEA CLIENTE'!$V102/(1-'NO VEA CLIENTE'!$X102)-'NO VEA CLIENTE'!$V102</f>
        <v>0</v>
      </c>
      <c r="X102" s="72">
        <f t="shared" ref="X102:Z102" si="251">X$2</f>
        <v>0.13</v>
      </c>
      <c r="Y102" s="72">
        <f t="shared" si="251"/>
        <v>0</v>
      </c>
      <c r="Z102" s="72">
        <f t="shared" si="251"/>
        <v>0</v>
      </c>
      <c r="AA102" s="53">
        <f t="shared" si="4"/>
        <v>0</v>
      </c>
      <c r="AB102" s="63"/>
      <c r="AC102" s="2"/>
      <c r="AD102" s="117"/>
      <c r="AE102" s="71"/>
      <c r="AF102" s="71"/>
      <c r="AG102" s="62">
        <f>'NO VEA CLIENTE'!$AF102/(1-'NO VEA CLIENTE'!$AH102)-'NO VEA CLIENTE'!$AF102</f>
        <v>0</v>
      </c>
      <c r="AH102" s="72">
        <f t="shared" ref="AH102:AJ102" si="252">AH$2</f>
        <v>0.1</v>
      </c>
      <c r="AI102" s="72">
        <f t="shared" si="252"/>
        <v>0</v>
      </c>
      <c r="AJ102" s="72">
        <f t="shared" si="252"/>
        <v>0</v>
      </c>
      <c r="AK102" s="53">
        <f t="shared" si="5"/>
        <v>0</v>
      </c>
      <c r="AL102" s="118"/>
      <c r="AM102" s="2"/>
      <c r="AN102" s="2"/>
      <c r="AO102" s="2"/>
      <c r="AP102" s="2"/>
      <c r="AQ102" s="2"/>
      <c r="AR102" s="2"/>
      <c r="AS102" s="2"/>
      <c r="AT102" s="2"/>
      <c r="AU102" s="2"/>
      <c r="AV102" s="2"/>
      <c r="AW102" s="2"/>
    </row>
    <row r="103" ht="15.75" customHeight="1">
      <c r="A103" s="122"/>
      <c r="B103" s="76"/>
      <c r="C103" s="76"/>
      <c r="D103" s="76"/>
      <c r="E103" s="123"/>
      <c r="F103" s="76"/>
      <c r="G103" s="76"/>
      <c r="H103" s="124"/>
      <c r="I103" s="76"/>
      <c r="J103" s="53">
        <f t="shared" si="1"/>
        <v>0</v>
      </c>
      <c r="K103" s="54">
        <v>0.0</v>
      </c>
      <c r="L103" s="54">
        <f>'NO VEA CLIENTE'!$K103/(1-'NO VEA CLIENTE'!$M103)-'NO VEA CLIENTE'!$K103</f>
        <v>0</v>
      </c>
      <c r="M103" s="74">
        <f t="shared" ref="M103:O103" si="253">M$2</f>
        <v>0.13</v>
      </c>
      <c r="N103" s="74">
        <f t="shared" si="253"/>
        <v>0</v>
      </c>
      <c r="O103" s="74">
        <f t="shared" si="253"/>
        <v>0</v>
      </c>
      <c r="P103" s="53">
        <f t="shared" si="3"/>
        <v>0</v>
      </c>
      <c r="Q103" s="57">
        <f>'NO VEA CLIENTE'!$K103/0.9</f>
        <v>0</v>
      </c>
      <c r="R103" s="2"/>
      <c r="S103" s="58"/>
      <c r="T103" s="59"/>
      <c r="U103" s="71"/>
      <c r="V103" s="71"/>
      <c r="W103" s="54">
        <f>'NO VEA CLIENTE'!$V103/(1-'NO VEA CLIENTE'!$X103)-'NO VEA CLIENTE'!$V103</f>
        <v>0</v>
      </c>
      <c r="X103" s="72">
        <f t="shared" ref="X103:Z103" si="254">X$2</f>
        <v>0.13</v>
      </c>
      <c r="Y103" s="72">
        <f t="shared" si="254"/>
        <v>0</v>
      </c>
      <c r="Z103" s="72">
        <f t="shared" si="254"/>
        <v>0</v>
      </c>
      <c r="AA103" s="53">
        <f t="shared" si="4"/>
        <v>0</v>
      </c>
      <c r="AB103" s="63"/>
      <c r="AC103" s="2"/>
      <c r="AD103" s="117"/>
      <c r="AE103" s="71"/>
      <c r="AF103" s="71"/>
      <c r="AG103" s="62">
        <f>'NO VEA CLIENTE'!$AF103/(1-'NO VEA CLIENTE'!$AH103)-'NO VEA CLIENTE'!$AF103</f>
        <v>0</v>
      </c>
      <c r="AH103" s="72">
        <f t="shared" ref="AH103:AJ103" si="255">AH$2</f>
        <v>0.1</v>
      </c>
      <c r="AI103" s="72">
        <f t="shared" si="255"/>
        <v>0</v>
      </c>
      <c r="AJ103" s="72">
        <f t="shared" si="255"/>
        <v>0</v>
      </c>
      <c r="AK103" s="53">
        <f t="shared" si="5"/>
        <v>0</v>
      </c>
      <c r="AL103" s="118"/>
      <c r="AM103" s="2"/>
      <c r="AN103" s="2"/>
      <c r="AO103" s="2"/>
      <c r="AP103" s="2"/>
      <c r="AQ103" s="2"/>
      <c r="AR103" s="2"/>
      <c r="AS103" s="2"/>
      <c r="AT103" s="2"/>
      <c r="AU103" s="2"/>
      <c r="AV103" s="2"/>
      <c r="AW103" s="2"/>
    </row>
    <row r="104" ht="15.75" customHeight="1">
      <c r="A104" s="122"/>
      <c r="B104" s="76"/>
      <c r="C104" s="76"/>
      <c r="D104" s="76"/>
      <c r="E104" s="123"/>
      <c r="F104" s="76"/>
      <c r="G104" s="76"/>
      <c r="H104" s="124"/>
      <c r="I104" s="76"/>
      <c r="J104" s="53">
        <f t="shared" si="1"/>
        <v>0</v>
      </c>
      <c r="K104" s="54">
        <v>0.0</v>
      </c>
      <c r="L104" s="54">
        <f>'NO VEA CLIENTE'!$K104/(1-'NO VEA CLIENTE'!$M104)-'NO VEA CLIENTE'!$K104</f>
        <v>0</v>
      </c>
      <c r="M104" s="74">
        <f t="shared" ref="M104:O104" si="256">M$2</f>
        <v>0.13</v>
      </c>
      <c r="N104" s="74">
        <f t="shared" si="256"/>
        <v>0</v>
      </c>
      <c r="O104" s="74">
        <f t="shared" si="256"/>
        <v>0</v>
      </c>
      <c r="P104" s="53">
        <f t="shared" si="3"/>
        <v>0</v>
      </c>
      <c r="Q104" s="57">
        <f>'NO VEA CLIENTE'!$K104/0.9</f>
        <v>0</v>
      </c>
      <c r="R104" s="2"/>
      <c r="S104" s="58"/>
      <c r="T104" s="59"/>
      <c r="U104" s="71"/>
      <c r="V104" s="71"/>
      <c r="W104" s="54">
        <f>'NO VEA CLIENTE'!$V104/(1-'NO VEA CLIENTE'!$X104)-'NO VEA CLIENTE'!$V104</f>
        <v>0</v>
      </c>
      <c r="X104" s="72">
        <f t="shared" ref="X104:Z104" si="257">X$2</f>
        <v>0.13</v>
      </c>
      <c r="Y104" s="72">
        <f t="shared" si="257"/>
        <v>0</v>
      </c>
      <c r="Z104" s="72">
        <f t="shared" si="257"/>
        <v>0</v>
      </c>
      <c r="AA104" s="53">
        <f t="shared" si="4"/>
        <v>0</v>
      </c>
      <c r="AB104" s="63"/>
      <c r="AC104" s="2"/>
      <c r="AD104" s="117"/>
      <c r="AE104" s="71"/>
      <c r="AF104" s="71"/>
      <c r="AG104" s="62">
        <f>'NO VEA CLIENTE'!$AF104/(1-'NO VEA CLIENTE'!$AH104)-'NO VEA CLIENTE'!$AF104</f>
        <v>0</v>
      </c>
      <c r="AH104" s="72">
        <f t="shared" ref="AH104:AJ104" si="258">AH$2</f>
        <v>0.1</v>
      </c>
      <c r="AI104" s="72">
        <f t="shared" si="258"/>
        <v>0</v>
      </c>
      <c r="AJ104" s="72">
        <f t="shared" si="258"/>
        <v>0</v>
      </c>
      <c r="AK104" s="53">
        <f t="shared" si="5"/>
        <v>0</v>
      </c>
      <c r="AL104" s="118"/>
      <c r="AM104" s="2"/>
      <c r="AN104" s="2"/>
      <c r="AO104" s="2"/>
      <c r="AP104" s="2"/>
      <c r="AQ104" s="2"/>
      <c r="AR104" s="2"/>
      <c r="AS104" s="2"/>
      <c r="AT104" s="2"/>
      <c r="AU104" s="2"/>
      <c r="AV104" s="2"/>
      <c r="AW104" s="2"/>
    </row>
    <row r="105" ht="15.75" customHeight="1">
      <c r="A105" s="122"/>
      <c r="B105" s="76"/>
      <c r="C105" s="76"/>
      <c r="D105" s="76"/>
      <c r="E105" s="123"/>
      <c r="F105" s="76"/>
      <c r="G105" s="76"/>
      <c r="H105" s="124"/>
      <c r="I105" s="76"/>
      <c r="J105" s="53">
        <f t="shared" si="1"/>
        <v>0</v>
      </c>
      <c r="K105" s="54">
        <v>0.0</v>
      </c>
      <c r="L105" s="54">
        <f>'NO VEA CLIENTE'!$K105/(1-'NO VEA CLIENTE'!$M105)-'NO VEA CLIENTE'!$K105</f>
        <v>0</v>
      </c>
      <c r="M105" s="74">
        <f t="shared" ref="M105:O105" si="259">M$2</f>
        <v>0.13</v>
      </c>
      <c r="N105" s="74">
        <f t="shared" si="259"/>
        <v>0</v>
      </c>
      <c r="O105" s="74">
        <f t="shared" si="259"/>
        <v>0</v>
      </c>
      <c r="P105" s="53">
        <f t="shared" si="3"/>
        <v>0</v>
      </c>
      <c r="Q105" s="57">
        <f>'NO VEA CLIENTE'!$K105/0.9</f>
        <v>0</v>
      </c>
      <c r="R105" s="2"/>
      <c r="S105" s="58"/>
      <c r="T105" s="59"/>
      <c r="U105" s="71"/>
      <c r="V105" s="71"/>
      <c r="W105" s="54">
        <f>'NO VEA CLIENTE'!$V105/(1-'NO VEA CLIENTE'!$X105)-'NO VEA CLIENTE'!$V105</f>
        <v>0</v>
      </c>
      <c r="X105" s="72">
        <f t="shared" ref="X105:Z105" si="260">X$2</f>
        <v>0.13</v>
      </c>
      <c r="Y105" s="72">
        <f t="shared" si="260"/>
        <v>0</v>
      </c>
      <c r="Z105" s="72">
        <f t="shared" si="260"/>
        <v>0</v>
      </c>
      <c r="AA105" s="53">
        <f t="shared" si="4"/>
        <v>0</v>
      </c>
      <c r="AB105" s="63"/>
      <c r="AC105" s="2"/>
      <c r="AD105" s="117"/>
      <c r="AE105" s="71"/>
      <c r="AF105" s="71"/>
      <c r="AG105" s="62">
        <f>'NO VEA CLIENTE'!$AF105/(1-'NO VEA CLIENTE'!$AH105)-'NO VEA CLIENTE'!$AF105</f>
        <v>0</v>
      </c>
      <c r="AH105" s="72">
        <f t="shared" ref="AH105:AJ105" si="261">AH$2</f>
        <v>0.1</v>
      </c>
      <c r="AI105" s="72">
        <f t="shared" si="261"/>
        <v>0</v>
      </c>
      <c r="AJ105" s="72">
        <f t="shared" si="261"/>
        <v>0</v>
      </c>
      <c r="AK105" s="53">
        <f t="shared" si="5"/>
        <v>0</v>
      </c>
      <c r="AL105" s="118"/>
      <c r="AM105" s="2"/>
      <c r="AN105" s="2"/>
      <c r="AO105" s="2"/>
      <c r="AP105" s="2"/>
      <c r="AQ105" s="2"/>
      <c r="AR105" s="2"/>
      <c r="AS105" s="2"/>
      <c r="AT105" s="2"/>
      <c r="AU105" s="2"/>
      <c r="AV105" s="2"/>
      <c r="AW105" s="2"/>
    </row>
    <row r="106" ht="15.75" customHeight="1">
      <c r="A106" s="122"/>
      <c r="B106" s="76"/>
      <c r="C106" s="76"/>
      <c r="D106" s="76"/>
      <c r="E106" s="123"/>
      <c r="F106" s="76"/>
      <c r="G106" s="76"/>
      <c r="H106" s="124"/>
      <c r="I106" s="76"/>
      <c r="J106" s="53">
        <f t="shared" si="1"/>
        <v>0</v>
      </c>
      <c r="K106" s="54">
        <v>0.0</v>
      </c>
      <c r="L106" s="54">
        <f>'NO VEA CLIENTE'!$K106/(1-'NO VEA CLIENTE'!$M106)-'NO VEA CLIENTE'!$K106</f>
        <v>0</v>
      </c>
      <c r="M106" s="74">
        <f t="shared" ref="M106:O106" si="262">M$2</f>
        <v>0.13</v>
      </c>
      <c r="N106" s="74">
        <f t="shared" si="262"/>
        <v>0</v>
      </c>
      <c r="O106" s="74">
        <f t="shared" si="262"/>
        <v>0</v>
      </c>
      <c r="P106" s="53">
        <f t="shared" si="3"/>
        <v>0</v>
      </c>
      <c r="Q106" s="57">
        <f>'NO VEA CLIENTE'!$K106/0.9</f>
        <v>0</v>
      </c>
      <c r="R106" s="2"/>
      <c r="S106" s="58"/>
      <c r="T106" s="59"/>
      <c r="U106" s="71"/>
      <c r="V106" s="71"/>
      <c r="W106" s="54">
        <f>'NO VEA CLIENTE'!$V106/(1-'NO VEA CLIENTE'!$X106)-'NO VEA CLIENTE'!$V106</f>
        <v>0</v>
      </c>
      <c r="X106" s="72">
        <f t="shared" ref="X106:Z106" si="263">X$2</f>
        <v>0.13</v>
      </c>
      <c r="Y106" s="72">
        <f t="shared" si="263"/>
        <v>0</v>
      </c>
      <c r="Z106" s="72">
        <f t="shared" si="263"/>
        <v>0</v>
      </c>
      <c r="AA106" s="53">
        <f t="shared" si="4"/>
        <v>0</v>
      </c>
      <c r="AB106" s="63"/>
      <c r="AC106" s="2"/>
      <c r="AD106" s="117"/>
      <c r="AE106" s="71"/>
      <c r="AF106" s="71"/>
      <c r="AG106" s="62">
        <f>'NO VEA CLIENTE'!$AF106/(1-'NO VEA CLIENTE'!$AH106)-'NO VEA CLIENTE'!$AF106</f>
        <v>0</v>
      </c>
      <c r="AH106" s="72">
        <f t="shared" ref="AH106:AJ106" si="264">AH$2</f>
        <v>0.1</v>
      </c>
      <c r="AI106" s="72">
        <f t="shared" si="264"/>
        <v>0</v>
      </c>
      <c r="AJ106" s="72">
        <f t="shared" si="264"/>
        <v>0</v>
      </c>
      <c r="AK106" s="53">
        <f t="shared" si="5"/>
        <v>0</v>
      </c>
      <c r="AL106" s="118"/>
      <c r="AM106" s="2"/>
      <c r="AN106" s="2"/>
      <c r="AO106" s="2"/>
      <c r="AP106" s="2"/>
      <c r="AQ106" s="2"/>
      <c r="AR106" s="2"/>
      <c r="AS106" s="2"/>
      <c r="AT106" s="2"/>
      <c r="AU106" s="2"/>
      <c r="AV106" s="2"/>
      <c r="AW106" s="2"/>
    </row>
    <row r="107" ht="15.75" customHeight="1">
      <c r="A107" s="122"/>
      <c r="B107" s="76"/>
      <c r="C107" s="76"/>
      <c r="D107" s="76"/>
      <c r="E107" s="123"/>
      <c r="F107" s="76"/>
      <c r="G107" s="76"/>
      <c r="H107" s="124"/>
      <c r="I107" s="76"/>
      <c r="J107" s="53">
        <f t="shared" si="1"/>
        <v>0</v>
      </c>
      <c r="K107" s="54">
        <v>0.0</v>
      </c>
      <c r="L107" s="54">
        <f>'NO VEA CLIENTE'!$K107/(1-'NO VEA CLIENTE'!$M107)-'NO VEA CLIENTE'!$K107</f>
        <v>0</v>
      </c>
      <c r="M107" s="74">
        <f t="shared" ref="M107:O107" si="265">M$2</f>
        <v>0.13</v>
      </c>
      <c r="N107" s="74">
        <f t="shared" si="265"/>
        <v>0</v>
      </c>
      <c r="O107" s="74">
        <f t="shared" si="265"/>
        <v>0</v>
      </c>
      <c r="P107" s="53">
        <f t="shared" si="3"/>
        <v>0</v>
      </c>
      <c r="Q107" s="57">
        <f>'NO VEA CLIENTE'!$K107/0.9</f>
        <v>0</v>
      </c>
      <c r="R107" s="2"/>
      <c r="S107" s="58"/>
      <c r="T107" s="59"/>
      <c r="U107" s="71"/>
      <c r="V107" s="71"/>
      <c r="W107" s="54">
        <f>'NO VEA CLIENTE'!$V107/(1-'NO VEA CLIENTE'!$X107)-'NO VEA CLIENTE'!$V107</f>
        <v>0</v>
      </c>
      <c r="X107" s="72">
        <f t="shared" ref="X107:Z107" si="266">X$2</f>
        <v>0.13</v>
      </c>
      <c r="Y107" s="72">
        <f t="shared" si="266"/>
        <v>0</v>
      </c>
      <c r="Z107" s="72">
        <f t="shared" si="266"/>
        <v>0</v>
      </c>
      <c r="AA107" s="53">
        <f t="shared" si="4"/>
        <v>0</v>
      </c>
      <c r="AB107" s="63"/>
      <c r="AC107" s="2"/>
      <c r="AD107" s="117"/>
      <c r="AE107" s="71"/>
      <c r="AF107" s="71"/>
      <c r="AG107" s="62">
        <f>'NO VEA CLIENTE'!$AF107/(1-'NO VEA CLIENTE'!$AH107)-'NO VEA CLIENTE'!$AF107</f>
        <v>0</v>
      </c>
      <c r="AH107" s="72">
        <f t="shared" ref="AH107:AJ107" si="267">AH$2</f>
        <v>0.1</v>
      </c>
      <c r="AI107" s="72">
        <f t="shared" si="267"/>
        <v>0</v>
      </c>
      <c r="AJ107" s="72">
        <f t="shared" si="267"/>
        <v>0</v>
      </c>
      <c r="AK107" s="53">
        <f t="shared" si="5"/>
        <v>0</v>
      </c>
      <c r="AL107" s="118"/>
      <c r="AM107" s="2"/>
      <c r="AN107" s="2"/>
      <c r="AO107" s="2"/>
      <c r="AP107" s="2"/>
      <c r="AQ107" s="2"/>
      <c r="AR107" s="2"/>
      <c r="AS107" s="2"/>
      <c r="AT107" s="2"/>
      <c r="AU107" s="2"/>
      <c r="AV107" s="2"/>
      <c r="AW107" s="2"/>
    </row>
    <row r="108" ht="15.75" customHeight="1">
      <c r="A108" s="122"/>
      <c r="B108" s="76"/>
      <c r="C108" s="76"/>
      <c r="D108" s="76"/>
      <c r="E108" s="123"/>
      <c r="F108" s="76"/>
      <c r="G108" s="76"/>
      <c r="H108" s="124"/>
      <c r="I108" s="76"/>
      <c r="J108" s="53">
        <f t="shared" si="1"/>
        <v>0</v>
      </c>
      <c r="K108" s="54">
        <v>0.0</v>
      </c>
      <c r="L108" s="54">
        <f>'NO VEA CLIENTE'!$K108/(1-'NO VEA CLIENTE'!$M108)-'NO VEA CLIENTE'!$K108</f>
        <v>0</v>
      </c>
      <c r="M108" s="74">
        <f t="shared" ref="M108:O108" si="268">M$2</f>
        <v>0.13</v>
      </c>
      <c r="N108" s="74">
        <f t="shared" si="268"/>
        <v>0</v>
      </c>
      <c r="O108" s="74">
        <f t="shared" si="268"/>
        <v>0</v>
      </c>
      <c r="P108" s="53">
        <f t="shared" si="3"/>
        <v>0</v>
      </c>
      <c r="Q108" s="57">
        <f>'NO VEA CLIENTE'!$K108/0.9</f>
        <v>0</v>
      </c>
      <c r="R108" s="2"/>
      <c r="S108" s="58"/>
      <c r="T108" s="59"/>
      <c r="U108" s="71"/>
      <c r="V108" s="71"/>
      <c r="W108" s="54">
        <f>'NO VEA CLIENTE'!$V108/(1-'NO VEA CLIENTE'!$X108)-'NO VEA CLIENTE'!$V108</f>
        <v>0</v>
      </c>
      <c r="X108" s="72">
        <f t="shared" ref="X108:Z108" si="269">X$2</f>
        <v>0.13</v>
      </c>
      <c r="Y108" s="72">
        <f t="shared" si="269"/>
        <v>0</v>
      </c>
      <c r="Z108" s="72">
        <f t="shared" si="269"/>
        <v>0</v>
      </c>
      <c r="AA108" s="53">
        <f t="shared" si="4"/>
        <v>0</v>
      </c>
      <c r="AB108" s="63"/>
      <c r="AC108" s="2"/>
      <c r="AD108" s="117"/>
      <c r="AE108" s="71"/>
      <c r="AF108" s="71"/>
      <c r="AG108" s="62">
        <f>'NO VEA CLIENTE'!$AF108/(1-'NO VEA CLIENTE'!$AH108)-'NO VEA CLIENTE'!$AF108</f>
        <v>0</v>
      </c>
      <c r="AH108" s="72">
        <f t="shared" ref="AH108:AJ108" si="270">AH$2</f>
        <v>0.1</v>
      </c>
      <c r="AI108" s="72">
        <f t="shared" si="270"/>
        <v>0</v>
      </c>
      <c r="AJ108" s="72">
        <f t="shared" si="270"/>
        <v>0</v>
      </c>
      <c r="AK108" s="53">
        <f t="shared" si="5"/>
        <v>0</v>
      </c>
      <c r="AL108" s="118"/>
      <c r="AM108" s="2"/>
      <c r="AN108" s="2"/>
      <c r="AO108" s="2"/>
      <c r="AP108" s="2"/>
      <c r="AQ108" s="2"/>
      <c r="AR108" s="2"/>
      <c r="AS108" s="2"/>
      <c r="AT108" s="2"/>
      <c r="AU108" s="2"/>
      <c r="AV108" s="2"/>
      <c r="AW108" s="2"/>
    </row>
    <row r="109" ht="15.75" customHeight="1">
      <c r="A109" s="122"/>
      <c r="B109" s="76"/>
      <c r="C109" s="76"/>
      <c r="D109" s="76"/>
      <c r="E109" s="123"/>
      <c r="F109" s="76"/>
      <c r="G109" s="76"/>
      <c r="H109" s="124"/>
      <c r="I109" s="76"/>
      <c r="J109" s="53">
        <f t="shared" si="1"/>
        <v>0</v>
      </c>
      <c r="K109" s="54">
        <v>0.0</v>
      </c>
      <c r="L109" s="54">
        <f>'NO VEA CLIENTE'!$K109/(1-'NO VEA CLIENTE'!$M109)-'NO VEA CLIENTE'!$K109</f>
        <v>0</v>
      </c>
      <c r="M109" s="74">
        <f t="shared" ref="M109:O109" si="271">M$2</f>
        <v>0.13</v>
      </c>
      <c r="N109" s="74">
        <f t="shared" si="271"/>
        <v>0</v>
      </c>
      <c r="O109" s="74">
        <f t="shared" si="271"/>
        <v>0</v>
      </c>
      <c r="P109" s="53">
        <f t="shared" si="3"/>
        <v>0</v>
      </c>
      <c r="Q109" s="57">
        <f>'NO VEA CLIENTE'!$K109/0.9</f>
        <v>0</v>
      </c>
      <c r="R109" s="2"/>
      <c r="S109" s="58"/>
      <c r="T109" s="59"/>
      <c r="U109" s="71"/>
      <c r="V109" s="71"/>
      <c r="W109" s="54">
        <f>'NO VEA CLIENTE'!$V109/(1-'NO VEA CLIENTE'!$X109)-'NO VEA CLIENTE'!$V109</f>
        <v>0</v>
      </c>
      <c r="X109" s="72">
        <f t="shared" ref="X109:Z109" si="272">X$2</f>
        <v>0.13</v>
      </c>
      <c r="Y109" s="72">
        <f t="shared" si="272"/>
        <v>0</v>
      </c>
      <c r="Z109" s="72">
        <f t="shared" si="272"/>
        <v>0</v>
      </c>
      <c r="AA109" s="53">
        <f t="shared" si="4"/>
        <v>0</v>
      </c>
      <c r="AB109" s="63"/>
      <c r="AC109" s="2"/>
      <c r="AD109" s="117"/>
      <c r="AE109" s="71"/>
      <c r="AF109" s="71"/>
      <c r="AG109" s="62">
        <f>'NO VEA CLIENTE'!$AF109/(1-'NO VEA CLIENTE'!$AH109)-'NO VEA CLIENTE'!$AF109</f>
        <v>0</v>
      </c>
      <c r="AH109" s="72">
        <f t="shared" ref="AH109:AJ109" si="273">AH$2</f>
        <v>0.1</v>
      </c>
      <c r="AI109" s="72">
        <f t="shared" si="273"/>
        <v>0</v>
      </c>
      <c r="AJ109" s="72">
        <f t="shared" si="273"/>
        <v>0</v>
      </c>
      <c r="AK109" s="53">
        <f t="shared" si="5"/>
        <v>0</v>
      </c>
      <c r="AL109" s="118"/>
      <c r="AM109" s="2"/>
      <c r="AN109" s="2"/>
      <c r="AO109" s="2"/>
      <c r="AP109" s="2"/>
      <c r="AQ109" s="2"/>
      <c r="AR109" s="2"/>
      <c r="AS109" s="2"/>
      <c r="AT109" s="2"/>
      <c r="AU109" s="2"/>
      <c r="AV109" s="2"/>
      <c r="AW109" s="2"/>
    </row>
    <row r="110" ht="15.75" customHeight="1">
      <c r="A110" s="122"/>
      <c r="B110" s="76"/>
      <c r="C110" s="76"/>
      <c r="D110" s="76"/>
      <c r="E110" s="123"/>
      <c r="F110" s="76"/>
      <c r="G110" s="76"/>
      <c r="H110" s="124"/>
      <c r="I110" s="76"/>
      <c r="J110" s="53">
        <f t="shared" si="1"/>
        <v>0</v>
      </c>
      <c r="K110" s="54">
        <v>0.0</v>
      </c>
      <c r="L110" s="54">
        <f>'NO VEA CLIENTE'!$K110/(1-'NO VEA CLIENTE'!$M110)-'NO VEA CLIENTE'!$K110</f>
        <v>0</v>
      </c>
      <c r="M110" s="74">
        <f t="shared" ref="M110:O110" si="274">M$2</f>
        <v>0.13</v>
      </c>
      <c r="N110" s="74">
        <f t="shared" si="274"/>
        <v>0</v>
      </c>
      <c r="O110" s="74">
        <f t="shared" si="274"/>
        <v>0</v>
      </c>
      <c r="P110" s="53">
        <f t="shared" si="3"/>
        <v>0</v>
      </c>
      <c r="Q110" s="57">
        <f>'NO VEA CLIENTE'!$K110/0.9</f>
        <v>0</v>
      </c>
      <c r="R110" s="2"/>
      <c r="S110" s="58"/>
      <c r="T110" s="59"/>
      <c r="U110" s="71"/>
      <c r="V110" s="71"/>
      <c r="W110" s="54">
        <f>'NO VEA CLIENTE'!$V110/(1-'NO VEA CLIENTE'!$X110)-'NO VEA CLIENTE'!$V110</f>
        <v>0</v>
      </c>
      <c r="X110" s="72">
        <f t="shared" ref="X110:Z110" si="275">X$2</f>
        <v>0.13</v>
      </c>
      <c r="Y110" s="72">
        <f t="shared" si="275"/>
        <v>0</v>
      </c>
      <c r="Z110" s="72">
        <f t="shared" si="275"/>
        <v>0</v>
      </c>
      <c r="AA110" s="53">
        <f t="shared" si="4"/>
        <v>0</v>
      </c>
      <c r="AB110" s="63"/>
      <c r="AC110" s="2"/>
      <c r="AD110" s="117"/>
      <c r="AE110" s="71"/>
      <c r="AF110" s="71"/>
      <c r="AG110" s="62">
        <f>'NO VEA CLIENTE'!$AF110/(1-'NO VEA CLIENTE'!$AH110)-'NO VEA CLIENTE'!$AF110</f>
        <v>0</v>
      </c>
      <c r="AH110" s="72">
        <f t="shared" ref="AH110:AJ110" si="276">AH$2</f>
        <v>0.1</v>
      </c>
      <c r="AI110" s="72">
        <f t="shared" si="276"/>
        <v>0</v>
      </c>
      <c r="AJ110" s="72">
        <f t="shared" si="276"/>
        <v>0</v>
      </c>
      <c r="AK110" s="53">
        <f t="shared" si="5"/>
        <v>0</v>
      </c>
      <c r="AL110" s="118"/>
      <c r="AM110" s="2"/>
      <c r="AN110" s="2"/>
      <c r="AO110" s="2"/>
      <c r="AP110" s="2"/>
      <c r="AQ110" s="2"/>
      <c r="AR110" s="2"/>
      <c r="AS110" s="2"/>
      <c r="AT110" s="2"/>
      <c r="AU110" s="2"/>
      <c r="AV110" s="2"/>
      <c r="AW110" s="2"/>
    </row>
    <row r="111" ht="15.75" customHeight="1">
      <c r="A111" s="122"/>
      <c r="B111" s="76"/>
      <c r="C111" s="76"/>
      <c r="D111" s="76"/>
      <c r="E111" s="123"/>
      <c r="F111" s="76"/>
      <c r="G111" s="76"/>
      <c r="H111" s="124"/>
      <c r="I111" s="76"/>
      <c r="J111" s="53">
        <f t="shared" si="1"/>
        <v>0</v>
      </c>
      <c r="K111" s="54">
        <v>0.0</v>
      </c>
      <c r="L111" s="54">
        <f>'NO VEA CLIENTE'!$K111/(1-'NO VEA CLIENTE'!$M111)-'NO VEA CLIENTE'!$K111</f>
        <v>0</v>
      </c>
      <c r="M111" s="74">
        <f t="shared" ref="M111:O111" si="277">M$2</f>
        <v>0.13</v>
      </c>
      <c r="N111" s="74">
        <f t="shared" si="277"/>
        <v>0</v>
      </c>
      <c r="O111" s="74">
        <f t="shared" si="277"/>
        <v>0</v>
      </c>
      <c r="P111" s="53">
        <f t="shared" si="3"/>
        <v>0</v>
      </c>
      <c r="Q111" s="57">
        <f>'NO VEA CLIENTE'!$K111/0.9</f>
        <v>0</v>
      </c>
      <c r="R111" s="2"/>
      <c r="S111" s="58"/>
      <c r="T111" s="59"/>
      <c r="U111" s="71"/>
      <c r="V111" s="71"/>
      <c r="W111" s="54">
        <f>'NO VEA CLIENTE'!$V111/(1-'NO VEA CLIENTE'!$X111)-'NO VEA CLIENTE'!$V111</f>
        <v>0</v>
      </c>
      <c r="X111" s="72">
        <f t="shared" ref="X111:Z111" si="278">X$2</f>
        <v>0.13</v>
      </c>
      <c r="Y111" s="72">
        <f t="shared" si="278"/>
        <v>0</v>
      </c>
      <c r="Z111" s="72">
        <f t="shared" si="278"/>
        <v>0</v>
      </c>
      <c r="AA111" s="53">
        <f t="shared" si="4"/>
        <v>0</v>
      </c>
      <c r="AB111" s="63"/>
      <c r="AC111" s="2"/>
      <c r="AD111" s="117"/>
      <c r="AE111" s="71"/>
      <c r="AF111" s="71"/>
      <c r="AG111" s="62">
        <f>'NO VEA CLIENTE'!$AF111/(1-'NO VEA CLIENTE'!$AH111)-'NO VEA CLIENTE'!$AF111</f>
        <v>0</v>
      </c>
      <c r="AH111" s="72">
        <f t="shared" ref="AH111:AJ111" si="279">AH$2</f>
        <v>0.1</v>
      </c>
      <c r="AI111" s="72">
        <f t="shared" si="279"/>
        <v>0</v>
      </c>
      <c r="AJ111" s="72">
        <f t="shared" si="279"/>
        <v>0</v>
      </c>
      <c r="AK111" s="53">
        <f t="shared" si="5"/>
        <v>0</v>
      </c>
      <c r="AL111" s="118"/>
      <c r="AM111" s="2"/>
      <c r="AN111" s="2"/>
      <c r="AO111" s="2"/>
      <c r="AP111" s="2"/>
      <c r="AQ111" s="2"/>
      <c r="AR111" s="2"/>
      <c r="AS111" s="2"/>
      <c r="AT111" s="2"/>
      <c r="AU111" s="2"/>
      <c r="AV111" s="2"/>
      <c r="AW111" s="2"/>
    </row>
    <row r="112" ht="15.75" customHeight="1">
      <c r="A112" s="122"/>
      <c r="B112" s="76"/>
      <c r="C112" s="76"/>
      <c r="D112" s="76"/>
      <c r="E112" s="123"/>
      <c r="F112" s="76"/>
      <c r="G112" s="76"/>
      <c r="H112" s="124"/>
      <c r="I112" s="76"/>
      <c r="J112" s="53">
        <f t="shared" si="1"/>
        <v>0</v>
      </c>
      <c r="K112" s="54">
        <v>0.0</v>
      </c>
      <c r="L112" s="54">
        <f>'NO VEA CLIENTE'!$K112/(1-'NO VEA CLIENTE'!$M112)-'NO VEA CLIENTE'!$K112</f>
        <v>0</v>
      </c>
      <c r="M112" s="74">
        <f t="shared" ref="M112:O112" si="280">M$2</f>
        <v>0.13</v>
      </c>
      <c r="N112" s="74">
        <f t="shared" si="280"/>
        <v>0</v>
      </c>
      <c r="O112" s="74">
        <f t="shared" si="280"/>
        <v>0</v>
      </c>
      <c r="P112" s="53">
        <f t="shared" si="3"/>
        <v>0</v>
      </c>
      <c r="Q112" s="57">
        <f>'NO VEA CLIENTE'!$K112/0.9</f>
        <v>0</v>
      </c>
      <c r="R112" s="2"/>
      <c r="S112" s="58"/>
      <c r="T112" s="125"/>
      <c r="U112" s="82"/>
      <c r="V112" s="82"/>
      <c r="W112" s="54">
        <f>'NO VEA CLIENTE'!$V112/(1-'NO VEA CLIENTE'!$X112)-'NO VEA CLIENTE'!$V112</f>
        <v>0</v>
      </c>
      <c r="X112" s="72">
        <f t="shared" ref="X112:Z112" si="281">X$2</f>
        <v>0.13</v>
      </c>
      <c r="Y112" s="72">
        <f t="shared" si="281"/>
        <v>0</v>
      </c>
      <c r="Z112" s="72">
        <f t="shared" si="281"/>
        <v>0</v>
      </c>
      <c r="AA112" s="53">
        <f t="shared" si="4"/>
        <v>0</v>
      </c>
      <c r="AB112" s="63"/>
      <c r="AC112" s="2"/>
      <c r="AD112" s="117"/>
      <c r="AE112" s="82"/>
      <c r="AF112" s="82"/>
      <c r="AG112" s="83">
        <f>'NO VEA CLIENTE'!$AF112/(1-'NO VEA CLIENTE'!$AH112)-'NO VEA CLIENTE'!$AF112</f>
        <v>0</v>
      </c>
      <c r="AH112" s="72">
        <f t="shared" ref="AH112:AJ112" si="282">AH$2</f>
        <v>0.1</v>
      </c>
      <c r="AI112" s="72">
        <f t="shared" si="282"/>
        <v>0</v>
      </c>
      <c r="AJ112" s="72">
        <f t="shared" si="282"/>
        <v>0</v>
      </c>
      <c r="AK112" s="53">
        <f t="shared" si="5"/>
        <v>0</v>
      </c>
      <c r="AL112" s="118"/>
      <c r="AM112" s="2"/>
      <c r="AN112" s="2"/>
      <c r="AO112" s="2"/>
      <c r="AP112" s="2"/>
      <c r="AQ112" s="2"/>
      <c r="AR112" s="2"/>
      <c r="AS112" s="2"/>
      <c r="AT112" s="2"/>
      <c r="AU112" s="2"/>
      <c r="AV112" s="2"/>
      <c r="AW112" s="2"/>
    </row>
    <row r="113" ht="15.75" customHeight="1">
      <c r="A113" s="102"/>
      <c r="B113" s="102"/>
      <c r="C113" s="102"/>
      <c r="D113" s="126"/>
      <c r="E113" s="126"/>
      <c r="F113" s="126"/>
      <c r="G113" s="126"/>
      <c r="H113" s="126"/>
      <c r="I113" s="86" t="s">
        <v>26</v>
      </c>
      <c r="J113" s="87"/>
      <c r="K113" s="88">
        <f>SUM('NO VEA CLIENTE'!$K$13:$K$112)</f>
        <v>16875.73</v>
      </c>
      <c r="L113" s="89"/>
      <c r="M113" s="89"/>
      <c r="N113" s="89"/>
      <c r="O113" s="102"/>
      <c r="P113" s="88">
        <f>SUM('NO VEA CLIENTE'!$P$13:$P$112)</f>
        <v>20162.23793</v>
      </c>
      <c r="Q113" s="102"/>
      <c r="R113" s="102"/>
      <c r="S113" s="102"/>
      <c r="T113" s="86" t="s">
        <v>75</v>
      </c>
      <c r="U113" s="87"/>
      <c r="V113" s="91">
        <f>SUM('NO VEA CLIENTE'!$V$13:$V$112)</f>
        <v>2850</v>
      </c>
      <c r="W113" s="89"/>
      <c r="X113" s="89"/>
      <c r="Y113" s="102"/>
      <c r="Z113" s="102"/>
      <c r="AA113" s="92">
        <f>SUM('NO VEA CLIENTE'!$AA$13:$AA$112)</f>
        <v>3385.243377</v>
      </c>
      <c r="AB113" s="102"/>
      <c r="AC113" s="102"/>
      <c r="AD113" s="86" t="s">
        <v>75</v>
      </c>
      <c r="AE113" s="87"/>
      <c r="AF113" s="91">
        <f>SUM('NO VEA CLIENTE'!$AF$13:$AF$112)</f>
        <v>800</v>
      </c>
      <c r="AG113" s="89"/>
      <c r="AH113" s="102"/>
      <c r="AI113" s="105"/>
      <c r="AJ113" s="102"/>
      <c r="AK113" s="92">
        <f>SUM('NO VEA CLIENTE'!$AK$13:$AK$112)</f>
        <v>1108.382937</v>
      </c>
      <c r="AL113" s="102"/>
      <c r="AM113" s="2"/>
      <c r="AN113" s="2"/>
      <c r="AO113" s="2"/>
      <c r="AP113" s="2"/>
      <c r="AQ113" s="2"/>
      <c r="AR113" s="2"/>
      <c r="AS113" s="2"/>
      <c r="AT113" s="2"/>
      <c r="AU113" s="2"/>
      <c r="AV113" s="2"/>
      <c r="AW113" s="2"/>
    </row>
    <row r="114" ht="15.75" customHeight="1">
      <c r="A114" s="2"/>
      <c r="B114" s="2"/>
      <c r="C114" s="2"/>
      <c r="D114" s="85"/>
      <c r="E114" s="85"/>
      <c r="F114" s="85"/>
      <c r="G114" s="85"/>
      <c r="H114" s="85"/>
      <c r="I114" s="94"/>
      <c r="J114" s="94"/>
      <c r="K114" s="94"/>
      <c r="L114" s="94"/>
      <c r="M114" s="94"/>
      <c r="N114" s="94"/>
      <c r="O114" s="94"/>
      <c r="P114" s="96"/>
      <c r="Q114" s="2"/>
      <c r="R114" s="2"/>
      <c r="S114" s="2"/>
      <c r="T114" s="2"/>
      <c r="U114" s="2"/>
      <c r="V114" s="94"/>
      <c r="W114" s="94"/>
      <c r="X114" s="94"/>
      <c r="Y114" s="94"/>
      <c r="Z114" s="2"/>
      <c r="AA114" s="2"/>
      <c r="AB114" s="2"/>
      <c r="AC114" s="2"/>
      <c r="AD114" s="2"/>
      <c r="AE114" s="94"/>
      <c r="AF114" s="94"/>
      <c r="AG114" s="94"/>
      <c r="AH114" s="94"/>
      <c r="AI114" s="96"/>
      <c r="AJ114" s="2"/>
      <c r="AK114" s="2"/>
      <c r="AL114" s="2"/>
      <c r="AM114" s="2"/>
      <c r="AN114" s="2"/>
      <c r="AO114" s="2"/>
      <c r="AP114" s="2"/>
      <c r="AQ114" s="2"/>
      <c r="AR114" s="2"/>
      <c r="AS114" s="2"/>
      <c r="AT114" s="2"/>
      <c r="AU114" s="2"/>
      <c r="AV114" s="2"/>
      <c r="AW114" s="2"/>
    </row>
    <row r="115" ht="15.75" customHeight="1">
      <c r="A115" s="2"/>
      <c r="B115" s="2"/>
      <c r="C115" s="2"/>
      <c r="D115" s="85"/>
      <c r="E115" s="85"/>
      <c r="F115" s="85"/>
      <c r="G115" s="85"/>
      <c r="H115" s="85"/>
      <c r="I115" s="97"/>
      <c r="J115" s="97"/>
      <c r="K115" s="97"/>
      <c r="L115" s="97"/>
      <c r="M115" s="97"/>
      <c r="N115" s="97"/>
      <c r="O115" s="97"/>
      <c r="P115" s="96"/>
      <c r="Q115" s="2"/>
      <c r="R115" s="2"/>
      <c r="S115" s="2"/>
      <c r="T115" s="2"/>
      <c r="U115" s="2"/>
      <c r="V115" s="97"/>
      <c r="W115" s="97"/>
      <c r="X115" s="97"/>
      <c r="Y115" s="97"/>
      <c r="Z115" s="2"/>
      <c r="AA115" s="2"/>
      <c r="AB115" s="2"/>
      <c r="AC115" s="2"/>
      <c r="AD115" s="2"/>
      <c r="AE115" s="97"/>
      <c r="AF115" s="97"/>
      <c r="AG115" s="97"/>
      <c r="AH115" s="97"/>
      <c r="AI115" s="96"/>
      <c r="AJ115" s="2"/>
      <c r="AK115" s="2"/>
      <c r="AL115" s="2"/>
      <c r="AM115" s="2"/>
      <c r="AN115" s="2"/>
      <c r="AO115" s="2"/>
      <c r="AP115" s="2"/>
      <c r="AQ115" s="2"/>
      <c r="AR115" s="2"/>
      <c r="AS115" s="2"/>
      <c r="AT115" s="2"/>
      <c r="AU115" s="2"/>
      <c r="AV115" s="2"/>
      <c r="AW115" s="2"/>
    </row>
    <row r="116" ht="15.75" customHeight="1">
      <c r="A116" s="2"/>
      <c r="B116" s="2"/>
      <c r="C116" s="2"/>
      <c r="D116" s="2"/>
      <c r="E116" s="2"/>
      <c r="F116" s="2"/>
      <c r="G116" s="2"/>
      <c r="H116" s="2"/>
      <c r="I116" s="2"/>
      <c r="J116" s="2"/>
      <c r="K116" s="2"/>
      <c r="L116" s="2"/>
      <c r="M116" s="127" t="s">
        <v>95</v>
      </c>
      <c r="N116" s="128" t="s">
        <v>96</v>
      </c>
      <c r="O116" s="129">
        <f>SUM('VEA CLIENTE'!$AE$13:$AE$112)</f>
        <v>993.9970157</v>
      </c>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row>
    <row r="117" ht="15.75" customHeight="1">
      <c r="A117" s="2"/>
      <c r="B117" s="2"/>
      <c r="C117" s="2"/>
      <c r="D117" s="2"/>
      <c r="E117" s="2"/>
      <c r="F117" s="2"/>
      <c r="G117" s="2"/>
      <c r="H117" s="2"/>
      <c r="I117" s="2"/>
      <c r="J117" s="2"/>
      <c r="K117" s="2"/>
      <c r="L117" s="2"/>
      <c r="M117" s="130" t="s">
        <v>95</v>
      </c>
      <c r="N117" s="131" t="s">
        <v>97</v>
      </c>
      <c r="O117" s="129">
        <f>(SUM('VEA CLIENTE'!$AO$13:$AO$112)-SUM('VEA CLIENTE'!$AR$13:$AR$112))</f>
        <v>2449.959576</v>
      </c>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row>
    <row r="118" ht="15.75" customHeight="1">
      <c r="A118" s="2"/>
      <c r="B118" s="2"/>
      <c r="C118" s="2"/>
      <c r="D118" s="2"/>
      <c r="E118" s="2"/>
      <c r="F118" s="2"/>
      <c r="G118" s="2"/>
      <c r="H118" s="2"/>
      <c r="I118" s="2"/>
      <c r="J118" s="2"/>
      <c r="K118" s="2"/>
      <c r="L118" s="2"/>
      <c r="M118" s="102"/>
      <c r="N118" s="2"/>
      <c r="O118" s="10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row>
    <row r="119" ht="15.75" customHeight="1">
      <c r="A119" s="2"/>
      <c r="B119" s="2"/>
      <c r="C119" s="2"/>
      <c r="D119" s="2"/>
      <c r="E119" s="2"/>
      <c r="F119" s="2"/>
      <c r="G119" s="2"/>
      <c r="H119" s="2"/>
      <c r="I119" s="2"/>
      <c r="J119" s="2"/>
      <c r="K119" s="2"/>
      <c r="L119" s="2"/>
      <c r="M119" s="2"/>
      <c r="N119" s="132" t="s">
        <v>6</v>
      </c>
      <c r="O119" s="29">
        <f>SUM('NO VEA CLIENTE'!$P$13:$P$112)+SUM('VEA CLIENTE'!$AE$13:$AE$112)+(SUM('VEA CLIENTE'!$AO$13:$AO$112)-SUM('VEA CLIENTE'!$AR$13:$AR$112)+SUM('NO VEA CLIENTE'!$AA$13:$AA$112)+SUM('NO VEA CLIENTE'!$AK$13:$AK$112))</f>
        <v>28099.82083</v>
      </c>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row>
    <row r="120" ht="15.75" customHeight="1">
      <c r="A120" s="2"/>
      <c r="B120" s="2"/>
      <c r="C120" s="2"/>
      <c r="D120" s="2"/>
      <c r="E120" s="2"/>
      <c r="F120" s="2"/>
      <c r="G120" s="2"/>
      <c r="H120" s="2"/>
      <c r="I120" s="2"/>
      <c r="J120" s="2"/>
      <c r="K120" s="2"/>
      <c r="L120" s="2"/>
      <c r="M120" s="2"/>
      <c r="N120" s="2"/>
      <c r="O120" s="10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row>
    <row r="121" ht="15.75" customHeight="1">
      <c r="A121" s="2"/>
      <c r="B121" s="2"/>
      <c r="C121" s="2"/>
      <c r="D121" s="2"/>
      <c r="E121" s="2"/>
      <c r="F121" s="2"/>
      <c r="G121" s="2"/>
      <c r="H121" s="2"/>
      <c r="I121" s="2"/>
      <c r="J121" s="2"/>
      <c r="K121" s="2"/>
      <c r="L121" s="2"/>
      <c r="M121" s="2"/>
      <c r="N121" s="2"/>
      <c r="O121" s="18"/>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row>
    <row r="122" ht="15.75" customHeight="1">
      <c r="A122" s="2"/>
      <c r="B122" s="2"/>
      <c r="C122" s="2"/>
      <c r="D122" s="2"/>
      <c r="E122" s="2"/>
      <c r="F122" s="2"/>
      <c r="G122" s="2"/>
      <c r="H122" s="2"/>
      <c r="I122" s="2"/>
      <c r="J122" s="2"/>
      <c r="K122" s="2"/>
      <c r="L122" s="2"/>
      <c r="M122" s="2"/>
      <c r="N122" s="2"/>
      <c r="O122" s="18"/>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row>
    <row r="123" ht="15.75" customHeight="1">
      <c r="A123" s="2"/>
      <c r="B123" s="2"/>
      <c r="C123" s="2"/>
      <c r="D123" s="2"/>
      <c r="E123" s="2"/>
      <c r="F123" s="2"/>
      <c r="G123" s="2"/>
      <c r="H123" s="2"/>
      <c r="I123" s="2"/>
      <c r="J123" s="13"/>
      <c r="K123" s="18"/>
      <c r="L123" s="18"/>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row>
    <row r="124" ht="15.75" customHeight="1">
      <c r="A124" s="2"/>
      <c r="B124" s="2"/>
      <c r="C124" s="2"/>
      <c r="D124" s="2"/>
      <c r="E124" s="2"/>
      <c r="F124" s="2"/>
      <c r="G124" s="2"/>
      <c r="H124" s="2"/>
      <c r="I124" s="2"/>
      <c r="J124" s="13"/>
      <c r="K124" s="18"/>
      <c r="L124" s="18"/>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row>
    <row r="125" ht="15.75" customHeight="1">
      <c r="A125" s="2"/>
      <c r="B125" s="2"/>
      <c r="C125" s="2"/>
      <c r="D125" s="2"/>
      <c r="E125" s="2"/>
      <c r="F125" s="2"/>
      <c r="G125" s="2"/>
      <c r="H125" s="2"/>
      <c r="I125" s="2"/>
      <c r="J125" s="13"/>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row>
    <row r="127" ht="15.75" customHeight="1">
      <c r="A127" s="2"/>
      <c r="B127" s="2"/>
      <c r="C127" s="2"/>
      <c r="D127" s="2"/>
      <c r="E127" s="2"/>
      <c r="F127" s="2"/>
      <c r="G127" s="2"/>
      <c r="H127" s="2"/>
      <c r="I127" s="2"/>
      <c r="J127" s="13"/>
      <c r="K127" s="2"/>
      <c r="L127" s="18"/>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row>
    <row r="128" ht="15.75" customHeight="1">
      <c r="A128" s="2"/>
      <c r="B128" s="2"/>
      <c r="C128" s="2"/>
      <c r="D128" s="2"/>
      <c r="E128" s="2"/>
      <c r="F128" s="2"/>
      <c r="G128" s="2"/>
      <c r="H128" s="2"/>
      <c r="I128" s="2"/>
      <c r="J128" s="13"/>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row>
    <row r="129" ht="15.75" customHeight="1">
      <c r="A129" s="2"/>
      <c r="B129" s="2"/>
      <c r="C129" s="2"/>
      <c r="D129" s="2"/>
      <c r="E129" s="2"/>
      <c r="F129" s="2"/>
      <c r="G129" s="2"/>
      <c r="H129" s="2"/>
      <c r="I129" s="2"/>
      <c r="J129" s="2"/>
      <c r="K129" s="13"/>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row>
  </sheetData>
  <mergeCells count="9">
    <mergeCell ref="T113:U113"/>
    <mergeCell ref="AD113:AE113"/>
    <mergeCell ref="A10:Q10"/>
    <mergeCell ref="S10:AB10"/>
    <mergeCell ref="AD10:AL10"/>
    <mergeCell ref="I11:J11"/>
    <mergeCell ref="T11:U11"/>
    <mergeCell ref="AD11:AE11"/>
    <mergeCell ref="I113:J113"/>
  </mergeCells>
  <conditionalFormatting sqref="I114:O115 P113:P115 AG114:AH115 AI113:AI115">
    <cfRule type="cellIs" dxfId="0" priority="1" operator="greaterThanOrEqual">
      <formula>1</formula>
    </cfRule>
  </conditionalFormatting>
  <conditionalFormatting sqref="AE114:AF115">
    <cfRule type="cellIs" dxfId="0" priority="2" operator="greaterThanOrEqual">
      <formula>1</formula>
    </cfRule>
  </conditionalFormatting>
  <conditionalFormatting sqref="V114:W115">
    <cfRule type="cellIs" dxfId="0" priority="3" operator="greaterThanOrEqual">
      <formula>1</formula>
    </cfRule>
  </conditionalFormatting>
  <conditionalFormatting sqref="X114:Y115">
    <cfRule type="cellIs" dxfId="0" priority="4" operator="greaterThanOrEqual">
      <formula>1</formula>
    </cfRule>
  </conditionalFormatting>
  <conditionalFormatting sqref="AI11">
    <cfRule type="cellIs" dxfId="0" priority="5" operator="greaterThanOrEqual">
      <formula>1</formula>
    </cfRule>
  </conditionalFormatting>
  <printOptions/>
  <pageMargins bottom="0.75" footer="0.0" header="0.0" left="0.7" right="0.7" top="0.75"/>
  <pageSetup orientation="portrait"/>
  <drawing r:id="rId1"/>
  <tableParts count="3">
    <tablePart r:id="rId5"/>
    <tablePart r:id="rId6"/>
    <tablePart r:id="rId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59.13"/>
    <col customWidth="1" min="2" max="2" width="31.0"/>
    <col customWidth="1" min="3" max="3" width="26.0"/>
    <col customWidth="1" min="4" max="4" width="35.63"/>
    <col customWidth="1" min="5" max="5" width="28.25"/>
    <col customWidth="1" min="6" max="6" width="28.13"/>
    <col customWidth="1" hidden="1" min="7" max="7" width="10.0"/>
    <col customWidth="1" min="8" max="8" width="13.0"/>
    <col customWidth="1" min="9" max="9" width="2.75"/>
    <col customWidth="1" min="10" max="10" width="8.0"/>
    <col customWidth="1" min="11" max="26" width="9.5"/>
  </cols>
  <sheetData>
    <row r="1">
      <c r="A1" s="133" t="s">
        <v>98</v>
      </c>
      <c r="B1" s="134">
        <v>43767.0</v>
      </c>
      <c r="C1" s="2"/>
      <c r="D1" s="135" t="s">
        <v>99</v>
      </c>
      <c r="E1" s="136" t="s">
        <v>100</v>
      </c>
      <c r="F1" s="2"/>
      <c r="G1" s="2"/>
      <c r="H1" s="2"/>
      <c r="I1" s="2"/>
      <c r="J1" s="2"/>
      <c r="K1" s="2"/>
      <c r="L1" s="2"/>
      <c r="M1" s="2"/>
      <c r="N1" s="2"/>
      <c r="O1" s="2"/>
      <c r="P1" s="2"/>
      <c r="Q1" s="2"/>
      <c r="R1" s="2"/>
      <c r="S1" s="2"/>
      <c r="T1" s="2"/>
      <c r="U1" s="2"/>
      <c r="V1" s="2"/>
      <c r="W1" s="2"/>
      <c r="X1" s="2"/>
      <c r="Y1" s="2"/>
      <c r="Z1" s="2"/>
    </row>
    <row r="2">
      <c r="A2" s="133" t="s">
        <v>101</v>
      </c>
      <c r="B2" s="137" t="s">
        <v>102</v>
      </c>
      <c r="C2" s="133" t="s">
        <v>103</v>
      </c>
      <c r="D2" s="138" t="s">
        <v>104</v>
      </c>
      <c r="F2" s="2"/>
      <c r="G2" s="2"/>
      <c r="H2" s="2"/>
      <c r="I2" s="2"/>
      <c r="J2" s="2"/>
      <c r="K2" s="2"/>
      <c r="L2" s="2"/>
      <c r="M2" s="2"/>
      <c r="N2" s="2"/>
      <c r="O2" s="2"/>
      <c r="P2" s="2"/>
      <c r="Q2" s="2"/>
      <c r="R2" s="2"/>
      <c r="S2" s="2"/>
      <c r="T2" s="2"/>
      <c r="U2" s="2"/>
      <c r="V2" s="2"/>
      <c r="W2" s="2"/>
      <c r="X2" s="2"/>
      <c r="Y2" s="2"/>
      <c r="Z2" s="2"/>
    </row>
    <row r="3">
      <c r="A3" s="133" t="s">
        <v>105</v>
      </c>
      <c r="B3" s="139" t="s">
        <v>102</v>
      </c>
      <c r="C3" s="133" t="s">
        <v>106</v>
      </c>
      <c r="D3" s="140" t="s">
        <v>104</v>
      </c>
      <c r="E3" s="139"/>
      <c r="F3" s="141"/>
      <c r="G3" s="141"/>
      <c r="H3" s="141"/>
      <c r="I3" s="2"/>
      <c r="J3" s="2"/>
      <c r="K3" s="2"/>
      <c r="L3" s="2"/>
      <c r="M3" s="2"/>
      <c r="N3" s="2"/>
      <c r="O3" s="2"/>
      <c r="P3" s="2"/>
      <c r="Q3" s="2"/>
      <c r="R3" s="2"/>
      <c r="S3" s="2"/>
      <c r="T3" s="2"/>
      <c r="U3" s="2"/>
      <c r="V3" s="2"/>
      <c r="W3" s="2"/>
      <c r="X3" s="2"/>
      <c r="Y3" s="2"/>
      <c r="Z3" s="2"/>
    </row>
    <row r="4">
      <c r="A4" s="133" t="s">
        <v>107</v>
      </c>
      <c r="B4" s="142" t="s">
        <v>102</v>
      </c>
      <c r="C4" s="133" t="s">
        <v>108</v>
      </c>
      <c r="D4" s="142">
        <v>1.23456789E8</v>
      </c>
      <c r="E4" s="142"/>
      <c r="F4" s="2"/>
      <c r="G4" s="2"/>
      <c r="H4" s="2"/>
      <c r="I4" s="2"/>
      <c r="J4" s="2"/>
      <c r="K4" s="2"/>
      <c r="L4" s="2"/>
      <c r="M4" s="2"/>
      <c r="N4" s="2"/>
      <c r="O4" s="2"/>
      <c r="P4" s="2"/>
      <c r="Q4" s="2"/>
      <c r="R4" s="2"/>
      <c r="S4" s="2"/>
      <c r="T4" s="2"/>
      <c r="U4" s="2"/>
      <c r="V4" s="2"/>
      <c r="W4" s="2"/>
      <c r="X4" s="2"/>
      <c r="Y4" s="2"/>
      <c r="Z4" s="2"/>
    </row>
    <row r="5">
      <c r="A5" s="133" t="s">
        <v>109</v>
      </c>
      <c r="B5" s="142">
        <v>3456789.0</v>
      </c>
      <c r="C5" s="133" t="s">
        <v>110</v>
      </c>
      <c r="D5" s="143">
        <v>1234.0</v>
      </c>
      <c r="E5" s="142"/>
      <c r="F5" s="2"/>
      <c r="G5" s="2"/>
      <c r="H5" s="2"/>
      <c r="I5" s="2"/>
      <c r="J5" s="2"/>
      <c r="K5" s="2"/>
      <c r="L5" s="2"/>
      <c r="M5" s="2"/>
      <c r="N5" s="2"/>
      <c r="O5" s="2"/>
      <c r="P5" s="2"/>
      <c r="Q5" s="2"/>
      <c r="R5" s="2"/>
      <c r="S5" s="2"/>
      <c r="T5" s="2"/>
      <c r="U5" s="2"/>
      <c r="V5" s="2"/>
      <c r="W5" s="2"/>
      <c r="X5" s="2"/>
      <c r="Y5" s="2"/>
      <c r="Z5" s="2"/>
    </row>
    <row r="6">
      <c r="A6" s="133" t="s">
        <v>110</v>
      </c>
      <c r="B6" s="143">
        <v>1234.0</v>
      </c>
      <c r="C6" s="133" t="s">
        <v>111</v>
      </c>
      <c r="D6" s="143" t="s">
        <v>104</v>
      </c>
      <c r="F6" s="2"/>
      <c r="G6" s="2"/>
      <c r="H6" s="2"/>
      <c r="I6" s="2"/>
      <c r="J6" s="2"/>
      <c r="K6" s="2"/>
      <c r="L6" s="2"/>
      <c r="M6" s="2"/>
      <c r="N6" s="2"/>
      <c r="O6" s="2"/>
      <c r="P6" s="2"/>
      <c r="Q6" s="2"/>
      <c r="R6" s="2"/>
      <c r="S6" s="2"/>
      <c r="T6" s="2"/>
      <c r="U6" s="2"/>
      <c r="V6" s="2"/>
      <c r="W6" s="2"/>
      <c r="X6" s="2"/>
      <c r="Y6" s="2"/>
      <c r="Z6" s="2"/>
    </row>
    <row r="7">
      <c r="A7" s="133" t="s">
        <v>112</v>
      </c>
      <c r="B7" s="144" t="s">
        <v>113</v>
      </c>
      <c r="C7" s="133" t="s">
        <v>114</v>
      </c>
      <c r="D7" s="142">
        <v>1.23456789E9</v>
      </c>
      <c r="E7" s="142"/>
      <c r="F7" s="2"/>
      <c r="G7" s="2"/>
      <c r="H7" s="2"/>
      <c r="I7" s="2"/>
      <c r="J7" s="2"/>
      <c r="K7" s="2"/>
      <c r="L7" s="2"/>
      <c r="M7" s="2"/>
      <c r="N7" s="2"/>
      <c r="O7" s="2"/>
      <c r="P7" s="2"/>
      <c r="Q7" s="2"/>
      <c r="R7" s="2"/>
      <c r="S7" s="2"/>
      <c r="T7" s="2"/>
      <c r="U7" s="2"/>
      <c r="V7" s="2"/>
      <c r="W7" s="2"/>
      <c r="X7" s="2"/>
      <c r="Y7" s="2"/>
      <c r="Z7" s="2"/>
    </row>
    <row r="8">
      <c r="A8" s="133" t="s">
        <v>114</v>
      </c>
      <c r="B8" s="142">
        <v>1.23456789E8</v>
      </c>
      <c r="C8" s="133" t="s">
        <v>112</v>
      </c>
      <c r="D8" s="145" t="s">
        <v>115</v>
      </c>
      <c r="F8" s="2"/>
      <c r="G8" s="2"/>
      <c r="H8" s="2"/>
      <c r="I8" s="2"/>
      <c r="J8" s="2"/>
      <c r="K8" s="2"/>
      <c r="L8" s="2"/>
      <c r="M8" s="2"/>
      <c r="N8" s="2"/>
      <c r="O8" s="2"/>
      <c r="P8" s="2"/>
      <c r="Q8" s="2"/>
      <c r="R8" s="2"/>
      <c r="S8" s="2"/>
      <c r="T8" s="2"/>
      <c r="U8" s="2"/>
      <c r="V8" s="2"/>
      <c r="W8" s="2"/>
      <c r="X8" s="2"/>
      <c r="Y8" s="2"/>
      <c r="Z8" s="2"/>
    </row>
    <row r="9">
      <c r="A9" s="133" t="s">
        <v>116</v>
      </c>
      <c r="B9" s="146"/>
      <c r="C9" s="133"/>
      <c r="D9" s="147"/>
      <c r="E9" s="147"/>
      <c r="F9" s="2"/>
      <c r="G9" s="2"/>
      <c r="H9" s="2"/>
      <c r="I9" s="2"/>
      <c r="J9" s="2"/>
      <c r="K9" s="2"/>
      <c r="L9" s="2"/>
      <c r="M9" s="2"/>
      <c r="N9" s="2"/>
      <c r="O9" s="2"/>
      <c r="P9" s="2"/>
      <c r="Q9" s="2"/>
      <c r="R9" s="2"/>
      <c r="S9" s="2"/>
      <c r="T9" s="2"/>
      <c r="U9" s="2"/>
      <c r="V9" s="2"/>
      <c r="W9" s="2"/>
      <c r="X9" s="2"/>
      <c r="Y9" s="2"/>
      <c r="Z9" s="2"/>
    </row>
    <row r="10">
      <c r="A10" s="133"/>
      <c r="B10" s="146"/>
      <c r="C10" s="133"/>
      <c r="D10" s="147"/>
      <c r="E10" s="147"/>
      <c r="F10" s="2"/>
      <c r="G10" s="2"/>
      <c r="H10" s="2"/>
      <c r="I10" s="2"/>
      <c r="J10" s="2"/>
      <c r="K10" s="2"/>
      <c r="L10" s="2"/>
      <c r="M10" s="2"/>
      <c r="N10" s="2"/>
      <c r="O10" s="2"/>
      <c r="P10" s="2"/>
      <c r="Q10" s="2"/>
      <c r="R10" s="2"/>
      <c r="S10" s="2"/>
      <c r="T10" s="2"/>
      <c r="U10" s="2"/>
      <c r="V10" s="2"/>
      <c r="W10" s="2"/>
      <c r="X10" s="2"/>
      <c r="Y10" s="2"/>
      <c r="Z10" s="2"/>
    </row>
    <row r="11">
      <c r="A11" s="148"/>
      <c r="B11" s="149"/>
      <c r="C11" s="149"/>
      <c r="D11" s="149"/>
      <c r="E11" s="149"/>
      <c r="F11" s="2"/>
      <c r="G11" s="2"/>
      <c r="H11" s="2"/>
      <c r="I11" s="2"/>
      <c r="J11" s="2"/>
      <c r="K11" s="2"/>
      <c r="L11" s="2"/>
      <c r="M11" s="2"/>
      <c r="N11" s="2"/>
      <c r="O11" s="2"/>
      <c r="P11" s="2"/>
      <c r="Q11" s="2"/>
      <c r="R11" s="2"/>
      <c r="S11" s="2"/>
      <c r="T11" s="2"/>
      <c r="U11" s="2"/>
      <c r="V11" s="2"/>
      <c r="W11" s="2"/>
      <c r="X11" s="2"/>
      <c r="Y11" s="2"/>
      <c r="Z11" s="2"/>
    </row>
    <row r="12" ht="19.5" customHeight="1">
      <c r="A12" s="150"/>
      <c r="B12" s="151"/>
      <c r="C12" s="150"/>
      <c r="D12" s="152"/>
      <c r="E12" s="152"/>
      <c r="F12" s="2"/>
      <c r="G12" s="2"/>
      <c r="H12" s="2"/>
      <c r="I12" s="2"/>
      <c r="J12" s="2"/>
      <c r="K12" s="2"/>
      <c r="L12" s="2"/>
      <c r="M12" s="2"/>
      <c r="N12" s="2"/>
      <c r="O12" s="2"/>
      <c r="P12" s="2"/>
      <c r="Q12" s="2"/>
      <c r="R12" s="2"/>
      <c r="S12" s="2"/>
      <c r="T12" s="2"/>
      <c r="U12" s="2"/>
      <c r="V12" s="2"/>
      <c r="W12" s="2"/>
      <c r="X12" s="2"/>
      <c r="Y12" s="2"/>
      <c r="Z12" s="2"/>
    </row>
    <row r="13">
      <c r="E13" s="152"/>
      <c r="F13" s="2"/>
      <c r="G13" s="2"/>
      <c r="H13" s="2"/>
      <c r="I13" s="2"/>
      <c r="J13" s="2"/>
      <c r="K13" s="2"/>
      <c r="L13" s="2"/>
      <c r="M13" s="2"/>
      <c r="N13" s="2"/>
      <c r="O13" s="2"/>
      <c r="P13" s="2"/>
      <c r="Q13" s="2"/>
      <c r="R13" s="2"/>
      <c r="S13" s="2"/>
      <c r="T13" s="2"/>
      <c r="U13" s="2"/>
      <c r="V13" s="2"/>
      <c r="W13" s="2"/>
      <c r="X13" s="2"/>
      <c r="Y13" s="2"/>
      <c r="Z13" s="2"/>
    </row>
    <row r="14">
      <c r="E14" s="152"/>
      <c r="F14" s="2"/>
      <c r="G14" s="2"/>
      <c r="H14" s="2"/>
      <c r="I14" s="2"/>
      <c r="J14" s="2"/>
      <c r="K14" s="2"/>
      <c r="L14" s="2"/>
      <c r="M14" s="2"/>
      <c r="N14" s="2"/>
      <c r="O14" s="2"/>
      <c r="P14" s="2"/>
      <c r="Q14" s="2"/>
      <c r="R14" s="2"/>
      <c r="S14" s="2"/>
      <c r="T14" s="2"/>
      <c r="U14" s="2"/>
      <c r="V14" s="2"/>
      <c r="W14" s="2"/>
      <c r="X14" s="2"/>
      <c r="Y14" s="2"/>
      <c r="Z14" s="2"/>
    </row>
    <row r="15">
      <c r="F15" s="2"/>
      <c r="G15" s="2"/>
      <c r="H15" s="2"/>
      <c r="I15" s="2"/>
      <c r="J15" s="2"/>
      <c r="K15" s="2"/>
      <c r="L15" s="2"/>
      <c r="M15" s="2"/>
      <c r="N15" s="2"/>
      <c r="O15" s="2"/>
      <c r="P15" s="2"/>
      <c r="Q15" s="2"/>
      <c r="R15" s="2"/>
      <c r="S15" s="2"/>
      <c r="T15" s="2"/>
      <c r="U15" s="2"/>
      <c r="V15" s="2"/>
      <c r="W15" s="2"/>
      <c r="X15" s="2"/>
      <c r="Y15" s="2"/>
      <c r="Z15" s="2"/>
    </row>
    <row r="16">
      <c r="E16" s="152"/>
      <c r="F16" s="2"/>
      <c r="G16" s="2"/>
      <c r="H16" s="2"/>
      <c r="I16" s="2"/>
      <c r="J16" s="2"/>
      <c r="K16" s="2"/>
      <c r="L16" s="2"/>
      <c r="M16" s="2"/>
      <c r="N16" s="2"/>
      <c r="O16" s="2"/>
      <c r="P16" s="2"/>
      <c r="Q16" s="2"/>
      <c r="R16" s="2"/>
      <c r="S16" s="2"/>
      <c r="T16" s="2"/>
      <c r="U16" s="2"/>
      <c r="V16" s="2"/>
      <c r="W16" s="2"/>
      <c r="X16" s="2"/>
      <c r="Y16" s="2"/>
      <c r="Z16" s="2"/>
    </row>
    <row r="17">
      <c r="E17" s="152"/>
      <c r="F17" s="2"/>
      <c r="G17" s="2"/>
      <c r="H17" s="2"/>
      <c r="I17" s="2"/>
      <c r="J17" s="2"/>
      <c r="K17" s="2"/>
      <c r="L17" s="2"/>
      <c r="M17" s="2"/>
      <c r="N17" s="2"/>
      <c r="O17" s="2"/>
      <c r="P17" s="2"/>
      <c r="Q17" s="2"/>
      <c r="R17" s="2"/>
      <c r="S17" s="2"/>
      <c r="T17" s="2"/>
      <c r="U17" s="2"/>
      <c r="V17" s="2"/>
      <c r="W17" s="2"/>
      <c r="X17" s="2"/>
      <c r="Y17" s="2"/>
      <c r="Z17" s="2"/>
    </row>
    <row r="18">
      <c r="E18" s="152"/>
      <c r="F18" s="2"/>
      <c r="G18" s="2"/>
      <c r="H18" s="2"/>
      <c r="I18" s="2"/>
      <c r="J18" s="2"/>
      <c r="K18" s="2"/>
      <c r="L18" s="2"/>
      <c r="M18" s="2"/>
      <c r="N18" s="2"/>
      <c r="O18" s="2"/>
      <c r="P18" s="2"/>
      <c r="Q18" s="2"/>
      <c r="R18" s="2"/>
      <c r="S18" s="2"/>
      <c r="T18" s="2"/>
      <c r="U18" s="2"/>
      <c r="V18" s="2"/>
      <c r="W18" s="2"/>
      <c r="X18" s="2"/>
      <c r="Y18" s="2"/>
      <c r="Z18" s="2"/>
    </row>
    <row r="19">
      <c r="E19" s="152"/>
      <c r="F19" s="2"/>
      <c r="G19" s="2"/>
      <c r="H19" s="2"/>
      <c r="I19" s="2"/>
      <c r="J19" s="2"/>
      <c r="K19" s="2"/>
      <c r="L19" s="2"/>
      <c r="M19" s="2"/>
      <c r="N19" s="2"/>
      <c r="O19" s="2"/>
      <c r="P19" s="2"/>
      <c r="Q19" s="2"/>
      <c r="R19" s="2"/>
      <c r="S19" s="2"/>
      <c r="T19" s="2"/>
      <c r="U19" s="2"/>
      <c r="V19" s="2"/>
      <c r="W19" s="2"/>
      <c r="X19" s="2"/>
      <c r="Y19" s="2"/>
      <c r="Z19" s="2"/>
    </row>
    <row r="20">
      <c r="E20" s="152"/>
      <c r="F20" s="2"/>
      <c r="G20" s="2"/>
      <c r="H20" s="2"/>
      <c r="I20" s="2"/>
      <c r="J20" s="2"/>
      <c r="K20" s="2"/>
      <c r="L20" s="2"/>
      <c r="M20" s="2"/>
      <c r="N20" s="2"/>
      <c r="O20" s="2"/>
      <c r="P20" s="2"/>
      <c r="Q20" s="2"/>
      <c r="R20" s="2"/>
      <c r="S20" s="2"/>
      <c r="T20" s="2"/>
      <c r="U20" s="2"/>
      <c r="V20" s="2"/>
      <c r="W20" s="2"/>
      <c r="X20" s="2"/>
      <c r="Y20" s="2"/>
      <c r="Z20" s="2"/>
    </row>
    <row r="21" ht="15.75" customHeight="1">
      <c r="E21" s="156"/>
      <c r="F21" s="2"/>
      <c r="G21" s="2"/>
      <c r="H21" s="2"/>
      <c r="I21" s="2"/>
      <c r="J21" s="2"/>
      <c r="K21" s="2"/>
      <c r="L21" s="2"/>
      <c r="M21" s="2"/>
      <c r="N21" s="2"/>
      <c r="O21" s="2"/>
      <c r="P21" s="2"/>
      <c r="Q21" s="2"/>
      <c r="R21" s="2"/>
      <c r="S21" s="2"/>
      <c r="T21" s="2"/>
      <c r="U21" s="2"/>
      <c r="V21" s="2"/>
      <c r="W21" s="2"/>
      <c r="X21" s="2"/>
      <c r="Y21" s="2"/>
      <c r="Z21" s="2"/>
    </row>
    <row r="22" ht="15.75" customHeight="1">
      <c r="E22" s="160"/>
      <c r="F22" s="2"/>
      <c r="G22" s="2"/>
      <c r="H22" s="2"/>
      <c r="I22" s="2"/>
      <c r="J22" s="2"/>
      <c r="K22" s="2"/>
      <c r="L22" s="2"/>
      <c r="M22" s="2"/>
      <c r="N22" s="2"/>
      <c r="O22" s="2"/>
      <c r="P22" s="2"/>
      <c r="Q22" s="2"/>
      <c r="R22" s="2"/>
      <c r="S22" s="2"/>
      <c r="T22" s="2"/>
      <c r="U22" s="2"/>
      <c r="V22" s="2"/>
      <c r="W22" s="2"/>
      <c r="X22" s="2"/>
      <c r="Y22" s="2"/>
      <c r="Z22" s="2"/>
    </row>
    <row r="23" ht="15.75" customHeight="1">
      <c r="E23" s="160"/>
      <c r="F23" s="2"/>
      <c r="G23" s="2"/>
      <c r="H23" s="2"/>
      <c r="I23" s="2"/>
      <c r="J23" s="2"/>
      <c r="K23" s="2"/>
      <c r="L23" s="2"/>
      <c r="M23" s="2"/>
      <c r="N23" s="2"/>
      <c r="O23" s="2"/>
      <c r="P23" s="2"/>
      <c r="Q23" s="2"/>
      <c r="R23" s="2"/>
      <c r="S23" s="2"/>
      <c r="T23" s="2"/>
      <c r="U23" s="2"/>
      <c r="V23" s="2"/>
      <c r="W23" s="2"/>
      <c r="X23" s="2"/>
      <c r="Y23" s="2"/>
      <c r="Z23" s="2"/>
    </row>
    <row r="24" ht="15.75" customHeight="1">
      <c r="E24" s="160"/>
      <c r="F24" s="2"/>
      <c r="G24" s="2"/>
      <c r="H24" s="2"/>
      <c r="I24" s="2"/>
      <c r="J24" s="2"/>
      <c r="K24" s="2"/>
      <c r="L24" s="2"/>
      <c r="M24" s="2"/>
      <c r="N24" s="2"/>
      <c r="O24" s="2"/>
      <c r="P24" s="2"/>
      <c r="Q24" s="2"/>
      <c r="R24" s="2"/>
      <c r="S24" s="2"/>
      <c r="T24" s="2"/>
      <c r="U24" s="2"/>
      <c r="V24" s="2"/>
      <c r="W24" s="2"/>
      <c r="X24" s="2"/>
      <c r="Y24" s="2"/>
      <c r="Z24" s="2"/>
    </row>
    <row r="25" ht="15.75" customHeight="1">
      <c r="E25" s="160"/>
      <c r="F25" s="2"/>
      <c r="G25" s="2"/>
      <c r="H25" s="2"/>
      <c r="I25" s="2"/>
      <c r="J25" s="2"/>
      <c r="K25" s="2"/>
      <c r="L25" s="2"/>
      <c r="M25" s="2"/>
      <c r="N25" s="2"/>
      <c r="O25" s="2"/>
      <c r="P25" s="2"/>
      <c r="Q25" s="2"/>
      <c r="R25" s="2"/>
      <c r="S25" s="2"/>
      <c r="T25" s="2"/>
      <c r="U25" s="2"/>
      <c r="V25" s="2"/>
      <c r="W25" s="2"/>
      <c r="X25" s="2"/>
      <c r="Y25" s="2"/>
      <c r="Z25" s="2"/>
    </row>
    <row r="26" ht="15.75" customHeight="1">
      <c r="E26" s="160"/>
      <c r="F26" s="2"/>
      <c r="G26" s="2"/>
      <c r="H26" s="2"/>
      <c r="I26" s="2"/>
      <c r="J26" s="2"/>
      <c r="K26" s="2"/>
      <c r="L26" s="2"/>
      <c r="M26" s="2"/>
      <c r="N26" s="2"/>
      <c r="O26" s="2"/>
      <c r="P26" s="2"/>
      <c r="Q26" s="2"/>
      <c r="R26" s="2"/>
      <c r="S26" s="2"/>
      <c r="T26" s="2"/>
      <c r="U26" s="2"/>
      <c r="V26" s="2"/>
      <c r="W26" s="2"/>
      <c r="X26" s="2"/>
      <c r="Y26" s="2"/>
      <c r="Z26" s="2"/>
    </row>
    <row r="27" ht="15.75" customHeight="1">
      <c r="E27" s="160"/>
      <c r="F27" s="2"/>
      <c r="G27" s="2"/>
      <c r="H27" s="2"/>
      <c r="I27" s="2"/>
      <c r="J27" s="2"/>
      <c r="K27" s="2"/>
      <c r="L27" s="2"/>
      <c r="M27" s="2"/>
      <c r="N27" s="2"/>
      <c r="O27" s="2"/>
      <c r="P27" s="2"/>
      <c r="Q27" s="2"/>
      <c r="R27" s="2"/>
      <c r="S27" s="2"/>
      <c r="T27" s="2"/>
      <c r="U27" s="2"/>
      <c r="V27" s="2"/>
      <c r="W27" s="2"/>
      <c r="X27" s="2"/>
      <c r="Y27" s="2"/>
      <c r="Z27" s="2"/>
    </row>
    <row r="28" ht="15.75" customHeight="1">
      <c r="E28" s="160"/>
      <c r="F28" s="2"/>
      <c r="G28" s="2"/>
      <c r="H28" s="2"/>
      <c r="I28" s="2"/>
      <c r="J28" s="2"/>
      <c r="K28" s="2"/>
      <c r="L28" s="2"/>
      <c r="M28" s="2"/>
      <c r="N28" s="2"/>
      <c r="O28" s="2"/>
      <c r="P28" s="2"/>
      <c r="Q28" s="2"/>
      <c r="R28" s="2"/>
      <c r="S28" s="2"/>
      <c r="T28" s="2"/>
      <c r="U28" s="2"/>
      <c r="V28" s="2"/>
      <c r="W28" s="2"/>
      <c r="X28" s="2"/>
      <c r="Y28" s="2"/>
      <c r="Z28" s="2"/>
    </row>
    <row r="29" ht="15.75" customHeight="1">
      <c r="E29" s="160"/>
      <c r="F29" s="2"/>
      <c r="G29" s="2"/>
      <c r="H29" s="2"/>
      <c r="I29" s="2"/>
      <c r="J29" s="2"/>
      <c r="K29" s="2"/>
      <c r="L29" s="2"/>
      <c r="M29" s="2"/>
      <c r="N29" s="2"/>
      <c r="O29" s="2"/>
      <c r="P29" s="2"/>
      <c r="Q29" s="2"/>
      <c r="R29" s="2"/>
      <c r="S29" s="2"/>
      <c r="T29" s="2"/>
      <c r="U29" s="2"/>
      <c r="V29" s="2"/>
      <c r="W29" s="2"/>
      <c r="X29" s="2"/>
      <c r="Y29" s="2"/>
      <c r="Z29" s="2"/>
    </row>
    <row r="30" ht="15.75" customHeight="1">
      <c r="E30" s="160"/>
      <c r="F30" s="2"/>
      <c r="G30" s="2"/>
      <c r="H30" s="2"/>
      <c r="I30" s="2"/>
      <c r="J30" s="2"/>
      <c r="K30" s="2"/>
      <c r="L30" s="2"/>
      <c r="M30" s="2"/>
      <c r="N30" s="2"/>
      <c r="O30" s="2"/>
      <c r="P30" s="2"/>
      <c r="Q30" s="2"/>
      <c r="R30" s="2"/>
      <c r="S30" s="2"/>
      <c r="T30" s="2"/>
      <c r="U30" s="2"/>
      <c r="V30" s="2"/>
      <c r="W30" s="2"/>
      <c r="X30" s="2"/>
      <c r="Y30" s="2"/>
      <c r="Z30" s="2"/>
    </row>
    <row r="31" ht="15.75" customHeight="1">
      <c r="E31" s="160"/>
      <c r="F31" s="2"/>
      <c r="G31" s="2"/>
      <c r="H31" s="2"/>
      <c r="I31" s="2"/>
      <c r="J31" s="2"/>
      <c r="K31" s="2"/>
      <c r="L31" s="2"/>
      <c r="M31" s="2"/>
      <c r="N31" s="2"/>
      <c r="O31" s="2"/>
      <c r="P31" s="2"/>
      <c r="Q31" s="2"/>
      <c r="R31" s="2"/>
      <c r="S31" s="2"/>
      <c r="T31" s="2"/>
      <c r="U31" s="2"/>
      <c r="V31" s="2"/>
      <c r="W31" s="2"/>
      <c r="X31" s="2"/>
      <c r="Y31" s="2"/>
      <c r="Z31" s="2"/>
    </row>
    <row r="32" ht="15.75" customHeight="1">
      <c r="E32" s="160"/>
      <c r="F32" s="2"/>
      <c r="G32" s="2"/>
      <c r="H32" s="2"/>
      <c r="I32" s="2"/>
      <c r="J32" s="2"/>
      <c r="K32" s="2"/>
      <c r="L32" s="2"/>
      <c r="M32" s="2"/>
      <c r="N32" s="2"/>
      <c r="O32" s="2"/>
      <c r="P32" s="2"/>
      <c r="Q32" s="2"/>
      <c r="R32" s="2"/>
      <c r="S32" s="2"/>
      <c r="T32" s="2"/>
      <c r="U32" s="2"/>
      <c r="V32" s="2"/>
      <c r="W32" s="2"/>
      <c r="X32" s="2"/>
      <c r="Y32" s="2"/>
      <c r="Z32" s="2"/>
    </row>
    <row r="33" ht="15.75" customHeight="1">
      <c r="E33" s="160"/>
      <c r="F33" s="2"/>
      <c r="G33" s="2"/>
      <c r="H33" s="2"/>
      <c r="I33" s="2"/>
      <c r="J33" s="2"/>
      <c r="K33" s="2"/>
      <c r="L33" s="2"/>
      <c r="M33" s="2"/>
      <c r="N33" s="2"/>
      <c r="O33" s="2"/>
      <c r="P33" s="2"/>
      <c r="Q33" s="2"/>
      <c r="R33" s="2"/>
      <c r="S33" s="2"/>
      <c r="T33" s="2"/>
      <c r="U33" s="2"/>
      <c r="V33" s="2"/>
      <c r="W33" s="2"/>
      <c r="X33" s="2"/>
      <c r="Y33" s="2"/>
      <c r="Z33" s="2"/>
    </row>
    <row r="34" ht="15.75" customHeight="1">
      <c r="E34" s="160"/>
      <c r="F34" s="2"/>
      <c r="G34" s="2"/>
      <c r="H34" s="2"/>
      <c r="I34" s="2"/>
      <c r="J34" s="2"/>
      <c r="K34" s="2"/>
      <c r="L34" s="2"/>
      <c r="M34" s="2"/>
      <c r="N34" s="2"/>
      <c r="O34" s="2"/>
      <c r="P34" s="2"/>
      <c r="Q34" s="2"/>
      <c r="R34" s="2"/>
      <c r="S34" s="2"/>
      <c r="T34" s="2"/>
      <c r="U34" s="2"/>
      <c r="V34" s="2"/>
      <c r="W34" s="2"/>
      <c r="X34" s="2"/>
      <c r="Y34" s="2"/>
      <c r="Z34" s="2"/>
    </row>
    <row r="35" ht="15.75" customHeight="1">
      <c r="E35" s="160"/>
      <c r="F35" s="2"/>
      <c r="G35" s="2"/>
      <c r="H35" s="2"/>
      <c r="I35" s="2"/>
      <c r="J35" s="2"/>
      <c r="K35" s="2"/>
      <c r="L35" s="2"/>
      <c r="M35" s="2"/>
      <c r="N35" s="2"/>
      <c r="O35" s="2"/>
      <c r="P35" s="2"/>
      <c r="Q35" s="2"/>
      <c r="R35" s="2"/>
      <c r="S35" s="2"/>
      <c r="T35" s="2"/>
      <c r="U35" s="2"/>
      <c r="V35" s="2"/>
      <c r="W35" s="2"/>
      <c r="X35" s="2"/>
      <c r="Y35" s="2"/>
      <c r="Z35" s="2"/>
    </row>
    <row r="36" ht="15.75" customHeight="1">
      <c r="E36" s="160"/>
      <c r="F36" s="2"/>
      <c r="G36" s="2"/>
      <c r="H36" s="2"/>
      <c r="I36" s="2"/>
      <c r="J36" s="2"/>
      <c r="K36" s="2"/>
      <c r="L36" s="2"/>
      <c r="M36" s="2"/>
      <c r="N36" s="2"/>
      <c r="O36" s="2"/>
      <c r="P36" s="2"/>
      <c r="Q36" s="2"/>
      <c r="R36" s="2"/>
      <c r="S36" s="2"/>
      <c r="T36" s="2"/>
      <c r="U36" s="2"/>
      <c r="V36" s="2"/>
      <c r="W36" s="2"/>
      <c r="X36" s="2"/>
      <c r="Y36" s="2"/>
      <c r="Z36" s="2"/>
    </row>
    <row r="37" ht="15.75" customHeight="1">
      <c r="A37" s="157"/>
      <c r="B37" s="161"/>
      <c r="C37" s="158"/>
      <c r="D37" s="160"/>
      <c r="E37" s="160"/>
      <c r="F37" s="2"/>
      <c r="G37" s="2"/>
      <c r="H37" s="2"/>
      <c r="I37" s="2"/>
      <c r="J37" s="2"/>
      <c r="K37" s="2"/>
      <c r="L37" s="2"/>
      <c r="M37" s="2"/>
      <c r="N37" s="2"/>
      <c r="O37" s="2"/>
      <c r="P37" s="2"/>
      <c r="Q37" s="2"/>
      <c r="R37" s="2"/>
      <c r="S37" s="2"/>
      <c r="T37" s="2"/>
      <c r="U37" s="2"/>
      <c r="V37" s="2"/>
      <c r="W37" s="2"/>
      <c r="X37" s="2"/>
      <c r="Y37" s="2"/>
      <c r="Z37" s="2"/>
    </row>
    <row r="38" ht="15.75" customHeight="1">
      <c r="A38" s="157"/>
      <c r="B38" s="161"/>
      <c r="F38" s="2"/>
      <c r="G38" s="2"/>
      <c r="H38" s="2"/>
      <c r="I38" s="2"/>
      <c r="J38" s="2"/>
      <c r="K38" s="2"/>
      <c r="L38" s="2"/>
      <c r="M38" s="2"/>
      <c r="N38" s="2"/>
      <c r="O38" s="2"/>
      <c r="P38" s="2"/>
      <c r="Q38" s="2"/>
      <c r="R38" s="2"/>
      <c r="S38" s="2"/>
      <c r="T38" s="2"/>
      <c r="U38" s="2"/>
      <c r="V38" s="2"/>
      <c r="W38" s="2"/>
      <c r="X38" s="2"/>
      <c r="Y38" s="2"/>
      <c r="Z38" s="2"/>
    </row>
    <row r="39" ht="15.75" customHeight="1">
      <c r="A39" s="157"/>
      <c r="B39" s="161"/>
      <c r="F39" s="2"/>
      <c r="G39" s="2"/>
      <c r="H39" s="2"/>
      <c r="I39" s="2"/>
      <c r="J39" s="2"/>
      <c r="K39" s="2"/>
      <c r="L39" s="2"/>
      <c r="M39" s="2"/>
      <c r="N39" s="2"/>
      <c r="O39" s="2"/>
      <c r="P39" s="2"/>
      <c r="Q39" s="2"/>
      <c r="R39" s="2"/>
      <c r="S39" s="2"/>
      <c r="T39" s="2"/>
      <c r="U39" s="2"/>
      <c r="V39" s="2"/>
      <c r="W39" s="2"/>
      <c r="X39" s="2"/>
      <c r="Y39" s="2"/>
      <c r="Z39" s="2"/>
    </row>
    <row r="40" ht="15.75" customHeight="1">
      <c r="A40" s="157"/>
      <c r="B40" s="161"/>
      <c r="C40" s="2"/>
      <c r="D40" s="162" t="s">
        <v>121</v>
      </c>
      <c r="E40" s="163">
        <f>GETPIVOTDATA("SUM of PRECIO TOTAL MXN AL CLIENTE",$A$13)</f>
        <v>260319</v>
      </c>
      <c r="F40" s="2"/>
      <c r="G40" s="2"/>
      <c r="H40" s="2"/>
      <c r="I40" s="2"/>
      <c r="J40" s="2"/>
      <c r="K40" s="2"/>
      <c r="L40" s="2"/>
      <c r="M40" s="2"/>
      <c r="N40" s="2"/>
      <c r="O40" s="2"/>
      <c r="P40" s="2"/>
      <c r="Q40" s="2"/>
      <c r="R40" s="2"/>
      <c r="S40" s="2"/>
      <c r="T40" s="2"/>
      <c r="U40" s="2"/>
      <c r="V40" s="2"/>
      <c r="W40" s="2"/>
      <c r="X40" s="2"/>
      <c r="Y40" s="2"/>
      <c r="Z40" s="2"/>
    </row>
    <row r="41" ht="15.75" customHeight="1">
      <c r="A41" s="157"/>
      <c r="B41" s="161"/>
      <c r="C41" s="164">
        <f>IF(H41&gt;0,H41,0)</f>
        <v>0</v>
      </c>
      <c r="D41" s="162" t="str">
        <f>IF(E41&gt;0,"DESCUENTO","")</f>
        <v/>
      </c>
      <c r="E41" s="163">
        <f>E40*C41</f>
        <v>0</v>
      </c>
      <c r="F41" s="2"/>
      <c r="G41" s="2"/>
      <c r="H41" s="165">
        <v>0.0</v>
      </c>
      <c r="I41" s="2" t="s">
        <v>122</v>
      </c>
      <c r="J41" s="2"/>
      <c r="K41" s="2"/>
      <c r="L41" s="2"/>
      <c r="M41" s="2"/>
      <c r="N41" s="2"/>
      <c r="O41" s="2"/>
      <c r="P41" s="2"/>
      <c r="Q41" s="2"/>
      <c r="R41" s="2"/>
      <c r="S41" s="2"/>
      <c r="T41" s="2"/>
      <c r="U41" s="2"/>
      <c r="V41" s="2"/>
      <c r="W41" s="2"/>
      <c r="X41" s="2"/>
      <c r="Y41" s="2"/>
      <c r="Z41" s="2"/>
    </row>
    <row r="42" ht="15.75" customHeight="1">
      <c r="A42" s="157"/>
      <c r="B42" s="2"/>
      <c r="C42" s="2"/>
      <c r="D42" s="162" t="str">
        <f>IF(E42&gt;0,"ENVÍO","")</f>
        <v>ENVÍO</v>
      </c>
      <c r="E42" s="163">
        <f>'VEA CLIENTE'!AT113</f>
        <v>441</v>
      </c>
      <c r="F42" s="2"/>
      <c r="G42" s="2"/>
      <c r="H42" s="2"/>
      <c r="I42" s="2"/>
      <c r="J42" s="2"/>
      <c r="K42" s="2"/>
      <c r="L42" s="2"/>
      <c r="M42" s="2"/>
      <c r="N42" s="2"/>
      <c r="O42" s="2"/>
      <c r="P42" s="2"/>
      <c r="Q42" s="2"/>
      <c r="R42" s="2"/>
      <c r="S42" s="2"/>
      <c r="T42" s="2"/>
      <c r="U42" s="2"/>
      <c r="V42" s="2"/>
      <c r="W42" s="2"/>
      <c r="X42" s="2"/>
      <c r="Y42" s="2"/>
      <c r="Z42" s="2"/>
    </row>
    <row r="43" ht="15.75" customHeight="1">
      <c r="A43" s="2" t="s">
        <v>123</v>
      </c>
      <c r="B43" s="2"/>
      <c r="C43" s="166"/>
      <c r="D43" s="162" t="s">
        <v>124</v>
      </c>
      <c r="E43" s="163">
        <f>E40+E42-E41</f>
        <v>260760</v>
      </c>
      <c r="F43" s="2"/>
      <c r="G43" s="2"/>
      <c r="H43" s="2"/>
      <c r="I43" s="2"/>
      <c r="J43" s="2"/>
      <c r="K43" s="2"/>
      <c r="L43" s="2"/>
      <c r="M43" s="2"/>
      <c r="N43" s="2"/>
      <c r="O43" s="2"/>
      <c r="P43" s="2"/>
      <c r="Q43" s="2"/>
      <c r="R43" s="2"/>
      <c r="S43" s="2"/>
      <c r="T43" s="2"/>
      <c r="U43" s="2"/>
      <c r="V43" s="2"/>
      <c r="W43" s="2"/>
      <c r="X43" s="2"/>
      <c r="Y43" s="2"/>
      <c r="Z43" s="2"/>
    </row>
    <row r="44" ht="15.75" customHeight="1">
      <c r="A44" s="18">
        <f>'VEA CLIENTE'!I2*0.99</f>
        <v>20.295</v>
      </c>
      <c r="B44" s="2" t="s">
        <v>125</v>
      </c>
      <c r="C44" s="2"/>
      <c r="D44" s="162" t="s">
        <v>126</v>
      </c>
      <c r="E44" s="163">
        <f>E43*0.16</f>
        <v>41721.6</v>
      </c>
      <c r="F44" s="2"/>
      <c r="G44" s="2"/>
      <c r="H44" s="2"/>
      <c r="I44" s="2"/>
      <c r="J44" s="2"/>
      <c r="K44" s="2"/>
      <c r="L44" s="2"/>
      <c r="M44" s="2"/>
      <c r="N44" s="2"/>
      <c r="O44" s="2"/>
      <c r="P44" s="2"/>
      <c r="Q44" s="2"/>
      <c r="R44" s="2"/>
      <c r="S44" s="2"/>
      <c r="T44" s="2"/>
      <c r="U44" s="2"/>
      <c r="V44" s="2"/>
      <c r="W44" s="2"/>
      <c r="X44" s="2"/>
      <c r="Y44" s="2"/>
      <c r="Z44" s="2"/>
    </row>
    <row r="45" ht="15.75" customHeight="1">
      <c r="A45" s="157"/>
      <c r="B45" s="2"/>
      <c r="C45" s="2"/>
      <c r="D45" s="167" t="s">
        <v>127</v>
      </c>
      <c r="E45" s="168">
        <f>E43+E44</f>
        <v>302481.6</v>
      </c>
      <c r="F45" s="2"/>
      <c r="G45" s="2"/>
      <c r="H45" s="2"/>
      <c r="I45" s="2"/>
      <c r="J45" s="2"/>
      <c r="K45" s="2"/>
      <c r="L45" s="2"/>
      <c r="M45" s="2"/>
      <c r="N45" s="2"/>
      <c r="O45" s="2"/>
      <c r="P45" s="2"/>
      <c r="Q45" s="2"/>
      <c r="R45" s="2"/>
      <c r="S45" s="2"/>
      <c r="T45" s="2"/>
      <c r="U45" s="2"/>
      <c r="V45" s="2"/>
      <c r="W45" s="2"/>
      <c r="X45" s="2"/>
      <c r="Y45" s="2"/>
      <c r="Z45" s="2"/>
    </row>
    <row r="46" ht="15.75" customHeight="1">
      <c r="A46" s="157"/>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169" t="s">
        <v>128</v>
      </c>
      <c r="B47" s="170"/>
      <c r="C47" s="170"/>
      <c r="D47" s="170"/>
      <c r="E47" s="87"/>
      <c r="F47" s="2"/>
      <c r="G47" s="2"/>
      <c r="H47" s="2"/>
      <c r="I47" s="2"/>
      <c r="J47" s="2"/>
      <c r="K47" s="2"/>
      <c r="L47" s="2"/>
      <c r="M47" s="2"/>
      <c r="N47" s="2"/>
      <c r="O47" s="2"/>
      <c r="P47" s="2"/>
      <c r="Q47" s="2"/>
      <c r="R47" s="2"/>
      <c r="S47" s="2"/>
      <c r="T47" s="2"/>
      <c r="U47" s="2"/>
      <c r="V47" s="2"/>
      <c r="W47" s="2"/>
      <c r="X47" s="2"/>
      <c r="Y47" s="2"/>
      <c r="Z47" s="2"/>
    </row>
    <row r="48" ht="15.75" customHeight="1">
      <c r="A48" s="171"/>
      <c r="B48" s="172" t="s">
        <v>129</v>
      </c>
      <c r="C48" s="173"/>
      <c r="D48" s="174">
        <f>E45</f>
        <v>302481.6</v>
      </c>
      <c r="E48" s="175"/>
      <c r="F48" s="2"/>
      <c r="G48" s="2"/>
      <c r="H48" s="2"/>
      <c r="I48" s="2"/>
      <c r="J48" s="2"/>
      <c r="K48" s="2"/>
      <c r="L48" s="2"/>
      <c r="M48" s="2"/>
      <c r="N48" s="2"/>
      <c r="O48" s="2"/>
      <c r="P48" s="2"/>
      <c r="Q48" s="2"/>
      <c r="R48" s="2"/>
      <c r="S48" s="2"/>
      <c r="T48" s="2"/>
      <c r="U48" s="2"/>
      <c r="V48" s="2"/>
      <c r="W48" s="2"/>
      <c r="X48" s="2"/>
      <c r="Y48" s="2"/>
      <c r="Z48" s="2"/>
    </row>
    <row r="49" ht="15.75" customHeight="1">
      <c r="A49" s="176"/>
      <c r="B49" s="177" t="s">
        <v>130</v>
      </c>
      <c r="C49" s="178" t="s">
        <v>131</v>
      </c>
      <c r="D49" s="179">
        <f>ROUNDUP(TC!C32,0)</f>
        <v>316393</v>
      </c>
      <c r="E49" s="180" t="s">
        <v>132</v>
      </c>
      <c r="F49" s="2"/>
      <c r="G49" s="2"/>
      <c r="H49" s="2"/>
      <c r="I49" s="2"/>
      <c r="J49" s="2"/>
      <c r="K49" s="2"/>
      <c r="L49" s="2"/>
      <c r="M49" s="2"/>
      <c r="N49" s="2"/>
      <c r="O49" s="2"/>
      <c r="P49" s="2"/>
      <c r="Q49" s="2"/>
      <c r="R49" s="2"/>
      <c r="S49" s="2"/>
      <c r="T49" s="2"/>
      <c r="U49" s="2"/>
      <c r="V49" s="2"/>
      <c r="W49" s="2"/>
      <c r="X49" s="2"/>
      <c r="Y49" s="2"/>
      <c r="Z49" s="2"/>
    </row>
    <row r="50" ht="15.75" customHeight="1">
      <c r="A50" s="171"/>
      <c r="B50" s="181" t="s">
        <v>133</v>
      </c>
      <c r="C50" s="182" t="s">
        <v>134</v>
      </c>
      <c r="D50" s="183">
        <f>ROUNDUP(F50/3,0)</f>
        <v>111542</v>
      </c>
      <c r="E50" s="184"/>
      <c r="F50" s="174">
        <f>TC!C150</f>
        <v>334624</v>
      </c>
      <c r="G50" s="2"/>
      <c r="H50" s="185">
        <f>F50/3</f>
        <v>111541.3333</v>
      </c>
      <c r="I50" s="2"/>
      <c r="J50" s="185">
        <f>H50*3</f>
        <v>334624</v>
      </c>
      <c r="K50" s="2"/>
      <c r="L50" s="2"/>
      <c r="M50" s="2"/>
      <c r="N50" s="2"/>
      <c r="O50" s="2"/>
      <c r="P50" s="2"/>
      <c r="Q50" s="2"/>
      <c r="R50" s="2"/>
      <c r="S50" s="2"/>
      <c r="T50" s="2"/>
      <c r="U50" s="2"/>
      <c r="V50" s="2"/>
      <c r="W50" s="2"/>
      <c r="X50" s="2"/>
      <c r="Y50" s="2"/>
      <c r="Z50" s="2"/>
    </row>
    <row r="51" ht="15.75" customHeight="1">
      <c r="A51" s="176"/>
      <c r="B51" s="177" t="s">
        <v>135</v>
      </c>
      <c r="C51" s="178" t="s">
        <v>136</v>
      </c>
      <c r="D51" s="179">
        <f>ROUNDUP(F51/6,0)</f>
        <v>57619</v>
      </c>
      <c r="E51" s="184"/>
      <c r="F51" s="186">
        <f>TC!C155</f>
        <v>345714</v>
      </c>
      <c r="G51" s="2"/>
      <c r="H51" s="185">
        <f>F51/6</f>
        <v>57619</v>
      </c>
      <c r="I51" s="2"/>
      <c r="J51" s="185">
        <f>H51*6</f>
        <v>345714</v>
      </c>
      <c r="K51" s="2"/>
      <c r="L51" s="2"/>
      <c r="M51" s="2"/>
      <c r="N51" s="2"/>
      <c r="O51" s="2"/>
      <c r="P51" s="2"/>
      <c r="Q51" s="2"/>
      <c r="R51" s="2"/>
      <c r="S51" s="2"/>
      <c r="T51" s="2"/>
      <c r="U51" s="2"/>
      <c r="V51" s="2"/>
      <c r="W51" s="2"/>
      <c r="X51" s="2"/>
      <c r="Y51" s="2"/>
      <c r="Z51" s="2"/>
    </row>
    <row r="52" ht="15.75" customHeight="1">
      <c r="A52" s="171"/>
      <c r="B52" s="181" t="s">
        <v>137</v>
      </c>
      <c r="C52" s="182" t="s">
        <v>138</v>
      </c>
      <c r="D52" s="183">
        <f>ROUNDUP(F52/9,0)</f>
        <v>40004</v>
      </c>
      <c r="E52" s="184"/>
      <c r="F52" s="174">
        <f>TC!C160</f>
        <v>360034</v>
      </c>
      <c r="G52" s="2"/>
      <c r="H52" s="185">
        <f>F52/9</f>
        <v>40003.77778</v>
      </c>
      <c r="I52" s="2"/>
      <c r="J52" s="185">
        <f>H52*9</f>
        <v>360034</v>
      </c>
      <c r="K52" s="2"/>
      <c r="L52" s="2"/>
      <c r="M52" s="2"/>
      <c r="N52" s="2"/>
      <c r="O52" s="2"/>
      <c r="P52" s="2"/>
      <c r="Q52" s="2"/>
      <c r="R52" s="2"/>
      <c r="S52" s="2"/>
      <c r="T52" s="2"/>
      <c r="U52" s="2"/>
      <c r="V52" s="2"/>
      <c r="W52" s="2"/>
      <c r="X52" s="2"/>
      <c r="Y52" s="2"/>
      <c r="Z52" s="2"/>
    </row>
    <row r="53" ht="15.75" customHeight="1">
      <c r="A53" s="176"/>
      <c r="B53" s="177" t="s">
        <v>139</v>
      </c>
      <c r="C53" s="178" t="s">
        <v>140</v>
      </c>
      <c r="D53" s="179">
        <f>ROUNDUP(F53/12,0)</f>
        <v>31300</v>
      </c>
      <c r="E53" s="184"/>
      <c r="F53" s="174">
        <f>TC!C165</f>
        <v>375591</v>
      </c>
      <c r="G53" s="2"/>
      <c r="H53" s="185">
        <f>F53/12</f>
        <v>31299.25</v>
      </c>
      <c r="I53" s="2"/>
      <c r="J53" s="185">
        <f>H53*12</f>
        <v>375591</v>
      </c>
      <c r="K53" s="2"/>
      <c r="L53" s="2"/>
      <c r="M53" s="2"/>
      <c r="N53" s="2"/>
      <c r="O53" s="2"/>
      <c r="P53" s="2"/>
      <c r="Q53" s="2"/>
      <c r="R53" s="2"/>
      <c r="S53" s="2"/>
      <c r="T53" s="2"/>
      <c r="U53" s="2"/>
      <c r="V53" s="2"/>
      <c r="W53" s="2"/>
      <c r="X53" s="2"/>
      <c r="Y53" s="2"/>
      <c r="Z53" s="2"/>
    </row>
    <row r="54" ht="15.75" customHeight="1">
      <c r="A54" s="171"/>
      <c r="B54" s="181" t="s">
        <v>141</v>
      </c>
      <c r="C54" s="182" t="s">
        <v>142</v>
      </c>
      <c r="D54" s="183">
        <f>ROUNDUP(F54/18,0)</f>
        <v>22385</v>
      </c>
      <c r="E54" s="184"/>
      <c r="F54" s="174">
        <f>TC!C170</f>
        <v>402926</v>
      </c>
      <c r="G54" s="2"/>
      <c r="H54" s="185">
        <f>F54/18</f>
        <v>22384.77778</v>
      </c>
      <c r="I54" s="2"/>
      <c r="J54" s="185">
        <f>H54*18</f>
        <v>402926</v>
      </c>
      <c r="K54" s="2"/>
      <c r="L54" s="2"/>
      <c r="M54" s="2"/>
      <c r="N54" s="2"/>
      <c r="O54" s="2"/>
      <c r="P54" s="2"/>
      <c r="Q54" s="2"/>
      <c r="R54" s="2"/>
      <c r="S54" s="2"/>
      <c r="T54" s="2"/>
      <c r="U54" s="2"/>
      <c r="V54" s="2"/>
      <c r="W54" s="2"/>
      <c r="X54" s="2"/>
      <c r="Y54" s="2"/>
      <c r="Z54" s="2"/>
    </row>
    <row r="55" ht="15.75" customHeight="1">
      <c r="A55" s="187"/>
      <c r="B55" s="188" t="s">
        <v>143</v>
      </c>
      <c r="C55" s="189" t="s">
        <v>144</v>
      </c>
      <c r="D55" s="190">
        <f>ROUNDUP(F55/24,0)</f>
        <v>18728</v>
      </c>
      <c r="E55" s="191"/>
      <c r="F55" s="174">
        <f>TC!C175</f>
        <v>449460</v>
      </c>
      <c r="G55" s="2"/>
      <c r="H55" s="185">
        <f>F55/24</f>
        <v>18727.5</v>
      </c>
      <c r="I55" s="2"/>
      <c r="J55" s="185">
        <f>H55*24</f>
        <v>449460</v>
      </c>
      <c r="K55" s="2"/>
      <c r="L55" s="2"/>
      <c r="M55" s="2"/>
      <c r="N55" s="2"/>
      <c r="O55" s="2"/>
      <c r="P55" s="2"/>
      <c r="Q55" s="2"/>
      <c r="R55" s="2"/>
      <c r="S55" s="2"/>
      <c r="T55" s="2"/>
      <c r="U55" s="2"/>
      <c r="V55" s="2"/>
      <c r="W55" s="2"/>
      <c r="X55" s="2"/>
      <c r="Y55" s="2"/>
      <c r="Z55" s="2"/>
    </row>
    <row r="56" ht="15.75" customHeight="1">
      <c r="A56" s="157"/>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157"/>
      <c r="B57" s="2"/>
      <c r="C57" s="2"/>
      <c r="D57" s="169" t="s">
        <v>145</v>
      </c>
      <c r="E57" s="192"/>
      <c r="F57" s="2"/>
      <c r="G57" s="2"/>
      <c r="H57" s="161"/>
      <c r="I57" s="2"/>
      <c r="J57" s="2"/>
      <c r="K57" s="2"/>
      <c r="L57" s="2"/>
      <c r="M57" s="2"/>
      <c r="N57" s="2"/>
      <c r="O57" s="2"/>
      <c r="P57" s="2"/>
      <c r="Q57" s="2"/>
      <c r="R57" s="2"/>
      <c r="S57" s="2"/>
      <c r="T57" s="2"/>
      <c r="U57" s="2"/>
      <c r="V57" s="2"/>
      <c r="W57" s="2"/>
      <c r="X57" s="2"/>
      <c r="Y57" s="2"/>
      <c r="Z57" s="2"/>
    </row>
    <row r="58" ht="15.75" customHeight="1">
      <c r="A58" s="157"/>
      <c r="B58" s="2"/>
      <c r="C58" s="2"/>
      <c r="D58" s="193"/>
      <c r="E58" s="194"/>
      <c r="F58" s="2"/>
      <c r="G58" s="2"/>
      <c r="H58" s="2"/>
      <c r="I58" s="2"/>
      <c r="J58" s="2"/>
      <c r="K58" s="2"/>
      <c r="L58" s="2"/>
      <c r="M58" s="2"/>
      <c r="N58" s="2"/>
      <c r="O58" s="2"/>
      <c r="P58" s="2"/>
      <c r="Q58" s="2"/>
      <c r="R58" s="2"/>
      <c r="S58" s="2"/>
      <c r="T58" s="2"/>
      <c r="U58" s="2"/>
      <c r="V58" s="2"/>
      <c r="W58" s="2"/>
      <c r="X58" s="2"/>
      <c r="Y58" s="2"/>
      <c r="Z58" s="2"/>
    </row>
    <row r="59" ht="15.75" customHeight="1">
      <c r="A59" s="157"/>
      <c r="B59" s="2"/>
      <c r="C59" s="2"/>
      <c r="D59" s="193"/>
      <c r="E59" s="194"/>
      <c r="F59" s="2"/>
      <c r="G59" s="2"/>
      <c r="H59" s="2"/>
      <c r="I59" s="2"/>
      <c r="J59" s="2"/>
      <c r="K59" s="2"/>
      <c r="L59" s="2"/>
      <c r="M59" s="2"/>
      <c r="N59" s="2"/>
      <c r="O59" s="2"/>
      <c r="P59" s="2"/>
      <c r="Q59" s="2"/>
      <c r="R59" s="2"/>
      <c r="S59" s="2"/>
      <c r="T59" s="2"/>
      <c r="U59" s="2"/>
      <c r="V59" s="2"/>
      <c r="W59" s="2"/>
      <c r="X59" s="2"/>
      <c r="Y59" s="2"/>
      <c r="Z59" s="2"/>
    </row>
    <row r="60" ht="15.75" customHeight="1">
      <c r="A60" s="157"/>
      <c r="B60" s="2"/>
      <c r="C60" s="2"/>
      <c r="D60" s="193"/>
      <c r="E60" s="194"/>
      <c r="F60" s="2"/>
      <c r="G60" s="2"/>
      <c r="H60" s="2"/>
      <c r="I60" s="2"/>
      <c r="J60" s="2"/>
      <c r="K60" s="2"/>
      <c r="L60" s="2"/>
      <c r="M60" s="2"/>
      <c r="N60" s="2"/>
      <c r="O60" s="2"/>
      <c r="P60" s="2"/>
      <c r="Q60" s="2"/>
      <c r="R60" s="2"/>
      <c r="S60" s="2"/>
      <c r="T60" s="2"/>
      <c r="U60" s="2"/>
      <c r="V60" s="2"/>
      <c r="W60" s="2"/>
      <c r="X60" s="2"/>
      <c r="Y60" s="2"/>
      <c r="Z60" s="2"/>
    </row>
    <row r="61" ht="15.75" customHeight="1">
      <c r="A61" s="157"/>
      <c r="B61" s="2"/>
      <c r="C61" s="2"/>
      <c r="D61" s="193"/>
      <c r="E61" s="194"/>
      <c r="F61" s="2"/>
      <c r="G61" s="2"/>
      <c r="H61" s="2"/>
      <c r="I61" s="2"/>
      <c r="J61" s="2"/>
      <c r="K61" s="2"/>
      <c r="L61" s="2"/>
      <c r="M61" s="2"/>
      <c r="N61" s="2"/>
      <c r="O61" s="2"/>
      <c r="P61" s="2"/>
      <c r="Q61" s="2"/>
      <c r="R61" s="2"/>
      <c r="S61" s="2"/>
      <c r="T61" s="2"/>
      <c r="U61" s="2"/>
      <c r="V61" s="2"/>
      <c r="W61" s="2"/>
      <c r="X61" s="2"/>
      <c r="Y61" s="2"/>
      <c r="Z61" s="2"/>
    </row>
    <row r="62" ht="15.75" customHeight="1">
      <c r="A62" s="157"/>
      <c r="B62" s="2"/>
      <c r="C62" s="2"/>
      <c r="D62" s="193"/>
      <c r="E62" s="194"/>
      <c r="F62" s="2"/>
      <c r="G62" s="2"/>
      <c r="H62" s="2"/>
      <c r="I62" s="2"/>
      <c r="J62" s="2"/>
      <c r="K62" s="2"/>
      <c r="L62" s="2"/>
      <c r="M62" s="2"/>
      <c r="N62" s="2"/>
      <c r="O62" s="2"/>
      <c r="P62" s="2"/>
      <c r="Q62" s="2"/>
      <c r="R62" s="2"/>
      <c r="S62" s="2"/>
      <c r="T62" s="2"/>
      <c r="U62" s="2"/>
      <c r="V62" s="2"/>
      <c r="W62" s="2"/>
      <c r="X62" s="2"/>
      <c r="Y62" s="2"/>
      <c r="Z62" s="2"/>
    </row>
    <row r="63" ht="15.75" customHeight="1">
      <c r="A63" s="157"/>
      <c r="B63" s="2"/>
      <c r="C63" s="2"/>
      <c r="D63" s="193"/>
      <c r="E63" s="194"/>
      <c r="F63" s="2"/>
      <c r="G63" s="2"/>
      <c r="H63" s="2"/>
      <c r="I63" s="2"/>
      <c r="J63" s="2"/>
      <c r="K63" s="2"/>
      <c r="L63" s="2"/>
      <c r="M63" s="2"/>
      <c r="N63" s="2"/>
      <c r="O63" s="2"/>
      <c r="P63" s="2"/>
      <c r="Q63" s="2"/>
      <c r="R63" s="2"/>
      <c r="S63" s="2"/>
      <c r="T63" s="2"/>
      <c r="U63" s="2"/>
      <c r="V63" s="2"/>
      <c r="W63" s="2"/>
      <c r="X63" s="2"/>
      <c r="Y63" s="2"/>
      <c r="Z63" s="2"/>
    </row>
    <row r="64" ht="15.75" customHeight="1">
      <c r="A64" s="157"/>
      <c r="B64" s="2"/>
      <c r="C64" s="2"/>
      <c r="D64" s="195"/>
      <c r="E64" s="196"/>
      <c r="F64" s="2"/>
      <c r="G64" s="2"/>
      <c r="H64" s="2"/>
      <c r="I64" s="2"/>
      <c r="J64" s="2"/>
      <c r="K64" s="2"/>
      <c r="L64" s="2"/>
      <c r="M64" s="2"/>
      <c r="N64" s="2"/>
      <c r="O64" s="2"/>
      <c r="P64" s="2"/>
      <c r="Q64" s="2"/>
      <c r="R64" s="2"/>
      <c r="S64" s="2"/>
      <c r="T64" s="2"/>
      <c r="U64" s="2"/>
      <c r="V64" s="2"/>
      <c r="W64" s="2"/>
      <c r="X64" s="2"/>
      <c r="Y64" s="2"/>
      <c r="Z64" s="2"/>
    </row>
    <row r="65" ht="15.75" customHeight="1">
      <c r="A65" s="157"/>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157"/>
      <c r="B66" s="2"/>
      <c r="C66" s="2"/>
      <c r="D66" s="197" t="s">
        <v>146</v>
      </c>
      <c r="E66" s="198"/>
      <c r="F66" s="2"/>
      <c r="G66" s="2"/>
      <c r="H66" s="2"/>
      <c r="I66" s="2"/>
      <c r="J66" s="2"/>
      <c r="K66" s="2"/>
      <c r="L66" s="2"/>
      <c r="M66" s="2"/>
      <c r="N66" s="2"/>
      <c r="O66" s="2"/>
      <c r="P66" s="2"/>
      <c r="Q66" s="2"/>
      <c r="R66" s="2"/>
      <c r="S66" s="2"/>
      <c r="T66" s="2"/>
      <c r="U66" s="2"/>
      <c r="V66" s="2"/>
      <c r="W66" s="2"/>
      <c r="X66" s="2"/>
      <c r="Y66" s="2"/>
      <c r="Z66" s="2"/>
    </row>
    <row r="67" ht="15.75" customHeight="1">
      <c r="A67" s="157"/>
      <c r="B67" s="2"/>
      <c r="C67" s="2"/>
      <c r="D67" s="193"/>
      <c r="E67" s="194"/>
      <c r="F67" s="2"/>
      <c r="G67" s="2"/>
      <c r="H67" s="2"/>
      <c r="I67" s="2"/>
      <c r="J67" s="2"/>
      <c r="K67" s="2"/>
      <c r="L67" s="2"/>
      <c r="M67" s="2"/>
      <c r="N67" s="2"/>
      <c r="O67" s="2"/>
      <c r="P67" s="2"/>
      <c r="Q67" s="2"/>
      <c r="R67" s="2"/>
      <c r="S67" s="2"/>
      <c r="T67" s="2"/>
      <c r="U67" s="2"/>
      <c r="V67" s="2"/>
      <c r="W67" s="2"/>
      <c r="X67" s="2"/>
      <c r="Y67" s="2"/>
      <c r="Z67" s="2"/>
    </row>
    <row r="68" ht="15.75" customHeight="1">
      <c r="A68" s="157"/>
      <c r="B68" s="2"/>
      <c r="C68" s="2"/>
      <c r="D68" s="193"/>
      <c r="E68" s="194"/>
      <c r="F68" s="2"/>
      <c r="G68" s="2"/>
      <c r="H68" s="2"/>
      <c r="I68" s="2"/>
      <c r="J68" s="2"/>
      <c r="K68" s="2"/>
      <c r="L68" s="2"/>
      <c r="M68" s="2"/>
      <c r="N68" s="2"/>
      <c r="O68" s="2"/>
      <c r="P68" s="2"/>
      <c r="Q68" s="2"/>
      <c r="R68" s="2"/>
      <c r="S68" s="2"/>
      <c r="T68" s="2"/>
      <c r="U68" s="2"/>
      <c r="V68" s="2"/>
      <c r="W68" s="2"/>
      <c r="X68" s="2"/>
      <c r="Y68" s="2"/>
      <c r="Z68" s="2"/>
    </row>
    <row r="69" ht="15.75" customHeight="1">
      <c r="A69" s="157"/>
      <c r="B69" s="2"/>
      <c r="C69" s="2"/>
      <c r="D69" s="193"/>
      <c r="E69" s="194"/>
      <c r="F69" s="2"/>
      <c r="G69" s="2"/>
      <c r="H69" s="2"/>
      <c r="I69" s="2"/>
      <c r="J69" s="2"/>
      <c r="K69" s="2"/>
      <c r="L69" s="2"/>
      <c r="M69" s="2"/>
      <c r="N69" s="2"/>
      <c r="O69" s="2"/>
      <c r="P69" s="2"/>
      <c r="Q69" s="2"/>
      <c r="R69" s="2"/>
      <c r="S69" s="2"/>
      <c r="T69" s="2"/>
      <c r="U69" s="2"/>
      <c r="V69" s="2"/>
      <c r="W69" s="2"/>
      <c r="X69" s="2"/>
      <c r="Y69" s="2"/>
      <c r="Z69" s="2"/>
    </row>
    <row r="70" ht="15.75" customHeight="1">
      <c r="A70" s="157"/>
      <c r="B70" s="2"/>
      <c r="C70" s="2"/>
      <c r="D70" s="193"/>
      <c r="E70" s="194"/>
      <c r="F70" s="2"/>
      <c r="G70" s="2"/>
      <c r="H70" s="2"/>
      <c r="I70" s="2"/>
      <c r="J70" s="2"/>
      <c r="K70" s="2"/>
      <c r="L70" s="2"/>
      <c r="M70" s="2"/>
      <c r="N70" s="2"/>
      <c r="O70" s="2"/>
      <c r="P70" s="2"/>
      <c r="Q70" s="2"/>
      <c r="R70" s="2"/>
      <c r="S70" s="2"/>
      <c r="T70" s="2"/>
      <c r="U70" s="2"/>
      <c r="V70" s="2"/>
      <c r="W70" s="2"/>
      <c r="X70" s="2"/>
      <c r="Y70" s="2"/>
      <c r="Z70" s="2"/>
    </row>
    <row r="71" ht="15.75" customHeight="1">
      <c r="A71" s="157"/>
      <c r="B71" s="2"/>
      <c r="C71" s="2"/>
      <c r="D71" s="193"/>
      <c r="E71" s="194"/>
      <c r="F71" s="2"/>
      <c r="G71" s="2"/>
      <c r="H71" s="2"/>
      <c r="I71" s="2"/>
      <c r="J71" s="2"/>
      <c r="K71" s="2"/>
      <c r="L71" s="2"/>
      <c r="M71" s="2"/>
      <c r="N71" s="2"/>
      <c r="O71" s="2"/>
      <c r="P71" s="2"/>
      <c r="Q71" s="2"/>
      <c r="R71" s="2"/>
      <c r="S71" s="2"/>
      <c r="T71" s="2"/>
      <c r="U71" s="2"/>
      <c r="V71" s="2"/>
      <c r="W71" s="2"/>
      <c r="X71" s="2"/>
      <c r="Y71" s="2"/>
      <c r="Z71" s="2"/>
    </row>
    <row r="72" ht="15.75" customHeight="1">
      <c r="A72" s="157"/>
      <c r="B72" s="2"/>
      <c r="C72" s="2"/>
      <c r="D72" s="193"/>
      <c r="E72" s="194"/>
      <c r="F72" s="2"/>
      <c r="G72" s="2"/>
      <c r="H72" s="2"/>
      <c r="I72" s="2"/>
      <c r="J72" s="2"/>
      <c r="K72" s="2"/>
      <c r="L72" s="2"/>
      <c r="M72" s="2"/>
      <c r="N72" s="2"/>
      <c r="O72" s="2"/>
      <c r="P72" s="2"/>
      <c r="Q72" s="2"/>
      <c r="R72" s="2"/>
      <c r="S72" s="2"/>
      <c r="T72" s="2"/>
      <c r="U72" s="2"/>
      <c r="V72" s="2"/>
      <c r="W72" s="2"/>
      <c r="X72" s="2"/>
      <c r="Y72" s="2"/>
      <c r="Z72" s="2"/>
    </row>
    <row r="73" ht="15.75" customHeight="1">
      <c r="A73" s="157"/>
      <c r="B73" s="2"/>
      <c r="C73" s="2"/>
      <c r="D73" s="193"/>
      <c r="E73" s="194"/>
      <c r="F73" s="2"/>
      <c r="G73" s="2"/>
      <c r="H73" s="2"/>
      <c r="I73" s="2"/>
      <c r="J73" s="2"/>
      <c r="K73" s="2"/>
      <c r="L73" s="2"/>
      <c r="M73" s="2"/>
      <c r="N73" s="2"/>
      <c r="O73" s="2"/>
      <c r="P73" s="2"/>
      <c r="Q73" s="2"/>
      <c r="R73" s="2"/>
      <c r="S73" s="2"/>
      <c r="T73" s="2"/>
      <c r="U73" s="2"/>
      <c r="V73" s="2"/>
      <c r="W73" s="2"/>
      <c r="X73" s="2"/>
      <c r="Y73" s="2"/>
      <c r="Z73" s="2"/>
    </row>
    <row r="74" ht="15.75" customHeight="1">
      <c r="A74" s="157"/>
      <c r="B74" s="2"/>
      <c r="C74" s="2"/>
      <c r="D74" s="193"/>
      <c r="E74" s="194"/>
      <c r="F74" s="2"/>
      <c r="G74" s="2"/>
      <c r="H74" s="2"/>
      <c r="I74" s="2"/>
      <c r="J74" s="2"/>
      <c r="K74" s="2"/>
      <c r="L74" s="2"/>
      <c r="M74" s="2"/>
      <c r="N74" s="2"/>
      <c r="O74" s="2"/>
      <c r="P74" s="2"/>
      <c r="Q74" s="2"/>
      <c r="R74" s="2"/>
      <c r="S74" s="2"/>
      <c r="T74" s="2"/>
      <c r="U74" s="2"/>
      <c r="V74" s="2"/>
      <c r="W74" s="2"/>
      <c r="X74" s="2"/>
      <c r="Y74" s="2"/>
      <c r="Z74" s="2"/>
    </row>
    <row r="75" ht="15.75" customHeight="1">
      <c r="A75" s="157"/>
      <c r="B75" s="2"/>
      <c r="C75" s="2"/>
      <c r="D75" s="193"/>
      <c r="E75" s="194"/>
      <c r="F75" s="2"/>
      <c r="G75" s="2"/>
      <c r="H75" s="2"/>
      <c r="I75" s="2"/>
      <c r="J75" s="2"/>
      <c r="K75" s="2"/>
      <c r="L75" s="2"/>
      <c r="M75" s="2"/>
      <c r="N75" s="2"/>
      <c r="O75" s="2"/>
      <c r="P75" s="2"/>
      <c r="Q75" s="2"/>
      <c r="R75" s="2"/>
      <c r="S75" s="2"/>
      <c r="T75" s="2"/>
      <c r="U75" s="2"/>
      <c r="V75" s="2"/>
      <c r="W75" s="2"/>
      <c r="X75" s="2"/>
      <c r="Y75" s="2"/>
      <c r="Z75" s="2"/>
    </row>
    <row r="76" ht="15.75" customHeight="1">
      <c r="A76" s="157"/>
      <c r="B76" s="2"/>
      <c r="C76" s="2"/>
      <c r="D76" s="193"/>
      <c r="E76" s="194"/>
      <c r="F76" s="2"/>
      <c r="G76" s="2"/>
      <c r="H76" s="2"/>
      <c r="I76" s="2"/>
      <c r="J76" s="2"/>
      <c r="K76" s="2"/>
      <c r="L76" s="2"/>
      <c r="M76" s="2"/>
      <c r="N76" s="2"/>
      <c r="O76" s="2"/>
      <c r="P76" s="2"/>
      <c r="Q76" s="2"/>
      <c r="R76" s="2"/>
      <c r="S76" s="2"/>
      <c r="T76" s="2"/>
      <c r="U76" s="2"/>
      <c r="V76" s="2"/>
      <c r="W76" s="2"/>
      <c r="X76" s="2"/>
      <c r="Y76" s="2"/>
      <c r="Z76" s="2"/>
    </row>
    <row r="77" ht="15.75" customHeight="1">
      <c r="A77" s="157"/>
      <c r="B77" s="2"/>
      <c r="C77" s="2"/>
      <c r="D77" s="193"/>
      <c r="E77" s="194"/>
      <c r="F77" s="2"/>
      <c r="G77" s="2"/>
      <c r="H77" s="2"/>
      <c r="I77" s="2"/>
      <c r="J77" s="2"/>
      <c r="K77" s="2"/>
      <c r="L77" s="2"/>
      <c r="M77" s="2"/>
      <c r="N77" s="2"/>
      <c r="O77" s="2"/>
      <c r="P77" s="2"/>
      <c r="Q77" s="2"/>
      <c r="R77" s="2"/>
      <c r="S77" s="2"/>
      <c r="T77" s="2"/>
      <c r="U77" s="2"/>
      <c r="V77" s="2"/>
      <c r="W77" s="2"/>
      <c r="X77" s="2"/>
      <c r="Y77" s="2"/>
      <c r="Z77" s="2"/>
    </row>
    <row r="78" ht="15.75" customHeight="1">
      <c r="A78" s="157"/>
      <c r="B78" s="2"/>
      <c r="C78" s="2"/>
      <c r="D78" s="193"/>
      <c r="E78" s="194"/>
      <c r="F78" s="2"/>
      <c r="G78" s="2"/>
      <c r="H78" s="2"/>
      <c r="I78" s="2"/>
      <c r="J78" s="2"/>
      <c r="K78" s="2"/>
      <c r="L78" s="2"/>
      <c r="M78" s="2"/>
      <c r="N78" s="2"/>
      <c r="O78" s="2"/>
      <c r="P78" s="2"/>
      <c r="Q78" s="2"/>
      <c r="R78" s="2"/>
      <c r="S78" s="2"/>
      <c r="T78" s="2"/>
      <c r="U78" s="2"/>
      <c r="V78" s="2"/>
      <c r="W78" s="2"/>
      <c r="X78" s="2"/>
      <c r="Y78" s="2"/>
      <c r="Z78" s="2"/>
    </row>
    <row r="79" ht="15.75" customHeight="1">
      <c r="A79" s="157"/>
      <c r="B79" s="2"/>
      <c r="C79" s="2"/>
      <c r="D79" s="193"/>
      <c r="E79" s="194"/>
      <c r="F79" s="2"/>
      <c r="G79" s="2"/>
      <c r="H79" s="2"/>
      <c r="I79" s="2"/>
      <c r="J79" s="2"/>
      <c r="K79" s="2"/>
      <c r="L79" s="2"/>
      <c r="M79" s="2"/>
      <c r="N79" s="2"/>
      <c r="O79" s="2"/>
      <c r="P79" s="2"/>
      <c r="Q79" s="2"/>
      <c r="R79" s="2"/>
      <c r="S79" s="2"/>
      <c r="T79" s="2"/>
      <c r="U79" s="2"/>
      <c r="V79" s="2"/>
      <c r="W79" s="2"/>
      <c r="X79" s="2"/>
      <c r="Y79" s="2"/>
      <c r="Z79" s="2"/>
    </row>
    <row r="80" ht="15.75" customHeight="1">
      <c r="A80" s="157"/>
      <c r="B80" s="2"/>
      <c r="C80" s="2"/>
      <c r="D80" s="193"/>
      <c r="E80" s="194"/>
      <c r="F80" s="2"/>
      <c r="G80" s="2"/>
      <c r="H80" s="2"/>
      <c r="I80" s="2"/>
      <c r="J80" s="2"/>
      <c r="K80" s="2"/>
      <c r="L80" s="2"/>
      <c r="M80" s="2"/>
      <c r="N80" s="2"/>
      <c r="O80" s="2"/>
      <c r="P80" s="2"/>
      <c r="Q80" s="2"/>
      <c r="R80" s="2"/>
      <c r="S80" s="2"/>
      <c r="T80" s="2"/>
      <c r="U80" s="2"/>
      <c r="V80" s="2"/>
      <c r="W80" s="2"/>
      <c r="X80" s="2"/>
      <c r="Y80" s="2"/>
      <c r="Z80" s="2"/>
    </row>
    <row r="81" ht="15.75" customHeight="1">
      <c r="A81" s="157"/>
      <c r="B81" s="2"/>
      <c r="C81" s="2"/>
      <c r="D81" s="195"/>
      <c r="E81" s="196"/>
      <c r="F81" s="2"/>
      <c r="G81" s="2"/>
      <c r="H81" s="2"/>
      <c r="I81" s="2"/>
      <c r="J81" s="2"/>
      <c r="K81" s="2"/>
      <c r="L81" s="2"/>
      <c r="M81" s="2"/>
      <c r="N81" s="2"/>
      <c r="O81" s="2"/>
      <c r="P81" s="2"/>
      <c r="Q81" s="2"/>
      <c r="R81" s="2"/>
      <c r="S81" s="2"/>
      <c r="T81" s="2"/>
      <c r="U81" s="2"/>
      <c r="V81" s="2"/>
      <c r="W81" s="2"/>
      <c r="X81" s="2"/>
      <c r="Y81" s="2"/>
      <c r="Z81" s="2"/>
    </row>
    <row r="82" ht="15.75" customHeight="1">
      <c r="A82" s="157"/>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157"/>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157"/>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157"/>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157"/>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157"/>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157"/>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157"/>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157"/>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157"/>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157"/>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157"/>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157"/>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157"/>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157"/>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157"/>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157"/>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157"/>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157"/>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157"/>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157"/>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157"/>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157"/>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157"/>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157"/>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157"/>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157"/>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157"/>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157"/>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157"/>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157"/>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157"/>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157"/>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157"/>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157"/>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157"/>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157"/>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157"/>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157"/>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157"/>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157"/>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157"/>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157"/>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157"/>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157"/>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157"/>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157"/>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157"/>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157"/>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157"/>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157"/>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157"/>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157"/>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157"/>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157"/>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157"/>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157"/>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157"/>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157"/>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157"/>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157"/>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157"/>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157"/>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157"/>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157"/>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157"/>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157"/>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157"/>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157"/>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157"/>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157"/>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157"/>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157"/>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157"/>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157"/>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157"/>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157"/>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157"/>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157"/>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157"/>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157"/>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157"/>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157"/>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157"/>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157"/>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157"/>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157"/>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157"/>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157"/>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157"/>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157"/>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157"/>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157"/>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157"/>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157"/>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157"/>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157"/>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157"/>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157"/>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157"/>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157"/>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157"/>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157"/>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157"/>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157"/>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157"/>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157"/>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157"/>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157"/>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157"/>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157"/>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157"/>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157"/>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157"/>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157"/>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157"/>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157"/>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157"/>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157"/>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157"/>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157"/>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157"/>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157"/>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157"/>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157"/>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157"/>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157"/>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157"/>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157"/>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157"/>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157"/>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157"/>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157"/>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157"/>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157"/>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157"/>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157"/>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157"/>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157"/>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157"/>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157"/>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157"/>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157"/>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157"/>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157"/>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157"/>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157"/>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157"/>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157"/>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157"/>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157"/>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157"/>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157"/>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157"/>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157"/>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157"/>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157"/>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157"/>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157"/>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157"/>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157"/>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157"/>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157"/>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157"/>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157"/>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157"/>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157"/>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157"/>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157"/>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157"/>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157"/>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157"/>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157"/>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157"/>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157"/>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157"/>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157"/>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157"/>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157"/>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157"/>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157"/>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157"/>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157"/>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157"/>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157"/>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157"/>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157"/>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157"/>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157"/>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157"/>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157"/>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157"/>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157"/>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157"/>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157"/>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157"/>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157"/>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157"/>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157"/>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157"/>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157"/>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157"/>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157"/>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157"/>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157"/>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157"/>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157"/>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157"/>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157"/>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157"/>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157"/>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157"/>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157"/>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157"/>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157"/>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157"/>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157"/>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157"/>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157"/>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157"/>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157"/>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157"/>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157"/>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157"/>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157"/>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157"/>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157"/>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157"/>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157"/>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157"/>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157"/>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157"/>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157"/>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157"/>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157"/>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157"/>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157"/>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157"/>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157"/>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157"/>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157"/>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157"/>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157"/>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157"/>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157"/>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157"/>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157"/>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157"/>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157"/>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157"/>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157"/>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157"/>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157"/>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157"/>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157"/>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157"/>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157"/>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157"/>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157"/>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157"/>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157"/>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157"/>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157"/>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157"/>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157"/>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157"/>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157"/>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157"/>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157"/>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157"/>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157"/>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157"/>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157"/>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157"/>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157"/>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157"/>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157"/>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157"/>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157"/>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157"/>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157"/>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157"/>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157"/>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157"/>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157"/>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157"/>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157"/>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157"/>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157"/>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157"/>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157"/>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157"/>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157"/>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157"/>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157"/>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157"/>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157"/>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157"/>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157"/>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157"/>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157"/>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157"/>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157"/>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157"/>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157"/>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157"/>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157"/>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157"/>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157"/>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157"/>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157"/>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157"/>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157"/>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157"/>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157"/>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157"/>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157"/>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157"/>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157"/>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157"/>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157"/>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157"/>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157"/>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157"/>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157"/>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157"/>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157"/>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157"/>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157"/>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157"/>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157"/>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157"/>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157"/>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157"/>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157"/>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157"/>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157"/>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157"/>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157"/>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157"/>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157"/>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157"/>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157"/>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157"/>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157"/>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157"/>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157"/>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157"/>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157"/>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157"/>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157"/>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157"/>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157"/>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157"/>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157"/>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157"/>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157"/>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157"/>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157"/>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157"/>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157"/>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157"/>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157"/>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157"/>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157"/>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157"/>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157"/>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157"/>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157"/>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157"/>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157"/>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157"/>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157"/>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157"/>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157"/>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157"/>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157"/>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157"/>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157"/>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157"/>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157"/>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157"/>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157"/>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157"/>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157"/>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157"/>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157"/>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157"/>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157"/>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157"/>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157"/>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157"/>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157"/>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157"/>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157"/>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157"/>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157"/>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157"/>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157"/>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157"/>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157"/>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157"/>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157"/>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157"/>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157"/>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157"/>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157"/>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157"/>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157"/>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157"/>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157"/>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157"/>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157"/>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157"/>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157"/>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157"/>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157"/>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157"/>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157"/>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157"/>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157"/>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157"/>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157"/>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157"/>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157"/>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157"/>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157"/>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157"/>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157"/>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157"/>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157"/>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157"/>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157"/>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157"/>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157"/>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157"/>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157"/>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157"/>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157"/>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157"/>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157"/>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157"/>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157"/>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157"/>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157"/>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157"/>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157"/>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157"/>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157"/>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157"/>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157"/>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157"/>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157"/>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157"/>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157"/>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157"/>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157"/>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157"/>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157"/>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157"/>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157"/>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157"/>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157"/>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157"/>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157"/>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157"/>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157"/>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157"/>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157"/>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157"/>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157"/>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157"/>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157"/>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157"/>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157"/>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157"/>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157"/>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157"/>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157"/>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157"/>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157"/>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157"/>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157"/>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157"/>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157"/>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157"/>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157"/>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157"/>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157"/>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157"/>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157"/>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157"/>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157"/>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157"/>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157"/>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157"/>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157"/>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157"/>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157"/>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157"/>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157"/>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157"/>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157"/>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157"/>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157"/>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157"/>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157"/>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157"/>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157"/>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157"/>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157"/>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157"/>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157"/>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157"/>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157"/>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157"/>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157"/>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157"/>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157"/>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157"/>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157"/>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157"/>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157"/>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157"/>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157"/>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157"/>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157"/>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157"/>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157"/>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157"/>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157"/>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157"/>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157"/>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157"/>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157"/>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157"/>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157"/>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157"/>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157"/>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157"/>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157"/>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157"/>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157"/>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157"/>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157"/>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157"/>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157"/>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157"/>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157"/>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157"/>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157"/>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157"/>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157"/>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157"/>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157"/>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157"/>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157"/>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157"/>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157"/>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157"/>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157"/>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157"/>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157"/>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157"/>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157"/>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157"/>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157"/>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157"/>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157"/>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157"/>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157"/>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157"/>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157"/>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157"/>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157"/>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157"/>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157"/>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157"/>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157"/>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157"/>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157"/>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157"/>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157"/>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157"/>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157"/>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157"/>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157"/>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157"/>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157"/>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157"/>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157"/>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157"/>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157"/>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157"/>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157"/>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157"/>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157"/>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157"/>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157"/>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157"/>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157"/>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157"/>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157"/>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157"/>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157"/>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157"/>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157"/>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157"/>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157"/>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157"/>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157"/>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157"/>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157"/>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157"/>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157"/>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157"/>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157"/>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157"/>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157"/>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157"/>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157"/>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157"/>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157"/>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157"/>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157"/>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157"/>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157"/>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157"/>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157"/>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157"/>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157"/>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157"/>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157"/>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157"/>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157"/>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157"/>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157"/>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157"/>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157"/>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157"/>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157"/>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157"/>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157"/>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157"/>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157"/>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157"/>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157"/>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157"/>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157"/>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157"/>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157"/>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157"/>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157"/>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157"/>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157"/>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157"/>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157"/>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157"/>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157"/>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157"/>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157"/>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157"/>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157"/>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157"/>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157"/>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157"/>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157"/>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157"/>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157"/>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157"/>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157"/>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157"/>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157"/>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157"/>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157"/>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157"/>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157"/>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157"/>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157"/>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157"/>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157"/>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157"/>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157"/>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157"/>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157"/>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157"/>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157"/>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157"/>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157"/>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157"/>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157"/>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157"/>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157"/>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157"/>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157"/>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157"/>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157"/>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157"/>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157"/>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157"/>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157"/>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157"/>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157"/>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157"/>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157"/>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157"/>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157"/>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157"/>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157"/>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157"/>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157"/>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157"/>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157"/>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157"/>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157"/>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157"/>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157"/>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157"/>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157"/>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157"/>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157"/>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157"/>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157"/>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157"/>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157"/>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157"/>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157"/>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157"/>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157"/>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157"/>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157"/>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157"/>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157"/>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157"/>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157"/>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157"/>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157"/>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157"/>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157"/>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157"/>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157"/>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157"/>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157"/>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157"/>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157"/>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157"/>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157"/>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157"/>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157"/>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157"/>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157"/>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157"/>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157"/>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157"/>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157"/>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157"/>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157"/>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157"/>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157"/>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157"/>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157"/>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157"/>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157"/>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157"/>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157"/>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157"/>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157"/>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157"/>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157"/>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157"/>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157"/>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157"/>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157"/>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157"/>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157"/>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157"/>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157"/>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157"/>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157"/>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157"/>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157"/>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157"/>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157"/>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157"/>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157"/>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157"/>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157"/>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157"/>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157"/>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157"/>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157"/>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157"/>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157"/>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157"/>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157"/>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157"/>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157"/>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157"/>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157"/>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157"/>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157"/>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157"/>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157"/>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157"/>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157"/>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157"/>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157"/>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157"/>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157"/>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157"/>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157"/>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157"/>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157"/>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157"/>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157"/>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157"/>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157"/>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157"/>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157"/>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157"/>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157"/>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157"/>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157"/>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157"/>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157"/>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157"/>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157"/>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157"/>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157"/>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157"/>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157"/>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157"/>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157"/>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157"/>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157"/>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157"/>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157"/>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157"/>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157"/>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157"/>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157"/>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157"/>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157"/>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157"/>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157"/>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157"/>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157"/>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157"/>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157"/>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157"/>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157"/>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157"/>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157"/>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157"/>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157"/>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157"/>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157"/>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157"/>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157"/>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157"/>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157"/>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157"/>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157"/>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157"/>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157"/>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157"/>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157"/>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157"/>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157"/>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157"/>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157"/>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157"/>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157"/>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157"/>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157"/>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157"/>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157"/>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157"/>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157"/>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157"/>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157"/>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157"/>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157"/>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157"/>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157"/>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157"/>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157"/>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157"/>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157"/>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157"/>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157"/>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157"/>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157"/>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157"/>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157"/>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157"/>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157"/>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157"/>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157"/>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157"/>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157"/>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157"/>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157"/>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157"/>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157"/>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157"/>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157"/>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157"/>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157"/>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157"/>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157"/>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157"/>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157"/>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157"/>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157"/>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157"/>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157"/>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157"/>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157"/>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8">
    <mergeCell ref="D2:E2"/>
    <mergeCell ref="D6:E6"/>
    <mergeCell ref="D8:E8"/>
    <mergeCell ref="A47:E47"/>
    <mergeCell ref="B48:C48"/>
    <mergeCell ref="E49:E55"/>
    <mergeCell ref="D57:E57"/>
    <mergeCell ref="D66:E66"/>
  </mergeCells>
  <conditionalFormatting sqref="C41">
    <cfRule type="expression" dxfId="4" priority="1">
      <formula>$C$41&lt;=0</formula>
    </cfRule>
  </conditionalFormatting>
  <hyperlinks>
    <hyperlink r:id="rId2" ref="B7"/>
    <hyperlink r:id="rId3" ref="D8"/>
  </hyperlinks>
  <printOptions horizontalCentered="1"/>
  <pageMargins bottom="1.3779527559055118" footer="0.0" header="0.0" left="0.7086614173228347" right="0.7086614173228347" top="1.3385826771653544"/>
  <pageSetup fitToHeight="0" orientation="portrait"/>
  <headerFooter>
    <oddHeader/>
    <oddFooter>&amp;LPor favor verifique el TOTAL, OPCIONES DE PAGO y las CONDICIONES GENERALES en la página                           &amp;Rpágina &amp;P de  </oddFooter>
  </headerFooter>
  <drawing r:id="rId4"/>
  <extLst>
    <ext uri="{3A4CF648-6AED-40f4-86FF-DC5316D8AED3}">
      <x14:slicerList>
        <x14:slicer r:id="rId5"/>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sheetData>
    <row r="1">
      <c r="A1" s="199" t="s">
        <v>0</v>
      </c>
      <c r="B1" s="200" t="s">
        <v>27</v>
      </c>
      <c r="C1" s="200" t="s">
        <v>28</v>
      </c>
      <c r="D1" s="200" t="s">
        <v>29</v>
      </c>
      <c r="E1" s="200" t="s">
        <v>30</v>
      </c>
      <c r="F1" s="200" t="s">
        <v>12</v>
      </c>
      <c r="G1" s="200" t="s">
        <v>31</v>
      </c>
      <c r="H1" s="200" t="s">
        <v>32</v>
      </c>
      <c r="I1" s="200" t="s">
        <v>17</v>
      </c>
      <c r="J1" s="200" t="s">
        <v>33</v>
      </c>
      <c r="K1" s="200" t="s">
        <v>34</v>
      </c>
      <c r="L1" s="200" t="s">
        <v>35</v>
      </c>
      <c r="M1" s="200" t="s">
        <v>36</v>
      </c>
      <c r="N1" s="200" t="s">
        <v>37</v>
      </c>
      <c r="O1" s="200" t="s">
        <v>4</v>
      </c>
      <c r="P1" s="200" t="s">
        <v>38</v>
      </c>
      <c r="Q1" s="200" t="s">
        <v>39</v>
      </c>
      <c r="R1" s="200" t="s">
        <v>40</v>
      </c>
      <c r="S1" s="200" t="s">
        <v>41</v>
      </c>
      <c r="T1" s="200" t="s">
        <v>42</v>
      </c>
      <c r="U1" s="201" t="s">
        <v>43</v>
      </c>
    </row>
    <row r="2">
      <c r="A2" s="202" t="s">
        <v>9</v>
      </c>
      <c r="B2" s="203">
        <v>4.0</v>
      </c>
      <c r="C2" s="203">
        <v>2.3456789E7</v>
      </c>
      <c r="D2" s="203" t="s">
        <v>147</v>
      </c>
      <c r="E2" s="203">
        <v>10.0</v>
      </c>
      <c r="F2" s="203" t="s">
        <v>14</v>
      </c>
      <c r="G2" s="203">
        <v>0.0</v>
      </c>
      <c r="H2" s="204">
        <v>32.0</v>
      </c>
      <c r="I2" s="203" t="s">
        <v>20</v>
      </c>
      <c r="J2" s="205">
        <v>32.0</v>
      </c>
      <c r="K2" s="206">
        <v>320.0</v>
      </c>
      <c r="L2" s="206">
        <v>35.55555555555554</v>
      </c>
      <c r="M2" s="207">
        <v>0.1</v>
      </c>
      <c r="N2" s="207">
        <v>0.0</v>
      </c>
      <c r="O2" s="207">
        <v>0.0</v>
      </c>
      <c r="P2" s="205">
        <v>355.55555555555554</v>
      </c>
      <c r="Q2" s="203" t="s">
        <v>53</v>
      </c>
      <c r="R2" s="205">
        <v>355.55555555555554</v>
      </c>
      <c r="S2" s="205">
        <v>35.6</v>
      </c>
      <c r="T2" s="205">
        <v>356.0</v>
      </c>
      <c r="U2" s="208"/>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sheetData>
    <row r="1">
      <c r="A1" s="199" t="s">
        <v>0</v>
      </c>
      <c r="B1" s="200" t="s">
        <v>27</v>
      </c>
      <c r="C1" s="200" t="s">
        <v>28</v>
      </c>
      <c r="D1" s="200" t="s">
        <v>29</v>
      </c>
      <c r="E1" s="200" t="s">
        <v>30</v>
      </c>
      <c r="F1" s="200" t="s">
        <v>12</v>
      </c>
      <c r="G1" s="200" t="s">
        <v>31</v>
      </c>
      <c r="H1" s="200" t="s">
        <v>32</v>
      </c>
      <c r="I1" s="200" t="s">
        <v>17</v>
      </c>
      <c r="J1" s="200" t="s">
        <v>33</v>
      </c>
      <c r="K1" s="200" t="s">
        <v>34</v>
      </c>
      <c r="L1" s="200" t="s">
        <v>35</v>
      </c>
      <c r="M1" s="200" t="s">
        <v>36</v>
      </c>
      <c r="N1" s="200" t="s">
        <v>37</v>
      </c>
      <c r="O1" s="200" t="s">
        <v>4</v>
      </c>
      <c r="P1" s="200" t="s">
        <v>38</v>
      </c>
      <c r="Q1" s="200" t="s">
        <v>39</v>
      </c>
      <c r="R1" s="200" t="s">
        <v>40</v>
      </c>
      <c r="S1" s="200" t="s">
        <v>41</v>
      </c>
      <c r="T1" s="200" t="s">
        <v>42</v>
      </c>
      <c r="U1" s="201" t="s">
        <v>43</v>
      </c>
    </row>
    <row r="2">
      <c r="A2" s="202" t="s">
        <v>9</v>
      </c>
      <c r="B2" s="203">
        <v>8.0</v>
      </c>
      <c r="C2" s="203">
        <v>2.3456789E7</v>
      </c>
      <c r="D2" s="203" t="s">
        <v>148</v>
      </c>
      <c r="E2" s="203">
        <v>12.0</v>
      </c>
      <c r="F2" s="203" t="s">
        <v>14</v>
      </c>
      <c r="G2" s="203">
        <v>0.0</v>
      </c>
      <c r="H2" s="204">
        <v>28.0</v>
      </c>
      <c r="I2" s="203" t="s">
        <v>20</v>
      </c>
      <c r="J2" s="205">
        <v>28.0</v>
      </c>
      <c r="K2" s="206">
        <v>336.0</v>
      </c>
      <c r="L2" s="206">
        <v>37.333333333333314</v>
      </c>
      <c r="M2" s="207">
        <v>0.1</v>
      </c>
      <c r="N2" s="207">
        <v>0.0</v>
      </c>
      <c r="O2" s="207">
        <v>0.0</v>
      </c>
      <c r="P2" s="205">
        <v>373.3333333333333</v>
      </c>
      <c r="Q2" s="203" t="s">
        <v>53</v>
      </c>
      <c r="R2" s="205">
        <v>373.3333333333333</v>
      </c>
      <c r="S2" s="205">
        <v>31.166666666666668</v>
      </c>
      <c r="T2" s="205">
        <v>374.0</v>
      </c>
      <c r="U2" s="208"/>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29.88"/>
    <col customWidth="1" min="3" max="3" width="33.63"/>
    <col customWidth="1" min="4" max="4" width="22.25"/>
    <col customWidth="1" min="5" max="5" width="19.0"/>
    <col customWidth="1" min="6" max="6" width="28.13"/>
    <col customWidth="1" hidden="1" min="7" max="7" width="10.0"/>
    <col customWidth="1" min="8" max="9" width="2.75"/>
    <col customWidth="1" min="10" max="26" width="9.5"/>
  </cols>
  <sheetData>
    <row r="1">
      <c r="A1" s="209" t="str">
        <f>'PR 100'!A1</f>
        <v>FECHA:</v>
      </c>
      <c r="B1" s="210">
        <f>'PR 100'!B1</f>
        <v>43767</v>
      </c>
      <c r="C1" s="211"/>
      <c r="D1" s="212" t="str">
        <f>'PR 100'!D1</f>
        <v>Cotización:</v>
      </c>
      <c r="E1" s="213" t="str">
        <f>'PR 100'!E1</f>
        <v>CM00016 C</v>
      </c>
      <c r="F1" s="2"/>
      <c r="G1" s="2"/>
      <c r="H1" s="2"/>
      <c r="I1" s="2"/>
      <c r="J1" s="2"/>
      <c r="K1" s="2"/>
      <c r="L1" s="2"/>
      <c r="M1" s="2"/>
      <c r="N1" s="2"/>
      <c r="O1" s="2"/>
      <c r="P1" s="2"/>
      <c r="Q1" s="2"/>
      <c r="R1" s="2"/>
      <c r="S1" s="2"/>
      <c r="T1" s="2"/>
      <c r="U1" s="2"/>
      <c r="V1" s="2"/>
      <c r="W1" s="2"/>
      <c r="X1" s="2"/>
      <c r="Y1" s="2"/>
      <c r="Z1" s="2"/>
    </row>
    <row r="2">
      <c r="A2" s="209" t="str">
        <f>'PR 100'!A2</f>
        <v>CLIENTE:</v>
      </c>
      <c r="B2" s="214" t="str">
        <f>'PR 100'!B2</f>
        <v>AAAAA</v>
      </c>
      <c r="C2" s="209" t="str">
        <f>'PR 100'!C2</f>
        <v>EMPRESA:</v>
      </c>
      <c r="D2" s="215" t="str">
        <f>'PR 100'!D2</f>
        <v>BBBBBB</v>
      </c>
      <c r="E2" s="216"/>
      <c r="F2" s="2"/>
      <c r="G2" s="2"/>
      <c r="H2" s="2"/>
      <c r="I2" s="2"/>
      <c r="J2" s="2"/>
      <c r="K2" s="2"/>
      <c r="L2" s="2"/>
      <c r="M2" s="2"/>
      <c r="N2" s="2"/>
      <c r="O2" s="2"/>
      <c r="P2" s="2"/>
      <c r="Q2" s="2"/>
      <c r="R2" s="2"/>
      <c r="S2" s="2"/>
      <c r="T2" s="2"/>
      <c r="U2" s="2"/>
      <c r="V2" s="2"/>
      <c r="W2" s="2"/>
      <c r="X2" s="2"/>
      <c r="Y2" s="2"/>
      <c r="Z2" s="2"/>
    </row>
    <row r="3">
      <c r="A3" s="209" t="str">
        <f>'PR 100'!A3</f>
        <v>DIRECCIÓN:</v>
      </c>
      <c r="B3" s="217" t="str">
        <f>'PR 100'!B3</f>
        <v>AAAAA</v>
      </c>
      <c r="C3" s="209" t="str">
        <f>'PR 100'!C3</f>
        <v>RFC:</v>
      </c>
      <c r="D3" s="218" t="str">
        <f>'PR 100'!D3</f>
        <v>BBBBBB</v>
      </c>
      <c r="E3" s="217"/>
      <c r="F3" s="2"/>
      <c r="G3" s="2"/>
      <c r="H3" s="2"/>
      <c r="I3" s="2"/>
      <c r="J3" s="2"/>
      <c r="K3" s="2"/>
      <c r="L3" s="2"/>
      <c r="M3" s="2"/>
      <c r="N3" s="2"/>
      <c r="O3" s="2"/>
      <c r="P3" s="2"/>
      <c r="Q3" s="2"/>
      <c r="R3" s="2"/>
      <c r="S3" s="2"/>
      <c r="T3" s="2"/>
      <c r="U3" s="2"/>
      <c r="V3" s="2"/>
      <c r="W3" s="2"/>
      <c r="X3" s="2"/>
      <c r="Y3" s="2"/>
      <c r="Z3" s="2"/>
    </row>
    <row r="4">
      <c r="A4" s="209" t="str">
        <f>'PR 100'!A4</f>
        <v>CONTACTO:</v>
      </c>
      <c r="B4" s="214" t="str">
        <f>'PR 100'!B4</f>
        <v>AAAAA</v>
      </c>
      <c r="C4" s="209" t="str">
        <f>'PR 100'!C4</f>
        <v>TELEFONO:</v>
      </c>
      <c r="D4" s="214">
        <f>'PR 100'!D4</f>
        <v>123456789</v>
      </c>
      <c r="E4" s="214"/>
      <c r="F4" s="141"/>
      <c r="G4" s="141"/>
      <c r="H4" s="141"/>
      <c r="I4" s="2"/>
      <c r="J4" s="2"/>
      <c r="K4" s="2"/>
      <c r="L4" s="2"/>
      <c r="M4" s="2"/>
      <c r="N4" s="2"/>
      <c r="O4" s="2"/>
      <c r="P4" s="2"/>
      <c r="Q4" s="2"/>
      <c r="R4" s="2"/>
      <c r="S4" s="2"/>
      <c r="T4" s="2"/>
      <c r="U4" s="2"/>
      <c r="V4" s="2"/>
      <c r="W4" s="2"/>
      <c r="X4" s="2"/>
      <c r="Y4" s="2"/>
      <c r="Z4" s="2"/>
    </row>
    <row r="5">
      <c r="A5" s="209" t="str">
        <f>'PR 100'!A5</f>
        <v>TELÉFONO:</v>
      </c>
      <c r="B5" s="214">
        <f>'PR 100'!B5</f>
        <v>3456789</v>
      </c>
      <c r="C5" s="209" t="str">
        <f>'PR 100'!C5</f>
        <v>EXTENSIÓN:</v>
      </c>
      <c r="D5" s="219">
        <f>'PR 100'!D5</f>
        <v>1234</v>
      </c>
      <c r="E5" s="214"/>
      <c r="F5" s="2"/>
      <c r="G5" s="2"/>
      <c r="H5" s="2"/>
      <c r="I5" s="2"/>
      <c r="J5" s="2"/>
      <c r="K5" s="2"/>
      <c r="L5" s="2"/>
      <c r="M5" s="2"/>
      <c r="N5" s="2"/>
      <c r="O5" s="2"/>
      <c r="P5" s="2"/>
      <c r="Q5" s="2"/>
      <c r="R5" s="2"/>
      <c r="S5" s="2"/>
      <c r="T5" s="2"/>
      <c r="U5" s="2"/>
      <c r="V5" s="2"/>
      <c r="W5" s="2"/>
      <c r="X5" s="2"/>
      <c r="Y5" s="2"/>
      <c r="Z5" s="2"/>
    </row>
    <row r="6">
      <c r="A6" s="209" t="str">
        <f>'PR 100'!A6</f>
        <v>EXTENSIÓN:</v>
      </c>
      <c r="B6" s="219">
        <f>'PR 100'!B6</f>
        <v>1234</v>
      </c>
      <c r="C6" s="209" t="str">
        <f>'PR 100'!C6</f>
        <v>ELABORÓ:</v>
      </c>
      <c r="D6" s="220" t="str">
        <f>'PR 100'!D6</f>
        <v>BBBBBB</v>
      </c>
      <c r="E6" s="216"/>
      <c r="F6" s="2"/>
      <c r="G6" s="2"/>
      <c r="H6" s="2"/>
      <c r="I6" s="2"/>
      <c r="J6" s="2"/>
      <c r="K6" s="2"/>
      <c r="L6" s="2"/>
      <c r="M6" s="2"/>
      <c r="N6" s="2"/>
      <c r="O6" s="2"/>
      <c r="P6" s="2"/>
      <c r="Q6" s="2"/>
      <c r="R6" s="2"/>
      <c r="S6" s="2"/>
      <c r="T6" s="2"/>
      <c r="U6" s="2"/>
      <c r="V6" s="2"/>
      <c r="W6" s="2"/>
      <c r="X6" s="2"/>
      <c r="Y6" s="2"/>
      <c r="Z6" s="2"/>
    </row>
    <row r="7">
      <c r="A7" s="209" t="str">
        <f>'PR 100'!A7</f>
        <v>EMAIL:</v>
      </c>
      <c r="B7" s="221" t="str">
        <f>'PR 100'!B7</f>
        <v>AAAA@GMAIL.COM</v>
      </c>
      <c r="C7" s="209" t="str">
        <f>'PR 100'!C7</f>
        <v>CELULAR:</v>
      </c>
      <c r="D7" s="214">
        <f>'PR 100'!D7</f>
        <v>1234567890</v>
      </c>
      <c r="E7" s="214"/>
      <c r="F7" s="2"/>
      <c r="G7" s="2"/>
      <c r="H7" s="2"/>
      <c r="I7" s="2"/>
      <c r="J7" s="2"/>
      <c r="K7" s="2"/>
      <c r="L7" s="2"/>
      <c r="M7" s="2"/>
      <c r="N7" s="2"/>
      <c r="O7" s="2"/>
      <c r="P7" s="2"/>
      <c r="Q7" s="2"/>
      <c r="R7" s="2"/>
      <c r="S7" s="2"/>
      <c r="T7" s="2"/>
      <c r="U7" s="2"/>
      <c r="V7" s="2"/>
      <c r="W7" s="2"/>
      <c r="X7" s="2"/>
      <c r="Y7" s="2"/>
      <c r="Z7" s="2"/>
    </row>
    <row r="8">
      <c r="A8" s="209" t="str">
        <f>'PR 100'!A8</f>
        <v>CELULAR:</v>
      </c>
      <c r="B8" s="214">
        <f>'PR 100'!B8</f>
        <v>123456789</v>
      </c>
      <c r="C8" s="209" t="str">
        <f>'PR 100'!C8</f>
        <v>EMAIL:</v>
      </c>
      <c r="D8" s="222" t="str">
        <f>'PR 100'!D8</f>
        <v>bbb@gmail.com</v>
      </c>
      <c r="E8" s="216"/>
      <c r="F8" s="2"/>
      <c r="G8" s="2"/>
      <c r="H8" s="2"/>
      <c r="I8" s="2"/>
      <c r="J8" s="2"/>
      <c r="K8" s="2"/>
      <c r="L8" s="2"/>
      <c r="M8" s="2"/>
      <c r="N8" s="2"/>
      <c r="O8" s="2"/>
      <c r="P8" s="2"/>
      <c r="Q8" s="2"/>
      <c r="R8" s="2"/>
      <c r="S8" s="2"/>
      <c r="T8" s="2"/>
      <c r="U8" s="2"/>
      <c r="V8" s="2"/>
      <c r="W8" s="2"/>
      <c r="X8" s="2"/>
      <c r="Y8" s="2"/>
      <c r="Z8" s="2"/>
    </row>
    <row r="9">
      <c r="A9" s="211"/>
      <c r="B9" s="211"/>
      <c r="C9" s="211"/>
      <c r="D9" s="214"/>
      <c r="E9" s="214"/>
      <c r="F9" s="2"/>
      <c r="G9" s="2"/>
      <c r="H9" s="2"/>
      <c r="I9" s="2"/>
      <c r="J9" s="2"/>
      <c r="K9" s="2"/>
      <c r="L9" s="2"/>
      <c r="M9" s="2"/>
      <c r="N9" s="2"/>
      <c r="O9" s="2"/>
      <c r="P9" s="2"/>
      <c r="Q9" s="2"/>
      <c r="R9" s="2"/>
      <c r="S9" s="2"/>
      <c r="T9" s="2"/>
      <c r="U9" s="2"/>
      <c r="V9" s="2"/>
      <c r="W9" s="2"/>
      <c r="X9" s="2"/>
      <c r="Y9" s="2"/>
      <c r="Z9" s="2"/>
    </row>
    <row r="10">
      <c r="A10" s="211"/>
      <c r="B10" s="211"/>
      <c r="C10" s="211"/>
      <c r="D10" s="214"/>
      <c r="E10" s="214"/>
      <c r="F10" s="2"/>
      <c r="G10" s="2"/>
      <c r="H10" s="2"/>
      <c r="I10" s="2"/>
      <c r="J10" s="2"/>
      <c r="K10" s="2"/>
      <c r="L10" s="2"/>
      <c r="M10" s="2"/>
      <c r="N10" s="2"/>
      <c r="O10" s="2"/>
      <c r="P10" s="2"/>
      <c r="Q10" s="2"/>
      <c r="R10" s="2"/>
      <c r="S10" s="2"/>
      <c r="T10" s="2"/>
      <c r="U10" s="2"/>
      <c r="V10" s="2"/>
      <c r="W10" s="2"/>
      <c r="X10" s="2"/>
      <c r="Y10" s="2"/>
      <c r="Z10" s="2"/>
    </row>
    <row r="11">
      <c r="A11" s="211"/>
      <c r="B11" s="211"/>
      <c r="C11" s="211"/>
      <c r="D11" s="214"/>
      <c r="E11" s="214"/>
      <c r="F11" s="2"/>
      <c r="G11" s="2"/>
      <c r="H11" s="2"/>
      <c r="I11" s="2"/>
      <c r="J11" s="2"/>
      <c r="K11" s="2"/>
      <c r="L11" s="2"/>
      <c r="M11" s="2"/>
      <c r="N11" s="2"/>
      <c r="O11" s="2"/>
      <c r="P11" s="2"/>
      <c r="Q11" s="2"/>
      <c r="R11" s="2"/>
      <c r="S11" s="2"/>
      <c r="T11" s="2"/>
      <c r="U11" s="2"/>
      <c r="V11" s="2"/>
      <c r="W11" s="2"/>
      <c r="X11" s="2"/>
      <c r="Y11" s="2"/>
      <c r="Z11" s="2"/>
    </row>
    <row r="12">
      <c r="A12" s="209"/>
      <c r="B12" s="223"/>
      <c r="C12" s="209"/>
      <c r="D12" s="214"/>
      <c r="E12" s="214"/>
      <c r="F12" s="2"/>
      <c r="G12" s="2"/>
      <c r="H12" s="2"/>
      <c r="I12" s="2"/>
      <c r="J12" s="2"/>
      <c r="K12" s="2"/>
      <c r="L12" s="2"/>
      <c r="M12" s="2"/>
      <c r="N12" s="2"/>
      <c r="O12" s="2"/>
      <c r="P12" s="2"/>
      <c r="Q12" s="2"/>
      <c r="R12" s="2"/>
      <c r="S12" s="2"/>
      <c r="T12" s="2"/>
      <c r="U12" s="2"/>
      <c r="V12" s="2"/>
      <c r="W12" s="2"/>
      <c r="X12" s="2"/>
      <c r="Y12" s="2"/>
      <c r="Z12" s="2"/>
    </row>
    <row r="13" hidden="1">
      <c r="A13" s="224" t="s">
        <v>27</v>
      </c>
      <c r="F13" s="2"/>
      <c r="G13" s="2"/>
      <c r="H13" s="2"/>
      <c r="I13" s="2"/>
      <c r="J13" s="2"/>
      <c r="K13" s="2"/>
      <c r="L13" s="2"/>
      <c r="M13" s="2"/>
      <c r="N13" s="2"/>
      <c r="O13" s="2"/>
      <c r="P13" s="2"/>
      <c r="Q13" s="2"/>
      <c r="R13" s="2"/>
      <c r="S13" s="2"/>
      <c r="T13" s="2"/>
      <c r="U13" s="2"/>
      <c r="V13" s="2"/>
      <c r="W13" s="2"/>
      <c r="X13" s="2"/>
      <c r="Y13" s="2"/>
      <c r="Z13" s="2"/>
    </row>
    <row r="14" hidden="1">
      <c r="A14" s="225">
        <v>1.0</v>
      </c>
      <c r="F14" s="2"/>
      <c r="G14" s="2"/>
      <c r="H14" s="2"/>
      <c r="I14" s="2"/>
      <c r="J14" s="2"/>
      <c r="K14" s="2"/>
      <c r="L14" s="2"/>
      <c r="M14" s="2"/>
      <c r="N14" s="2"/>
      <c r="O14" s="2"/>
      <c r="P14" s="2"/>
      <c r="Q14" s="2"/>
      <c r="R14" s="2"/>
      <c r="S14" s="2"/>
      <c r="T14" s="2"/>
      <c r="U14" s="2"/>
      <c r="V14" s="2"/>
      <c r="W14" s="2"/>
      <c r="X14" s="2"/>
      <c r="Y14" s="2"/>
      <c r="Z14" s="2"/>
    </row>
    <row r="15" hidden="1">
      <c r="A15" s="225">
        <v>2.0</v>
      </c>
      <c r="F15" s="2"/>
      <c r="G15" s="2"/>
      <c r="H15" s="2"/>
      <c r="I15" s="2"/>
      <c r="J15" s="2"/>
      <c r="K15" s="2"/>
      <c r="L15" s="2"/>
      <c r="M15" s="2"/>
      <c r="N15" s="2"/>
      <c r="O15" s="2"/>
      <c r="P15" s="2"/>
      <c r="Q15" s="2"/>
      <c r="R15" s="2"/>
      <c r="S15" s="2"/>
      <c r="T15" s="2"/>
      <c r="U15" s="2"/>
      <c r="V15" s="2"/>
      <c r="W15" s="2"/>
      <c r="X15" s="2"/>
      <c r="Y15" s="2"/>
      <c r="Z15" s="2"/>
    </row>
    <row r="16" hidden="1">
      <c r="A16" s="225">
        <v>3.0</v>
      </c>
      <c r="F16" s="2"/>
      <c r="G16" s="2"/>
      <c r="H16" s="2"/>
      <c r="I16" s="2"/>
      <c r="J16" s="2"/>
      <c r="K16" s="2"/>
      <c r="L16" s="2"/>
      <c r="M16" s="2"/>
      <c r="N16" s="2"/>
      <c r="O16" s="2"/>
      <c r="P16" s="2"/>
      <c r="Q16" s="2"/>
      <c r="R16" s="2"/>
      <c r="S16" s="2"/>
      <c r="T16" s="2"/>
      <c r="U16" s="2"/>
      <c r="V16" s="2"/>
      <c r="W16" s="2"/>
      <c r="X16" s="2"/>
      <c r="Y16" s="2"/>
      <c r="Z16" s="2"/>
    </row>
    <row r="17" hidden="1">
      <c r="A17" s="225">
        <v>4.0</v>
      </c>
      <c r="F17" s="2"/>
      <c r="G17" s="2"/>
      <c r="H17" s="2"/>
      <c r="I17" s="2"/>
      <c r="J17" s="2"/>
      <c r="K17" s="2"/>
      <c r="L17" s="2"/>
      <c r="M17" s="2"/>
      <c r="N17" s="2"/>
      <c r="O17" s="2"/>
      <c r="P17" s="2"/>
      <c r="Q17" s="2"/>
      <c r="R17" s="2"/>
      <c r="S17" s="2"/>
      <c r="T17" s="2"/>
      <c r="U17" s="2"/>
      <c r="V17" s="2"/>
      <c r="W17" s="2"/>
      <c r="X17" s="2"/>
      <c r="Y17" s="2"/>
      <c r="Z17" s="2"/>
    </row>
    <row r="18" hidden="1">
      <c r="A18" s="225">
        <v>5.0</v>
      </c>
      <c r="F18" s="2"/>
      <c r="G18" s="2"/>
      <c r="H18" s="2"/>
      <c r="I18" s="2"/>
      <c r="J18" s="2"/>
      <c r="K18" s="2"/>
      <c r="L18" s="2"/>
      <c r="M18" s="2"/>
      <c r="N18" s="2"/>
      <c r="O18" s="2"/>
      <c r="P18" s="2"/>
      <c r="Q18" s="2"/>
      <c r="R18" s="2"/>
      <c r="S18" s="2"/>
      <c r="T18" s="2"/>
      <c r="U18" s="2"/>
      <c r="V18" s="2"/>
      <c r="W18" s="2"/>
      <c r="X18" s="2"/>
      <c r="Y18" s="2"/>
      <c r="Z18" s="2"/>
    </row>
    <row r="19" hidden="1">
      <c r="A19" s="225">
        <v>6.0</v>
      </c>
      <c r="F19" s="2"/>
      <c r="G19" s="2"/>
      <c r="H19" s="2"/>
      <c r="I19" s="2"/>
      <c r="J19" s="2"/>
      <c r="K19" s="2"/>
      <c r="L19" s="2"/>
      <c r="M19" s="2"/>
      <c r="N19" s="2"/>
      <c r="O19" s="2"/>
      <c r="P19" s="2"/>
      <c r="Q19" s="2"/>
      <c r="R19" s="2"/>
      <c r="S19" s="2"/>
      <c r="T19" s="2"/>
      <c r="U19" s="2"/>
      <c r="V19" s="2"/>
      <c r="W19" s="2"/>
      <c r="X19" s="2"/>
      <c r="Y19" s="2"/>
      <c r="Z19" s="2"/>
    </row>
    <row r="20" hidden="1">
      <c r="A20" s="225">
        <v>7.0</v>
      </c>
      <c r="F20" s="2"/>
      <c r="G20" s="2"/>
      <c r="H20" s="2"/>
      <c r="I20" s="2"/>
      <c r="J20" s="2"/>
      <c r="K20" s="2"/>
      <c r="L20" s="2"/>
      <c r="M20" s="2"/>
      <c r="N20" s="2"/>
      <c r="O20" s="2"/>
      <c r="P20" s="2"/>
      <c r="Q20" s="2"/>
      <c r="R20" s="2"/>
      <c r="S20" s="2"/>
      <c r="T20" s="2"/>
      <c r="U20" s="2"/>
      <c r="V20" s="2"/>
      <c r="W20" s="2"/>
      <c r="X20" s="2"/>
      <c r="Y20" s="2"/>
      <c r="Z20" s="2"/>
    </row>
    <row r="21" ht="15.75" hidden="1" customHeight="1">
      <c r="A21" s="225">
        <v>8.0</v>
      </c>
      <c r="F21" s="2"/>
      <c r="G21" s="2"/>
      <c r="H21" s="2"/>
      <c r="I21" s="2"/>
      <c r="J21" s="2"/>
      <c r="K21" s="2"/>
      <c r="L21" s="2"/>
      <c r="M21" s="2"/>
      <c r="N21" s="2"/>
      <c r="O21" s="2"/>
      <c r="P21" s="2"/>
      <c r="Q21" s="2"/>
      <c r="R21" s="2"/>
      <c r="S21" s="2"/>
      <c r="T21" s="2"/>
      <c r="U21" s="2"/>
      <c r="V21" s="2"/>
      <c r="W21" s="2"/>
      <c r="X21" s="2"/>
      <c r="Y21" s="2"/>
      <c r="Z21" s="2"/>
    </row>
    <row r="22" ht="15.75" hidden="1" customHeight="1">
      <c r="A22" s="225">
        <v>9.0</v>
      </c>
      <c r="F22" s="2"/>
      <c r="G22" s="2"/>
      <c r="H22" s="2"/>
      <c r="I22" s="2"/>
      <c r="J22" s="2"/>
      <c r="K22" s="2"/>
      <c r="L22" s="2"/>
      <c r="M22" s="2"/>
      <c r="N22" s="2"/>
      <c r="O22" s="2"/>
      <c r="P22" s="2"/>
      <c r="Q22" s="2"/>
      <c r="R22" s="2"/>
      <c r="S22" s="2"/>
      <c r="T22" s="2"/>
      <c r="U22" s="2"/>
      <c r="V22" s="2"/>
      <c r="W22" s="2"/>
      <c r="X22" s="2"/>
      <c r="Y22" s="2"/>
      <c r="Z22" s="2"/>
    </row>
    <row r="23" ht="15.75" hidden="1" customHeight="1">
      <c r="A23" s="225">
        <v>10.0</v>
      </c>
      <c r="F23" s="2"/>
      <c r="G23" s="2"/>
      <c r="H23" s="2"/>
      <c r="I23" s="2"/>
      <c r="J23" s="2"/>
      <c r="K23" s="2"/>
      <c r="L23" s="2"/>
      <c r="M23" s="2"/>
      <c r="N23" s="2"/>
      <c r="O23" s="2"/>
      <c r="P23" s="2"/>
      <c r="Q23" s="2"/>
      <c r="R23" s="2"/>
      <c r="S23" s="2"/>
      <c r="T23" s="2"/>
      <c r="U23" s="2"/>
      <c r="V23" s="2"/>
      <c r="W23" s="2"/>
      <c r="X23" s="2"/>
      <c r="Y23" s="2"/>
      <c r="Z23" s="2"/>
    </row>
    <row r="24" ht="15.75" hidden="1" customHeight="1">
      <c r="A24" s="225">
        <v>11.0</v>
      </c>
      <c r="F24" s="2"/>
      <c r="G24" s="2"/>
      <c r="H24" s="2"/>
      <c r="I24" s="2"/>
      <c r="J24" s="2"/>
      <c r="K24" s="2"/>
      <c r="L24" s="2"/>
      <c r="M24" s="2"/>
      <c r="N24" s="2"/>
      <c r="O24" s="2"/>
      <c r="P24" s="2"/>
      <c r="Q24" s="2"/>
      <c r="R24" s="2"/>
      <c r="S24" s="2"/>
      <c r="T24" s="2"/>
      <c r="U24" s="2"/>
      <c r="V24" s="2"/>
      <c r="W24" s="2"/>
      <c r="X24" s="2"/>
      <c r="Y24" s="2"/>
      <c r="Z24" s="2"/>
    </row>
    <row r="25" ht="15.75" hidden="1" customHeight="1">
      <c r="A25" s="225">
        <v>12.0</v>
      </c>
      <c r="F25" s="2"/>
      <c r="G25" s="2"/>
      <c r="H25" s="2"/>
      <c r="I25" s="2"/>
      <c r="J25" s="2"/>
      <c r="K25" s="2"/>
      <c r="L25" s="2"/>
      <c r="M25" s="2"/>
      <c r="N25" s="2"/>
      <c r="O25" s="2"/>
      <c r="P25" s="2"/>
      <c r="Q25" s="2"/>
      <c r="R25" s="2"/>
      <c r="S25" s="2"/>
      <c r="T25" s="2"/>
      <c r="U25" s="2"/>
      <c r="V25" s="2"/>
      <c r="W25" s="2"/>
      <c r="X25" s="2"/>
      <c r="Y25" s="2"/>
      <c r="Z25" s="2"/>
    </row>
    <row r="26" ht="15.75" hidden="1" customHeight="1">
      <c r="A26" s="225">
        <v>13.0</v>
      </c>
      <c r="F26" s="2"/>
      <c r="G26" s="2"/>
      <c r="H26" s="2"/>
      <c r="I26" s="2"/>
      <c r="J26" s="2"/>
      <c r="K26" s="2"/>
      <c r="L26" s="2"/>
      <c r="M26" s="2"/>
      <c r="N26" s="2"/>
      <c r="O26" s="2"/>
      <c r="P26" s="2"/>
      <c r="Q26" s="2"/>
      <c r="R26" s="2"/>
      <c r="S26" s="2"/>
      <c r="T26" s="2"/>
      <c r="U26" s="2"/>
      <c r="V26" s="2"/>
      <c r="W26" s="2"/>
      <c r="X26" s="2"/>
      <c r="Y26" s="2"/>
      <c r="Z26" s="2"/>
    </row>
    <row r="27" ht="15.75" hidden="1" customHeight="1">
      <c r="A27" s="225">
        <v>14.0</v>
      </c>
      <c r="F27" s="2"/>
      <c r="G27" s="2"/>
      <c r="H27" s="2"/>
      <c r="I27" s="2"/>
      <c r="J27" s="2"/>
      <c r="K27" s="2"/>
      <c r="L27" s="2"/>
      <c r="M27" s="2"/>
      <c r="N27" s="2"/>
      <c r="O27" s="2"/>
      <c r="P27" s="2"/>
      <c r="Q27" s="2"/>
      <c r="R27" s="2"/>
      <c r="S27" s="2"/>
      <c r="T27" s="2"/>
      <c r="U27" s="2"/>
      <c r="V27" s="2"/>
      <c r="W27" s="2"/>
      <c r="X27" s="2"/>
      <c r="Y27" s="2"/>
      <c r="Z27" s="2"/>
    </row>
    <row r="28" ht="15.75" hidden="1" customHeight="1">
      <c r="A28" s="225">
        <v>15.0</v>
      </c>
      <c r="F28" s="2"/>
      <c r="G28" s="2"/>
      <c r="H28" s="2"/>
      <c r="I28" s="2"/>
      <c r="J28" s="2"/>
      <c r="K28" s="2"/>
      <c r="L28" s="2"/>
      <c r="M28" s="2"/>
      <c r="N28" s="2"/>
      <c r="O28" s="2"/>
      <c r="P28" s="2"/>
      <c r="Q28" s="2"/>
      <c r="R28" s="2"/>
      <c r="S28" s="2"/>
      <c r="T28" s="2"/>
      <c r="U28" s="2"/>
      <c r="V28" s="2"/>
      <c r="W28" s="2"/>
      <c r="X28" s="2"/>
      <c r="Y28" s="2"/>
      <c r="Z28" s="2"/>
    </row>
    <row r="29" ht="15.75" hidden="1" customHeight="1">
      <c r="A29" s="225">
        <v>16.0</v>
      </c>
      <c r="F29" s="2"/>
      <c r="G29" s="2"/>
      <c r="H29" s="2"/>
      <c r="I29" s="2"/>
      <c r="J29" s="2"/>
      <c r="K29" s="2"/>
      <c r="L29" s="2"/>
      <c r="M29" s="2"/>
      <c r="N29" s="2"/>
      <c r="O29" s="2"/>
      <c r="P29" s="2"/>
      <c r="Q29" s="2"/>
      <c r="R29" s="2"/>
      <c r="S29" s="2"/>
      <c r="T29" s="2"/>
      <c r="U29" s="2"/>
      <c r="V29" s="2"/>
      <c r="W29" s="2"/>
      <c r="X29" s="2"/>
      <c r="Y29" s="2"/>
      <c r="Z29" s="2"/>
    </row>
    <row r="30" ht="15.75" hidden="1" customHeight="1">
      <c r="A30" s="225">
        <v>17.0</v>
      </c>
      <c r="F30" s="2"/>
      <c r="G30" s="2"/>
      <c r="H30" s="2"/>
      <c r="I30" s="2"/>
      <c r="J30" s="2"/>
      <c r="K30" s="2"/>
      <c r="L30" s="2"/>
      <c r="M30" s="2"/>
      <c r="N30" s="2"/>
      <c r="O30" s="2"/>
      <c r="P30" s="2"/>
      <c r="Q30" s="2"/>
      <c r="R30" s="2"/>
      <c r="S30" s="2"/>
      <c r="T30" s="2"/>
      <c r="U30" s="2"/>
      <c r="V30" s="2"/>
      <c r="W30" s="2"/>
      <c r="X30" s="2"/>
      <c r="Y30" s="2"/>
      <c r="Z30" s="2"/>
    </row>
    <row r="31" ht="15.75" hidden="1" customHeight="1">
      <c r="A31" s="225">
        <v>18.0</v>
      </c>
      <c r="F31" s="2"/>
      <c r="G31" s="2"/>
      <c r="H31" s="2"/>
      <c r="I31" s="2"/>
      <c r="J31" s="2"/>
      <c r="K31" s="2"/>
      <c r="L31" s="2"/>
      <c r="M31" s="2"/>
      <c r="N31" s="2"/>
      <c r="O31" s="2"/>
      <c r="P31" s="2"/>
      <c r="Q31" s="2"/>
      <c r="R31" s="2"/>
      <c r="S31" s="2"/>
      <c r="T31" s="2"/>
      <c r="U31" s="2"/>
      <c r="V31" s="2"/>
      <c r="W31" s="2"/>
      <c r="X31" s="2"/>
      <c r="Y31" s="2"/>
      <c r="Z31" s="2"/>
    </row>
    <row r="32" ht="15.75" hidden="1" customHeight="1">
      <c r="A32" s="225">
        <v>19.0</v>
      </c>
      <c r="F32" s="2"/>
      <c r="G32" s="2"/>
      <c r="H32" s="2"/>
      <c r="I32" s="2"/>
      <c r="J32" s="2"/>
      <c r="K32" s="2"/>
      <c r="L32" s="2"/>
      <c r="M32" s="2"/>
      <c r="N32" s="2"/>
      <c r="O32" s="2"/>
      <c r="P32" s="2"/>
      <c r="Q32" s="2"/>
      <c r="R32" s="2"/>
      <c r="S32" s="2"/>
      <c r="T32" s="2"/>
      <c r="U32" s="2"/>
      <c r="V32" s="2"/>
      <c r="W32" s="2"/>
      <c r="X32" s="2"/>
      <c r="Y32" s="2"/>
      <c r="Z32" s="2"/>
    </row>
    <row r="33" ht="15.75" hidden="1" customHeight="1">
      <c r="A33" s="225">
        <v>20.0</v>
      </c>
      <c r="F33" s="2"/>
      <c r="G33" s="2"/>
      <c r="H33" s="2"/>
      <c r="I33" s="2"/>
      <c r="J33" s="2"/>
      <c r="K33" s="2"/>
      <c r="L33" s="2"/>
      <c r="M33" s="2"/>
      <c r="N33" s="2"/>
      <c r="O33" s="2"/>
      <c r="P33" s="2"/>
      <c r="Q33" s="2"/>
      <c r="R33" s="2"/>
      <c r="S33" s="2"/>
      <c r="T33" s="2"/>
      <c r="U33" s="2"/>
      <c r="V33" s="2"/>
      <c r="W33" s="2"/>
      <c r="X33" s="2"/>
      <c r="Y33" s="2"/>
      <c r="Z33" s="2"/>
    </row>
    <row r="34" ht="15.75" hidden="1" customHeight="1">
      <c r="A34" s="225">
        <v>21.0</v>
      </c>
      <c r="F34" s="2"/>
      <c r="G34" s="2"/>
      <c r="H34" s="2"/>
      <c r="I34" s="2"/>
      <c r="J34" s="2"/>
      <c r="K34" s="2"/>
      <c r="L34" s="2"/>
      <c r="M34" s="2"/>
      <c r="N34" s="2"/>
      <c r="O34" s="2"/>
      <c r="P34" s="2"/>
      <c r="Q34" s="2"/>
      <c r="R34" s="2"/>
      <c r="S34" s="2"/>
      <c r="T34" s="2"/>
      <c r="U34" s="2"/>
      <c r="V34" s="2"/>
      <c r="W34" s="2"/>
      <c r="X34" s="2"/>
      <c r="Y34" s="2"/>
      <c r="Z34" s="2"/>
    </row>
    <row r="35" ht="15.75" hidden="1" customHeight="1">
      <c r="A35" s="225">
        <v>22.0</v>
      </c>
      <c r="F35" s="2"/>
      <c r="G35" s="2"/>
      <c r="H35" s="2"/>
      <c r="I35" s="2"/>
      <c r="J35" s="2"/>
      <c r="K35" s="2"/>
      <c r="L35" s="2"/>
      <c r="M35" s="2"/>
      <c r="N35" s="2"/>
      <c r="O35" s="2"/>
      <c r="P35" s="2"/>
      <c r="Q35" s="2"/>
      <c r="R35" s="2"/>
      <c r="S35" s="2"/>
      <c r="T35" s="2"/>
      <c r="U35" s="2"/>
      <c r="V35" s="2"/>
      <c r="W35" s="2"/>
      <c r="X35" s="2"/>
      <c r="Y35" s="2"/>
      <c r="Z35" s="2"/>
    </row>
    <row r="36" ht="15.75" hidden="1" customHeight="1">
      <c r="A36" s="225">
        <v>23.0</v>
      </c>
      <c r="F36" s="2"/>
      <c r="G36" s="2"/>
      <c r="H36" s="2"/>
      <c r="I36" s="2"/>
      <c r="J36" s="2"/>
      <c r="K36" s="2"/>
      <c r="L36" s="2"/>
      <c r="M36" s="2"/>
      <c r="N36" s="2"/>
      <c r="O36" s="2"/>
      <c r="P36" s="2"/>
      <c r="Q36" s="2"/>
      <c r="R36" s="2"/>
      <c r="S36" s="2"/>
      <c r="T36" s="2"/>
      <c r="U36" s="2"/>
      <c r="V36" s="2"/>
      <c r="W36" s="2"/>
      <c r="X36" s="2"/>
      <c r="Y36" s="2"/>
      <c r="Z36" s="2"/>
    </row>
    <row r="37" ht="15.75" hidden="1" customHeight="1">
      <c r="A37" s="225">
        <v>24.0</v>
      </c>
      <c r="F37" s="2"/>
      <c r="G37" s="2"/>
      <c r="H37" s="2"/>
      <c r="I37" s="2"/>
      <c r="J37" s="2"/>
      <c r="K37" s="2"/>
      <c r="L37" s="2"/>
      <c r="M37" s="2"/>
      <c r="N37" s="2"/>
      <c r="O37" s="2"/>
      <c r="P37" s="2"/>
      <c r="Q37" s="2"/>
      <c r="R37" s="2"/>
      <c r="S37" s="2"/>
      <c r="T37" s="2"/>
      <c r="U37" s="2"/>
      <c r="V37" s="2"/>
      <c r="W37" s="2"/>
      <c r="X37" s="2"/>
      <c r="Y37" s="2"/>
      <c r="Z37" s="2"/>
    </row>
    <row r="38" ht="15.75" hidden="1" customHeight="1">
      <c r="A38" s="225">
        <v>25.0</v>
      </c>
      <c r="F38" s="2"/>
      <c r="G38" s="2"/>
      <c r="H38" s="2"/>
      <c r="I38" s="2"/>
      <c r="J38" s="2"/>
      <c r="K38" s="2"/>
      <c r="L38" s="2"/>
      <c r="M38" s="2"/>
      <c r="N38" s="2"/>
      <c r="O38" s="2"/>
      <c r="P38" s="2"/>
      <c r="Q38" s="2"/>
      <c r="R38" s="2"/>
      <c r="S38" s="2"/>
      <c r="T38" s="2"/>
      <c r="U38" s="2"/>
      <c r="V38" s="2"/>
      <c r="W38" s="2"/>
      <c r="X38" s="2"/>
      <c r="Y38" s="2"/>
      <c r="Z38" s="2"/>
    </row>
    <row r="39" ht="15.75" hidden="1" customHeight="1">
      <c r="A39" s="225">
        <v>26.0</v>
      </c>
      <c r="F39" s="2"/>
      <c r="G39" s="2"/>
      <c r="H39" s="2"/>
      <c r="I39" s="2"/>
      <c r="J39" s="2"/>
      <c r="K39" s="2"/>
      <c r="L39" s="2"/>
      <c r="M39" s="2"/>
      <c r="N39" s="2"/>
      <c r="O39" s="2"/>
      <c r="P39" s="2"/>
      <c r="Q39" s="2"/>
      <c r="R39" s="2"/>
      <c r="S39" s="2"/>
      <c r="T39" s="2"/>
      <c r="U39" s="2"/>
      <c r="V39" s="2"/>
      <c r="W39" s="2"/>
      <c r="X39" s="2"/>
      <c r="Y39" s="2"/>
      <c r="Z39" s="2"/>
    </row>
    <row r="40" ht="15.75" hidden="1" customHeight="1">
      <c r="A40" s="225">
        <v>27.0</v>
      </c>
      <c r="F40" s="2"/>
      <c r="G40" s="2"/>
      <c r="H40" s="2"/>
      <c r="I40" s="2"/>
      <c r="J40" s="2"/>
      <c r="K40" s="2"/>
      <c r="L40" s="2"/>
      <c r="M40" s="2"/>
      <c r="N40" s="2"/>
      <c r="O40" s="2"/>
      <c r="P40" s="2"/>
      <c r="Q40" s="2"/>
      <c r="R40" s="2"/>
      <c r="S40" s="2"/>
      <c r="T40" s="2"/>
      <c r="U40" s="2"/>
      <c r="V40" s="2"/>
      <c r="W40" s="2"/>
      <c r="X40" s="2"/>
      <c r="Y40" s="2"/>
      <c r="Z40" s="2"/>
    </row>
    <row r="41" ht="15.75" hidden="1" customHeight="1">
      <c r="A41" s="225">
        <v>28.0</v>
      </c>
      <c r="F41" s="2"/>
      <c r="G41" s="2"/>
      <c r="H41" s="2"/>
      <c r="I41" s="2"/>
      <c r="J41" s="2"/>
      <c r="K41" s="2"/>
      <c r="L41" s="2"/>
      <c r="M41" s="2"/>
      <c r="N41" s="2"/>
      <c r="O41" s="2"/>
      <c r="P41" s="2"/>
      <c r="Q41" s="2"/>
      <c r="R41" s="2"/>
      <c r="S41" s="2"/>
      <c r="T41" s="2"/>
      <c r="U41" s="2"/>
      <c r="V41" s="2"/>
      <c r="W41" s="2"/>
      <c r="X41" s="2"/>
      <c r="Y41" s="2"/>
      <c r="Z41" s="2"/>
    </row>
    <row r="42" ht="15.75" hidden="1" customHeight="1">
      <c r="A42" s="225">
        <v>29.0</v>
      </c>
      <c r="F42" s="2"/>
      <c r="G42" s="2"/>
      <c r="H42" s="2"/>
      <c r="I42" s="2"/>
      <c r="J42" s="2"/>
      <c r="K42" s="2"/>
      <c r="L42" s="2"/>
      <c r="M42" s="2"/>
      <c r="N42" s="2"/>
      <c r="O42" s="2"/>
      <c r="P42" s="2"/>
      <c r="Q42" s="2"/>
      <c r="R42" s="2"/>
      <c r="S42" s="2"/>
      <c r="T42" s="2"/>
      <c r="U42" s="2"/>
      <c r="V42" s="2"/>
      <c r="W42" s="2"/>
      <c r="X42" s="2"/>
      <c r="Y42" s="2"/>
      <c r="Z42" s="2"/>
    </row>
    <row r="43" ht="15.75" hidden="1" customHeight="1">
      <c r="A43" s="225">
        <v>30.0</v>
      </c>
      <c r="F43" s="2"/>
      <c r="G43" s="2"/>
      <c r="H43" s="2"/>
      <c r="I43" s="2"/>
      <c r="J43" s="2"/>
      <c r="K43" s="2"/>
      <c r="L43" s="2"/>
      <c r="M43" s="2"/>
      <c r="N43" s="2"/>
      <c r="O43" s="2"/>
      <c r="P43" s="2"/>
      <c r="Q43" s="2"/>
      <c r="R43" s="2"/>
      <c r="S43" s="2"/>
      <c r="T43" s="2"/>
      <c r="U43" s="2"/>
      <c r="V43" s="2"/>
      <c r="W43" s="2"/>
      <c r="X43" s="2"/>
      <c r="Y43" s="2"/>
      <c r="Z43" s="2"/>
    </row>
    <row r="44" ht="15.75" hidden="1" customHeight="1">
      <c r="A44" s="225">
        <v>31.0</v>
      </c>
      <c r="F44" s="2"/>
      <c r="G44" s="2"/>
      <c r="H44" s="2"/>
      <c r="I44" s="2"/>
      <c r="J44" s="2"/>
      <c r="K44" s="2"/>
      <c r="L44" s="2"/>
      <c r="M44" s="2"/>
      <c r="N44" s="2"/>
      <c r="O44" s="2"/>
      <c r="P44" s="2"/>
      <c r="Q44" s="2"/>
      <c r="R44" s="2"/>
      <c r="S44" s="2"/>
      <c r="T44" s="2"/>
      <c r="U44" s="2"/>
      <c r="V44" s="2"/>
      <c r="W44" s="2"/>
      <c r="X44" s="2"/>
      <c r="Y44" s="2"/>
      <c r="Z44" s="2"/>
    </row>
    <row r="45" ht="15.75" hidden="1" customHeight="1">
      <c r="A45" s="225">
        <v>32.0</v>
      </c>
      <c r="F45" s="2"/>
      <c r="G45" s="2"/>
      <c r="H45" s="2"/>
      <c r="I45" s="2"/>
      <c r="J45" s="2"/>
      <c r="K45" s="2"/>
      <c r="L45" s="2"/>
      <c r="M45" s="2"/>
      <c r="N45" s="2"/>
      <c r="O45" s="2"/>
      <c r="P45" s="2"/>
      <c r="Q45" s="2"/>
      <c r="R45" s="2"/>
      <c r="S45" s="2"/>
      <c r="T45" s="2"/>
      <c r="U45" s="2"/>
      <c r="V45" s="2"/>
      <c r="W45" s="2"/>
      <c r="X45" s="2"/>
      <c r="Y45" s="2"/>
      <c r="Z45" s="2"/>
    </row>
    <row r="46" ht="15.75" hidden="1" customHeight="1">
      <c r="A46" s="225">
        <v>33.0</v>
      </c>
      <c r="F46" s="2"/>
      <c r="G46" s="2"/>
      <c r="H46" s="2"/>
      <c r="I46" s="2"/>
      <c r="J46" s="2"/>
      <c r="K46" s="2"/>
      <c r="L46" s="2"/>
      <c r="M46" s="2"/>
      <c r="N46" s="2"/>
      <c r="O46" s="2"/>
      <c r="P46" s="2"/>
      <c r="Q46" s="2"/>
      <c r="R46" s="2"/>
      <c r="S46" s="2"/>
      <c r="T46" s="2"/>
      <c r="U46" s="2"/>
      <c r="V46" s="2"/>
      <c r="W46" s="2"/>
      <c r="X46" s="2"/>
      <c r="Y46" s="2"/>
      <c r="Z46" s="2"/>
    </row>
    <row r="47" ht="15.75" hidden="1" customHeight="1">
      <c r="A47" s="225">
        <v>34.0</v>
      </c>
      <c r="F47" s="2"/>
      <c r="G47" s="2"/>
      <c r="H47" s="2"/>
      <c r="I47" s="2"/>
      <c r="J47" s="2"/>
      <c r="K47" s="2"/>
      <c r="L47" s="2"/>
      <c r="M47" s="2"/>
      <c r="N47" s="2"/>
      <c r="O47" s="2"/>
      <c r="P47" s="2"/>
      <c r="Q47" s="2"/>
      <c r="R47" s="2"/>
      <c r="S47" s="2"/>
      <c r="T47" s="2"/>
      <c r="U47" s="2"/>
      <c r="V47" s="2"/>
      <c r="W47" s="2"/>
      <c r="X47" s="2"/>
      <c r="Y47" s="2"/>
      <c r="Z47" s="2"/>
    </row>
    <row r="48" ht="15.75" hidden="1" customHeight="1">
      <c r="A48" s="225">
        <v>35.0</v>
      </c>
      <c r="F48" s="2"/>
      <c r="G48" s="2"/>
      <c r="H48" s="2"/>
      <c r="I48" s="2"/>
      <c r="J48" s="2"/>
      <c r="K48" s="2"/>
      <c r="L48" s="2"/>
      <c r="M48" s="2"/>
      <c r="N48" s="2"/>
      <c r="O48" s="2"/>
      <c r="P48" s="2"/>
      <c r="Q48" s="2"/>
      <c r="R48" s="2"/>
      <c r="S48" s="2"/>
      <c r="T48" s="2"/>
      <c r="U48" s="2"/>
      <c r="V48" s="2"/>
      <c r="W48" s="2"/>
      <c r="X48" s="2"/>
      <c r="Y48" s="2"/>
      <c r="Z48" s="2"/>
    </row>
    <row r="49" ht="15.75" hidden="1" customHeight="1">
      <c r="A49" s="225">
        <v>36.0</v>
      </c>
      <c r="F49" s="2"/>
      <c r="G49" s="2"/>
      <c r="H49" s="2"/>
      <c r="I49" s="2"/>
      <c r="J49" s="2"/>
      <c r="K49" s="2"/>
      <c r="L49" s="2"/>
      <c r="M49" s="2"/>
      <c r="N49" s="2"/>
      <c r="O49" s="2"/>
      <c r="P49" s="2"/>
      <c r="Q49" s="2"/>
      <c r="R49" s="2"/>
      <c r="S49" s="2"/>
      <c r="T49" s="2"/>
      <c r="U49" s="2"/>
      <c r="V49" s="2"/>
      <c r="W49" s="2"/>
      <c r="X49" s="2"/>
      <c r="Y49" s="2"/>
      <c r="Z49" s="2"/>
    </row>
    <row r="50" ht="15.75" hidden="1" customHeight="1">
      <c r="A50" s="225">
        <v>37.0</v>
      </c>
      <c r="F50" s="2"/>
      <c r="G50" s="2"/>
      <c r="H50" s="2"/>
      <c r="I50" s="2"/>
      <c r="J50" s="2"/>
      <c r="K50" s="2"/>
      <c r="L50" s="2"/>
      <c r="M50" s="2"/>
      <c r="N50" s="2"/>
      <c r="O50" s="2"/>
      <c r="P50" s="2"/>
      <c r="Q50" s="2"/>
      <c r="R50" s="2"/>
      <c r="S50" s="2"/>
      <c r="T50" s="2"/>
      <c r="U50" s="2"/>
      <c r="V50" s="2"/>
      <c r="W50" s="2"/>
      <c r="X50" s="2"/>
      <c r="Y50" s="2"/>
      <c r="Z50" s="2"/>
    </row>
    <row r="51" ht="15.75" hidden="1" customHeight="1">
      <c r="A51" s="225">
        <v>38.0</v>
      </c>
      <c r="F51" s="2"/>
      <c r="G51" s="2"/>
      <c r="H51" s="2"/>
      <c r="I51" s="2"/>
      <c r="J51" s="2"/>
      <c r="K51" s="2"/>
      <c r="L51" s="2"/>
      <c r="M51" s="2"/>
      <c r="N51" s="2"/>
      <c r="O51" s="2"/>
      <c r="P51" s="2"/>
      <c r="Q51" s="2"/>
      <c r="R51" s="2"/>
      <c r="S51" s="2"/>
      <c r="T51" s="2"/>
      <c r="U51" s="2"/>
      <c r="V51" s="2"/>
      <c r="W51" s="2"/>
      <c r="X51" s="2"/>
      <c r="Y51" s="2"/>
      <c r="Z51" s="2"/>
    </row>
    <row r="52" ht="15.75" hidden="1" customHeight="1">
      <c r="A52" s="225">
        <v>39.0</v>
      </c>
      <c r="F52" s="2"/>
      <c r="G52" s="2"/>
      <c r="H52" s="2"/>
      <c r="I52" s="2"/>
      <c r="J52" s="2"/>
      <c r="K52" s="2"/>
      <c r="L52" s="2"/>
      <c r="M52" s="2"/>
      <c r="N52" s="2"/>
      <c r="O52" s="2"/>
      <c r="P52" s="2"/>
      <c r="Q52" s="2"/>
      <c r="R52" s="2"/>
      <c r="S52" s="2"/>
      <c r="T52" s="2"/>
      <c r="U52" s="2"/>
      <c r="V52" s="2"/>
      <c r="W52" s="2"/>
      <c r="X52" s="2"/>
      <c r="Y52" s="2"/>
      <c r="Z52" s="2"/>
    </row>
    <row r="53" ht="15.75" hidden="1" customHeight="1">
      <c r="A53" s="225">
        <v>40.0</v>
      </c>
      <c r="F53" s="2"/>
      <c r="G53" s="2"/>
      <c r="H53" s="2"/>
      <c r="I53" s="2"/>
      <c r="J53" s="2"/>
      <c r="K53" s="2"/>
      <c r="L53" s="2"/>
      <c r="M53" s="2"/>
      <c r="N53" s="2"/>
      <c r="O53" s="2"/>
      <c r="P53" s="2"/>
      <c r="Q53" s="2"/>
      <c r="R53" s="2"/>
      <c r="S53" s="2"/>
      <c r="T53" s="2"/>
      <c r="U53" s="2"/>
      <c r="V53" s="2"/>
      <c r="W53" s="2"/>
      <c r="X53" s="2"/>
      <c r="Y53" s="2"/>
      <c r="Z53" s="2"/>
    </row>
    <row r="54" ht="15.75" hidden="1" customHeight="1">
      <c r="A54" s="225">
        <v>41.0</v>
      </c>
      <c r="F54" s="2"/>
      <c r="G54" s="2"/>
      <c r="H54" s="2"/>
      <c r="I54" s="2"/>
      <c r="J54" s="2"/>
      <c r="K54" s="2"/>
      <c r="L54" s="2"/>
      <c r="M54" s="2"/>
      <c r="N54" s="2"/>
      <c r="O54" s="2"/>
      <c r="P54" s="2"/>
      <c r="Q54" s="2"/>
      <c r="R54" s="2"/>
      <c r="S54" s="2"/>
      <c r="T54" s="2"/>
      <c r="U54" s="2"/>
      <c r="V54" s="2"/>
      <c r="W54" s="2"/>
      <c r="X54" s="2"/>
      <c r="Y54" s="2"/>
      <c r="Z54" s="2"/>
    </row>
    <row r="55" ht="15.75" hidden="1" customHeight="1">
      <c r="A55" s="225">
        <v>42.0</v>
      </c>
      <c r="F55" s="2"/>
      <c r="G55" s="2"/>
      <c r="H55" s="2"/>
      <c r="I55" s="2"/>
      <c r="J55" s="2"/>
      <c r="K55" s="2"/>
      <c r="L55" s="2"/>
      <c r="M55" s="2"/>
      <c r="N55" s="2"/>
      <c r="O55" s="2"/>
      <c r="P55" s="2"/>
      <c r="Q55" s="2"/>
      <c r="R55" s="2"/>
      <c r="S55" s="2"/>
      <c r="T55" s="2"/>
      <c r="U55" s="2"/>
      <c r="V55" s="2"/>
      <c r="W55" s="2"/>
      <c r="X55" s="2"/>
      <c r="Y55" s="2"/>
      <c r="Z55" s="2"/>
    </row>
    <row r="56" ht="15.75" hidden="1" customHeight="1">
      <c r="A56" s="225">
        <v>43.0</v>
      </c>
      <c r="F56" s="2"/>
      <c r="G56" s="2"/>
      <c r="H56" s="2"/>
      <c r="I56" s="2"/>
      <c r="J56" s="2"/>
      <c r="K56" s="2"/>
      <c r="L56" s="2"/>
      <c r="M56" s="2"/>
      <c r="N56" s="2"/>
      <c r="O56" s="2"/>
      <c r="P56" s="2"/>
      <c r="Q56" s="2"/>
      <c r="R56" s="2"/>
      <c r="S56" s="2"/>
      <c r="T56" s="2"/>
      <c r="U56" s="2"/>
      <c r="V56" s="2"/>
      <c r="W56" s="2"/>
      <c r="X56" s="2"/>
      <c r="Y56" s="2"/>
      <c r="Z56" s="2"/>
    </row>
    <row r="57" ht="15.75" hidden="1" customHeight="1">
      <c r="A57" s="225">
        <v>44.0</v>
      </c>
      <c r="F57" s="2"/>
      <c r="G57" s="2"/>
      <c r="H57" s="2"/>
      <c r="I57" s="2"/>
      <c r="J57" s="2"/>
      <c r="K57" s="2"/>
      <c r="L57" s="2"/>
      <c r="M57" s="2"/>
      <c r="N57" s="2"/>
      <c r="O57" s="2"/>
      <c r="P57" s="2"/>
      <c r="Q57" s="2"/>
      <c r="R57" s="2"/>
      <c r="S57" s="2"/>
      <c r="T57" s="2"/>
      <c r="U57" s="2"/>
      <c r="V57" s="2"/>
      <c r="W57" s="2"/>
      <c r="X57" s="2"/>
      <c r="Y57" s="2"/>
      <c r="Z57" s="2"/>
    </row>
    <row r="58" ht="15.75" hidden="1" customHeight="1">
      <c r="A58" s="225">
        <v>45.0</v>
      </c>
      <c r="F58" s="2"/>
      <c r="G58" s="2"/>
      <c r="H58" s="2"/>
      <c r="I58" s="2"/>
      <c r="J58" s="2"/>
      <c r="K58" s="2"/>
      <c r="L58" s="2"/>
      <c r="M58" s="2"/>
      <c r="N58" s="2"/>
      <c r="O58" s="2"/>
      <c r="P58" s="2"/>
      <c r="Q58" s="2"/>
      <c r="R58" s="2"/>
      <c r="S58" s="2"/>
      <c r="T58" s="2"/>
      <c r="U58" s="2"/>
      <c r="V58" s="2"/>
      <c r="W58" s="2"/>
      <c r="X58" s="2"/>
      <c r="Y58" s="2"/>
      <c r="Z58" s="2"/>
    </row>
    <row r="59" ht="15.75" hidden="1" customHeight="1">
      <c r="A59" s="225">
        <v>46.0</v>
      </c>
      <c r="F59" s="2"/>
      <c r="G59" s="2"/>
      <c r="H59" s="2"/>
      <c r="I59" s="2"/>
      <c r="J59" s="2"/>
      <c r="K59" s="2"/>
      <c r="L59" s="2"/>
      <c r="M59" s="2"/>
      <c r="N59" s="2"/>
      <c r="O59" s="2"/>
      <c r="P59" s="2"/>
      <c r="Q59" s="2"/>
      <c r="R59" s="2"/>
      <c r="S59" s="2"/>
      <c r="T59" s="2"/>
      <c r="U59" s="2"/>
      <c r="V59" s="2"/>
      <c r="W59" s="2"/>
      <c r="X59" s="2"/>
      <c r="Y59" s="2"/>
      <c r="Z59" s="2"/>
    </row>
    <row r="60" ht="15.75" hidden="1" customHeight="1">
      <c r="A60" s="225">
        <v>47.0</v>
      </c>
      <c r="F60" s="2"/>
      <c r="G60" s="2"/>
      <c r="H60" s="2"/>
      <c r="I60" s="2"/>
      <c r="J60" s="2"/>
      <c r="K60" s="2"/>
      <c r="L60" s="2"/>
      <c r="M60" s="2"/>
      <c r="N60" s="2"/>
      <c r="O60" s="2"/>
      <c r="P60" s="2"/>
      <c r="Q60" s="2"/>
      <c r="R60" s="2"/>
      <c r="S60" s="2"/>
      <c r="T60" s="2"/>
      <c r="U60" s="2"/>
      <c r="V60" s="2"/>
      <c r="W60" s="2"/>
      <c r="X60" s="2"/>
      <c r="Y60" s="2"/>
      <c r="Z60" s="2"/>
    </row>
    <row r="61" ht="15.75" hidden="1" customHeight="1">
      <c r="A61" s="225">
        <v>48.0</v>
      </c>
      <c r="F61" s="2"/>
      <c r="G61" s="2"/>
      <c r="H61" s="2"/>
      <c r="I61" s="2"/>
      <c r="J61" s="2"/>
      <c r="K61" s="2"/>
      <c r="L61" s="2"/>
      <c r="M61" s="2"/>
      <c r="N61" s="2"/>
      <c r="O61" s="2"/>
      <c r="P61" s="2"/>
      <c r="Q61" s="2"/>
      <c r="R61" s="2"/>
      <c r="S61" s="2"/>
      <c r="T61" s="2"/>
      <c r="U61" s="2"/>
      <c r="V61" s="2"/>
      <c r="W61" s="2"/>
      <c r="X61" s="2"/>
      <c r="Y61" s="2"/>
      <c r="Z61" s="2"/>
    </row>
    <row r="62" ht="15.75" hidden="1" customHeight="1">
      <c r="A62" s="225">
        <v>49.0</v>
      </c>
      <c r="F62" s="2"/>
      <c r="G62" s="2"/>
      <c r="H62" s="2"/>
      <c r="I62" s="2"/>
      <c r="J62" s="2"/>
      <c r="K62" s="2"/>
      <c r="L62" s="2"/>
      <c r="M62" s="2"/>
      <c r="N62" s="2"/>
      <c r="O62" s="2"/>
      <c r="P62" s="2"/>
      <c r="Q62" s="2"/>
      <c r="R62" s="2"/>
      <c r="S62" s="2"/>
      <c r="T62" s="2"/>
      <c r="U62" s="2"/>
      <c r="V62" s="2"/>
      <c r="W62" s="2"/>
      <c r="X62" s="2"/>
      <c r="Y62" s="2"/>
      <c r="Z62" s="2"/>
    </row>
    <row r="63" ht="15.75" hidden="1" customHeight="1">
      <c r="A63" s="225">
        <v>50.0</v>
      </c>
      <c r="F63" s="2"/>
      <c r="G63" s="2"/>
      <c r="H63" s="2"/>
      <c r="I63" s="2"/>
      <c r="J63" s="2"/>
      <c r="K63" s="2"/>
      <c r="L63" s="2"/>
      <c r="M63" s="2"/>
      <c r="N63" s="2"/>
      <c r="O63" s="2"/>
      <c r="P63" s="2"/>
      <c r="Q63" s="2"/>
      <c r="R63" s="2"/>
      <c r="S63" s="2"/>
      <c r="T63" s="2"/>
      <c r="U63" s="2"/>
      <c r="V63" s="2"/>
      <c r="W63" s="2"/>
      <c r="X63" s="2"/>
      <c r="Y63" s="2"/>
      <c r="Z63" s="2"/>
    </row>
    <row r="64" ht="15.75" hidden="1" customHeight="1">
      <c r="A64" s="225">
        <v>51.0</v>
      </c>
      <c r="F64" s="2"/>
      <c r="G64" s="2"/>
      <c r="H64" s="2"/>
      <c r="I64" s="2"/>
      <c r="J64" s="2"/>
      <c r="K64" s="2"/>
      <c r="L64" s="2"/>
      <c r="M64" s="2"/>
      <c r="N64" s="2"/>
      <c r="O64" s="2"/>
      <c r="P64" s="2"/>
      <c r="Q64" s="2"/>
      <c r="R64" s="2"/>
      <c r="S64" s="2"/>
      <c r="T64" s="2"/>
      <c r="U64" s="2"/>
      <c r="V64" s="2"/>
      <c r="W64" s="2"/>
      <c r="X64" s="2"/>
      <c r="Y64" s="2"/>
      <c r="Z64" s="2"/>
    </row>
    <row r="65" ht="15.75" hidden="1" customHeight="1">
      <c r="A65" s="225">
        <v>52.0</v>
      </c>
      <c r="F65" s="141"/>
      <c r="G65" s="141"/>
      <c r="H65" s="141"/>
      <c r="I65" s="2"/>
      <c r="J65" s="2"/>
      <c r="K65" s="2"/>
      <c r="L65" s="2"/>
      <c r="M65" s="2"/>
      <c r="N65" s="2"/>
      <c r="O65" s="2"/>
      <c r="P65" s="2"/>
      <c r="Q65" s="2"/>
      <c r="R65" s="2"/>
      <c r="S65" s="2"/>
      <c r="T65" s="2"/>
      <c r="U65" s="2"/>
      <c r="V65" s="2"/>
      <c r="W65" s="2"/>
      <c r="X65" s="2"/>
      <c r="Y65" s="2"/>
      <c r="Z65" s="2"/>
    </row>
    <row r="66" ht="15.75" hidden="1" customHeight="1">
      <c r="A66" s="225">
        <v>53.0</v>
      </c>
      <c r="F66" s="141"/>
      <c r="G66" s="141"/>
      <c r="H66" s="141"/>
      <c r="I66" s="2"/>
      <c r="J66" s="2"/>
      <c r="K66" s="2"/>
      <c r="L66" s="2"/>
      <c r="M66" s="2"/>
      <c r="N66" s="2"/>
      <c r="O66" s="2"/>
      <c r="P66" s="2"/>
      <c r="Q66" s="2"/>
      <c r="R66" s="2"/>
      <c r="S66" s="2"/>
      <c r="T66" s="2"/>
      <c r="U66" s="2"/>
      <c r="V66" s="2"/>
      <c r="W66" s="2"/>
      <c r="X66" s="2"/>
      <c r="Y66" s="2"/>
      <c r="Z66" s="2"/>
    </row>
    <row r="67" ht="15.75" hidden="1" customHeight="1">
      <c r="A67" s="225">
        <v>54.0</v>
      </c>
      <c r="F67" s="2"/>
      <c r="G67" s="141"/>
      <c r="H67" s="141"/>
      <c r="I67" s="2"/>
      <c r="J67" s="2"/>
      <c r="K67" s="2"/>
      <c r="L67" s="2"/>
      <c r="M67" s="2"/>
      <c r="N67" s="2"/>
      <c r="O67" s="2"/>
      <c r="P67" s="2"/>
      <c r="Q67" s="2"/>
      <c r="R67" s="2"/>
      <c r="S67" s="2"/>
      <c r="T67" s="2"/>
      <c r="U67" s="2"/>
      <c r="V67" s="2"/>
      <c r="W67" s="2"/>
      <c r="X67" s="2"/>
      <c r="Y67" s="2"/>
      <c r="Z67" s="2"/>
    </row>
    <row r="68" ht="15.75" hidden="1" customHeight="1">
      <c r="A68" s="225">
        <v>55.0</v>
      </c>
      <c r="F68" s="2"/>
      <c r="G68" s="2"/>
      <c r="H68" s="2"/>
      <c r="I68" s="2"/>
      <c r="J68" s="2"/>
      <c r="K68" s="2"/>
      <c r="L68" s="2"/>
      <c r="M68" s="2"/>
      <c r="N68" s="2"/>
      <c r="O68" s="2"/>
      <c r="P68" s="2"/>
      <c r="Q68" s="2"/>
      <c r="R68" s="2"/>
      <c r="S68" s="2"/>
      <c r="T68" s="2"/>
      <c r="U68" s="2"/>
      <c r="V68" s="2"/>
      <c r="W68" s="2"/>
      <c r="X68" s="2"/>
      <c r="Y68" s="2"/>
      <c r="Z68" s="2"/>
    </row>
    <row r="69" ht="15.75" hidden="1" customHeight="1">
      <c r="A69" s="225">
        <v>56.0</v>
      </c>
      <c r="F69" s="2"/>
      <c r="G69" s="2"/>
      <c r="H69" s="2"/>
      <c r="I69" s="2"/>
      <c r="J69" s="2"/>
      <c r="K69" s="2"/>
      <c r="L69" s="2"/>
      <c r="M69" s="2"/>
      <c r="N69" s="2"/>
      <c r="O69" s="2"/>
      <c r="P69" s="2"/>
      <c r="Q69" s="2"/>
      <c r="R69" s="2"/>
      <c r="S69" s="2"/>
      <c r="T69" s="2"/>
      <c r="U69" s="2"/>
      <c r="V69" s="2"/>
      <c r="W69" s="2"/>
      <c r="X69" s="2"/>
      <c r="Y69" s="2"/>
      <c r="Z69" s="2"/>
    </row>
    <row r="70" ht="15.75" hidden="1" customHeight="1">
      <c r="A70" s="225">
        <v>57.0</v>
      </c>
      <c r="F70" s="2"/>
      <c r="G70" s="2"/>
      <c r="H70" s="2"/>
      <c r="I70" s="2"/>
      <c r="J70" s="2"/>
      <c r="K70" s="2"/>
      <c r="L70" s="2"/>
      <c r="M70" s="2"/>
      <c r="N70" s="2"/>
      <c r="O70" s="2"/>
      <c r="P70" s="2"/>
      <c r="Q70" s="2"/>
      <c r="R70" s="2"/>
      <c r="S70" s="2"/>
      <c r="T70" s="2"/>
      <c r="U70" s="2"/>
      <c r="V70" s="2"/>
      <c r="W70" s="2"/>
      <c r="X70" s="2"/>
      <c r="Y70" s="2"/>
      <c r="Z70" s="2"/>
    </row>
    <row r="71" ht="15.75" hidden="1" customHeight="1">
      <c r="A71" s="225">
        <v>58.0</v>
      </c>
      <c r="F71" s="2"/>
      <c r="G71" s="2"/>
      <c r="H71" s="2"/>
      <c r="I71" s="2"/>
      <c r="J71" s="2"/>
      <c r="K71" s="2"/>
      <c r="L71" s="2"/>
      <c r="M71" s="2"/>
      <c r="N71" s="2"/>
      <c r="O71" s="2"/>
      <c r="P71" s="2"/>
      <c r="Q71" s="2"/>
      <c r="R71" s="2"/>
      <c r="S71" s="2"/>
      <c r="T71" s="2"/>
      <c r="U71" s="2"/>
      <c r="V71" s="2"/>
      <c r="W71" s="2"/>
      <c r="X71" s="2"/>
      <c r="Y71" s="2"/>
      <c r="Z71" s="2"/>
    </row>
    <row r="72" ht="15.75" hidden="1" customHeight="1">
      <c r="A72" s="225">
        <v>59.0</v>
      </c>
      <c r="F72" s="2"/>
      <c r="G72" s="2"/>
      <c r="H72" s="2"/>
      <c r="I72" s="2"/>
      <c r="J72" s="2"/>
      <c r="K72" s="2"/>
      <c r="L72" s="2"/>
      <c r="M72" s="2"/>
      <c r="N72" s="2"/>
      <c r="O72" s="2"/>
      <c r="P72" s="2"/>
      <c r="Q72" s="2"/>
      <c r="R72" s="2"/>
      <c r="S72" s="2"/>
      <c r="T72" s="2"/>
      <c r="U72" s="2"/>
      <c r="V72" s="2"/>
      <c r="W72" s="2"/>
      <c r="X72" s="2"/>
      <c r="Y72" s="2"/>
      <c r="Z72" s="2"/>
    </row>
    <row r="73" ht="15.75" hidden="1" customHeight="1">
      <c r="A73" s="225">
        <v>60.0</v>
      </c>
      <c r="F73" s="2"/>
      <c r="G73" s="2"/>
      <c r="H73" s="2"/>
      <c r="I73" s="2"/>
      <c r="J73" s="2"/>
      <c r="K73" s="2"/>
      <c r="L73" s="2"/>
      <c r="M73" s="2"/>
      <c r="N73" s="2"/>
      <c r="O73" s="2"/>
      <c r="P73" s="2"/>
      <c r="Q73" s="2"/>
      <c r="R73" s="2"/>
      <c r="S73" s="2"/>
      <c r="T73" s="2"/>
      <c r="U73" s="2"/>
      <c r="V73" s="2"/>
      <c r="W73" s="2"/>
      <c r="X73" s="2"/>
      <c r="Y73" s="2"/>
      <c r="Z73" s="2"/>
    </row>
    <row r="74" ht="15.75" hidden="1" customHeight="1">
      <c r="A74" s="225">
        <v>61.0</v>
      </c>
      <c r="F74" s="2"/>
      <c r="G74" s="2"/>
      <c r="H74" s="2"/>
      <c r="I74" s="2"/>
      <c r="J74" s="2"/>
      <c r="K74" s="2"/>
      <c r="L74" s="2"/>
      <c r="M74" s="2"/>
      <c r="N74" s="2"/>
      <c r="O74" s="2"/>
      <c r="P74" s="2"/>
      <c r="Q74" s="2"/>
      <c r="R74" s="2"/>
      <c r="S74" s="2"/>
      <c r="T74" s="2"/>
      <c r="U74" s="2"/>
      <c r="V74" s="2"/>
      <c r="W74" s="2"/>
      <c r="X74" s="2"/>
      <c r="Y74" s="2"/>
      <c r="Z74" s="2"/>
    </row>
    <row r="75" ht="15.75" hidden="1" customHeight="1">
      <c r="A75" s="225">
        <v>62.0</v>
      </c>
      <c r="F75" s="2"/>
      <c r="G75" s="2"/>
      <c r="H75" s="2"/>
      <c r="I75" s="2"/>
      <c r="J75" s="2"/>
      <c r="K75" s="2"/>
      <c r="L75" s="2"/>
      <c r="M75" s="2"/>
      <c r="N75" s="2"/>
      <c r="O75" s="2"/>
      <c r="P75" s="2"/>
      <c r="Q75" s="2"/>
      <c r="R75" s="2"/>
      <c r="S75" s="2"/>
      <c r="T75" s="2"/>
      <c r="U75" s="2"/>
      <c r="V75" s="2"/>
      <c r="W75" s="2"/>
      <c r="X75" s="2"/>
      <c r="Y75" s="2"/>
      <c r="Z75" s="2"/>
    </row>
    <row r="76" ht="15.75" hidden="1" customHeight="1">
      <c r="A76" s="225">
        <v>63.0</v>
      </c>
      <c r="F76" s="2"/>
      <c r="G76" s="2"/>
      <c r="H76" s="2"/>
      <c r="I76" s="2"/>
      <c r="J76" s="2"/>
      <c r="K76" s="2"/>
      <c r="L76" s="2"/>
      <c r="M76" s="2"/>
      <c r="N76" s="2"/>
      <c r="O76" s="2"/>
      <c r="P76" s="2"/>
      <c r="Q76" s="2"/>
      <c r="R76" s="2"/>
      <c r="S76" s="2"/>
      <c r="T76" s="2"/>
      <c r="U76" s="2"/>
      <c r="V76" s="2"/>
      <c r="W76" s="2"/>
      <c r="X76" s="2"/>
      <c r="Y76" s="2"/>
      <c r="Z76" s="2"/>
    </row>
    <row r="77" ht="15.75" hidden="1" customHeight="1">
      <c r="A77" s="225">
        <v>64.0</v>
      </c>
      <c r="F77" s="2"/>
      <c r="G77" s="2"/>
      <c r="H77" s="2"/>
      <c r="I77" s="2"/>
      <c r="J77" s="2"/>
      <c r="K77" s="2"/>
      <c r="L77" s="2"/>
      <c r="M77" s="2"/>
      <c r="N77" s="2"/>
      <c r="O77" s="2"/>
      <c r="P77" s="2"/>
      <c r="Q77" s="2"/>
      <c r="R77" s="2"/>
      <c r="S77" s="2"/>
      <c r="T77" s="2"/>
      <c r="U77" s="2"/>
      <c r="V77" s="2"/>
      <c r="W77" s="2"/>
      <c r="X77" s="2"/>
      <c r="Y77" s="2"/>
      <c r="Z77" s="2"/>
    </row>
    <row r="78" ht="15.75" hidden="1" customHeight="1">
      <c r="A78" s="225">
        <v>65.0</v>
      </c>
      <c r="F78" s="2"/>
      <c r="G78" s="2"/>
      <c r="H78" s="2"/>
      <c r="I78" s="2"/>
      <c r="J78" s="2"/>
      <c r="K78" s="2"/>
      <c r="L78" s="2"/>
      <c r="M78" s="2"/>
      <c r="N78" s="2"/>
      <c r="O78" s="2"/>
      <c r="P78" s="2"/>
      <c r="Q78" s="2"/>
      <c r="R78" s="2"/>
      <c r="S78" s="2"/>
      <c r="T78" s="2"/>
      <c r="U78" s="2"/>
      <c r="V78" s="2"/>
      <c r="W78" s="2"/>
      <c r="X78" s="2"/>
      <c r="Y78" s="2"/>
      <c r="Z78" s="2"/>
    </row>
    <row r="79" ht="15.75" hidden="1" customHeight="1">
      <c r="A79" s="225">
        <v>66.0</v>
      </c>
      <c r="F79" s="2"/>
      <c r="G79" s="2"/>
      <c r="H79" s="2"/>
      <c r="I79" s="2"/>
      <c r="J79" s="2"/>
      <c r="K79" s="2"/>
      <c r="L79" s="2"/>
      <c r="M79" s="2"/>
      <c r="N79" s="2"/>
      <c r="O79" s="2"/>
      <c r="P79" s="2"/>
      <c r="Q79" s="2"/>
      <c r="R79" s="2"/>
      <c r="S79" s="2"/>
      <c r="T79" s="2"/>
      <c r="U79" s="2"/>
      <c r="V79" s="2"/>
      <c r="W79" s="2"/>
      <c r="X79" s="2"/>
      <c r="Y79" s="2"/>
      <c r="Z79" s="2"/>
    </row>
    <row r="80" ht="15.75" hidden="1" customHeight="1">
      <c r="A80" s="225">
        <v>67.0</v>
      </c>
      <c r="F80" s="2"/>
      <c r="G80" s="2"/>
      <c r="H80" s="2"/>
      <c r="I80" s="2"/>
      <c r="J80" s="2"/>
      <c r="K80" s="2"/>
      <c r="L80" s="2"/>
      <c r="M80" s="2"/>
      <c r="N80" s="2"/>
      <c r="O80" s="2"/>
      <c r="P80" s="2"/>
      <c r="Q80" s="2"/>
      <c r="R80" s="2"/>
      <c r="S80" s="2"/>
      <c r="T80" s="2"/>
      <c r="U80" s="2"/>
      <c r="V80" s="2"/>
      <c r="W80" s="2"/>
      <c r="X80" s="2"/>
      <c r="Y80" s="2"/>
      <c r="Z80" s="2"/>
    </row>
    <row r="81" ht="15.75" hidden="1" customHeight="1">
      <c r="A81" s="225">
        <v>68.0</v>
      </c>
      <c r="F81" s="2"/>
      <c r="G81" s="2"/>
      <c r="H81" s="2"/>
      <c r="I81" s="2"/>
      <c r="J81" s="2"/>
      <c r="K81" s="2"/>
      <c r="L81" s="2"/>
      <c r="M81" s="2"/>
      <c r="N81" s="2"/>
      <c r="O81" s="2"/>
      <c r="P81" s="2"/>
      <c r="Q81" s="2"/>
      <c r="R81" s="2"/>
      <c r="S81" s="2"/>
      <c r="T81" s="2"/>
      <c r="U81" s="2"/>
      <c r="V81" s="2"/>
      <c r="W81" s="2"/>
      <c r="X81" s="2"/>
      <c r="Y81" s="2"/>
      <c r="Z81" s="2"/>
    </row>
    <row r="82" ht="15.75" hidden="1" customHeight="1">
      <c r="A82" s="225">
        <v>69.0</v>
      </c>
      <c r="F82" s="2"/>
      <c r="G82" s="2"/>
      <c r="H82" s="2"/>
      <c r="I82" s="2"/>
      <c r="J82" s="2"/>
      <c r="K82" s="2"/>
      <c r="L82" s="2"/>
      <c r="M82" s="2"/>
      <c r="N82" s="2"/>
      <c r="O82" s="2"/>
      <c r="P82" s="2"/>
      <c r="Q82" s="2"/>
      <c r="R82" s="2"/>
      <c r="S82" s="2"/>
      <c r="T82" s="2"/>
      <c r="U82" s="2"/>
      <c r="V82" s="2"/>
      <c r="W82" s="2"/>
      <c r="X82" s="2"/>
      <c r="Y82" s="2"/>
      <c r="Z82" s="2"/>
    </row>
    <row r="83" ht="15.75" hidden="1" customHeight="1">
      <c r="A83" s="225">
        <v>70.0</v>
      </c>
      <c r="F83" s="2"/>
      <c r="G83" s="2"/>
      <c r="H83" s="2"/>
      <c r="I83" s="2"/>
      <c r="J83" s="2"/>
      <c r="K83" s="2"/>
      <c r="L83" s="2"/>
      <c r="M83" s="2"/>
      <c r="N83" s="2"/>
      <c r="O83" s="2"/>
      <c r="P83" s="2"/>
      <c r="Q83" s="2"/>
      <c r="R83" s="2"/>
      <c r="S83" s="2"/>
      <c r="T83" s="2"/>
      <c r="U83" s="2"/>
      <c r="V83" s="2"/>
      <c r="W83" s="2"/>
      <c r="X83" s="2"/>
      <c r="Y83" s="2"/>
      <c r="Z83" s="2"/>
    </row>
    <row r="84" ht="15.75" hidden="1" customHeight="1">
      <c r="A84" s="225">
        <v>71.0</v>
      </c>
      <c r="F84" s="2"/>
      <c r="G84" s="2"/>
      <c r="H84" s="2"/>
      <c r="I84" s="2"/>
      <c r="J84" s="2"/>
      <c r="K84" s="2"/>
      <c r="L84" s="2"/>
      <c r="M84" s="2"/>
      <c r="N84" s="2"/>
      <c r="O84" s="2"/>
      <c r="P84" s="2"/>
      <c r="Q84" s="2"/>
      <c r="R84" s="2"/>
      <c r="S84" s="2"/>
      <c r="T84" s="2"/>
      <c r="U84" s="2"/>
      <c r="V84" s="2"/>
      <c r="W84" s="2"/>
      <c r="X84" s="2"/>
      <c r="Y84" s="2"/>
      <c r="Z84" s="2"/>
    </row>
    <row r="85" ht="15.75" hidden="1" customHeight="1">
      <c r="A85" s="225">
        <v>72.0</v>
      </c>
      <c r="F85" s="2"/>
      <c r="G85" s="2"/>
      <c r="H85" s="2"/>
      <c r="I85" s="2"/>
      <c r="J85" s="2"/>
      <c r="K85" s="2"/>
      <c r="L85" s="2"/>
      <c r="M85" s="2"/>
      <c r="N85" s="2"/>
      <c r="O85" s="2"/>
      <c r="P85" s="2"/>
      <c r="Q85" s="2"/>
      <c r="R85" s="2"/>
      <c r="S85" s="2"/>
      <c r="T85" s="2"/>
      <c r="U85" s="2"/>
      <c r="V85" s="2"/>
      <c r="W85" s="2"/>
      <c r="X85" s="2"/>
      <c r="Y85" s="2"/>
      <c r="Z85" s="2"/>
    </row>
    <row r="86" ht="15.75" hidden="1" customHeight="1">
      <c r="A86" s="225">
        <v>73.0</v>
      </c>
      <c r="F86" s="2"/>
      <c r="G86" s="2"/>
      <c r="H86" s="2"/>
      <c r="I86" s="2"/>
      <c r="J86" s="2"/>
      <c r="K86" s="2"/>
      <c r="L86" s="2"/>
      <c r="M86" s="2"/>
      <c r="N86" s="2"/>
      <c r="O86" s="2"/>
      <c r="P86" s="2"/>
      <c r="Q86" s="2"/>
      <c r="R86" s="2"/>
      <c r="S86" s="2"/>
      <c r="T86" s="2"/>
      <c r="U86" s="2"/>
      <c r="V86" s="2"/>
      <c r="W86" s="2"/>
      <c r="X86" s="2"/>
      <c r="Y86" s="2"/>
      <c r="Z86" s="2"/>
    </row>
    <row r="87" ht="15.75" hidden="1" customHeight="1">
      <c r="A87" s="225">
        <v>74.0</v>
      </c>
      <c r="F87" s="2"/>
      <c r="G87" s="2"/>
      <c r="H87" s="2"/>
      <c r="I87" s="2"/>
      <c r="J87" s="2"/>
      <c r="K87" s="2"/>
      <c r="L87" s="2"/>
      <c r="M87" s="2"/>
      <c r="N87" s="2"/>
      <c r="O87" s="2"/>
      <c r="P87" s="2"/>
      <c r="Q87" s="2"/>
      <c r="R87" s="2"/>
      <c r="S87" s="2"/>
      <c r="T87" s="2"/>
      <c r="U87" s="2"/>
      <c r="V87" s="2"/>
      <c r="W87" s="2"/>
      <c r="X87" s="2"/>
      <c r="Y87" s="2"/>
      <c r="Z87" s="2"/>
    </row>
    <row r="88" ht="15.75" hidden="1" customHeight="1">
      <c r="A88" s="225">
        <v>75.0</v>
      </c>
      <c r="F88" s="2"/>
      <c r="G88" s="2"/>
      <c r="H88" s="2"/>
      <c r="I88" s="2"/>
      <c r="J88" s="2"/>
      <c r="K88" s="2"/>
      <c r="L88" s="2"/>
      <c r="M88" s="2"/>
      <c r="N88" s="2"/>
      <c r="O88" s="2"/>
      <c r="P88" s="2"/>
      <c r="Q88" s="2"/>
      <c r="R88" s="2"/>
      <c r="S88" s="2"/>
      <c r="T88" s="2"/>
      <c r="U88" s="2"/>
      <c r="V88" s="2"/>
      <c r="W88" s="2"/>
      <c r="X88" s="2"/>
      <c r="Y88" s="2"/>
      <c r="Z88" s="2"/>
    </row>
    <row r="89" ht="15.75" hidden="1" customHeight="1">
      <c r="A89" s="225">
        <v>76.0</v>
      </c>
      <c r="F89" s="2"/>
      <c r="G89" s="2"/>
      <c r="H89" s="2"/>
      <c r="I89" s="2"/>
      <c r="J89" s="2"/>
      <c r="K89" s="2"/>
      <c r="L89" s="2"/>
      <c r="M89" s="2"/>
      <c r="N89" s="2"/>
      <c r="O89" s="2"/>
      <c r="P89" s="2"/>
      <c r="Q89" s="2"/>
      <c r="R89" s="2"/>
      <c r="S89" s="2"/>
      <c r="T89" s="2"/>
      <c r="U89" s="2"/>
      <c r="V89" s="2"/>
      <c r="W89" s="2"/>
      <c r="X89" s="2"/>
      <c r="Y89" s="2"/>
      <c r="Z89" s="2"/>
    </row>
    <row r="90" ht="15.75" hidden="1" customHeight="1">
      <c r="A90" s="225">
        <v>77.0</v>
      </c>
      <c r="F90" s="2"/>
      <c r="G90" s="2"/>
      <c r="H90" s="2"/>
      <c r="I90" s="2"/>
      <c r="J90" s="2"/>
      <c r="K90" s="2"/>
      <c r="L90" s="2"/>
      <c r="M90" s="2"/>
      <c r="N90" s="2"/>
      <c r="O90" s="2"/>
      <c r="P90" s="2"/>
      <c r="Q90" s="2"/>
      <c r="R90" s="2"/>
      <c r="S90" s="2"/>
      <c r="T90" s="2"/>
      <c r="U90" s="2"/>
      <c r="V90" s="2"/>
      <c r="W90" s="2"/>
      <c r="X90" s="2"/>
      <c r="Y90" s="2"/>
      <c r="Z90" s="2"/>
    </row>
    <row r="91" ht="15.75" hidden="1" customHeight="1">
      <c r="A91" s="225">
        <v>78.0</v>
      </c>
      <c r="F91" s="2"/>
      <c r="G91" s="2"/>
      <c r="H91" s="2"/>
      <c r="I91" s="2"/>
      <c r="J91" s="2"/>
      <c r="K91" s="2"/>
      <c r="L91" s="2"/>
      <c r="M91" s="2"/>
      <c r="N91" s="2"/>
      <c r="O91" s="2"/>
      <c r="P91" s="2"/>
      <c r="Q91" s="2"/>
      <c r="R91" s="2"/>
      <c r="S91" s="2"/>
      <c r="T91" s="2"/>
      <c r="U91" s="2"/>
      <c r="V91" s="2"/>
      <c r="W91" s="2"/>
      <c r="X91" s="2"/>
      <c r="Y91" s="2"/>
      <c r="Z91" s="2"/>
    </row>
    <row r="92" ht="15.75" hidden="1" customHeight="1">
      <c r="A92" s="225">
        <v>79.0</v>
      </c>
      <c r="F92" s="2"/>
      <c r="G92" s="2"/>
      <c r="H92" s="2"/>
      <c r="I92" s="2"/>
      <c r="J92" s="2"/>
      <c r="K92" s="2"/>
      <c r="L92" s="2"/>
      <c r="M92" s="2"/>
      <c r="N92" s="2"/>
      <c r="O92" s="2"/>
      <c r="P92" s="2"/>
      <c r="Q92" s="2"/>
      <c r="R92" s="2"/>
      <c r="S92" s="2"/>
      <c r="T92" s="2"/>
      <c r="U92" s="2"/>
      <c r="V92" s="2"/>
      <c r="W92" s="2"/>
      <c r="X92" s="2"/>
      <c r="Y92" s="2"/>
      <c r="Z92" s="2"/>
    </row>
    <row r="93" ht="15.75" hidden="1" customHeight="1">
      <c r="A93" s="225">
        <v>80.0</v>
      </c>
      <c r="F93" s="2"/>
      <c r="G93" s="2"/>
      <c r="H93" s="2"/>
      <c r="I93" s="2"/>
      <c r="J93" s="2"/>
      <c r="K93" s="2"/>
      <c r="L93" s="2"/>
      <c r="M93" s="2"/>
      <c r="N93" s="2"/>
      <c r="O93" s="2"/>
      <c r="P93" s="2"/>
      <c r="Q93" s="2"/>
      <c r="R93" s="2"/>
      <c r="S93" s="2"/>
      <c r="T93" s="2"/>
      <c r="U93" s="2"/>
      <c r="V93" s="2"/>
      <c r="W93" s="2"/>
      <c r="X93" s="2"/>
      <c r="Y93" s="2"/>
      <c r="Z93" s="2"/>
    </row>
    <row r="94" ht="15.75" hidden="1" customHeight="1">
      <c r="A94" s="225">
        <v>81.0</v>
      </c>
      <c r="F94" s="2"/>
      <c r="G94" s="2"/>
      <c r="H94" s="2"/>
      <c r="I94" s="2"/>
      <c r="J94" s="2"/>
      <c r="K94" s="2"/>
      <c r="L94" s="2"/>
      <c r="M94" s="2"/>
      <c r="N94" s="2"/>
      <c r="O94" s="2"/>
      <c r="P94" s="2"/>
      <c r="Q94" s="2"/>
      <c r="R94" s="2"/>
      <c r="S94" s="2"/>
      <c r="T94" s="2"/>
      <c r="U94" s="2"/>
      <c r="V94" s="2"/>
      <c r="W94" s="2"/>
      <c r="X94" s="2"/>
      <c r="Y94" s="2"/>
      <c r="Z94" s="2"/>
    </row>
    <row r="95" ht="15.75" hidden="1" customHeight="1">
      <c r="A95" s="225">
        <v>82.0</v>
      </c>
      <c r="F95" s="2"/>
      <c r="G95" s="2"/>
      <c r="H95" s="2"/>
      <c r="I95" s="2"/>
      <c r="J95" s="2"/>
      <c r="K95" s="2"/>
      <c r="L95" s="2"/>
      <c r="M95" s="2"/>
      <c r="N95" s="2"/>
      <c r="O95" s="2"/>
      <c r="P95" s="2"/>
      <c r="Q95" s="2"/>
      <c r="R95" s="2"/>
      <c r="S95" s="2"/>
      <c r="T95" s="2"/>
      <c r="U95" s="2"/>
      <c r="V95" s="2"/>
      <c r="W95" s="2"/>
      <c r="X95" s="2"/>
      <c r="Y95" s="2"/>
      <c r="Z95" s="2"/>
    </row>
    <row r="96" ht="15.75" hidden="1" customHeight="1">
      <c r="A96" s="225">
        <v>83.0</v>
      </c>
      <c r="F96" s="2"/>
      <c r="G96" s="2"/>
      <c r="H96" s="2"/>
      <c r="I96" s="2"/>
      <c r="J96" s="2"/>
      <c r="K96" s="2"/>
      <c r="L96" s="2"/>
      <c r="M96" s="2"/>
      <c r="N96" s="2"/>
      <c r="O96" s="2"/>
      <c r="P96" s="2"/>
      <c r="Q96" s="2"/>
      <c r="R96" s="2"/>
      <c r="S96" s="2"/>
      <c r="T96" s="2"/>
      <c r="U96" s="2"/>
      <c r="V96" s="2"/>
      <c r="W96" s="2"/>
      <c r="X96" s="2"/>
      <c r="Y96" s="2"/>
      <c r="Z96" s="2"/>
    </row>
    <row r="97" ht="15.75" hidden="1" customHeight="1">
      <c r="A97" s="225">
        <v>84.0</v>
      </c>
      <c r="F97" s="2"/>
      <c r="G97" s="2"/>
      <c r="H97" s="2"/>
      <c r="I97" s="2"/>
      <c r="J97" s="2"/>
      <c r="K97" s="2"/>
      <c r="L97" s="2"/>
      <c r="M97" s="2"/>
      <c r="N97" s="2"/>
      <c r="O97" s="2"/>
      <c r="P97" s="2"/>
      <c r="Q97" s="2"/>
      <c r="R97" s="2"/>
      <c r="S97" s="2"/>
      <c r="T97" s="2"/>
      <c r="U97" s="2"/>
      <c r="V97" s="2"/>
      <c r="W97" s="2"/>
      <c r="X97" s="2"/>
      <c r="Y97" s="2"/>
      <c r="Z97" s="2"/>
    </row>
    <row r="98" ht="15.75" hidden="1" customHeight="1">
      <c r="A98" s="225">
        <v>85.0</v>
      </c>
      <c r="F98" s="2"/>
      <c r="G98" s="2"/>
      <c r="H98" s="2"/>
      <c r="I98" s="2"/>
      <c r="J98" s="2"/>
      <c r="K98" s="2"/>
      <c r="L98" s="2"/>
      <c r="M98" s="2"/>
      <c r="N98" s="2"/>
      <c r="O98" s="2"/>
      <c r="P98" s="2"/>
      <c r="Q98" s="2"/>
      <c r="R98" s="2"/>
      <c r="S98" s="2"/>
      <c r="T98" s="2"/>
      <c r="U98" s="2"/>
      <c r="V98" s="2"/>
      <c r="W98" s="2"/>
      <c r="X98" s="2"/>
      <c r="Y98" s="2"/>
      <c r="Z98" s="2"/>
    </row>
    <row r="99" ht="15.75" hidden="1" customHeight="1">
      <c r="A99" s="225">
        <v>86.0</v>
      </c>
      <c r="F99" s="2"/>
      <c r="G99" s="2"/>
      <c r="H99" s="2"/>
      <c r="I99" s="2"/>
      <c r="J99" s="2"/>
      <c r="K99" s="2"/>
      <c r="L99" s="2"/>
      <c r="M99" s="2"/>
      <c r="N99" s="2"/>
      <c r="O99" s="2"/>
      <c r="P99" s="2"/>
      <c r="Q99" s="2"/>
      <c r="R99" s="2"/>
      <c r="S99" s="2"/>
      <c r="T99" s="2"/>
      <c r="U99" s="2"/>
      <c r="V99" s="2"/>
      <c r="W99" s="2"/>
      <c r="X99" s="2"/>
      <c r="Y99" s="2"/>
      <c r="Z99" s="2"/>
    </row>
    <row r="100" ht="15.75" hidden="1" customHeight="1">
      <c r="A100" s="225">
        <v>87.0</v>
      </c>
      <c r="F100" s="2"/>
      <c r="G100" s="2"/>
      <c r="H100" s="2"/>
      <c r="I100" s="2"/>
      <c r="J100" s="2"/>
      <c r="K100" s="2"/>
      <c r="L100" s="2"/>
      <c r="M100" s="2"/>
      <c r="N100" s="2"/>
      <c r="O100" s="2"/>
      <c r="P100" s="2"/>
      <c r="Q100" s="2"/>
      <c r="R100" s="2"/>
      <c r="S100" s="2"/>
      <c r="T100" s="2"/>
      <c r="U100" s="2"/>
      <c r="V100" s="2"/>
      <c r="W100" s="2"/>
      <c r="X100" s="2"/>
      <c r="Y100" s="2"/>
      <c r="Z100" s="2"/>
    </row>
    <row r="101" ht="15.75" hidden="1" customHeight="1">
      <c r="A101" s="225">
        <v>88.0</v>
      </c>
      <c r="F101" s="2"/>
      <c r="G101" s="2"/>
      <c r="H101" s="2"/>
      <c r="I101" s="2"/>
      <c r="J101" s="2"/>
      <c r="K101" s="2"/>
      <c r="L101" s="2"/>
      <c r="M101" s="2"/>
      <c r="N101" s="2"/>
      <c r="O101" s="2"/>
      <c r="P101" s="2"/>
      <c r="Q101" s="2"/>
      <c r="R101" s="2"/>
      <c r="S101" s="2"/>
      <c r="T101" s="2"/>
      <c r="U101" s="2"/>
      <c r="V101" s="2"/>
      <c r="W101" s="2"/>
      <c r="X101" s="2"/>
      <c r="Y101" s="2"/>
      <c r="Z101" s="2"/>
    </row>
    <row r="102" ht="15.75" hidden="1" customHeight="1">
      <c r="A102" s="225">
        <v>89.0</v>
      </c>
      <c r="F102" s="2"/>
      <c r="G102" s="2"/>
      <c r="H102" s="2"/>
      <c r="I102" s="2"/>
      <c r="J102" s="2"/>
      <c r="K102" s="2"/>
      <c r="L102" s="2"/>
      <c r="M102" s="2"/>
      <c r="N102" s="2"/>
      <c r="O102" s="2"/>
      <c r="P102" s="2"/>
      <c r="Q102" s="2"/>
      <c r="R102" s="2"/>
      <c r="S102" s="2"/>
      <c r="T102" s="2"/>
      <c r="U102" s="2"/>
      <c r="V102" s="2"/>
      <c r="W102" s="2"/>
      <c r="X102" s="2"/>
      <c r="Y102" s="2"/>
      <c r="Z102" s="2"/>
    </row>
    <row r="103" ht="15.75" hidden="1" customHeight="1">
      <c r="A103" s="225">
        <v>90.0</v>
      </c>
      <c r="F103" s="2"/>
      <c r="G103" s="2"/>
      <c r="H103" s="2"/>
      <c r="I103" s="2"/>
      <c r="J103" s="2"/>
      <c r="K103" s="2"/>
      <c r="L103" s="2"/>
      <c r="M103" s="2"/>
      <c r="N103" s="2"/>
      <c r="O103" s="2"/>
      <c r="P103" s="2"/>
      <c r="Q103" s="2"/>
      <c r="R103" s="2"/>
      <c r="S103" s="2"/>
      <c r="T103" s="2"/>
      <c r="U103" s="2"/>
      <c r="V103" s="2"/>
      <c r="W103" s="2"/>
      <c r="X103" s="2"/>
      <c r="Y103" s="2"/>
      <c r="Z103" s="2"/>
    </row>
    <row r="104" ht="15.75" hidden="1" customHeight="1">
      <c r="A104" s="225">
        <v>91.0</v>
      </c>
      <c r="F104" s="2"/>
      <c r="G104" s="2"/>
      <c r="H104" s="2"/>
      <c r="I104" s="2"/>
      <c r="J104" s="2"/>
      <c r="K104" s="2"/>
      <c r="L104" s="2"/>
      <c r="M104" s="2"/>
      <c r="N104" s="2"/>
      <c r="O104" s="2"/>
      <c r="P104" s="2"/>
      <c r="Q104" s="2"/>
      <c r="R104" s="2"/>
      <c r="S104" s="2"/>
      <c r="T104" s="2"/>
      <c r="U104" s="2"/>
      <c r="V104" s="2"/>
      <c r="W104" s="2"/>
      <c r="X104" s="2"/>
      <c r="Y104" s="2"/>
      <c r="Z104" s="2"/>
    </row>
    <row r="105" ht="15.75" hidden="1" customHeight="1">
      <c r="A105" s="225">
        <v>92.0</v>
      </c>
      <c r="F105" s="2"/>
      <c r="G105" s="2"/>
      <c r="H105" s="2"/>
      <c r="I105" s="2"/>
      <c r="J105" s="2"/>
      <c r="K105" s="2"/>
      <c r="L105" s="2"/>
      <c r="M105" s="2"/>
      <c r="N105" s="2"/>
      <c r="O105" s="2"/>
      <c r="P105" s="2"/>
      <c r="Q105" s="2"/>
      <c r="R105" s="2"/>
      <c r="S105" s="2"/>
      <c r="T105" s="2"/>
      <c r="U105" s="2"/>
      <c r="V105" s="2"/>
      <c r="W105" s="2"/>
      <c r="X105" s="2"/>
      <c r="Y105" s="2"/>
      <c r="Z105" s="2"/>
    </row>
    <row r="106" ht="15.75" hidden="1" customHeight="1">
      <c r="A106" s="225">
        <v>93.0</v>
      </c>
      <c r="F106" s="2"/>
      <c r="G106" s="2"/>
      <c r="H106" s="2"/>
      <c r="I106" s="2"/>
      <c r="J106" s="2"/>
      <c r="K106" s="2"/>
      <c r="L106" s="2"/>
      <c r="M106" s="2"/>
      <c r="N106" s="2"/>
      <c r="O106" s="2"/>
      <c r="P106" s="2"/>
      <c r="Q106" s="2"/>
      <c r="R106" s="2"/>
      <c r="S106" s="2"/>
      <c r="T106" s="2"/>
      <c r="U106" s="2"/>
      <c r="V106" s="2"/>
      <c r="W106" s="2"/>
      <c r="X106" s="2"/>
      <c r="Y106" s="2"/>
      <c r="Z106" s="2"/>
    </row>
    <row r="107" ht="15.75" hidden="1" customHeight="1">
      <c r="A107" s="225">
        <v>94.0</v>
      </c>
      <c r="F107" s="2"/>
      <c r="G107" s="2"/>
      <c r="H107" s="2"/>
      <c r="I107" s="2"/>
      <c r="J107" s="2"/>
      <c r="K107" s="2"/>
      <c r="L107" s="2"/>
      <c r="M107" s="2"/>
      <c r="N107" s="2"/>
      <c r="O107" s="2"/>
      <c r="P107" s="2"/>
      <c r="Q107" s="2"/>
      <c r="R107" s="2"/>
      <c r="S107" s="2"/>
      <c r="T107" s="2"/>
      <c r="U107" s="2"/>
      <c r="V107" s="2"/>
      <c r="W107" s="2"/>
      <c r="X107" s="2"/>
      <c r="Y107" s="2"/>
      <c r="Z107" s="2"/>
    </row>
    <row r="108" ht="15.75" hidden="1" customHeight="1">
      <c r="A108" s="225">
        <v>95.0</v>
      </c>
      <c r="F108" s="2"/>
      <c r="G108" s="2"/>
      <c r="H108" s="2"/>
      <c r="I108" s="2"/>
      <c r="J108" s="2"/>
      <c r="K108" s="2"/>
      <c r="L108" s="2"/>
      <c r="M108" s="2"/>
      <c r="N108" s="2"/>
      <c r="O108" s="2"/>
      <c r="P108" s="2"/>
      <c r="Q108" s="2"/>
      <c r="R108" s="2"/>
      <c r="S108" s="2"/>
      <c r="T108" s="2"/>
      <c r="U108" s="2"/>
      <c r="V108" s="2"/>
      <c r="W108" s="2"/>
      <c r="X108" s="2"/>
      <c r="Y108" s="2"/>
      <c r="Z108" s="2"/>
    </row>
    <row r="109" ht="15.75" hidden="1" customHeight="1">
      <c r="A109" s="225">
        <v>96.0</v>
      </c>
      <c r="F109" s="2"/>
      <c r="G109" s="2"/>
      <c r="H109" s="2"/>
      <c r="I109" s="2"/>
      <c r="J109" s="2"/>
      <c r="K109" s="2"/>
      <c r="L109" s="2"/>
      <c r="M109" s="2"/>
      <c r="N109" s="2"/>
      <c r="O109" s="2"/>
      <c r="P109" s="2"/>
      <c r="Q109" s="2"/>
      <c r="R109" s="2"/>
      <c r="S109" s="2"/>
      <c r="T109" s="2"/>
      <c r="U109" s="2"/>
      <c r="V109" s="2"/>
      <c r="W109" s="2"/>
      <c r="X109" s="2"/>
      <c r="Y109" s="2"/>
      <c r="Z109" s="2"/>
    </row>
    <row r="110" ht="15.75" hidden="1" customHeight="1">
      <c r="A110" s="225">
        <v>97.0</v>
      </c>
      <c r="F110" s="2"/>
      <c r="G110" s="2"/>
      <c r="H110" s="2"/>
      <c r="I110" s="2"/>
      <c r="J110" s="2"/>
      <c r="K110" s="2"/>
      <c r="L110" s="2"/>
      <c r="M110" s="2"/>
      <c r="N110" s="2"/>
      <c r="O110" s="2"/>
      <c r="P110" s="2"/>
      <c r="Q110" s="2"/>
      <c r="R110" s="2"/>
      <c r="S110" s="2"/>
      <c r="T110" s="2"/>
      <c r="U110" s="2"/>
      <c r="V110" s="2"/>
      <c r="W110" s="2"/>
      <c r="X110" s="2"/>
      <c r="Y110" s="2"/>
      <c r="Z110" s="2"/>
    </row>
    <row r="111" ht="15.75" hidden="1" customHeight="1">
      <c r="A111" s="225">
        <v>98.0</v>
      </c>
      <c r="F111" s="2"/>
      <c r="G111" s="2"/>
      <c r="H111" s="2"/>
      <c r="I111" s="2"/>
      <c r="J111" s="2"/>
      <c r="K111" s="2"/>
      <c r="L111" s="2"/>
      <c r="M111" s="2"/>
      <c r="N111" s="2"/>
      <c r="O111" s="2"/>
      <c r="P111" s="2"/>
      <c r="Q111" s="2"/>
      <c r="R111" s="2"/>
      <c r="S111" s="2"/>
      <c r="T111" s="2"/>
      <c r="U111" s="2"/>
      <c r="V111" s="2"/>
      <c r="W111" s="2"/>
      <c r="X111" s="2"/>
      <c r="Y111" s="2"/>
      <c r="Z111" s="2"/>
    </row>
    <row r="112" ht="15.75" hidden="1" customHeight="1">
      <c r="A112" s="225">
        <v>99.0</v>
      </c>
      <c r="F112" s="2"/>
      <c r="G112" s="2"/>
      <c r="H112" s="2"/>
      <c r="I112" s="2"/>
      <c r="J112" s="2"/>
      <c r="K112" s="2"/>
      <c r="L112" s="2"/>
      <c r="M112" s="2"/>
      <c r="N112" s="2"/>
      <c r="O112" s="2"/>
      <c r="P112" s="2"/>
      <c r="Q112" s="2"/>
      <c r="R112" s="2"/>
      <c r="S112" s="2"/>
      <c r="T112" s="2"/>
      <c r="U112" s="2"/>
      <c r="V112" s="2"/>
      <c r="W112" s="2"/>
      <c r="X112" s="2"/>
      <c r="Y112" s="2"/>
      <c r="Z112" s="2"/>
    </row>
    <row r="113" ht="15.75" hidden="1" customHeight="1">
      <c r="A113" s="225">
        <v>100.0</v>
      </c>
      <c r="F113" s="2"/>
      <c r="G113" s="2"/>
      <c r="H113" s="2"/>
      <c r="I113" s="2"/>
      <c r="J113" s="2"/>
      <c r="K113" s="2"/>
      <c r="L113" s="2"/>
      <c r="M113" s="2"/>
      <c r="N113" s="2"/>
      <c r="O113" s="2"/>
      <c r="P113" s="2"/>
      <c r="Q113" s="2"/>
      <c r="R113" s="2"/>
      <c r="S113" s="2"/>
      <c r="T113" s="2"/>
      <c r="U113" s="2"/>
      <c r="V113" s="2"/>
      <c r="W113" s="2"/>
      <c r="X113" s="2"/>
      <c r="Y113" s="2"/>
      <c r="Z113" s="2"/>
    </row>
    <row r="114" ht="15.75" hidden="1" customHeight="1">
      <c r="A114" s="225"/>
      <c r="F114" s="2"/>
      <c r="G114" s="2"/>
      <c r="H114" s="2"/>
      <c r="I114" s="2"/>
      <c r="J114" s="2"/>
      <c r="K114" s="2"/>
      <c r="L114" s="2"/>
      <c r="M114" s="2"/>
      <c r="N114" s="2"/>
      <c r="O114" s="2"/>
      <c r="P114" s="2"/>
      <c r="Q114" s="2"/>
      <c r="R114" s="2"/>
      <c r="S114" s="2"/>
      <c r="T114" s="2"/>
      <c r="U114" s="2"/>
      <c r="V114" s="2"/>
      <c r="W114" s="2"/>
      <c r="X114" s="2"/>
      <c r="Y114" s="2"/>
      <c r="Z114" s="2"/>
    </row>
    <row r="115" ht="15.75" hidden="1" customHeight="1">
      <c r="A115" s="225"/>
      <c r="B115" s="211"/>
      <c r="C115" s="211"/>
      <c r="D115" s="211"/>
      <c r="E115" s="211"/>
      <c r="F115" s="2"/>
      <c r="G115" s="2"/>
      <c r="H115" s="2"/>
      <c r="I115" s="2"/>
      <c r="J115" s="2"/>
      <c r="K115" s="2"/>
      <c r="L115" s="2"/>
      <c r="M115" s="2"/>
      <c r="N115" s="2"/>
      <c r="O115" s="2"/>
      <c r="P115" s="2"/>
      <c r="Q115" s="2"/>
      <c r="R115" s="2"/>
      <c r="S115" s="2"/>
      <c r="T115" s="2"/>
      <c r="U115" s="2"/>
      <c r="V115" s="2"/>
      <c r="W115" s="2"/>
      <c r="X115" s="2"/>
      <c r="Y115" s="2"/>
      <c r="Z115" s="2"/>
    </row>
    <row r="116" ht="15.75" hidden="1" customHeight="1">
      <c r="A116" s="225"/>
      <c r="B116" s="211"/>
      <c r="C116" s="211"/>
      <c r="D116" s="211"/>
      <c r="E116" s="211"/>
      <c r="F116" s="2"/>
      <c r="G116" s="2"/>
      <c r="H116" s="2"/>
      <c r="I116" s="2"/>
      <c r="J116" s="2"/>
      <c r="K116" s="2"/>
      <c r="L116" s="2"/>
      <c r="M116" s="2"/>
      <c r="N116" s="2"/>
      <c r="O116" s="2"/>
      <c r="P116" s="2"/>
      <c r="Q116" s="2"/>
      <c r="R116" s="2"/>
      <c r="S116" s="2"/>
      <c r="T116" s="2"/>
      <c r="U116" s="2"/>
      <c r="V116" s="2"/>
      <c r="W116" s="2"/>
      <c r="X116" s="2"/>
      <c r="Y116" s="2"/>
      <c r="Z116" s="2"/>
    </row>
    <row r="117" ht="15.75" hidden="1" customHeight="1">
      <c r="A117" s="225"/>
      <c r="B117" s="211"/>
      <c r="C117" s="211"/>
      <c r="D117" s="211"/>
      <c r="E117" s="211"/>
      <c r="F117" s="2"/>
      <c r="G117" s="2"/>
      <c r="H117" s="2"/>
      <c r="I117" s="2"/>
      <c r="J117" s="2"/>
      <c r="K117" s="2"/>
      <c r="L117" s="2"/>
      <c r="M117" s="2"/>
      <c r="N117" s="2"/>
      <c r="O117" s="2"/>
      <c r="P117" s="2"/>
      <c r="Q117" s="2"/>
      <c r="R117" s="2"/>
      <c r="S117" s="2"/>
      <c r="T117" s="2"/>
      <c r="U117" s="2"/>
      <c r="V117" s="2"/>
      <c r="W117" s="2"/>
      <c r="X117" s="2"/>
      <c r="Y117" s="2"/>
      <c r="Z117" s="2"/>
    </row>
    <row r="118" ht="15.75" hidden="1" customHeight="1">
      <c r="A118" s="225"/>
      <c r="B118" s="211"/>
      <c r="C118" s="211"/>
      <c r="D118" s="211"/>
      <c r="E118" s="211"/>
      <c r="F118" s="2"/>
      <c r="G118" s="2"/>
      <c r="H118" s="2"/>
      <c r="I118" s="2"/>
      <c r="J118" s="2"/>
      <c r="K118" s="2"/>
      <c r="L118" s="2"/>
      <c r="M118" s="2"/>
      <c r="N118" s="2"/>
      <c r="O118" s="2"/>
      <c r="P118" s="2"/>
      <c r="Q118" s="2"/>
      <c r="R118" s="2"/>
      <c r="S118" s="2"/>
      <c r="T118" s="2"/>
      <c r="U118" s="2"/>
      <c r="V118" s="2"/>
      <c r="W118" s="2"/>
      <c r="X118" s="2"/>
      <c r="Y118" s="2"/>
      <c r="Z118" s="2"/>
    </row>
    <row r="119" ht="15.75" hidden="1" customHeight="1">
      <c r="A119" s="225"/>
      <c r="B119" s="211"/>
      <c r="C119" s="211"/>
      <c r="D119" s="211"/>
      <c r="E119" s="211"/>
      <c r="F119" s="2"/>
      <c r="G119" s="2"/>
      <c r="H119" s="2"/>
      <c r="I119" s="2"/>
      <c r="J119" s="2"/>
      <c r="K119" s="2"/>
      <c r="L119" s="2"/>
      <c r="M119" s="2"/>
      <c r="N119" s="2"/>
      <c r="O119" s="2"/>
      <c r="P119" s="2"/>
      <c r="Q119" s="2"/>
      <c r="R119" s="2"/>
      <c r="S119" s="2"/>
      <c r="T119" s="2"/>
      <c r="U119" s="2"/>
      <c r="V119" s="2"/>
      <c r="W119" s="2"/>
      <c r="X119" s="2"/>
      <c r="Y119" s="2"/>
      <c r="Z119" s="2"/>
    </row>
    <row r="120" ht="15.75" hidden="1" customHeight="1">
      <c r="A120" s="225"/>
      <c r="B120" s="211"/>
      <c r="C120" s="211"/>
      <c r="D120" s="211"/>
      <c r="E120" s="211"/>
      <c r="F120" s="2"/>
      <c r="G120" s="2"/>
      <c r="H120" s="2"/>
      <c r="I120" s="2"/>
      <c r="J120" s="2"/>
      <c r="K120" s="2"/>
      <c r="L120" s="2"/>
      <c r="M120" s="2"/>
      <c r="N120" s="2"/>
      <c r="O120" s="2"/>
      <c r="P120" s="2"/>
      <c r="Q120" s="2"/>
      <c r="R120" s="2"/>
      <c r="S120" s="2"/>
      <c r="T120" s="2"/>
      <c r="U120" s="2"/>
      <c r="V120" s="2"/>
      <c r="W120" s="2"/>
      <c r="X120" s="2"/>
      <c r="Y120" s="2"/>
      <c r="Z120" s="2"/>
    </row>
    <row r="121" ht="15.75" hidden="1" customHeight="1">
      <c r="A121" s="225"/>
      <c r="B121" s="211"/>
      <c r="C121" s="211"/>
      <c r="D121" s="211"/>
      <c r="E121" s="211"/>
      <c r="F121" s="2"/>
      <c r="G121" s="2"/>
      <c r="H121" s="2"/>
      <c r="I121" s="2"/>
      <c r="J121" s="2"/>
      <c r="K121" s="2"/>
      <c r="L121" s="2"/>
      <c r="M121" s="2"/>
      <c r="N121" s="2"/>
      <c r="O121" s="2"/>
      <c r="P121" s="2"/>
      <c r="Q121" s="2"/>
      <c r="R121" s="2"/>
      <c r="S121" s="2"/>
      <c r="T121" s="2"/>
      <c r="U121" s="2"/>
      <c r="V121" s="2"/>
      <c r="W121" s="2"/>
      <c r="X121" s="2"/>
      <c r="Y121" s="2"/>
      <c r="Z121" s="2"/>
    </row>
    <row r="122" ht="15.75" hidden="1" customHeight="1">
      <c r="A122" s="225"/>
      <c r="B122" s="211"/>
      <c r="C122" s="211"/>
      <c r="D122" s="211"/>
      <c r="E122" s="211"/>
      <c r="F122" s="2"/>
      <c r="G122" s="2"/>
      <c r="H122" s="2"/>
      <c r="I122" s="2"/>
      <c r="J122" s="2"/>
      <c r="K122" s="2"/>
      <c r="L122" s="2"/>
      <c r="M122" s="2"/>
      <c r="N122" s="2"/>
      <c r="O122" s="2"/>
      <c r="P122" s="2"/>
      <c r="Q122" s="2"/>
      <c r="R122" s="2"/>
      <c r="S122" s="2"/>
      <c r="T122" s="2"/>
      <c r="U122" s="2"/>
      <c r="V122" s="2"/>
      <c r="W122" s="2"/>
      <c r="X122" s="2"/>
      <c r="Y122" s="2"/>
      <c r="Z122" s="2"/>
    </row>
    <row r="123" ht="15.75" hidden="1" customHeight="1">
      <c r="A123" s="225"/>
      <c r="B123" s="211"/>
      <c r="C123" s="211"/>
      <c r="D123" s="211"/>
      <c r="E123" s="211"/>
      <c r="F123" s="2"/>
      <c r="G123" s="2"/>
      <c r="H123" s="2"/>
      <c r="I123" s="2"/>
      <c r="J123" s="2"/>
      <c r="K123" s="2"/>
      <c r="L123" s="2"/>
      <c r="M123" s="2"/>
      <c r="N123" s="2"/>
      <c r="O123" s="2"/>
      <c r="P123" s="2"/>
      <c r="Q123" s="2"/>
      <c r="R123" s="2"/>
      <c r="S123" s="2"/>
      <c r="T123" s="2"/>
      <c r="U123" s="2"/>
      <c r="V123" s="2"/>
      <c r="W123" s="2"/>
      <c r="X123" s="2"/>
      <c r="Y123" s="2"/>
      <c r="Z123" s="2"/>
    </row>
    <row r="124" ht="15.75" hidden="1" customHeight="1">
      <c r="A124" s="225"/>
      <c r="B124" s="211"/>
      <c r="C124" s="211"/>
      <c r="D124" s="211"/>
      <c r="E124" s="211"/>
      <c r="F124" s="2"/>
      <c r="G124" s="2"/>
      <c r="H124" s="2"/>
      <c r="I124" s="2"/>
      <c r="J124" s="2"/>
      <c r="K124" s="2"/>
      <c r="L124" s="2"/>
      <c r="M124" s="2"/>
      <c r="N124" s="2"/>
      <c r="O124" s="2"/>
      <c r="P124" s="2"/>
      <c r="Q124" s="2"/>
      <c r="R124" s="2"/>
      <c r="S124" s="2"/>
      <c r="T124" s="2"/>
      <c r="U124" s="2"/>
      <c r="V124" s="2"/>
      <c r="W124" s="2"/>
      <c r="X124" s="2"/>
      <c r="Y124" s="2"/>
      <c r="Z124" s="2"/>
    </row>
    <row r="125" ht="15.75" hidden="1" customHeight="1">
      <c r="A125" s="225"/>
      <c r="B125" s="211"/>
      <c r="C125" s="211"/>
      <c r="D125" s="211"/>
      <c r="E125" s="211"/>
      <c r="F125" s="2"/>
      <c r="G125" s="2"/>
      <c r="H125" s="2"/>
      <c r="I125" s="2"/>
      <c r="J125" s="2"/>
      <c r="K125" s="2"/>
      <c r="L125" s="2"/>
      <c r="M125" s="2"/>
      <c r="N125" s="2"/>
      <c r="O125" s="2"/>
      <c r="P125" s="2"/>
      <c r="Q125" s="2"/>
      <c r="R125" s="2"/>
      <c r="S125" s="2"/>
      <c r="T125" s="2"/>
      <c r="U125" s="2"/>
      <c r="V125" s="2"/>
      <c r="W125" s="2"/>
      <c r="X125" s="2"/>
      <c r="Y125" s="2"/>
      <c r="Z125" s="2"/>
    </row>
    <row r="126" ht="15.75" hidden="1" customHeight="1">
      <c r="A126" s="225"/>
      <c r="B126" s="211"/>
      <c r="C126" s="211"/>
      <c r="D126" s="211"/>
      <c r="E126" s="211"/>
      <c r="F126" s="2"/>
      <c r="G126" s="2"/>
      <c r="H126" s="2"/>
      <c r="I126" s="2"/>
      <c r="J126" s="2"/>
      <c r="K126" s="2"/>
      <c r="L126" s="2"/>
      <c r="M126" s="2"/>
      <c r="N126" s="2"/>
      <c r="O126" s="2"/>
      <c r="P126" s="2"/>
      <c r="Q126" s="2"/>
      <c r="R126" s="2"/>
      <c r="S126" s="2"/>
      <c r="T126" s="2"/>
      <c r="U126" s="2"/>
      <c r="V126" s="2"/>
      <c r="W126" s="2"/>
      <c r="X126" s="2"/>
      <c r="Y126" s="2"/>
      <c r="Z126" s="2"/>
    </row>
    <row r="127" ht="15.75" hidden="1" customHeight="1">
      <c r="A127" s="225"/>
      <c r="B127" s="211"/>
      <c r="C127" s="211"/>
      <c r="D127" s="211"/>
      <c r="E127" s="211"/>
      <c r="F127" s="2"/>
      <c r="G127" s="2"/>
      <c r="H127" s="2"/>
      <c r="I127" s="2"/>
      <c r="J127" s="2"/>
      <c r="K127" s="2"/>
      <c r="L127" s="2"/>
      <c r="M127" s="2"/>
      <c r="N127" s="2"/>
      <c r="O127" s="2"/>
      <c r="P127" s="2"/>
      <c r="Q127" s="2"/>
      <c r="R127" s="2"/>
      <c r="S127" s="2"/>
      <c r="T127" s="2"/>
      <c r="U127" s="2"/>
      <c r="V127" s="2"/>
      <c r="W127" s="2"/>
      <c r="X127" s="2"/>
      <c r="Y127" s="2"/>
      <c r="Z127" s="2"/>
    </row>
    <row r="128" ht="15.75" hidden="1" customHeight="1">
      <c r="A128" s="225"/>
      <c r="B128" s="211"/>
      <c r="C128" s="211"/>
      <c r="D128" s="211"/>
      <c r="E128" s="211"/>
      <c r="F128" s="2"/>
      <c r="G128" s="2"/>
      <c r="H128" s="2"/>
      <c r="I128" s="2"/>
      <c r="J128" s="2"/>
      <c r="K128" s="2"/>
      <c r="L128" s="2"/>
      <c r="M128" s="2"/>
      <c r="N128" s="2"/>
      <c r="O128" s="2"/>
      <c r="P128" s="2"/>
      <c r="Q128" s="2"/>
      <c r="R128" s="2"/>
      <c r="S128" s="2"/>
      <c r="T128" s="2"/>
      <c r="U128" s="2"/>
      <c r="V128" s="2"/>
      <c r="W128" s="2"/>
      <c r="X128" s="2"/>
      <c r="Y128" s="2"/>
      <c r="Z128" s="2"/>
    </row>
    <row r="129" ht="15.75" hidden="1" customHeight="1">
      <c r="A129" s="225"/>
      <c r="B129" s="211"/>
      <c r="C129" s="211"/>
      <c r="D129" s="211"/>
      <c r="E129" s="211"/>
      <c r="F129" s="2"/>
      <c r="G129" s="2"/>
      <c r="H129" s="2"/>
      <c r="I129" s="2"/>
      <c r="J129" s="2"/>
      <c r="K129" s="2"/>
      <c r="L129" s="2"/>
      <c r="M129" s="2"/>
      <c r="N129" s="2"/>
      <c r="O129" s="2"/>
      <c r="P129" s="2"/>
      <c r="Q129" s="2"/>
      <c r="R129" s="2"/>
      <c r="S129" s="2"/>
      <c r="T129" s="2"/>
      <c r="U129" s="2"/>
      <c r="V129" s="2"/>
      <c r="W129" s="2"/>
      <c r="X129" s="2"/>
      <c r="Y129" s="2"/>
      <c r="Z129" s="2"/>
    </row>
    <row r="130" ht="15.75" hidden="1" customHeight="1">
      <c r="A130" s="225"/>
      <c r="B130" s="211"/>
      <c r="C130" s="211"/>
      <c r="D130" s="211"/>
      <c r="E130" s="211"/>
      <c r="F130" s="2"/>
      <c r="G130" s="2"/>
      <c r="H130" s="2"/>
      <c r="I130" s="2"/>
      <c r="J130" s="2"/>
      <c r="K130" s="2"/>
      <c r="L130" s="2"/>
      <c r="M130" s="2"/>
      <c r="N130" s="2"/>
      <c r="O130" s="2"/>
      <c r="P130" s="2"/>
      <c r="Q130" s="2"/>
      <c r="R130" s="2"/>
      <c r="S130" s="2"/>
      <c r="T130" s="2"/>
      <c r="U130" s="2"/>
      <c r="V130" s="2"/>
      <c r="W130" s="2"/>
      <c r="X130" s="2"/>
      <c r="Y130" s="2"/>
      <c r="Z130" s="2"/>
    </row>
    <row r="131" ht="15.75" hidden="1" customHeight="1">
      <c r="A131" s="225"/>
      <c r="B131" s="211"/>
      <c r="C131" s="211"/>
      <c r="D131" s="211"/>
      <c r="E131" s="211"/>
      <c r="F131" s="2"/>
      <c r="G131" s="2"/>
      <c r="H131" s="2"/>
      <c r="I131" s="2"/>
      <c r="J131" s="2"/>
      <c r="K131" s="2"/>
      <c r="L131" s="2"/>
      <c r="M131" s="2"/>
      <c r="N131" s="2"/>
      <c r="O131" s="2"/>
      <c r="P131" s="2"/>
      <c r="Q131" s="2"/>
      <c r="R131" s="2"/>
      <c r="S131" s="2"/>
      <c r="T131" s="2"/>
      <c r="U131" s="2"/>
      <c r="V131" s="2"/>
      <c r="W131" s="2"/>
      <c r="X131" s="2"/>
      <c r="Y131" s="2"/>
      <c r="Z131" s="2"/>
    </row>
    <row r="132" ht="15.75" hidden="1" customHeight="1">
      <c r="A132" s="225"/>
      <c r="B132" s="211"/>
      <c r="C132" s="211"/>
      <c r="D132" s="211"/>
      <c r="E132" s="211"/>
      <c r="F132" s="2"/>
      <c r="G132" s="2"/>
      <c r="H132" s="2"/>
      <c r="I132" s="2"/>
      <c r="J132" s="2"/>
      <c r="K132" s="2"/>
      <c r="L132" s="2"/>
      <c r="M132" s="2"/>
      <c r="N132" s="2"/>
      <c r="O132" s="2"/>
      <c r="P132" s="2"/>
      <c r="Q132" s="2"/>
      <c r="R132" s="2"/>
      <c r="S132" s="2"/>
      <c r="T132" s="2"/>
      <c r="U132" s="2"/>
      <c r="V132" s="2"/>
      <c r="W132" s="2"/>
      <c r="X132" s="2"/>
      <c r="Y132" s="2"/>
      <c r="Z132" s="2"/>
    </row>
    <row r="133" ht="15.75" customHeight="1">
      <c r="A133" s="225"/>
      <c r="B133" s="211"/>
      <c r="C133" s="211"/>
      <c r="D133" s="211"/>
      <c r="E133" s="211"/>
      <c r="F133" s="2"/>
      <c r="G133" s="2"/>
      <c r="H133" s="2"/>
      <c r="I133" s="2"/>
      <c r="J133" s="2"/>
      <c r="K133" s="2"/>
      <c r="L133" s="2"/>
      <c r="M133" s="2"/>
      <c r="N133" s="2"/>
      <c r="O133" s="2"/>
      <c r="P133" s="2"/>
      <c r="Q133" s="2"/>
      <c r="R133" s="2"/>
      <c r="S133" s="2"/>
      <c r="T133" s="2"/>
      <c r="U133" s="2"/>
      <c r="V133" s="2"/>
      <c r="W133" s="2"/>
      <c r="X133" s="2"/>
      <c r="Y133" s="2"/>
      <c r="Z133" s="2"/>
    </row>
    <row r="134" ht="15.75" customHeight="1">
      <c r="A134" s="225"/>
      <c r="B134" s="211"/>
      <c r="C134" s="211"/>
      <c r="D134" s="211"/>
      <c r="E134" s="211"/>
      <c r="F134" s="2"/>
      <c r="G134" s="2"/>
      <c r="H134" s="2"/>
      <c r="I134" s="2"/>
      <c r="J134" s="2"/>
      <c r="K134" s="2"/>
      <c r="L134" s="2"/>
      <c r="M134" s="2"/>
      <c r="N134" s="2"/>
      <c r="O134" s="2"/>
      <c r="P134" s="2"/>
      <c r="Q134" s="2"/>
      <c r="R134" s="2"/>
      <c r="S134" s="2"/>
      <c r="T134" s="2"/>
      <c r="U134" s="2"/>
      <c r="V134" s="2"/>
      <c r="W134" s="2"/>
      <c r="X134" s="2"/>
      <c r="Y134" s="2"/>
      <c r="Z134" s="2"/>
    </row>
    <row r="135" ht="15.75" customHeight="1">
      <c r="A135" s="225"/>
      <c r="B135" s="211"/>
      <c r="C135" s="211"/>
      <c r="D135" s="228" t="s">
        <v>121</v>
      </c>
      <c r="E135" s="229">
        <f>GETPIVOTDATA("SUM of PRECIO TOTAL MXN AL CLIENTE",$E$13)</f>
        <v>260319</v>
      </c>
      <c r="F135" s="2"/>
      <c r="G135" s="2"/>
      <c r="H135" s="2"/>
      <c r="I135" s="2"/>
      <c r="J135" s="2"/>
      <c r="K135" s="2"/>
      <c r="L135" s="2"/>
      <c r="M135" s="2"/>
      <c r="N135" s="2"/>
      <c r="O135" s="2"/>
      <c r="P135" s="2"/>
      <c r="Q135" s="2"/>
      <c r="R135" s="2"/>
      <c r="S135" s="2"/>
      <c r="T135" s="2"/>
      <c r="U135" s="2"/>
      <c r="V135" s="2"/>
      <c r="W135" s="2"/>
      <c r="X135" s="2"/>
      <c r="Y135" s="2"/>
      <c r="Z135" s="2"/>
    </row>
    <row r="136" ht="15.75" customHeight="1">
      <c r="A136" s="225"/>
      <c r="B136" s="211"/>
      <c r="C136" s="230">
        <f>IF(H136&gt;0,H136,0)</f>
        <v>0</v>
      </c>
      <c r="D136" s="228" t="str">
        <f>IF(E136&gt;0,"DESCUENTO","")</f>
        <v/>
      </c>
      <c r="E136" s="229">
        <f>E135*C136</f>
        <v>0</v>
      </c>
      <c r="F136" s="2"/>
      <c r="G136" s="2"/>
      <c r="H136" s="165">
        <v>0.0</v>
      </c>
      <c r="I136" s="2" t="s">
        <v>122</v>
      </c>
      <c r="J136" s="2"/>
      <c r="K136" s="2"/>
      <c r="L136" s="2"/>
      <c r="M136" s="2"/>
      <c r="N136" s="2"/>
      <c r="O136" s="2"/>
      <c r="P136" s="2"/>
      <c r="Q136" s="2"/>
      <c r="R136" s="2"/>
      <c r="S136" s="2"/>
      <c r="T136" s="2"/>
      <c r="U136" s="2"/>
      <c r="V136" s="2"/>
      <c r="W136" s="2"/>
      <c r="X136" s="2"/>
      <c r="Y136" s="2"/>
      <c r="Z136" s="2"/>
    </row>
    <row r="137" ht="15.75" customHeight="1">
      <c r="A137" s="225"/>
      <c r="B137" s="211"/>
      <c r="C137" s="211"/>
      <c r="D137" s="228" t="str">
        <f>IF(E137&gt;0,"ENVÍO","")</f>
        <v>ENVÍO</v>
      </c>
      <c r="E137" s="229">
        <f>'VEA CLIENTE'!AT113</f>
        <v>441</v>
      </c>
      <c r="F137" s="2"/>
      <c r="G137" s="2"/>
      <c r="H137" s="2"/>
      <c r="I137" s="2"/>
      <c r="J137" s="2"/>
      <c r="K137" s="2"/>
      <c r="L137" s="2"/>
      <c r="M137" s="2"/>
      <c r="N137" s="2"/>
      <c r="O137" s="2"/>
      <c r="P137" s="2"/>
      <c r="Q137" s="2"/>
      <c r="R137" s="2"/>
      <c r="S137" s="2"/>
      <c r="T137" s="2"/>
      <c r="U137" s="2"/>
      <c r="V137" s="2"/>
      <c r="W137" s="2"/>
      <c r="X137" s="2"/>
      <c r="Y137" s="2"/>
      <c r="Z137" s="2"/>
    </row>
    <row r="138" ht="15.75" customHeight="1">
      <c r="A138" s="225"/>
      <c r="B138" s="211"/>
      <c r="C138" s="231"/>
      <c r="D138" s="228" t="s">
        <v>124</v>
      </c>
      <c r="E138" s="229">
        <f>E135+E137-E136</f>
        <v>260760</v>
      </c>
      <c r="F138" s="2"/>
      <c r="G138" s="2"/>
      <c r="H138" s="2"/>
      <c r="I138" s="2"/>
      <c r="J138" s="2"/>
      <c r="K138" s="2"/>
      <c r="L138" s="2"/>
      <c r="M138" s="2"/>
      <c r="N138" s="2"/>
      <c r="O138" s="2"/>
      <c r="P138" s="2"/>
      <c r="Q138" s="2"/>
      <c r="R138" s="2"/>
      <c r="S138" s="2"/>
      <c r="T138" s="2"/>
      <c r="U138" s="2"/>
      <c r="V138" s="2"/>
      <c r="W138" s="2"/>
      <c r="X138" s="2"/>
      <c r="Y138" s="2"/>
      <c r="Z138" s="2"/>
    </row>
    <row r="139" ht="15.75" customHeight="1">
      <c r="A139" s="225"/>
      <c r="B139" s="211"/>
      <c r="C139" s="211"/>
      <c r="D139" s="228" t="s">
        <v>126</v>
      </c>
      <c r="E139" s="229">
        <f>E138*0.16</f>
        <v>41721.6</v>
      </c>
      <c r="F139" s="2"/>
      <c r="G139" s="2"/>
      <c r="H139" s="2"/>
      <c r="I139" s="2"/>
      <c r="J139" s="2"/>
      <c r="K139" s="2"/>
      <c r="L139" s="2"/>
      <c r="M139" s="2"/>
      <c r="N139" s="2"/>
      <c r="O139" s="2"/>
      <c r="P139" s="2"/>
      <c r="Q139" s="2"/>
      <c r="R139" s="2"/>
      <c r="S139" s="2"/>
      <c r="T139" s="2"/>
      <c r="U139" s="2"/>
      <c r="V139" s="2"/>
      <c r="W139" s="2"/>
      <c r="X139" s="2"/>
      <c r="Y139" s="2"/>
      <c r="Z139" s="2"/>
    </row>
    <row r="140" ht="15.75" customHeight="1">
      <c r="A140" s="225"/>
      <c r="B140" s="211"/>
      <c r="C140" s="211"/>
      <c r="D140" s="232" t="s">
        <v>127</v>
      </c>
      <c r="E140" s="233">
        <f>E138+E139</f>
        <v>302481.6</v>
      </c>
      <c r="F140" s="2"/>
      <c r="G140" s="2"/>
      <c r="H140" s="2"/>
      <c r="I140" s="2"/>
      <c r="J140" s="2"/>
      <c r="K140" s="2"/>
      <c r="L140" s="2"/>
      <c r="M140" s="2"/>
      <c r="N140" s="2"/>
      <c r="O140" s="2"/>
      <c r="P140" s="2"/>
      <c r="Q140" s="2"/>
      <c r="R140" s="2"/>
      <c r="S140" s="2"/>
      <c r="T140" s="2"/>
      <c r="U140" s="2"/>
      <c r="V140" s="2"/>
      <c r="W140" s="2"/>
      <c r="X140" s="2"/>
      <c r="Y140" s="2"/>
      <c r="Z140" s="2"/>
    </row>
    <row r="141" ht="15.75" customHeight="1">
      <c r="A141" s="225"/>
      <c r="B141" s="211"/>
      <c r="C141" s="211"/>
      <c r="D141" s="211"/>
      <c r="E141" s="211"/>
      <c r="F141" s="2"/>
      <c r="G141" s="2"/>
      <c r="H141" s="2"/>
      <c r="I141" s="2"/>
      <c r="J141" s="2"/>
      <c r="K141" s="2"/>
      <c r="L141" s="2"/>
      <c r="M141" s="2"/>
      <c r="N141" s="2"/>
      <c r="O141" s="2"/>
      <c r="P141" s="2"/>
      <c r="Q141" s="2"/>
      <c r="R141" s="2"/>
      <c r="S141" s="2"/>
      <c r="T141" s="2"/>
      <c r="U141" s="2"/>
      <c r="V141" s="2"/>
      <c r="W141" s="2"/>
      <c r="X141" s="2"/>
      <c r="Y141" s="2"/>
      <c r="Z141" s="2"/>
    </row>
    <row r="142" ht="15.75" customHeight="1">
      <c r="A142" s="225"/>
      <c r="B142" s="211" t="s">
        <v>123</v>
      </c>
      <c r="C142" s="211"/>
      <c r="D142" s="234">
        <f>'VEA CLIENTE'!I2*0.99</f>
        <v>20.295</v>
      </c>
      <c r="E142" s="211" t="s">
        <v>125</v>
      </c>
      <c r="F142" s="2"/>
      <c r="G142" s="2"/>
      <c r="H142" s="2"/>
      <c r="I142" s="2"/>
      <c r="J142" s="2"/>
      <c r="K142" s="2"/>
      <c r="L142" s="2"/>
      <c r="M142" s="2"/>
      <c r="N142" s="2"/>
      <c r="O142" s="2"/>
      <c r="P142" s="2"/>
      <c r="Q142" s="2"/>
      <c r="R142" s="2"/>
      <c r="S142" s="2"/>
      <c r="T142" s="2"/>
      <c r="U142" s="2"/>
      <c r="V142" s="2"/>
      <c r="W142" s="2"/>
      <c r="X142" s="2"/>
      <c r="Y142" s="2"/>
      <c r="Z142" s="2"/>
    </row>
    <row r="143" ht="15.75" customHeight="1">
      <c r="A143" s="225"/>
      <c r="B143" s="211"/>
      <c r="C143" s="211"/>
      <c r="D143" s="211"/>
      <c r="E143" s="211"/>
      <c r="F143" s="2"/>
      <c r="G143" s="2"/>
      <c r="H143" s="2"/>
      <c r="I143" s="2"/>
      <c r="J143" s="2"/>
      <c r="K143" s="2"/>
      <c r="L143" s="2"/>
      <c r="M143" s="2"/>
      <c r="N143" s="2"/>
      <c r="O143" s="2"/>
      <c r="P143" s="2"/>
      <c r="Q143" s="2"/>
      <c r="R143" s="2"/>
      <c r="S143" s="2"/>
      <c r="T143" s="2"/>
      <c r="U143" s="2"/>
      <c r="V143" s="2"/>
      <c r="W143" s="2"/>
      <c r="X143" s="2"/>
      <c r="Y143" s="2"/>
      <c r="Z143" s="2"/>
    </row>
    <row r="144" ht="15.75" customHeight="1">
      <c r="A144" s="235" t="s">
        <v>128</v>
      </c>
      <c r="B144" s="211"/>
      <c r="C144" s="211"/>
      <c r="D144" s="211"/>
      <c r="E144" s="211"/>
      <c r="F144" s="2"/>
      <c r="G144" s="2"/>
      <c r="H144" s="2"/>
      <c r="I144" s="2"/>
      <c r="J144" s="2"/>
      <c r="K144" s="2"/>
      <c r="L144" s="2"/>
      <c r="M144" s="2"/>
      <c r="N144" s="2"/>
      <c r="O144" s="2"/>
      <c r="P144" s="2"/>
      <c r="Q144" s="2"/>
      <c r="R144" s="2"/>
      <c r="S144" s="2"/>
      <c r="T144" s="2"/>
      <c r="U144" s="2"/>
      <c r="V144" s="2"/>
      <c r="W144" s="2"/>
      <c r="X144" s="2"/>
      <c r="Y144" s="2"/>
      <c r="Z144" s="2"/>
    </row>
    <row r="145" ht="15.75" customHeight="1">
      <c r="A145" s="225"/>
      <c r="B145" s="211" t="s">
        <v>129</v>
      </c>
      <c r="C145" s="211"/>
      <c r="D145" s="236">
        <f>E140</f>
        <v>302481.6</v>
      </c>
      <c r="E145" s="211"/>
      <c r="F145" s="2"/>
      <c r="G145" s="2"/>
      <c r="H145" s="2"/>
      <c r="I145" s="2"/>
      <c r="J145" s="2"/>
      <c r="K145" s="2"/>
      <c r="L145" s="2"/>
      <c r="M145" s="2"/>
      <c r="N145" s="2"/>
      <c r="O145" s="2"/>
      <c r="P145" s="2"/>
      <c r="Q145" s="2"/>
      <c r="R145" s="2"/>
      <c r="S145" s="2"/>
      <c r="T145" s="2"/>
      <c r="U145" s="2"/>
      <c r="V145" s="2"/>
      <c r="W145" s="2"/>
      <c r="X145" s="2"/>
      <c r="Y145" s="2"/>
      <c r="Z145" s="2"/>
    </row>
    <row r="146" ht="15.75" customHeight="1">
      <c r="A146" s="225"/>
      <c r="B146" s="211" t="s">
        <v>149</v>
      </c>
      <c r="C146" s="211"/>
      <c r="D146" s="236">
        <f>TC!C32</f>
        <v>316393</v>
      </c>
      <c r="E146" s="211"/>
      <c r="F146" s="2"/>
      <c r="G146" s="2"/>
      <c r="H146" s="2"/>
      <c r="I146" s="2"/>
      <c r="J146" s="2"/>
      <c r="K146" s="2"/>
      <c r="L146" s="2"/>
      <c r="M146" s="2"/>
      <c r="N146" s="2"/>
      <c r="O146" s="2"/>
      <c r="P146" s="2"/>
      <c r="Q146" s="2"/>
      <c r="R146" s="2"/>
      <c r="S146" s="2"/>
      <c r="T146" s="2"/>
      <c r="U146" s="2"/>
      <c r="V146" s="2"/>
      <c r="W146" s="2"/>
      <c r="X146" s="2"/>
      <c r="Y146" s="2"/>
      <c r="Z146" s="2"/>
    </row>
    <row r="147" ht="15.75" customHeight="1">
      <c r="A147" s="225"/>
      <c r="B147" s="211" t="s">
        <v>133</v>
      </c>
      <c r="C147" s="211"/>
      <c r="D147" s="236">
        <f>TC!C150</f>
        <v>334624</v>
      </c>
      <c r="E147" s="211"/>
      <c r="F147" s="2"/>
      <c r="G147" s="2"/>
      <c r="H147" s="2"/>
      <c r="I147" s="2"/>
      <c r="J147" s="2"/>
      <c r="K147" s="2"/>
      <c r="L147" s="2"/>
      <c r="M147" s="2"/>
      <c r="N147" s="2"/>
      <c r="O147" s="2"/>
      <c r="P147" s="2"/>
      <c r="Q147" s="2"/>
      <c r="R147" s="2"/>
      <c r="S147" s="2"/>
      <c r="T147" s="2"/>
      <c r="U147" s="2"/>
      <c r="V147" s="2"/>
      <c r="W147" s="2"/>
      <c r="X147" s="2"/>
      <c r="Y147" s="2"/>
      <c r="Z147" s="2"/>
    </row>
    <row r="148" ht="15.75" customHeight="1">
      <c r="A148" s="225"/>
      <c r="B148" s="211" t="s">
        <v>135</v>
      </c>
      <c r="C148" s="211"/>
      <c r="D148" s="236">
        <f>TC!C155</f>
        <v>345714</v>
      </c>
      <c r="E148" s="211"/>
      <c r="F148" s="2"/>
      <c r="G148" s="2"/>
      <c r="H148" s="2"/>
      <c r="I148" s="2"/>
      <c r="J148" s="2"/>
      <c r="K148" s="2"/>
      <c r="L148" s="2"/>
      <c r="M148" s="2"/>
      <c r="N148" s="2"/>
      <c r="O148" s="2"/>
      <c r="P148" s="2"/>
      <c r="Q148" s="2"/>
      <c r="R148" s="2"/>
      <c r="S148" s="2"/>
      <c r="T148" s="2"/>
      <c r="U148" s="2"/>
      <c r="V148" s="2"/>
      <c r="W148" s="2"/>
      <c r="X148" s="2"/>
      <c r="Y148" s="2"/>
      <c r="Z148" s="2"/>
    </row>
    <row r="149" ht="15.75" customHeight="1">
      <c r="A149" s="225"/>
      <c r="B149" s="211" t="s">
        <v>137</v>
      </c>
      <c r="C149" s="211"/>
      <c r="D149" s="236">
        <f>TC!C160</f>
        <v>360034</v>
      </c>
      <c r="E149" s="211"/>
      <c r="F149" s="2"/>
      <c r="G149" s="2"/>
      <c r="H149" s="2"/>
      <c r="I149" s="2"/>
      <c r="J149" s="2"/>
      <c r="K149" s="2"/>
      <c r="L149" s="2"/>
      <c r="M149" s="2"/>
      <c r="N149" s="2"/>
      <c r="O149" s="2"/>
      <c r="P149" s="2"/>
      <c r="Q149" s="2"/>
      <c r="R149" s="2"/>
      <c r="S149" s="2"/>
      <c r="T149" s="2"/>
      <c r="U149" s="2"/>
      <c r="V149" s="2"/>
      <c r="W149" s="2"/>
      <c r="X149" s="2"/>
      <c r="Y149" s="2"/>
      <c r="Z149" s="2"/>
    </row>
    <row r="150" ht="15.75" customHeight="1">
      <c r="A150" s="225"/>
      <c r="B150" s="211" t="s">
        <v>139</v>
      </c>
      <c r="C150" s="211"/>
      <c r="D150" s="236">
        <f>TC!C165</f>
        <v>375591</v>
      </c>
      <c r="E150" s="211"/>
      <c r="F150" s="2"/>
      <c r="G150" s="2"/>
      <c r="H150" s="2"/>
      <c r="I150" s="2"/>
      <c r="J150" s="2"/>
      <c r="K150" s="2"/>
      <c r="L150" s="2"/>
      <c r="M150" s="2"/>
      <c r="N150" s="2"/>
      <c r="O150" s="2"/>
      <c r="P150" s="2"/>
      <c r="Q150" s="2"/>
      <c r="R150" s="2"/>
      <c r="S150" s="2"/>
      <c r="T150" s="2"/>
      <c r="U150" s="2"/>
      <c r="V150" s="2"/>
      <c r="W150" s="2"/>
      <c r="X150" s="2"/>
      <c r="Y150" s="2"/>
      <c r="Z150" s="2"/>
    </row>
    <row r="151" ht="15.75" customHeight="1">
      <c r="A151" s="225"/>
      <c r="B151" s="211"/>
      <c r="C151" s="211"/>
      <c r="D151" s="211"/>
      <c r="E151" s="211"/>
      <c r="F151" s="2"/>
      <c r="G151" s="2"/>
      <c r="H151" s="2"/>
      <c r="I151" s="2"/>
      <c r="J151" s="2"/>
      <c r="K151" s="2"/>
      <c r="L151" s="2"/>
      <c r="M151" s="2"/>
      <c r="N151" s="2"/>
      <c r="O151" s="2"/>
      <c r="P151" s="2"/>
      <c r="Q151" s="2"/>
      <c r="R151" s="2"/>
      <c r="S151" s="2"/>
      <c r="T151" s="2"/>
      <c r="U151" s="2"/>
      <c r="V151" s="2"/>
      <c r="W151" s="2"/>
      <c r="X151" s="2"/>
      <c r="Y151" s="2"/>
      <c r="Z151" s="2"/>
    </row>
    <row r="152" ht="15.75" customHeight="1">
      <c r="A152" s="225"/>
      <c r="B152" s="211"/>
      <c r="C152" s="211"/>
      <c r="D152" s="211"/>
      <c r="E152" s="211"/>
      <c r="F152" s="2"/>
      <c r="G152" s="2"/>
      <c r="H152" s="2"/>
      <c r="I152" s="2"/>
      <c r="J152" s="2"/>
      <c r="K152" s="2"/>
      <c r="L152" s="2"/>
      <c r="M152" s="2"/>
      <c r="N152" s="2"/>
      <c r="O152" s="2"/>
      <c r="P152" s="2"/>
      <c r="Q152" s="2"/>
      <c r="R152" s="2"/>
      <c r="S152" s="2"/>
      <c r="T152" s="2"/>
      <c r="U152" s="2"/>
      <c r="V152" s="2"/>
      <c r="W152" s="2"/>
      <c r="X152" s="2"/>
      <c r="Y152" s="2"/>
      <c r="Z152" s="2"/>
    </row>
    <row r="153" ht="15.75" customHeight="1">
      <c r="A153" s="225"/>
      <c r="B153" s="211"/>
      <c r="C153" s="211"/>
      <c r="D153" s="211"/>
      <c r="E153" s="211"/>
      <c r="F153" s="2"/>
      <c r="G153" s="2"/>
      <c r="H153" s="2"/>
      <c r="I153" s="2"/>
      <c r="J153" s="2"/>
      <c r="K153" s="2"/>
      <c r="L153" s="2"/>
      <c r="M153" s="2"/>
      <c r="N153" s="2"/>
      <c r="O153" s="2"/>
      <c r="P153" s="2"/>
      <c r="Q153" s="2"/>
      <c r="R153" s="2"/>
      <c r="S153" s="2"/>
      <c r="T153" s="2"/>
      <c r="U153" s="2"/>
      <c r="V153" s="2"/>
      <c r="W153" s="2"/>
      <c r="X153" s="2"/>
      <c r="Y153" s="2"/>
      <c r="Z153" s="2"/>
    </row>
    <row r="154" ht="15.75" customHeight="1">
      <c r="A154" s="225"/>
      <c r="B154" s="211"/>
      <c r="C154" s="211"/>
      <c r="D154" s="211"/>
      <c r="E154" s="211"/>
      <c r="F154" s="2"/>
      <c r="G154" s="2"/>
      <c r="H154" s="2"/>
      <c r="I154" s="2"/>
      <c r="J154" s="2"/>
      <c r="K154" s="2"/>
      <c r="L154" s="2"/>
      <c r="M154" s="2"/>
      <c r="N154" s="2"/>
      <c r="O154" s="2"/>
      <c r="P154" s="2"/>
      <c r="Q154" s="2"/>
      <c r="R154" s="2"/>
      <c r="S154" s="2"/>
      <c r="T154" s="2"/>
      <c r="U154" s="2"/>
      <c r="V154" s="2"/>
      <c r="W154" s="2"/>
      <c r="X154" s="2"/>
      <c r="Y154" s="2"/>
      <c r="Z154" s="2"/>
    </row>
    <row r="155" ht="15.75" customHeight="1">
      <c r="A155" s="225"/>
      <c r="B155" s="211"/>
      <c r="C155" s="211"/>
      <c r="D155" s="211"/>
      <c r="E155" s="211"/>
      <c r="F155" s="2"/>
      <c r="G155" s="2"/>
      <c r="H155" s="2"/>
      <c r="I155" s="2"/>
      <c r="J155" s="2"/>
      <c r="K155" s="2"/>
      <c r="L155" s="2"/>
      <c r="M155" s="2"/>
      <c r="N155" s="2"/>
      <c r="O155" s="2"/>
      <c r="P155" s="2"/>
      <c r="Q155" s="2"/>
      <c r="R155" s="2"/>
      <c r="S155" s="2"/>
      <c r="T155" s="2"/>
      <c r="U155" s="2"/>
      <c r="V155" s="2"/>
      <c r="W155" s="2"/>
      <c r="X155" s="2"/>
      <c r="Y155" s="2"/>
      <c r="Z155" s="2"/>
    </row>
    <row r="156" ht="15.75" customHeight="1">
      <c r="A156" s="225"/>
      <c r="B156" s="211"/>
      <c r="C156" s="211"/>
      <c r="D156" s="211"/>
      <c r="E156" s="211"/>
      <c r="F156" s="2"/>
      <c r="G156" s="2"/>
      <c r="H156" s="2"/>
      <c r="I156" s="2"/>
      <c r="J156" s="2"/>
      <c r="K156" s="2"/>
      <c r="L156" s="2"/>
      <c r="M156" s="2"/>
      <c r="N156" s="2"/>
      <c r="O156" s="2"/>
      <c r="P156" s="2"/>
      <c r="Q156" s="2"/>
      <c r="R156" s="2"/>
      <c r="S156" s="2"/>
      <c r="T156" s="2"/>
      <c r="U156" s="2"/>
      <c r="V156" s="2"/>
      <c r="W156" s="2"/>
      <c r="X156" s="2"/>
      <c r="Y156" s="2"/>
      <c r="Z156" s="2"/>
    </row>
    <row r="157" ht="15.75" customHeight="1">
      <c r="A157" s="225"/>
      <c r="B157" s="211"/>
      <c r="C157" s="211"/>
      <c r="D157" s="211"/>
      <c r="E157" s="211"/>
      <c r="F157" s="2"/>
      <c r="G157" s="2"/>
      <c r="H157" s="2"/>
      <c r="I157" s="2"/>
      <c r="J157" s="2"/>
      <c r="K157" s="2"/>
      <c r="L157" s="2"/>
      <c r="M157" s="2"/>
      <c r="N157" s="2"/>
      <c r="O157" s="2"/>
      <c r="P157" s="2"/>
      <c r="Q157" s="2"/>
      <c r="R157" s="2"/>
      <c r="S157" s="2"/>
      <c r="T157" s="2"/>
      <c r="U157" s="2"/>
      <c r="V157" s="2"/>
      <c r="W157" s="2"/>
      <c r="X157" s="2"/>
      <c r="Y157" s="2"/>
      <c r="Z157" s="2"/>
    </row>
    <row r="158" ht="15.75" customHeight="1">
      <c r="A158" s="225"/>
      <c r="B158" s="211"/>
      <c r="C158" s="211"/>
      <c r="D158" s="211"/>
      <c r="E158" s="211"/>
      <c r="F158" s="2"/>
      <c r="G158" s="2"/>
      <c r="H158" s="2"/>
      <c r="I158" s="2"/>
      <c r="J158" s="2"/>
      <c r="K158" s="2"/>
      <c r="L158" s="2"/>
      <c r="M158" s="2"/>
      <c r="N158" s="2"/>
      <c r="O158" s="2"/>
      <c r="P158" s="2"/>
      <c r="Q158" s="2"/>
      <c r="R158" s="2"/>
      <c r="S158" s="2"/>
      <c r="T158" s="2"/>
      <c r="U158" s="2"/>
      <c r="V158" s="2"/>
      <c r="W158" s="2"/>
      <c r="X158" s="2"/>
      <c r="Y158" s="2"/>
      <c r="Z158" s="2"/>
    </row>
    <row r="159" ht="15.75" customHeight="1">
      <c r="A159" s="225"/>
      <c r="B159" s="211"/>
      <c r="C159" s="211"/>
      <c r="D159" s="211"/>
      <c r="E159" s="211"/>
      <c r="F159" s="2"/>
      <c r="G159" s="2"/>
      <c r="H159" s="2"/>
      <c r="I159" s="2"/>
      <c r="J159" s="2"/>
      <c r="K159" s="2"/>
      <c r="L159" s="2"/>
      <c r="M159" s="2"/>
      <c r="N159" s="2"/>
      <c r="O159" s="2"/>
      <c r="P159" s="2"/>
      <c r="Q159" s="2"/>
      <c r="R159" s="2"/>
      <c r="S159" s="2"/>
      <c r="T159" s="2"/>
      <c r="U159" s="2"/>
      <c r="V159" s="2"/>
      <c r="W159" s="2"/>
      <c r="X159" s="2"/>
      <c r="Y159" s="2"/>
      <c r="Z159" s="2"/>
    </row>
    <row r="160" ht="15.75" customHeight="1">
      <c r="A160" s="225"/>
      <c r="B160" s="211"/>
      <c r="C160" s="211"/>
      <c r="D160" s="211"/>
      <c r="E160" s="211"/>
      <c r="F160" s="2"/>
      <c r="G160" s="2"/>
      <c r="H160" s="2"/>
      <c r="I160" s="2"/>
      <c r="J160" s="2"/>
      <c r="K160" s="2"/>
      <c r="L160" s="2"/>
      <c r="M160" s="2"/>
      <c r="N160" s="2"/>
      <c r="O160" s="2"/>
      <c r="P160" s="2"/>
      <c r="Q160" s="2"/>
      <c r="R160" s="2"/>
      <c r="S160" s="2"/>
      <c r="T160" s="2"/>
      <c r="U160" s="2"/>
      <c r="V160" s="2"/>
      <c r="W160" s="2"/>
      <c r="X160" s="2"/>
      <c r="Y160" s="2"/>
      <c r="Z160" s="2"/>
    </row>
    <row r="161" ht="15.75" customHeight="1">
      <c r="A161" s="225"/>
      <c r="B161" s="211"/>
      <c r="C161" s="211"/>
      <c r="D161" s="211"/>
      <c r="E161" s="211"/>
      <c r="F161" s="2"/>
      <c r="G161" s="2"/>
      <c r="H161" s="2"/>
      <c r="I161" s="2"/>
      <c r="J161" s="2"/>
      <c r="K161" s="2"/>
      <c r="L161" s="2"/>
      <c r="M161" s="2"/>
      <c r="N161" s="2"/>
      <c r="O161" s="2"/>
      <c r="P161" s="2"/>
      <c r="Q161" s="2"/>
      <c r="R161" s="2"/>
      <c r="S161" s="2"/>
      <c r="T161" s="2"/>
      <c r="U161" s="2"/>
      <c r="V161" s="2"/>
      <c r="W161" s="2"/>
      <c r="X161" s="2"/>
      <c r="Y161" s="2"/>
      <c r="Z161" s="2"/>
    </row>
    <row r="162" ht="15.75" customHeight="1">
      <c r="A162" s="225"/>
      <c r="B162" s="211"/>
      <c r="C162" s="211"/>
      <c r="D162" s="211"/>
      <c r="E162" s="211"/>
      <c r="F162" s="2"/>
      <c r="G162" s="2"/>
      <c r="H162" s="2"/>
      <c r="I162" s="2"/>
      <c r="J162" s="2"/>
      <c r="K162" s="2"/>
      <c r="L162" s="2"/>
      <c r="M162" s="2"/>
      <c r="N162" s="2"/>
      <c r="O162" s="2"/>
      <c r="P162" s="2"/>
      <c r="Q162" s="2"/>
      <c r="R162" s="2"/>
      <c r="S162" s="2"/>
      <c r="T162" s="2"/>
      <c r="U162" s="2"/>
      <c r="V162" s="2"/>
      <c r="W162" s="2"/>
      <c r="X162" s="2"/>
      <c r="Y162" s="2"/>
      <c r="Z162" s="2"/>
    </row>
    <row r="163" ht="15.75" customHeight="1">
      <c r="A163" s="225"/>
      <c r="B163" s="211"/>
      <c r="C163" s="211"/>
      <c r="D163" s="211"/>
      <c r="E163" s="211"/>
      <c r="F163" s="2"/>
      <c r="G163" s="2"/>
      <c r="H163" s="2"/>
      <c r="I163" s="2"/>
      <c r="J163" s="2"/>
      <c r="K163" s="2"/>
      <c r="L163" s="2"/>
      <c r="M163" s="2"/>
      <c r="N163" s="2"/>
      <c r="O163" s="2"/>
      <c r="P163" s="2"/>
      <c r="Q163" s="2"/>
      <c r="R163" s="2"/>
      <c r="S163" s="2"/>
      <c r="T163" s="2"/>
      <c r="U163" s="2"/>
      <c r="V163" s="2"/>
      <c r="W163" s="2"/>
      <c r="X163" s="2"/>
      <c r="Y163" s="2"/>
      <c r="Z163" s="2"/>
    </row>
    <row r="164" ht="15.75" customHeight="1">
      <c r="A164" s="225"/>
      <c r="B164" s="211"/>
      <c r="C164" s="211"/>
      <c r="D164" s="211"/>
      <c r="E164" s="211"/>
      <c r="F164" s="2"/>
      <c r="G164" s="2"/>
      <c r="H164" s="2"/>
      <c r="I164" s="2"/>
      <c r="J164" s="2"/>
      <c r="K164" s="2"/>
      <c r="L164" s="2"/>
      <c r="M164" s="2"/>
      <c r="N164" s="2"/>
      <c r="O164" s="2"/>
      <c r="P164" s="2"/>
      <c r="Q164" s="2"/>
      <c r="R164" s="2"/>
      <c r="S164" s="2"/>
      <c r="T164" s="2"/>
      <c r="U164" s="2"/>
      <c r="V164" s="2"/>
      <c r="W164" s="2"/>
      <c r="X164" s="2"/>
      <c r="Y164" s="2"/>
      <c r="Z164" s="2"/>
    </row>
    <row r="165" ht="15.75" customHeight="1">
      <c r="A165" s="225"/>
      <c r="B165" s="211"/>
      <c r="C165" s="211"/>
      <c r="D165" s="211"/>
      <c r="E165" s="211"/>
      <c r="F165" s="2"/>
      <c r="G165" s="2"/>
      <c r="H165" s="2"/>
      <c r="I165" s="2"/>
      <c r="J165" s="2"/>
      <c r="K165" s="2"/>
      <c r="L165" s="2"/>
      <c r="M165" s="2"/>
      <c r="N165" s="2"/>
      <c r="O165" s="2"/>
      <c r="P165" s="2"/>
      <c r="Q165" s="2"/>
      <c r="R165" s="2"/>
      <c r="S165" s="2"/>
      <c r="T165" s="2"/>
      <c r="U165" s="2"/>
      <c r="V165" s="2"/>
      <c r="W165" s="2"/>
      <c r="X165" s="2"/>
      <c r="Y165" s="2"/>
      <c r="Z165" s="2"/>
    </row>
    <row r="166" ht="15.75" customHeight="1">
      <c r="A166" s="225"/>
      <c r="B166" s="211"/>
      <c r="C166" s="211"/>
      <c r="D166" s="211"/>
      <c r="E166" s="211"/>
      <c r="F166" s="2"/>
      <c r="G166" s="2"/>
      <c r="H166" s="2"/>
      <c r="I166" s="2"/>
      <c r="J166" s="2"/>
      <c r="K166" s="2"/>
      <c r="L166" s="2"/>
      <c r="M166" s="2"/>
      <c r="N166" s="2"/>
      <c r="O166" s="2"/>
      <c r="P166" s="2"/>
      <c r="Q166" s="2"/>
      <c r="R166" s="2"/>
      <c r="S166" s="2"/>
      <c r="T166" s="2"/>
      <c r="U166" s="2"/>
      <c r="V166" s="2"/>
      <c r="W166" s="2"/>
      <c r="X166" s="2"/>
      <c r="Y166" s="2"/>
      <c r="Z166" s="2"/>
    </row>
    <row r="167" ht="15.75" customHeight="1">
      <c r="A167" s="225"/>
      <c r="B167" s="211"/>
      <c r="C167" s="211"/>
      <c r="D167" s="211"/>
      <c r="E167" s="211"/>
      <c r="F167" s="2"/>
      <c r="G167" s="2"/>
      <c r="H167" s="2"/>
      <c r="I167" s="2"/>
      <c r="J167" s="2"/>
      <c r="K167" s="2"/>
      <c r="L167" s="2"/>
      <c r="M167" s="2"/>
      <c r="N167" s="2"/>
      <c r="O167" s="2"/>
      <c r="P167" s="2"/>
      <c r="Q167" s="2"/>
      <c r="R167" s="2"/>
      <c r="S167" s="2"/>
      <c r="T167" s="2"/>
      <c r="U167" s="2"/>
      <c r="V167" s="2"/>
      <c r="W167" s="2"/>
      <c r="X167" s="2"/>
      <c r="Y167" s="2"/>
      <c r="Z167" s="2"/>
    </row>
    <row r="168" ht="15.75" customHeight="1">
      <c r="A168" s="225"/>
      <c r="B168" s="211"/>
      <c r="C168" s="211"/>
      <c r="D168" s="211"/>
      <c r="E168" s="211"/>
      <c r="F168" s="2"/>
      <c r="G168" s="2"/>
      <c r="H168" s="2"/>
      <c r="I168" s="2"/>
      <c r="J168" s="2"/>
      <c r="K168" s="2"/>
      <c r="L168" s="2"/>
      <c r="M168" s="2"/>
      <c r="N168" s="2"/>
      <c r="O168" s="2"/>
      <c r="P168" s="2"/>
      <c r="Q168" s="2"/>
      <c r="R168" s="2"/>
      <c r="S168" s="2"/>
      <c r="T168" s="2"/>
      <c r="U168" s="2"/>
      <c r="V168" s="2"/>
      <c r="W168" s="2"/>
      <c r="X168" s="2"/>
      <c r="Y168" s="2"/>
      <c r="Z168" s="2"/>
    </row>
    <row r="169" ht="15.75" customHeight="1">
      <c r="A169" s="225"/>
      <c r="B169" s="211"/>
      <c r="C169" s="211"/>
      <c r="D169" s="211"/>
      <c r="E169" s="211"/>
      <c r="F169" s="2"/>
      <c r="G169" s="2"/>
      <c r="H169" s="2"/>
      <c r="I169" s="2"/>
      <c r="J169" s="2"/>
      <c r="K169" s="2"/>
      <c r="L169" s="2"/>
      <c r="M169" s="2"/>
      <c r="N169" s="2"/>
      <c r="O169" s="2"/>
      <c r="P169" s="2"/>
      <c r="Q169" s="2"/>
      <c r="R169" s="2"/>
      <c r="S169" s="2"/>
      <c r="T169" s="2"/>
      <c r="U169" s="2"/>
      <c r="V169" s="2"/>
      <c r="W169" s="2"/>
      <c r="X169" s="2"/>
      <c r="Y169" s="2"/>
      <c r="Z169" s="2"/>
    </row>
    <row r="170" ht="15.75" customHeight="1">
      <c r="A170" s="225"/>
      <c r="B170" s="211"/>
      <c r="C170" s="211"/>
      <c r="D170" s="211"/>
      <c r="E170" s="211"/>
      <c r="F170" s="2"/>
      <c r="G170" s="2"/>
      <c r="H170" s="2"/>
      <c r="I170" s="2"/>
      <c r="J170" s="2"/>
      <c r="K170" s="2"/>
      <c r="L170" s="2"/>
      <c r="M170" s="2"/>
      <c r="N170" s="2"/>
      <c r="O170" s="2"/>
      <c r="P170" s="2"/>
      <c r="Q170" s="2"/>
      <c r="R170" s="2"/>
      <c r="S170" s="2"/>
      <c r="T170" s="2"/>
      <c r="U170" s="2"/>
      <c r="V170" s="2"/>
      <c r="W170" s="2"/>
      <c r="X170" s="2"/>
      <c r="Y170" s="2"/>
      <c r="Z170" s="2"/>
    </row>
    <row r="171" ht="15.75" customHeight="1">
      <c r="A171" s="225"/>
      <c r="B171" s="211"/>
      <c r="C171" s="211"/>
      <c r="D171" s="211"/>
      <c r="E171" s="211"/>
      <c r="F171" s="2"/>
      <c r="G171" s="2"/>
      <c r="H171" s="2"/>
      <c r="I171" s="2"/>
      <c r="J171" s="2"/>
      <c r="K171" s="2"/>
      <c r="L171" s="2"/>
      <c r="M171" s="2"/>
      <c r="N171" s="2"/>
      <c r="O171" s="2"/>
      <c r="P171" s="2"/>
      <c r="Q171" s="2"/>
      <c r="R171" s="2"/>
      <c r="S171" s="2"/>
      <c r="T171" s="2"/>
      <c r="U171" s="2"/>
      <c r="V171" s="2"/>
      <c r="W171" s="2"/>
      <c r="X171" s="2"/>
      <c r="Y171" s="2"/>
      <c r="Z171" s="2"/>
    </row>
    <row r="172" ht="15.75" customHeight="1">
      <c r="A172" s="225"/>
      <c r="B172" s="211"/>
      <c r="C172" s="211"/>
      <c r="D172" s="211"/>
      <c r="E172" s="211"/>
      <c r="F172" s="2"/>
      <c r="G172" s="2"/>
      <c r="H172" s="2"/>
      <c r="I172" s="2"/>
      <c r="J172" s="2"/>
      <c r="K172" s="2"/>
      <c r="L172" s="2"/>
      <c r="M172" s="2"/>
      <c r="N172" s="2"/>
      <c r="O172" s="2"/>
      <c r="P172" s="2"/>
      <c r="Q172" s="2"/>
      <c r="R172" s="2"/>
      <c r="S172" s="2"/>
      <c r="T172" s="2"/>
      <c r="U172" s="2"/>
      <c r="V172" s="2"/>
      <c r="W172" s="2"/>
      <c r="X172" s="2"/>
      <c r="Y172" s="2"/>
      <c r="Z172" s="2"/>
    </row>
    <row r="173" ht="15.75" customHeight="1">
      <c r="A173" s="225"/>
      <c r="B173" s="211"/>
      <c r="C173" s="211"/>
      <c r="D173" s="211"/>
      <c r="E173" s="211"/>
      <c r="F173" s="2"/>
      <c r="G173" s="2"/>
      <c r="H173" s="2"/>
      <c r="I173" s="2"/>
      <c r="J173" s="2"/>
      <c r="K173" s="2"/>
      <c r="L173" s="2"/>
      <c r="M173" s="2"/>
      <c r="N173" s="2"/>
      <c r="O173" s="2"/>
      <c r="P173" s="2"/>
      <c r="Q173" s="2"/>
      <c r="R173" s="2"/>
      <c r="S173" s="2"/>
      <c r="T173" s="2"/>
      <c r="U173" s="2"/>
      <c r="V173" s="2"/>
      <c r="W173" s="2"/>
      <c r="X173" s="2"/>
      <c r="Y173" s="2"/>
      <c r="Z173" s="2"/>
    </row>
    <row r="174" ht="15.75" customHeight="1">
      <c r="A174" s="225"/>
      <c r="B174" s="211"/>
      <c r="C174" s="211"/>
      <c r="D174" s="211"/>
      <c r="E174" s="211"/>
      <c r="F174" s="2"/>
      <c r="G174" s="2"/>
      <c r="H174" s="2"/>
      <c r="I174" s="2"/>
      <c r="J174" s="2"/>
      <c r="K174" s="2"/>
      <c r="L174" s="2"/>
      <c r="M174" s="2"/>
      <c r="N174" s="2"/>
      <c r="O174" s="2"/>
      <c r="P174" s="2"/>
      <c r="Q174" s="2"/>
      <c r="R174" s="2"/>
      <c r="S174" s="2"/>
      <c r="T174" s="2"/>
      <c r="U174" s="2"/>
      <c r="V174" s="2"/>
      <c r="W174" s="2"/>
      <c r="X174" s="2"/>
      <c r="Y174" s="2"/>
      <c r="Z174" s="2"/>
    </row>
    <row r="175" ht="15.75" customHeight="1">
      <c r="A175" s="225"/>
      <c r="B175" s="211"/>
      <c r="C175" s="211"/>
      <c r="D175" s="211"/>
      <c r="E175" s="211"/>
      <c r="F175" s="2"/>
      <c r="G175" s="2"/>
      <c r="H175" s="2"/>
      <c r="I175" s="2"/>
      <c r="J175" s="2"/>
      <c r="K175" s="2"/>
      <c r="L175" s="2"/>
      <c r="M175" s="2"/>
      <c r="N175" s="2"/>
      <c r="O175" s="2"/>
      <c r="P175" s="2"/>
      <c r="Q175" s="2"/>
      <c r="R175" s="2"/>
      <c r="S175" s="2"/>
      <c r="T175" s="2"/>
      <c r="U175" s="2"/>
      <c r="V175" s="2"/>
      <c r="W175" s="2"/>
      <c r="X175" s="2"/>
      <c r="Y175" s="2"/>
      <c r="Z175" s="2"/>
    </row>
    <row r="176" ht="15.75" customHeight="1">
      <c r="A176" s="225"/>
      <c r="B176" s="211"/>
      <c r="C176" s="211"/>
      <c r="D176" s="211"/>
      <c r="E176" s="211"/>
      <c r="F176" s="2"/>
      <c r="G176" s="2"/>
      <c r="H176" s="2"/>
      <c r="I176" s="2"/>
      <c r="J176" s="2"/>
      <c r="K176" s="2"/>
      <c r="L176" s="2"/>
      <c r="M176" s="2"/>
      <c r="N176" s="2"/>
      <c r="O176" s="2"/>
      <c r="P176" s="2"/>
      <c r="Q176" s="2"/>
      <c r="R176" s="2"/>
      <c r="S176" s="2"/>
      <c r="T176" s="2"/>
      <c r="U176" s="2"/>
      <c r="V176" s="2"/>
      <c r="W176" s="2"/>
      <c r="X176" s="2"/>
      <c r="Y176" s="2"/>
      <c r="Z176" s="2"/>
    </row>
    <row r="177" ht="15.75" customHeight="1">
      <c r="A177" s="225"/>
      <c r="B177" s="211"/>
      <c r="C177" s="211"/>
      <c r="D177" s="211"/>
      <c r="E177" s="211"/>
      <c r="F177" s="2"/>
      <c r="G177" s="2"/>
      <c r="H177" s="2"/>
      <c r="I177" s="2"/>
      <c r="J177" s="2"/>
      <c r="K177" s="2"/>
      <c r="L177" s="2"/>
      <c r="M177" s="2"/>
      <c r="N177" s="2"/>
      <c r="O177" s="2"/>
      <c r="P177" s="2"/>
      <c r="Q177" s="2"/>
      <c r="R177" s="2"/>
      <c r="S177" s="2"/>
      <c r="T177" s="2"/>
      <c r="U177" s="2"/>
      <c r="V177" s="2"/>
      <c r="W177" s="2"/>
      <c r="X177" s="2"/>
      <c r="Y177" s="2"/>
      <c r="Z177" s="2"/>
    </row>
    <row r="178" ht="15.75" customHeight="1">
      <c r="A178" s="225"/>
      <c r="B178" s="211"/>
      <c r="C178" s="211"/>
      <c r="D178" s="211"/>
      <c r="E178" s="211"/>
      <c r="F178" s="2"/>
      <c r="G178" s="2"/>
      <c r="H178" s="2"/>
      <c r="I178" s="2"/>
      <c r="J178" s="2"/>
      <c r="K178" s="2"/>
      <c r="L178" s="2"/>
      <c r="M178" s="2"/>
      <c r="N178" s="2"/>
      <c r="O178" s="2"/>
      <c r="P178" s="2"/>
      <c r="Q178" s="2"/>
      <c r="R178" s="2"/>
      <c r="S178" s="2"/>
      <c r="T178" s="2"/>
      <c r="U178" s="2"/>
      <c r="V178" s="2"/>
      <c r="W178" s="2"/>
      <c r="X178" s="2"/>
      <c r="Y178" s="2"/>
      <c r="Z178" s="2"/>
    </row>
    <row r="179" ht="15.75" customHeight="1">
      <c r="A179" s="225"/>
      <c r="B179" s="211"/>
      <c r="C179" s="211"/>
      <c r="D179" s="211"/>
      <c r="E179" s="211"/>
      <c r="F179" s="2"/>
      <c r="G179" s="2"/>
      <c r="H179" s="2"/>
      <c r="I179" s="2"/>
      <c r="J179" s="2"/>
      <c r="K179" s="2"/>
      <c r="L179" s="2"/>
      <c r="M179" s="2"/>
      <c r="N179" s="2"/>
      <c r="O179" s="2"/>
      <c r="P179" s="2"/>
      <c r="Q179" s="2"/>
      <c r="R179" s="2"/>
      <c r="S179" s="2"/>
      <c r="T179" s="2"/>
      <c r="U179" s="2"/>
      <c r="V179" s="2"/>
      <c r="W179" s="2"/>
      <c r="X179" s="2"/>
      <c r="Y179" s="2"/>
      <c r="Z179" s="2"/>
    </row>
    <row r="180" ht="15.75" customHeight="1">
      <c r="A180" s="225"/>
      <c r="B180" s="211"/>
      <c r="C180" s="211"/>
      <c r="D180" s="211"/>
      <c r="E180" s="211"/>
      <c r="F180" s="2"/>
      <c r="G180" s="2"/>
      <c r="H180" s="2"/>
      <c r="I180" s="2"/>
      <c r="J180" s="2"/>
      <c r="K180" s="2"/>
      <c r="L180" s="2"/>
      <c r="M180" s="2"/>
      <c r="N180" s="2"/>
      <c r="O180" s="2"/>
      <c r="P180" s="2"/>
      <c r="Q180" s="2"/>
      <c r="R180" s="2"/>
      <c r="S180" s="2"/>
      <c r="T180" s="2"/>
      <c r="U180" s="2"/>
      <c r="V180" s="2"/>
      <c r="W180" s="2"/>
      <c r="X180" s="2"/>
      <c r="Y180" s="2"/>
      <c r="Z180" s="2"/>
    </row>
    <row r="181" ht="15.75" customHeight="1">
      <c r="A181" s="225"/>
      <c r="B181" s="211"/>
      <c r="C181" s="211"/>
      <c r="D181" s="211"/>
      <c r="E181" s="211"/>
      <c r="F181" s="2"/>
      <c r="G181" s="2"/>
      <c r="H181" s="2"/>
      <c r="I181" s="2"/>
      <c r="J181" s="2"/>
      <c r="K181" s="2"/>
      <c r="L181" s="2"/>
      <c r="M181" s="2"/>
      <c r="N181" s="2"/>
      <c r="O181" s="2"/>
      <c r="P181" s="2"/>
      <c r="Q181" s="2"/>
      <c r="R181" s="2"/>
      <c r="S181" s="2"/>
      <c r="T181" s="2"/>
      <c r="U181" s="2"/>
      <c r="V181" s="2"/>
      <c r="W181" s="2"/>
      <c r="X181" s="2"/>
      <c r="Y181" s="2"/>
      <c r="Z181" s="2"/>
    </row>
    <row r="182" ht="15.75" customHeight="1">
      <c r="A182" s="225"/>
      <c r="B182" s="211"/>
      <c r="C182" s="211"/>
      <c r="D182" s="211"/>
      <c r="E182" s="211"/>
      <c r="F182" s="2"/>
      <c r="G182" s="2"/>
      <c r="H182" s="2"/>
      <c r="I182" s="2"/>
      <c r="J182" s="2"/>
      <c r="K182" s="2"/>
      <c r="L182" s="2"/>
      <c r="M182" s="2"/>
      <c r="N182" s="2"/>
      <c r="O182" s="2"/>
      <c r="P182" s="2"/>
      <c r="Q182" s="2"/>
      <c r="R182" s="2"/>
      <c r="S182" s="2"/>
      <c r="T182" s="2"/>
      <c r="U182" s="2"/>
      <c r="V182" s="2"/>
      <c r="W182" s="2"/>
      <c r="X182" s="2"/>
      <c r="Y182" s="2"/>
      <c r="Z182" s="2"/>
    </row>
    <row r="183" ht="15.75" customHeight="1">
      <c r="A183" s="225"/>
      <c r="B183" s="211"/>
      <c r="C183" s="211"/>
      <c r="D183" s="211"/>
      <c r="E183" s="211"/>
      <c r="F183" s="2"/>
      <c r="G183" s="2"/>
      <c r="H183" s="2"/>
      <c r="I183" s="2"/>
      <c r="J183" s="2"/>
      <c r="K183" s="2"/>
      <c r="L183" s="2"/>
      <c r="M183" s="2"/>
      <c r="N183" s="2"/>
      <c r="O183" s="2"/>
      <c r="P183" s="2"/>
      <c r="Q183" s="2"/>
      <c r="R183" s="2"/>
      <c r="S183" s="2"/>
      <c r="T183" s="2"/>
      <c r="U183" s="2"/>
      <c r="V183" s="2"/>
      <c r="W183" s="2"/>
      <c r="X183" s="2"/>
      <c r="Y183" s="2"/>
      <c r="Z183" s="2"/>
    </row>
    <row r="184" ht="15.75" customHeight="1">
      <c r="A184" s="225"/>
      <c r="B184" s="211"/>
      <c r="C184" s="211"/>
      <c r="D184" s="211"/>
      <c r="E184" s="211"/>
      <c r="F184" s="2"/>
      <c r="G184" s="2"/>
      <c r="H184" s="2"/>
      <c r="I184" s="2"/>
      <c r="J184" s="2"/>
      <c r="K184" s="2"/>
      <c r="L184" s="2"/>
      <c r="M184" s="2"/>
      <c r="N184" s="2"/>
      <c r="O184" s="2"/>
      <c r="P184" s="2"/>
      <c r="Q184" s="2"/>
      <c r="R184" s="2"/>
      <c r="S184" s="2"/>
      <c r="T184" s="2"/>
      <c r="U184" s="2"/>
      <c r="V184" s="2"/>
      <c r="W184" s="2"/>
      <c r="X184" s="2"/>
      <c r="Y184" s="2"/>
      <c r="Z184" s="2"/>
    </row>
    <row r="185" ht="15.75" customHeight="1">
      <c r="A185" s="225"/>
      <c r="B185" s="211"/>
      <c r="C185" s="211"/>
      <c r="D185" s="211"/>
      <c r="E185" s="211"/>
      <c r="F185" s="2"/>
      <c r="G185" s="2"/>
      <c r="H185" s="2"/>
      <c r="I185" s="2"/>
      <c r="J185" s="2"/>
      <c r="K185" s="2"/>
      <c r="L185" s="2"/>
      <c r="M185" s="2"/>
      <c r="N185" s="2"/>
      <c r="O185" s="2"/>
      <c r="P185" s="2"/>
      <c r="Q185" s="2"/>
      <c r="R185" s="2"/>
      <c r="S185" s="2"/>
      <c r="T185" s="2"/>
      <c r="U185" s="2"/>
      <c r="V185" s="2"/>
      <c r="W185" s="2"/>
      <c r="X185" s="2"/>
      <c r="Y185" s="2"/>
      <c r="Z185" s="2"/>
    </row>
    <row r="186" ht="15.75" customHeight="1">
      <c r="A186" s="157"/>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157"/>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157"/>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157"/>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157"/>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157"/>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157"/>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157"/>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157"/>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157"/>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157"/>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157"/>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157"/>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157"/>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157"/>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157"/>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157"/>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157"/>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157"/>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157"/>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157"/>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157"/>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157"/>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157"/>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157"/>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157"/>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157"/>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157"/>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157"/>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157"/>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157"/>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157"/>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157"/>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157"/>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157"/>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157"/>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157"/>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157"/>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157"/>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157"/>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157"/>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157"/>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157"/>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157"/>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157"/>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157"/>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157"/>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157"/>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157"/>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157"/>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157"/>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157"/>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157"/>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157"/>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157"/>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157"/>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157"/>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157"/>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157"/>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157"/>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157"/>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157"/>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157"/>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157"/>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157"/>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157"/>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157"/>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157"/>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157"/>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157"/>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157"/>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157"/>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157"/>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157"/>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157"/>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157"/>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157"/>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157"/>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157"/>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157"/>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157"/>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157"/>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157"/>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157"/>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157"/>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157"/>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157"/>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157"/>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157"/>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157"/>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157"/>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157"/>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157"/>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157"/>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157"/>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157"/>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157"/>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157"/>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157"/>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157"/>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157"/>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157"/>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157"/>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157"/>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157"/>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157"/>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157"/>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157"/>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157"/>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157"/>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157"/>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157"/>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157"/>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157"/>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157"/>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157"/>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157"/>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157"/>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157"/>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157"/>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157"/>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157"/>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157"/>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157"/>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157"/>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157"/>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157"/>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157"/>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157"/>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157"/>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157"/>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157"/>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157"/>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157"/>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157"/>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157"/>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157"/>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157"/>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157"/>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157"/>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157"/>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157"/>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157"/>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157"/>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157"/>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157"/>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157"/>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157"/>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157"/>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157"/>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157"/>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157"/>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157"/>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157"/>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157"/>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157"/>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157"/>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157"/>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157"/>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157"/>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157"/>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157"/>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157"/>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157"/>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157"/>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157"/>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157"/>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157"/>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157"/>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157"/>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157"/>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157"/>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157"/>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157"/>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157"/>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157"/>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157"/>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157"/>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157"/>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157"/>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157"/>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157"/>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157"/>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157"/>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157"/>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157"/>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157"/>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157"/>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157"/>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157"/>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157"/>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157"/>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157"/>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157"/>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157"/>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157"/>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157"/>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157"/>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157"/>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157"/>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157"/>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157"/>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157"/>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157"/>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157"/>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157"/>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157"/>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157"/>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157"/>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157"/>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157"/>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157"/>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157"/>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157"/>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157"/>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157"/>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157"/>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157"/>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157"/>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157"/>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157"/>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157"/>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157"/>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157"/>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157"/>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157"/>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157"/>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157"/>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157"/>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157"/>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157"/>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157"/>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157"/>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157"/>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157"/>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157"/>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157"/>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157"/>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157"/>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157"/>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157"/>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157"/>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157"/>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157"/>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157"/>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157"/>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157"/>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157"/>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157"/>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157"/>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157"/>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157"/>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157"/>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157"/>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157"/>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157"/>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157"/>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157"/>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157"/>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157"/>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157"/>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157"/>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157"/>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157"/>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157"/>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157"/>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157"/>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157"/>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157"/>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157"/>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157"/>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157"/>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157"/>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157"/>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157"/>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157"/>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157"/>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157"/>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157"/>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157"/>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157"/>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157"/>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157"/>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157"/>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157"/>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157"/>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157"/>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157"/>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157"/>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157"/>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157"/>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157"/>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157"/>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157"/>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157"/>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157"/>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157"/>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157"/>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157"/>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157"/>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157"/>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157"/>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157"/>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157"/>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157"/>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157"/>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157"/>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157"/>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157"/>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157"/>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157"/>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157"/>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157"/>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157"/>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157"/>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157"/>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157"/>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157"/>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157"/>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157"/>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157"/>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157"/>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157"/>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157"/>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157"/>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157"/>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157"/>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157"/>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157"/>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157"/>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157"/>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157"/>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157"/>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157"/>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157"/>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157"/>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157"/>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157"/>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157"/>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157"/>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157"/>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157"/>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157"/>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157"/>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157"/>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157"/>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157"/>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157"/>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157"/>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157"/>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157"/>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157"/>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157"/>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157"/>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157"/>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157"/>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157"/>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157"/>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157"/>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157"/>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157"/>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157"/>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157"/>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157"/>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157"/>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157"/>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157"/>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157"/>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157"/>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157"/>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157"/>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157"/>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157"/>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157"/>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157"/>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157"/>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157"/>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157"/>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157"/>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157"/>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157"/>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157"/>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157"/>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157"/>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157"/>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157"/>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157"/>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157"/>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157"/>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157"/>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157"/>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157"/>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157"/>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157"/>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157"/>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157"/>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157"/>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157"/>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157"/>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157"/>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157"/>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157"/>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157"/>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157"/>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157"/>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157"/>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157"/>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157"/>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157"/>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157"/>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157"/>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157"/>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157"/>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157"/>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157"/>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157"/>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157"/>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157"/>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157"/>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157"/>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157"/>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157"/>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157"/>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157"/>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157"/>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157"/>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157"/>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157"/>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157"/>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157"/>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157"/>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157"/>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157"/>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157"/>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157"/>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157"/>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157"/>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157"/>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157"/>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157"/>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157"/>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157"/>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157"/>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157"/>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157"/>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157"/>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157"/>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157"/>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157"/>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157"/>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157"/>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157"/>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157"/>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157"/>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157"/>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157"/>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157"/>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157"/>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157"/>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157"/>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157"/>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157"/>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157"/>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157"/>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157"/>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157"/>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157"/>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157"/>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157"/>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157"/>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157"/>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157"/>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157"/>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157"/>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157"/>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157"/>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157"/>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157"/>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157"/>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157"/>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157"/>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157"/>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157"/>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157"/>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157"/>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157"/>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157"/>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157"/>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157"/>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157"/>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157"/>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157"/>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157"/>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157"/>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157"/>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157"/>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157"/>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157"/>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157"/>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157"/>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157"/>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157"/>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157"/>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157"/>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157"/>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157"/>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157"/>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157"/>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157"/>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157"/>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157"/>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157"/>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157"/>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157"/>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157"/>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157"/>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157"/>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157"/>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157"/>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157"/>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157"/>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157"/>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157"/>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157"/>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157"/>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157"/>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157"/>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157"/>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157"/>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157"/>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157"/>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157"/>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157"/>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157"/>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157"/>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157"/>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157"/>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157"/>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157"/>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157"/>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157"/>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157"/>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157"/>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157"/>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157"/>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157"/>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157"/>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157"/>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157"/>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157"/>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157"/>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157"/>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157"/>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157"/>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157"/>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157"/>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157"/>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157"/>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157"/>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157"/>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157"/>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157"/>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157"/>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157"/>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157"/>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157"/>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157"/>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157"/>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157"/>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157"/>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157"/>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157"/>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157"/>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157"/>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157"/>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157"/>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157"/>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157"/>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157"/>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157"/>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157"/>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157"/>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157"/>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157"/>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157"/>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157"/>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157"/>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157"/>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157"/>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157"/>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157"/>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157"/>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157"/>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157"/>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157"/>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157"/>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157"/>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157"/>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157"/>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157"/>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157"/>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157"/>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157"/>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157"/>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157"/>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157"/>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157"/>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157"/>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157"/>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157"/>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157"/>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157"/>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157"/>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157"/>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157"/>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157"/>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157"/>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157"/>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157"/>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157"/>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157"/>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157"/>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157"/>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157"/>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157"/>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157"/>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157"/>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157"/>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157"/>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157"/>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157"/>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157"/>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157"/>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157"/>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157"/>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157"/>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157"/>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157"/>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157"/>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157"/>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157"/>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157"/>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157"/>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157"/>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157"/>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157"/>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157"/>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157"/>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157"/>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157"/>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157"/>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157"/>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157"/>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157"/>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157"/>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157"/>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157"/>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157"/>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157"/>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157"/>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157"/>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157"/>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157"/>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157"/>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157"/>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157"/>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157"/>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157"/>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157"/>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157"/>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157"/>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157"/>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157"/>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157"/>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157"/>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157"/>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157"/>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157"/>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157"/>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157"/>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157"/>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157"/>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157"/>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157"/>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157"/>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157"/>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157"/>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157"/>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157"/>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157"/>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157"/>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157"/>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157"/>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157"/>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157"/>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157"/>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157"/>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157"/>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157"/>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157"/>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157"/>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157"/>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157"/>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157"/>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157"/>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157"/>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157"/>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157"/>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157"/>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157"/>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157"/>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157"/>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157"/>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157"/>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157"/>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157"/>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157"/>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157"/>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157"/>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157"/>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157"/>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157"/>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157"/>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157"/>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157"/>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157"/>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157"/>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157"/>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157"/>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157"/>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157"/>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157"/>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157"/>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157"/>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157"/>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157"/>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157"/>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157"/>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157"/>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157"/>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157"/>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157"/>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157"/>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157"/>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157"/>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157"/>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157"/>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157"/>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157"/>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157"/>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157"/>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157"/>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157"/>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157"/>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157"/>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157"/>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157"/>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157"/>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157"/>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157"/>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157"/>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157"/>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157"/>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157"/>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157"/>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157"/>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157"/>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157"/>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157"/>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157"/>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157"/>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157"/>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157"/>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157"/>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157"/>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157"/>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157"/>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157"/>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157"/>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157"/>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157"/>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157"/>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157"/>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157"/>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157"/>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157"/>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157"/>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157"/>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157"/>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157"/>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157"/>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157"/>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157"/>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157"/>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157"/>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157"/>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157"/>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157"/>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157"/>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157"/>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157"/>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157"/>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157"/>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157"/>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157"/>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157"/>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157"/>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157"/>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157"/>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157"/>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157"/>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157"/>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157"/>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157"/>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157"/>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D2:E2"/>
    <mergeCell ref="D6:E6"/>
    <mergeCell ref="D8:E8"/>
  </mergeCells>
  <conditionalFormatting sqref="C136">
    <cfRule type="expression" dxfId="4" priority="1">
      <formula>$C$136&lt;=0</formula>
    </cfRule>
  </conditionalFormatting>
  <printOptions/>
  <pageMargins bottom="0.75" footer="0.0" header="0.0" left="0.7" right="0.7" top="0.75"/>
  <pageSetup orientation="portrait"/>
  <headerFooter>
    <oddHeader>&amp;L000000martes, 30 de julio de 2019&amp;R000000Cotización:	CM00016 C</oddHeader>
    <oddFooter>&amp;L000000Por favor verifique el total y las condiciones en la página &amp;R000000página &amp;P de </oddFooter>
  </headerFooter>
  <rowBreaks count="1" manualBreakCount="1">
    <brk id="140" man="1"/>
  </rowBreaks>
  <drawing r:id="rId2"/>
  <extLst>
    <ext uri="{3A4CF648-6AED-40f4-86FF-DC5316D8AED3}">
      <x14:slicerList>
        <x14:slicer r:id="rId3"/>
      </x14:slicerList>
    </ext>
  </extLst>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32.5"/>
    <col customWidth="1" min="3" max="3" width="22.88"/>
    <col customWidth="1" min="4" max="4" width="9.5"/>
    <col customWidth="1" min="5" max="5" width="19.5"/>
    <col customWidth="1" min="6" max="26" width="9.5"/>
  </cols>
  <sheetData>
    <row r="1">
      <c r="A1" s="2"/>
      <c r="B1" s="2"/>
      <c r="C1" s="2"/>
      <c r="D1" s="2"/>
      <c r="E1" s="2"/>
      <c r="F1" s="2"/>
      <c r="G1" s="2"/>
      <c r="H1" s="2"/>
      <c r="I1" s="2"/>
      <c r="J1" s="2"/>
      <c r="K1" s="2"/>
      <c r="L1" s="2"/>
      <c r="M1" s="2"/>
      <c r="N1" s="2"/>
      <c r="O1" s="2"/>
      <c r="P1" s="2"/>
      <c r="Q1" s="2"/>
      <c r="R1" s="2"/>
      <c r="S1" s="2"/>
      <c r="T1" s="2"/>
      <c r="U1" s="2"/>
      <c r="V1" s="2"/>
      <c r="W1" s="2"/>
      <c r="X1" s="2"/>
      <c r="Y1" s="2"/>
      <c r="Z1" s="2"/>
    </row>
    <row r="2">
      <c r="A2" s="2" t="s">
        <v>150</v>
      </c>
      <c r="B2" s="234">
        <f>'VEA CLIENTE'!K113+'VEA CLIENTE'!Z113+'VEA CLIENTE'!AJ113</f>
        <v>204833.78</v>
      </c>
      <c r="C2" s="2"/>
      <c r="D2" s="2"/>
      <c r="E2" s="2"/>
      <c r="F2" s="2"/>
      <c r="G2" s="2"/>
      <c r="H2" s="2"/>
      <c r="I2" s="2"/>
      <c r="J2" s="2"/>
      <c r="K2" s="2"/>
      <c r="L2" s="2"/>
      <c r="M2" s="2"/>
      <c r="N2" s="2"/>
      <c r="O2" s="2"/>
      <c r="P2" s="2"/>
      <c r="Q2" s="2"/>
      <c r="R2" s="2"/>
      <c r="S2" s="2"/>
      <c r="T2" s="2"/>
      <c r="U2" s="2"/>
      <c r="V2" s="2"/>
      <c r="W2" s="2"/>
      <c r="X2" s="2"/>
      <c r="Y2" s="2"/>
      <c r="Z2" s="2"/>
    </row>
    <row r="3">
      <c r="A3" s="2" t="s">
        <v>151</v>
      </c>
      <c r="B3" s="234">
        <f>'NO VEA CLIENTE'!K113+'NO VEA CLIENTE'!V113+'NO VEA CLIENTE'!AF113</f>
        <v>20525.73</v>
      </c>
      <c r="C3" s="2"/>
      <c r="D3" s="2"/>
      <c r="E3" s="2"/>
      <c r="F3" s="2"/>
      <c r="G3" s="2"/>
      <c r="H3" s="2"/>
      <c r="I3" s="2"/>
      <c r="J3" s="2"/>
      <c r="K3" s="2"/>
      <c r="L3" s="2"/>
      <c r="M3" s="2"/>
      <c r="N3" s="2"/>
      <c r="O3" s="2"/>
      <c r="P3" s="2"/>
      <c r="Q3" s="2"/>
      <c r="R3" s="2"/>
      <c r="S3" s="2"/>
      <c r="T3" s="2"/>
      <c r="U3" s="2"/>
      <c r="V3" s="2"/>
      <c r="W3" s="2"/>
      <c r="X3" s="2"/>
      <c r="Y3" s="2"/>
      <c r="Z3" s="2"/>
    </row>
    <row r="4">
      <c r="A4" s="102" t="s">
        <v>152</v>
      </c>
      <c r="B4" s="129">
        <f>SUM(B2:B3)</f>
        <v>225359.51</v>
      </c>
      <c r="C4" s="2"/>
      <c r="D4" s="102" t="s">
        <v>153</v>
      </c>
      <c r="E4" s="129">
        <f>'PR 100'!E43</f>
        <v>260760</v>
      </c>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37" t="s">
        <v>154</v>
      </c>
      <c r="B6" s="238">
        <f>E4-B4</f>
        <v>35400.49</v>
      </c>
      <c r="C6" s="239">
        <f>B6/E4</f>
        <v>0.1357588971</v>
      </c>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t="s">
        <v>155</v>
      </c>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63"/>
    <col customWidth="1" min="2" max="2" width="20.88"/>
    <col customWidth="1" min="3" max="3" width="48.88"/>
    <col customWidth="1" min="4" max="4" width="13.25"/>
    <col customWidth="1" min="5" max="5" width="11.63"/>
    <col customWidth="1" min="6" max="8" width="13.25"/>
    <col customWidth="1" min="9" max="9" width="6.0"/>
    <col customWidth="1" min="10" max="10" width="7.13"/>
    <col customWidth="1" min="11" max="11" width="19.88"/>
    <col customWidth="1" min="12" max="26" width="9.63"/>
  </cols>
  <sheetData>
    <row r="1">
      <c r="A1" s="2"/>
      <c r="B1" s="2"/>
      <c r="C1" s="2"/>
      <c r="D1" s="2"/>
      <c r="E1" s="2"/>
      <c r="F1" s="2"/>
      <c r="G1" s="2"/>
      <c r="H1" s="2"/>
      <c r="I1" s="2"/>
      <c r="J1" s="2"/>
      <c r="K1" s="2"/>
      <c r="L1" s="2"/>
      <c r="M1" s="2"/>
      <c r="N1" s="2"/>
      <c r="O1" s="2"/>
      <c r="P1" s="2"/>
      <c r="Q1" s="2"/>
      <c r="R1" s="2"/>
      <c r="S1" s="2"/>
      <c r="T1" s="2"/>
      <c r="U1" s="2"/>
      <c r="V1" s="2"/>
      <c r="W1" s="2"/>
      <c r="X1" s="2"/>
      <c r="Y1" s="2"/>
      <c r="Z1" s="2"/>
    </row>
    <row r="2">
      <c r="A2" s="2"/>
      <c r="B2" s="2" t="s">
        <v>153</v>
      </c>
      <c r="C2" s="2"/>
      <c r="D2" s="2"/>
      <c r="E2" s="2"/>
      <c r="F2" s="2"/>
      <c r="G2" s="240"/>
      <c r="H2" s="2"/>
      <c r="I2" s="2"/>
      <c r="J2" s="2"/>
      <c r="K2" s="2"/>
      <c r="L2" s="2"/>
      <c r="M2" s="2"/>
      <c r="N2" s="2"/>
      <c r="O2" s="2"/>
      <c r="P2" s="2"/>
      <c r="Q2" s="2"/>
      <c r="R2" s="2"/>
      <c r="S2" s="2"/>
      <c r="T2" s="2"/>
      <c r="U2" s="2"/>
      <c r="V2" s="2"/>
      <c r="W2" s="2"/>
      <c r="X2" s="2"/>
      <c r="Y2" s="2"/>
      <c r="Z2" s="2"/>
    </row>
    <row r="3">
      <c r="A3" s="2"/>
      <c r="B3" s="2" t="s">
        <v>156</v>
      </c>
      <c r="C3" s="2"/>
      <c r="D3" s="2"/>
      <c r="E3" s="2"/>
      <c r="F3" s="2"/>
      <c r="G3" s="2"/>
      <c r="H3" s="2"/>
      <c r="I3" s="2"/>
      <c r="J3" s="2"/>
      <c r="K3" s="2"/>
      <c r="L3" s="2"/>
      <c r="M3" s="2"/>
      <c r="N3" s="2"/>
      <c r="O3" s="2"/>
      <c r="P3" s="2"/>
      <c r="Q3" s="2"/>
      <c r="R3" s="2"/>
      <c r="S3" s="2"/>
      <c r="T3" s="2"/>
      <c r="U3" s="2"/>
      <c r="V3" s="2"/>
      <c r="W3" s="2"/>
      <c r="X3" s="2"/>
      <c r="Y3" s="2"/>
      <c r="Z3" s="2"/>
    </row>
    <row r="4">
      <c r="A4" s="2"/>
      <c r="B4" s="2" t="s">
        <v>157</v>
      </c>
      <c r="C4" s="2"/>
      <c r="D4" s="2"/>
      <c r="E4" s="2"/>
      <c r="F4" s="2"/>
      <c r="G4" s="2"/>
      <c r="H4" s="2"/>
      <c r="I4" s="2"/>
      <c r="J4" s="2"/>
      <c r="K4" s="2"/>
      <c r="L4" s="2"/>
      <c r="M4" s="2"/>
      <c r="N4" s="2"/>
      <c r="O4" s="2"/>
      <c r="P4" s="2"/>
      <c r="Q4" s="2"/>
      <c r="R4" s="2"/>
      <c r="S4" s="2"/>
      <c r="T4" s="2"/>
      <c r="U4" s="2"/>
      <c r="V4" s="2"/>
      <c r="W4" s="2"/>
      <c r="X4" s="2"/>
      <c r="Y4" s="2"/>
      <c r="Z4" s="2"/>
    </row>
    <row r="5">
      <c r="A5" s="2"/>
      <c r="B5" s="2" t="s">
        <v>158</v>
      </c>
      <c r="C5" s="2"/>
      <c r="D5" s="2"/>
      <c r="E5" s="2"/>
      <c r="F5" s="2"/>
      <c r="G5" s="2"/>
      <c r="H5" s="2"/>
      <c r="I5" s="2"/>
      <c r="J5" s="2"/>
      <c r="K5" s="2"/>
      <c r="L5" s="2"/>
      <c r="M5" s="2"/>
      <c r="N5" s="2"/>
      <c r="O5" s="2"/>
      <c r="P5" s="2"/>
      <c r="Q5" s="2"/>
      <c r="R5" s="2"/>
      <c r="S5" s="2"/>
      <c r="T5" s="2"/>
      <c r="U5" s="2"/>
      <c r="V5" s="2"/>
      <c r="W5" s="2"/>
      <c r="X5" s="2"/>
      <c r="Y5" s="2"/>
      <c r="Z5" s="2"/>
    </row>
    <row r="6">
      <c r="A6" s="2"/>
      <c r="B6" s="241">
        <f>'PR 100'!E45</f>
        <v>302481.6</v>
      </c>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42" t="s">
        <v>159</v>
      </c>
      <c r="B8" s="23"/>
      <c r="C8" s="23"/>
      <c r="D8" s="23"/>
      <c r="E8" s="23"/>
      <c r="F8" s="23"/>
      <c r="G8" s="23"/>
      <c r="H8" s="23"/>
      <c r="I8" s="23"/>
      <c r="J8" s="23"/>
      <c r="K8" s="23"/>
      <c r="L8" s="24"/>
      <c r="M8" s="2"/>
      <c r="N8" s="2"/>
      <c r="O8" s="2"/>
      <c r="P8" s="2"/>
      <c r="Q8" s="2"/>
      <c r="R8" s="2"/>
      <c r="S8" s="2"/>
      <c r="T8" s="2"/>
      <c r="U8" s="2"/>
      <c r="V8" s="2"/>
      <c r="W8" s="2"/>
      <c r="X8" s="2"/>
      <c r="Y8" s="2"/>
      <c r="Z8" s="2"/>
    </row>
    <row r="9">
      <c r="A9" s="243"/>
      <c r="B9" s="244" t="s">
        <v>160</v>
      </c>
      <c r="C9" s="244"/>
      <c r="D9" s="244" t="s">
        <v>161</v>
      </c>
      <c r="E9" s="244" t="s">
        <v>126</v>
      </c>
      <c r="F9" s="244" t="s">
        <v>127</v>
      </c>
      <c r="G9" s="244" t="s">
        <v>162</v>
      </c>
      <c r="H9" s="244" t="s">
        <v>163</v>
      </c>
      <c r="I9" s="244"/>
      <c r="J9" s="244"/>
      <c r="K9" s="245"/>
      <c r="L9" s="2"/>
      <c r="M9" s="2"/>
      <c r="N9" s="2"/>
      <c r="O9" s="2"/>
      <c r="P9" s="2"/>
      <c r="Q9" s="2"/>
      <c r="R9" s="2"/>
      <c r="S9" s="2"/>
      <c r="T9" s="2"/>
      <c r="U9" s="2"/>
      <c r="V9" s="2"/>
      <c r="W9" s="2"/>
      <c r="X9" s="2"/>
      <c r="Y9" s="2"/>
      <c r="Z9" s="2"/>
    </row>
    <row r="10">
      <c r="A10" s="246">
        <v>0.0379</v>
      </c>
      <c r="B10" s="247">
        <f>A10+B13</f>
        <v>0.038135</v>
      </c>
      <c r="C10" s="18">
        <f>$B$6/(1-B10)-$B$6</f>
        <v>11992.46861</v>
      </c>
      <c r="D10" s="244"/>
      <c r="E10" s="244"/>
      <c r="F10" s="244"/>
      <c r="G10" s="244"/>
      <c r="H10" s="244"/>
      <c r="I10" s="244"/>
      <c r="J10" s="244" t="s">
        <v>164</v>
      </c>
      <c r="K10" s="248"/>
      <c r="L10" s="2"/>
      <c r="M10" s="2"/>
      <c r="N10" s="2"/>
      <c r="O10" s="2"/>
      <c r="P10" s="2"/>
      <c r="Q10" s="2"/>
      <c r="R10" s="2"/>
      <c r="S10" s="2"/>
      <c r="T10" s="2"/>
      <c r="U10" s="2"/>
      <c r="V10" s="2"/>
      <c r="W10" s="2"/>
      <c r="X10" s="2"/>
      <c r="Y10" s="2"/>
      <c r="Z10" s="2"/>
    </row>
    <row r="11">
      <c r="A11" s="243">
        <v>4.0</v>
      </c>
      <c r="B11" s="249" t="s">
        <v>165</v>
      </c>
      <c r="C11" s="18"/>
      <c r="D11" s="244"/>
      <c r="E11" s="244"/>
      <c r="F11" s="244"/>
      <c r="G11" s="244"/>
      <c r="H11" s="244"/>
      <c r="I11" s="244"/>
      <c r="J11" s="250">
        <f>G12/(1+J12)</f>
        <v>302481.6</v>
      </c>
      <c r="K11" s="248">
        <f>G12</f>
        <v>316392.8636</v>
      </c>
      <c r="L11" s="2"/>
      <c r="M11" s="2"/>
      <c r="N11" s="2"/>
      <c r="O11" s="2"/>
      <c r="P11" s="2"/>
      <c r="Q11" s="2"/>
      <c r="R11" s="2"/>
      <c r="S11" s="2"/>
      <c r="T11" s="2"/>
      <c r="U11" s="2"/>
      <c r="V11" s="2"/>
      <c r="W11" s="2"/>
      <c r="X11" s="2"/>
      <c r="Y11" s="2"/>
      <c r="Z11" s="2"/>
    </row>
    <row r="12">
      <c r="A12" s="243"/>
      <c r="B12" s="249"/>
      <c r="C12" s="244"/>
      <c r="D12" s="18">
        <f>SUM(C10:C11)</f>
        <v>11992.46861</v>
      </c>
      <c r="E12" s="18">
        <f>D12*0.16</f>
        <v>1918.794977</v>
      </c>
      <c r="F12" s="18">
        <f>D12+E12</f>
        <v>13911.26358</v>
      </c>
      <c r="G12" s="18">
        <f>F12+$B$6</f>
        <v>316392.8636</v>
      </c>
      <c r="H12" s="244"/>
      <c r="I12" s="244"/>
      <c r="J12" s="244">
        <f>G12/B6-1</f>
        <v>0.04599044564</v>
      </c>
      <c r="K12" s="248">
        <f>K11*J5</f>
        <v>0</v>
      </c>
      <c r="L12" s="2"/>
      <c r="M12" s="2"/>
      <c r="N12" s="2"/>
      <c r="O12" s="2"/>
      <c r="P12" s="2"/>
      <c r="Q12" s="2"/>
      <c r="R12" s="2"/>
      <c r="S12" s="2"/>
      <c r="T12" s="2"/>
      <c r="U12" s="2"/>
      <c r="V12" s="2"/>
      <c r="W12" s="2"/>
      <c r="X12" s="2"/>
      <c r="Y12" s="2"/>
      <c r="Z12" s="2"/>
    </row>
    <row r="13">
      <c r="A13" s="243" t="s">
        <v>166</v>
      </c>
      <c r="B13" s="251">
        <v>2.35E-4</v>
      </c>
      <c r="C13" s="244"/>
      <c r="D13" s="244"/>
      <c r="E13" s="244"/>
      <c r="F13" s="244"/>
      <c r="G13" s="244"/>
      <c r="H13" s="244"/>
      <c r="I13" s="244"/>
      <c r="J13" s="244">
        <f>J12</f>
        <v>0.04599044564</v>
      </c>
      <c r="K13" s="248">
        <f>K11-K12</f>
        <v>316392.8636</v>
      </c>
      <c r="L13" s="2"/>
      <c r="M13" s="2"/>
      <c r="N13" s="2"/>
      <c r="O13" s="2"/>
      <c r="P13" s="2"/>
      <c r="Q13" s="2"/>
      <c r="R13" s="2"/>
      <c r="S13" s="2"/>
      <c r="T13" s="2"/>
      <c r="U13" s="2"/>
      <c r="V13" s="2"/>
      <c r="W13" s="2"/>
      <c r="X13" s="2"/>
      <c r="Y13" s="2"/>
      <c r="Z13" s="2"/>
    </row>
    <row r="14">
      <c r="A14" s="243"/>
      <c r="B14" s="251"/>
      <c r="C14" s="244"/>
      <c r="D14" s="244"/>
      <c r="E14" s="244"/>
      <c r="F14" s="244"/>
      <c r="G14" s="244"/>
      <c r="H14" s="244"/>
      <c r="I14" s="244"/>
      <c r="J14" s="244"/>
      <c r="K14" s="248"/>
      <c r="L14" s="2"/>
      <c r="M14" s="2"/>
      <c r="N14" s="2"/>
      <c r="O14" s="2"/>
      <c r="P14" s="2"/>
      <c r="Q14" s="2"/>
      <c r="R14" s="2"/>
      <c r="S14" s="2"/>
      <c r="T14" s="2"/>
      <c r="U14" s="2"/>
      <c r="V14" s="2"/>
      <c r="W14" s="2"/>
      <c r="X14" s="2"/>
      <c r="Y14" s="2"/>
      <c r="Z14" s="2"/>
    </row>
    <row r="15">
      <c r="A15" s="243"/>
      <c r="B15" s="244"/>
      <c r="C15" s="244"/>
      <c r="D15" s="244"/>
      <c r="E15" s="244"/>
      <c r="F15" s="244"/>
      <c r="G15" s="252" t="s">
        <v>167</v>
      </c>
      <c r="H15" s="244"/>
      <c r="I15" s="244"/>
      <c r="J15" s="244"/>
      <c r="K15" s="245"/>
      <c r="L15" s="2"/>
      <c r="M15" s="2"/>
      <c r="N15" s="2"/>
      <c r="O15" s="2"/>
      <c r="P15" s="2"/>
      <c r="Q15" s="2"/>
      <c r="R15" s="2"/>
      <c r="S15" s="2"/>
      <c r="T15" s="2"/>
      <c r="U15" s="2"/>
      <c r="V15" s="2"/>
      <c r="W15" s="2"/>
      <c r="X15" s="2"/>
      <c r="Y15" s="2"/>
      <c r="Z15" s="2"/>
    </row>
    <row r="16">
      <c r="A16" s="243"/>
      <c r="B16" s="253" t="s">
        <v>168</v>
      </c>
      <c r="C16" s="244"/>
      <c r="D16" s="244"/>
      <c r="E16" s="244"/>
      <c r="F16" s="244"/>
      <c r="G16" s="254" t="s">
        <v>169</v>
      </c>
      <c r="H16" s="244"/>
      <c r="I16" s="244"/>
      <c r="J16" s="244"/>
      <c r="K16" s="245"/>
      <c r="L16" s="2"/>
      <c r="M16" s="2"/>
      <c r="N16" s="2"/>
      <c r="O16" s="2"/>
      <c r="P16" s="2"/>
      <c r="Q16" s="2"/>
      <c r="R16" s="2"/>
      <c r="S16" s="2"/>
      <c r="T16" s="2"/>
      <c r="U16" s="2"/>
      <c r="V16" s="2"/>
      <c r="W16" s="2"/>
      <c r="X16" s="2"/>
      <c r="Y16" s="2"/>
      <c r="Z16" s="2"/>
    </row>
    <row r="17">
      <c r="A17" s="255" t="s">
        <v>170</v>
      </c>
      <c r="B17" s="256">
        <v>0.0</v>
      </c>
      <c r="C17" s="257"/>
      <c r="D17" s="258">
        <f t="shared" ref="D17:E17" si="1">D12</f>
        <v>11992.46861</v>
      </c>
      <c r="E17" s="258">
        <f t="shared" si="1"/>
        <v>1918.794977</v>
      </c>
      <c r="F17" s="258">
        <f>ROUNDUP(G12,0)</f>
        <v>316393</v>
      </c>
      <c r="G17" s="259">
        <f t="shared" ref="G17:G23" si="2">(F17/F$17)-1</f>
        <v>0</v>
      </c>
      <c r="H17" s="244"/>
      <c r="I17" s="244"/>
      <c r="J17" s="244"/>
      <c r="K17" s="260" t="s">
        <v>171</v>
      </c>
      <c r="L17" s="261"/>
      <c r="M17" s="2"/>
      <c r="N17" s="2"/>
      <c r="O17" s="2"/>
      <c r="P17" s="2"/>
      <c r="Q17" s="2"/>
      <c r="R17" s="2"/>
      <c r="S17" s="2"/>
      <c r="T17" s="2"/>
      <c r="U17" s="2"/>
      <c r="V17" s="2"/>
      <c r="W17" s="2"/>
      <c r="X17" s="2"/>
      <c r="Y17" s="2"/>
      <c r="Z17" s="2"/>
    </row>
    <row r="18" ht="15.0" customHeight="1">
      <c r="A18" s="262" t="s">
        <v>172</v>
      </c>
      <c r="B18" s="263">
        <v>3.0</v>
      </c>
      <c r="C18" s="264">
        <f t="shared" ref="C18:C23" si="3">H18+K18</f>
        <v>0.047321</v>
      </c>
      <c r="D18" s="265">
        <f t="shared" ref="D18:D23" si="4">G$12/(1-C18)-G$12</f>
        <v>15715.7098</v>
      </c>
      <c r="E18" s="265">
        <f t="shared" ref="E18:E23" si="5">D18*0.16</f>
        <v>2514.513568</v>
      </c>
      <c r="F18" s="265">
        <f t="shared" ref="F18:F23" si="6">ROUNDUP(G$12+D18+E18,0)</f>
        <v>334624</v>
      </c>
      <c r="G18" s="266">
        <f t="shared" si="2"/>
        <v>0.05762137595</v>
      </c>
      <c r="H18" s="267">
        <v>0.0449</v>
      </c>
      <c r="I18" s="268"/>
      <c r="J18" s="269">
        <f t="shared" ref="J18:J23" si="7">F18/$B$6-1</f>
        <v>0.1062623313</v>
      </c>
      <c r="K18" s="270">
        <v>0.002421</v>
      </c>
      <c r="L18" s="261"/>
      <c r="M18" s="2"/>
      <c r="N18" s="2"/>
      <c r="O18" s="2"/>
      <c r="P18" s="2"/>
      <c r="Q18" s="2"/>
      <c r="R18" s="2"/>
      <c r="S18" s="2"/>
      <c r="T18" s="2"/>
      <c r="U18" s="2"/>
      <c r="V18" s="2"/>
      <c r="W18" s="2"/>
      <c r="X18" s="2"/>
      <c r="Y18" s="2"/>
      <c r="Z18" s="2"/>
    </row>
    <row r="19" ht="15.0" customHeight="1">
      <c r="A19" s="271"/>
      <c r="B19" s="272">
        <v>6.0</v>
      </c>
      <c r="C19" s="273">
        <f t="shared" si="3"/>
        <v>0.07398</v>
      </c>
      <c r="D19" s="18">
        <f t="shared" si="4"/>
        <v>25276.71546</v>
      </c>
      <c r="E19" s="18">
        <f t="shared" si="5"/>
        <v>4044.274473</v>
      </c>
      <c r="F19" s="18">
        <f t="shared" si="6"/>
        <v>345714</v>
      </c>
      <c r="G19" s="274">
        <f t="shared" si="2"/>
        <v>0.09267272032</v>
      </c>
      <c r="H19" s="275">
        <v>0.0699</v>
      </c>
      <c r="I19" s="261"/>
      <c r="J19" s="276">
        <f t="shared" si="7"/>
        <v>0.1429257185</v>
      </c>
      <c r="K19" s="277">
        <v>0.00408</v>
      </c>
      <c r="L19" s="261"/>
      <c r="M19" s="2"/>
      <c r="N19" s="2"/>
      <c r="O19" s="2"/>
      <c r="P19" s="2"/>
      <c r="Q19" s="2"/>
      <c r="R19" s="2"/>
      <c r="S19" s="2"/>
      <c r="T19" s="2"/>
      <c r="U19" s="2"/>
      <c r="V19" s="2"/>
      <c r="W19" s="2"/>
      <c r="X19" s="2"/>
      <c r="Y19" s="2"/>
      <c r="Z19" s="2"/>
    </row>
    <row r="20" ht="15.0" customHeight="1">
      <c r="A20" s="271"/>
      <c r="B20" s="272">
        <v>9.0</v>
      </c>
      <c r="C20" s="273">
        <f t="shared" si="3"/>
        <v>0.106271</v>
      </c>
      <c r="D20" s="18">
        <f t="shared" si="4"/>
        <v>37621.45573</v>
      </c>
      <c r="E20" s="18">
        <f t="shared" si="5"/>
        <v>6019.432916</v>
      </c>
      <c r="F20" s="18">
        <f t="shared" si="6"/>
        <v>360034</v>
      </c>
      <c r="G20" s="274">
        <f t="shared" si="2"/>
        <v>0.1379328873</v>
      </c>
      <c r="H20" s="275">
        <v>0.0999</v>
      </c>
      <c r="I20" s="261"/>
      <c r="J20" s="276">
        <f t="shared" si="7"/>
        <v>0.1902674411</v>
      </c>
      <c r="K20" s="277">
        <v>0.006371</v>
      </c>
      <c r="L20" s="261"/>
      <c r="M20" s="2"/>
      <c r="N20" s="2"/>
      <c r="O20" s="2"/>
      <c r="P20" s="2"/>
      <c r="Q20" s="2"/>
      <c r="R20" s="2"/>
      <c r="S20" s="2"/>
      <c r="T20" s="2"/>
      <c r="U20" s="2"/>
      <c r="V20" s="2"/>
      <c r="W20" s="2"/>
      <c r="X20" s="2"/>
      <c r="Y20" s="2"/>
      <c r="Z20" s="2"/>
    </row>
    <row r="21" ht="15.0" customHeight="1">
      <c r="A21" s="278"/>
      <c r="B21" s="279">
        <v>12.0</v>
      </c>
      <c r="C21" s="280">
        <f t="shared" si="3"/>
        <v>0.138893</v>
      </c>
      <c r="D21" s="281">
        <f t="shared" si="4"/>
        <v>51032.86119</v>
      </c>
      <c r="E21" s="281">
        <f t="shared" si="5"/>
        <v>8165.257791</v>
      </c>
      <c r="F21" s="281">
        <f t="shared" si="6"/>
        <v>375591</v>
      </c>
      <c r="G21" s="282">
        <f t="shared" si="2"/>
        <v>0.1871027488</v>
      </c>
      <c r="H21" s="283">
        <v>0.1299</v>
      </c>
      <c r="I21" s="284"/>
      <c r="J21" s="285">
        <f t="shared" si="7"/>
        <v>0.2416986686</v>
      </c>
      <c r="K21" s="286">
        <v>0.008993</v>
      </c>
      <c r="L21" s="2"/>
      <c r="M21" s="2"/>
      <c r="N21" s="2"/>
      <c r="O21" s="2"/>
      <c r="P21" s="2"/>
      <c r="Q21" s="2"/>
      <c r="R21" s="2"/>
      <c r="S21" s="2"/>
      <c r="T21" s="2"/>
      <c r="U21" s="2"/>
      <c r="V21" s="2"/>
      <c r="W21" s="2"/>
      <c r="X21" s="2"/>
      <c r="Y21" s="2"/>
      <c r="Z21" s="2"/>
    </row>
    <row r="22" ht="15.75" customHeight="1">
      <c r="A22" s="243"/>
      <c r="B22" s="253">
        <v>18.0</v>
      </c>
      <c r="C22" s="280">
        <f t="shared" si="3"/>
        <v>0.190791</v>
      </c>
      <c r="D22" s="281">
        <f t="shared" si="4"/>
        <v>74597.42889</v>
      </c>
      <c r="E22" s="281">
        <f t="shared" si="5"/>
        <v>11935.58862</v>
      </c>
      <c r="F22" s="281">
        <f t="shared" si="6"/>
        <v>402926</v>
      </c>
      <c r="G22" s="282">
        <f t="shared" si="2"/>
        <v>0.2734984655</v>
      </c>
      <c r="H22" s="283">
        <v>0.177</v>
      </c>
      <c r="I22" s="284"/>
      <c r="J22" s="285">
        <f t="shared" si="7"/>
        <v>0.3320678018</v>
      </c>
      <c r="K22" s="286">
        <v>0.013791</v>
      </c>
      <c r="L22" s="2"/>
      <c r="M22" s="2"/>
      <c r="N22" s="2"/>
      <c r="O22" s="2"/>
      <c r="P22" s="2"/>
      <c r="Q22" s="2"/>
      <c r="R22" s="2"/>
      <c r="S22" s="2"/>
      <c r="T22" s="2"/>
      <c r="U22" s="2"/>
      <c r="V22" s="2"/>
      <c r="W22" s="2"/>
      <c r="X22" s="2"/>
      <c r="Y22" s="2"/>
      <c r="Z22" s="2"/>
    </row>
    <row r="23" ht="15.75" customHeight="1">
      <c r="A23" s="243"/>
      <c r="B23" s="253">
        <v>24.0</v>
      </c>
      <c r="C23" s="280">
        <f t="shared" si="3"/>
        <v>0.26609</v>
      </c>
      <c r="D23" s="281">
        <f t="shared" si="4"/>
        <v>114712.9445</v>
      </c>
      <c r="E23" s="281">
        <f t="shared" si="5"/>
        <v>18354.07111</v>
      </c>
      <c r="F23" s="281">
        <f t="shared" si="6"/>
        <v>449460</v>
      </c>
      <c r="G23" s="282">
        <f t="shared" si="2"/>
        <v>0.4205750443</v>
      </c>
      <c r="H23" s="283">
        <v>0.244</v>
      </c>
      <c r="I23" s="284"/>
      <c r="J23" s="285">
        <f t="shared" si="7"/>
        <v>0.4859085644</v>
      </c>
      <c r="K23" s="286">
        <v>0.02209</v>
      </c>
      <c r="L23" s="2"/>
      <c r="M23" s="2"/>
      <c r="N23" s="2"/>
      <c r="O23" s="2"/>
      <c r="P23" s="2"/>
      <c r="Q23" s="2"/>
      <c r="R23" s="2"/>
      <c r="S23" s="2"/>
      <c r="T23" s="2"/>
      <c r="U23" s="2"/>
      <c r="V23" s="2"/>
      <c r="W23" s="2"/>
      <c r="X23" s="2"/>
      <c r="Y23" s="2"/>
      <c r="Z23" s="2"/>
    </row>
    <row r="24" ht="15.75" customHeight="1">
      <c r="A24" s="287"/>
      <c r="B24" s="2"/>
      <c r="C24" s="2"/>
      <c r="D24" s="2"/>
      <c r="E24" s="2"/>
      <c r="F24" s="2"/>
      <c r="G24" s="2"/>
      <c r="H24" s="2"/>
      <c r="I24" s="2"/>
      <c r="J24" s="2"/>
      <c r="K24" s="288"/>
      <c r="L24" s="2"/>
      <c r="M24" s="2"/>
      <c r="N24" s="2"/>
      <c r="O24" s="2"/>
      <c r="P24" s="2"/>
      <c r="Q24" s="2"/>
      <c r="R24" s="2"/>
      <c r="S24" s="2"/>
      <c r="T24" s="2"/>
      <c r="U24" s="2"/>
      <c r="V24" s="2"/>
      <c r="W24" s="2"/>
      <c r="X24" s="2"/>
      <c r="Y24" s="2"/>
      <c r="Z24" s="2"/>
    </row>
    <row r="25" ht="15.75" customHeight="1">
      <c r="A25" s="287"/>
      <c r="B25" s="2"/>
      <c r="C25" s="2"/>
      <c r="D25" s="2"/>
      <c r="E25" s="2"/>
      <c r="F25" s="18"/>
      <c r="G25" s="2"/>
      <c r="H25" s="2"/>
      <c r="I25" s="2"/>
      <c r="J25" s="2"/>
      <c r="K25" s="288"/>
      <c r="L25" s="2"/>
      <c r="M25" s="2"/>
      <c r="N25" s="2"/>
      <c r="O25" s="2"/>
      <c r="P25" s="2"/>
      <c r="Q25" s="2"/>
      <c r="R25" s="2"/>
      <c r="S25" s="2"/>
      <c r="T25" s="2"/>
      <c r="U25" s="2"/>
      <c r="V25" s="2"/>
      <c r="W25" s="2"/>
      <c r="X25" s="2"/>
      <c r="Y25" s="2"/>
      <c r="Z25" s="2"/>
    </row>
    <row r="26" ht="15.75" customHeight="1">
      <c r="A26" s="287"/>
      <c r="B26" s="2"/>
      <c r="C26" s="2"/>
      <c r="D26" s="2"/>
      <c r="E26" s="2"/>
      <c r="F26" s="2"/>
      <c r="G26" s="2"/>
      <c r="H26" s="2"/>
      <c r="I26" s="2"/>
      <c r="J26" s="2"/>
      <c r="K26" s="288"/>
      <c r="L26" s="2"/>
      <c r="M26" s="2"/>
      <c r="N26" s="2"/>
      <c r="O26" s="2"/>
      <c r="P26" s="2"/>
      <c r="Q26" s="2"/>
      <c r="R26" s="2"/>
      <c r="S26" s="2"/>
      <c r="T26" s="2"/>
      <c r="U26" s="2"/>
      <c r="V26" s="2"/>
      <c r="W26" s="2"/>
      <c r="X26" s="2"/>
      <c r="Y26" s="2"/>
      <c r="Z26" s="2"/>
    </row>
    <row r="27" ht="15.75" customHeight="1">
      <c r="A27" s="287"/>
      <c r="B27" s="2"/>
      <c r="C27" s="2"/>
      <c r="D27" s="2"/>
      <c r="E27" s="2"/>
      <c r="F27" s="2"/>
      <c r="G27" s="2"/>
      <c r="H27" s="2"/>
      <c r="I27" s="2"/>
      <c r="J27" s="2"/>
      <c r="K27" s="288"/>
      <c r="L27" s="2"/>
      <c r="M27" s="2"/>
      <c r="N27" s="2"/>
      <c r="O27" s="2"/>
      <c r="P27" s="2"/>
      <c r="Q27" s="2"/>
      <c r="R27" s="2"/>
      <c r="S27" s="2"/>
      <c r="T27" s="2"/>
      <c r="U27" s="2"/>
      <c r="V27" s="2"/>
      <c r="W27" s="2"/>
      <c r="X27" s="2"/>
      <c r="Y27" s="2"/>
      <c r="Z27" s="2"/>
    </row>
    <row r="28" ht="15.75" customHeight="1">
      <c r="A28" s="287"/>
      <c r="B28" s="2"/>
      <c r="C28" s="2"/>
      <c r="D28" s="2"/>
      <c r="E28" s="2"/>
      <c r="F28" s="2"/>
      <c r="G28" s="2"/>
      <c r="H28" s="2"/>
      <c r="I28" s="2"/>
      <c r="J28" s="2"/>
      <c r="K28" s="288"/>
      <c r="L28" s="2"/>
      <c r="M28" s="2"/>
      <c r="N28" s="2"/>
      <c r="O28" s="2"/>
      <c r="P28" s="2"/>
      <c r="Q28" s="2"/>
      <c r="R28" s="2"/>
      <c r="S28" s="2"/>
      <c r="T28" s="2"/>
      <c r="U28" s="2"/>
      <c r="V28" s="2"/>
      <c r="W28" s="2"/>
      <c r="X28" s="2"/>
      <c r="Y28" s="2"/>
      <c r="Z28" s="2"/>
    </row>
    <row r="29" ht="15.75" customHeight="1">
      <c r="A29" s="287"/>
      <c r="B29" s="2"/>
      <c r="C29" s="2"/>
      <c r="D29" s="2"/>
      <c r="E29" s="2"/>
      <c r="F29" s="2"/>
      <c r="G29" s="2"/>
      <c r="H29" s="2"/>
      <c r="I29" s="2"/>
      <c r="J29" s="2"/>
      <c r="K29" s="288"/>
      <c r="L29" s="2"/>
      <c r="M29" s="2"/>
      <c r="N29" s="2"/>
      <c r="O29" s="2"/>
      <c r="P29" s="2"/>
      <c r="Q29" s="2"/>
      <c r="R29" s="2"/>
      <c r="S29" s="2"/>
      <c r="T29" s="2"/>
      <c r="U29" s="2"/>
      <c r="V29" s="2"/>
      <c r="W29" s="2"/>
      <c r="X29" s="2"/>
      <c r="Y29" s="2"/>
      <c r="Z29" s="2"/>
    </row>
    <row r="30" ht="15.75" customHeight="1">
      <c r="A30" s="275">
        <v>0.0379</v>
      </c>
      <c r="B30" s="2" t="s">
        <v>173</v>
      </c>
      <c r="C30" s="2"/>
      <c r="D30" s="2"/>
      <c r="E30" s="2"/>
      <c r="F30" s="2"/>
      <c r="G30" s="2"/>
      <c r="H30" s="2"/>
      <c r="I30" s="2"/>
      <c r="J30" s="2"/>
      <c r="K30" s="288"/>
      <c r="L30" s="2"/>
      <c r="M30" s="2"/>
      <c r="N30" s="2"/>
      <c r="O30" s="2"/>
      <c r="P30" s="2"/>
      <c r="Q30" s="2"/>
      <c r="R30" s="2"/>
      <c r="S30" s="2"/>
      <c r="T30" s="2"/>
      <c r="U30" s="2"/>
      <c r="V30" s="2"/>
      <c r="W30" s="2"/>
      <c r="X30" s="2"/>
      <c r="Y30" s="2"/>
      <c r="Z30" s="2"/>
    </row>
    <row r="31" ht="15.75" customHeight="1">
      <c r="A31" s="289">
        <v>4.0</v>
      </c>
      <c r="B31" s="2" t="s">
        <v>165</v>
      </c>
      <c r="C31" s="2" t="s">
        <v>174</v>
      </c>
      <c r="D31" s="2" t="s">
        <v>175</v>
      </c>
      <c r="E31" s="2" t="s">
        <v>176</v>
      </c>
      <c r="F31" s="2" t="s">
        <v>177</v>
      </c>
      <c r="G31" s="2" t="s">
        <v>178</v>
      </c>
      <c r="H31" s="2" t="s">
        <v>179</v>
      </c>
      <c r="I31" s="2"/>
      <c r="J31" s="2"/>
      <c r="K31" s="288"/>
      <c r="L31" s="2"/>
      <c r="M31" s="2"/>
      <c r="N31" s="2"/>
      <c r="O31" s="2"/>
      <c r="P31" s="2"/>
      <c r="Q31" s="2"/>
      <c r="R31" s="2"/>
      <c r="S31" s="2"/>
      <c r="T31" s="2"/>
      <c r="U31" s="2"/>
      <c r="V31" s="2"/>
      <c r="W31" s="2"/>
      <c r="X31" s="2"/>
      <c r="Y31" s="2"/>
      <c r="Z31" s="2"/>
    </row>
    <row r="32" ht="15.75" customHeight="1">
      <c r="A32" s="287"/>
      <c r="B32" s="2" t="s">
        <v>180</v>
      </c>
      <c r="C32" s="290">
        <f>VLOOKUP(J33,B17:F23,5,FALSE)</f>
        <v>316393</v>
      </c>
      <c r="D32" s="18">
        <f>C32*A30</f>
        <v>11991.2947</v>
      </c>
      <c r="E32" s="18">
        <f>A31</f>
        <v>4</v>
      </c>
      <c r="F32" s="18">
        <f t="shared" ref="F32:F33" si="8">D32+E32</f>
        <v>11995.2947</v>
      </c>
      <c r="G32" s="18">
        <f t="shared" ref="G32:G33" si="9">F32*1.16</f>
        <v>13914.54185</v>
      </c>
      <c r="H32" s="18">
        <f>C32-G32</f>
        <v>302478.4581</v>
      </c>
      <c r="I32" s="2" t="s">
        <v>180</v>
      </c>
      <c r="J32" s="2"/>
      <c r="K32" s="288"/>
      <c r="L32" s="2"/>
      <c r="M32" s="2"/>
      <c r="N32" s="2"/>
      <c r="O32" s="2"/>
      <c r="P32" s="2"/>
      <c r="Q32" s="2"/>
      <c r="R32" s="2"/>
      <c r="S32" s="2"/>
      <c r="T32" s="2"/>
      <c r="U32" s="2"/>
      <c r="V32" s="2"/>
      <c r="W32" s="2"/>
      <c r="X32" s="2"/>
      <c r="Y32" s="2"/>
      <c r="Z32" s="2"/>
    </row>
    <row r="33" ht="15.75" customHeight="1">
      <c r="A33" s="291" t="str">
        <f>VLOOKUP(J33,B18:H23,7,FALSE)</f>
        <v>#N/A</v>
      </c>
      <c r="B33" s="292" t="s">
        <v>181</v>
      </c>
      <c r="C33" s="292"/>
      <c r="D33" s="293" t="str">
        <f>C32*A33</f>
        <v>#N/A</v>
      </c>
      <c r="E33" s="292">
        <v>0.0</v>
      </c>
      <c r="F33" s="293" t="str">
        <f t="shared" si="8"/>
        <v>#N/A</v>
      </c>
      <c r="G33" s="293" t="str">
        <f t="shared" si="9"/>
        <v>#N/A</v>
      </c>
      <c r="H33" s="294" t="str">
        <f>H32-G33</f>
        <v>#N/A</v>
      </c>
      <c r="I33" s="292" t="s">
        <v>181</v>
      </c>
      <c r="J33" s="295">
        <v>0.0</v>
      </c>
      <c r="K33" s="296"/>
      <c r="L33" s="2"/>
      <c r="M33" s="2"/>
      <c r="N33" s="2"/>
      <c r="O33" s="2"/>
      <c r="P33" s="2"/>
      <c r="Q33" s="2"/>
      <c r="R33" s="2"/>
      <c r="S33" s="2"/>
      <c r="T33" s="2"/>
      <c r="U33" s="2"/>
      <c r="V33" s="2"/>
      <c r="W33" s="2"/>
      <c r="X33" s="2"/>
      <c r="Y33" s="2"/>
      <c r="Z33" s="2"/>
    </row>
    <row r="34" ht="15.75" customHeight="1">
      <c r="A34" s="2"/>
      <c r="B34" s="2"/>
      <c r="C34" s="2"/>
      <c r="D34" s="2"/>
      <c r="E34" s="2"/>
      <c r="F34" s="2"/>
      <c r="G34" s="18"/>
      <c r="H34" s="2"/>
      <c r="I34" s="2"/>
      <c r="J34" s="2"/>
      <c r="K34" s="2"/>
      <c r="L34" s="2"/>
      <c r="M34" s="2"/>
      <c r="N34" s="2"/>
      <c r="O34" s="2"/>
      <c r="P34" s="2"/>
      <c r="Q34" s="2"/>
      <c r="R34" s="2"/>
      <c r="S34" s="2"/>
      <c r="T34" s="2"/>
      <c r="U34" s="2"/>
      <c r="V34" s="2"/>
      <c r="W34" s="2"/>
      <c r="X34" s="2"/>
      <c r="Y34" s="2"/>
      <c r="Z34" s="2"/>
    </row>
    <row r="35" ht="15.75" hidden="1" customHeight="1">
      <c r="A35" s="2"/>
      <c r="B35" s="2"/>
      <c r="C35" s="2"/>
      <c r="D35" s="2"/>
      <c r="E35" s="2"/>
      <c r="F35" s="2"/>
      <c r="G35" s="18"/>
      <c r="H35" s="2"/>
      <c r="I35" s="2"/>
      <c r="J35" s="2"/>
      <c r="K35" s="2"/>
      <c r="L35" s="2"/>
      <c r="M35" s="2"/>
      <c r="N35" s="2"/>
      <c r="O35" s="2"/>
      <c r="P35" s="2"/>
      <c r="Q35" s="2"/>
      <c r="R35" s="2"/>
      <c r="S35" s="2"/>
      <c r="T35" s="2"/>
      <c r="U35" s="2"/>
      <c r="V35" s="2"/>
      <c r="W35" s="2"/>
      <c r="X35" s="2"/>
      <c r="Y35" s="2"/>
      <c r="Z35" s="2"/>
    </row>
    <row r="36" ht="15.75" hidden="1" customHeight="1">
      <c r="A36" s="297"/>
      <c r="B36" s="298" t="s">
        <v>182</v>
      </c>
      <c r="C36" s="298"/>
      <c r="D36" s="298" t="s">
        <v>183</v>
      </c>
      <c r="E36" s="298" t="s">
        <v>126</v>
      </c>
      <c r="F36" s="298" t="s">
        <v>127</v>
      </c>
      <c r="G36" s="298" t="s">
        <v>162</v>
      </c>
      <c r="H36" s="298" t="s">
        <v>163</v>
      </c>
      <c r="I36" s="298"/>
      <c r="J36" s="298"/>
      <c r="K36" s="299"/>
      <c r="L36" s="2"/>
      <c r="M36" s="2"/>
      <c r="N36" s="2"/>
      <c r="O36" s="2"/>
      <c r="P36" s="2"/>
      <c r="Q36" s="2"/>
      <c r="R36" s="2"/>
      <c r="S36" s="2"/>
      <c r="T36" s="2"/>
      <c r="U36" s="2"/>
      <c r="V36" s="2"/>
      <c r="W36" s="2"/>
      <c r="X36" s="2"/>
      <c r="Y36" s="2"/>
      <c r="Z36" s="2"/>
    </row>
    <row r="37" ht="15.75" hidden="1" customHeight="1">
      <c r="A37" s="275">
        <v>0.029</v>
      </c>
      <c r="B37" s="273">
        <f>A37+B40</f>
        <v>0.029136</v>
      </c>
      <c r="C37" s="18">
        <f>$B$6/(1-B37)-$B$6</f>
        <v>9077.588517</v>
      </c>
      <c r="D37" s="2"/>
      <c r="E37" s="2"/>
      <c r="F37" s="2"/>
      <c r="G37" s="2"/>
      <c r="H37" s="2"/>
      <c r="I37" s="2"/>
      <c r="J37" s="2"/>
      <c r="K37" s="288"/>
      <c r="L37" s="2"/>
      <c r="M37" s="2"/>
      <c r="N37" s="2"/>
      <c r="O37" s="2"/>
      <c r="P37" s="2"/>
      <c r="Q37" s="2"/>
      <c r="R37" s="2"/>
      <c r="S37" s="2"/>
      <c r="T37" s="2"/>
      <c r="U37" s="2"/>
      <c r="V37" s="2"/>
      <c r="W37" s="2"/>
      <c r="X37" s="2"/>
      <c r="Y37" s="2"/>
      <c r="Z37" s="2"/>
    </row>
    <row r="38" ht="15.75" hidden="1" customHeight="1">
      <c r="A38" s="287"/>
      <c r="B38" s="276" t="s">
        <v>165</v>
      </c>
      <c r="C38" s="18">
        <v>2.5</v>
      </c>
      <c r="D38" s="2"/>
      <c r="E38" s="2"/>
      <c r="F38" s="2"/>
      <c r="G38" s="2"/>
      <c r="H38" s="2"/>
      <c r="I38" s="2"/>
      <c r="J38" s="2"/>
      <c r="K38" s="288"/>
      <c r="L38" s="2"/>
      <c r="M38" s="2"/>
      <c r="N38" s="2"/>
      <c r="O38" s="2"/>
      <c r="P38" s="2"/>
      <c r="Q38" s="2"/>
      <c r="R38" s="2"/>
      <c r="S38" s="2"/>
      <c r="T38" s="2"/>
      <c r="U38" s="2"/>
      <c r="V38" s="2"/>
      <c r="W38" s="2"/>
      <c r="X38" s="2"/>
      <c r="Y38" s="2"/>
      <c r="Z38" s="2"/>
    </row>
    <row r="39" ht="15.75" hidden="1" customHeight="1">
      <c r="A39" s="287"/>
      <c r="B39" s="276"/>
      <c r="C39" s="2"/>
      <c r="D39" s="18">
        <f>SUM(C37:C38)</f>
        <v>9080.088517</v>
      </c>
      <c r="E39" s="18">
        <f>D39*0.16</f>
        <v>1452.814163</v>
      </c>
      <c r="F39" s="18">
        <f>D39+E39</f>
        <v>10532.90268</v>
      </c>
      <c r="G39" s="18">
        <f>F39+$B$6</f>
        <v>313014.5027</v>
      </c>
      <c r="H39" s="2"/>
      <c r="I39" s="2"/>
      <c r="J39" s="2"/>
      <c r="K39" s="288"/>
      <c r="L39" s="2"/>
      <c r="M39" s="2"/>
      <c r="N39" s="2"/>
      <c r="O39" s="2"/>
      <c r="P39" s="2"/>
      <c r="Q39" s="2"/>
      <c r="R39" s="2"/>
      <c r="S39" s="2"/>
      <c r="T39" s="2"/>
      <c r="U39" s="2"/>
      <c r="V39" s="2"/>
      <c r="W39" s="2"/>
      <c r="X39" s="2"/>
      <c r="Y39" s="2"/>
      <c r="Z39" s="2"/>
    </row>
    <row r="40" ht="15.75" hidden="1" customHeight="1">
      <c r="A40" s="287" t="s">
        <v>166</v>
      </c>
      <c r="B40" s="251">
        <v>1.36E-4</v>
      </c>
      <c r="C40" s="2"/>
      <c r="D40" s="2"/>
      <c r="E40" s="2"/>
      <c r="F40" s="2"/>
      <c r="G40" s="2"/>
      <c r="H40" s="2"/>
      <c r="I40" s="2"/>
      <c r="J40" s="2"/>
      <c r="K40" s="288"/>
      <c r="L40" s="2"/>
      <c r="M40" s="2"/>
      <c r="N40" s="2"/>
      <c r="O40" s="2"/>
      <c r="P40" s="2"/>
      <c r="Q40" s="2"/>
      <c r="R40" s="2"/>
      <c r="S40" s="2"/>
      <c r="T40" s="2"/>
      <c r="U40" s="2"/>
      <c r="V40" s="2"/>
      <c r="W40" s="2"/>
      <c r="X40" s="2"/>
      <c r="Y40" s="2"/>
      <c r="Z40" s="2"/>
    </row>
    <row r="41" ht="15.75" hidden="1" customHeight="1">
      <c r="A41" s="287"/>
      <c r="B41" s="251"/>
      <c r="C41" s="2"/>
      <c r="D41" s="2"/>
      <c r="E41" s="2"/>
      <c r="F41" s="2"/>
      <c r="G41" s="2"/>
      <c r="H41" s="2"/>
      <c r="I41" s="2"/>
      <c r="J41" s="2"/>
      <c r="K41" s="288"/>
      <c r="L41" s="2"/>
      <c r="M41" s="2"/>
      <c r="N41" s="2"/>
      <c r="O41" s="2"/>
      <c r="P41" s="2"/>
      <c r="Q41" s="2"/>
      <c r="R41" s="2"/>
      <c r="S41" s="2"/>
      <c r="T41" s="2"/>
      <c r="U41" s="2"/>
      <c r="V41" s="2"/>
      <c r="W41" s="2"/>
      <c r="X41" s="2"/>
      <c r="Y41" s="2"/>
      <c r="Z41" s="2"/>
    </row>
    <row r="42" ht="15.75" hidden="1" customHeight="1">
      <c r="A42" s="287"/>
      <c r="B42" s="2"/>
      <c r="C42" s="2"/>
      <c r="D42" s="2"/>
      <c r="E42" s="2"/>
      <c r="F42" s="2"/>
      <c r="G42" s="2"/>
      <c r="H42" s="2"/>
      <c r="I42" s="2"/>
      <c r="J42" s="2"/>
      <c r="K42" s="288"/>
      <c r="L42" s="2"/>
      <c r="M42" s="2"/>
      <c r="N42" s="2"/>
      <c r="O42" s="2"/>
      <c r="P42" s="2"/>
      <c r="Q42" s="2"/>
      <c r="R42" s="2"/>
      <c r="S42" s="2"/>
      <c r="T42" s="2"/>
      <c r="U42" s="2"/>
      <c r="V42" s="2"/>
      <c r="W42" s="2"/>
      <c r="X42" s="2"/>
      <c r="Y42" s="2"/>
      <c r="Z42" s="2"/>
    </row>
    <row r="43" ht="15.75" hidden="1" customHeight="1">
      <c r="A43" s="287"/>
      <c r="B43" s="2" t="s">
        <v>168</v>
      </c>
      <c r="C43" s="2"/>
      <c r="D43" s="2"/>
      <c r="E43" s="2"/>
      <c r="F43" s="2"/>
      <c r="G43" s="2"/>
      <c r="H43" s="2"/>
      <c r="I43" s="2"/>
      <c r="J43" s="2"/>
      <c r="K43" s="288"/>
      <c r="L43" s="2"/>
      <c r="M43" s="2"/>
      <c r="N43" s="2"/>
      <c r="O43" s="2"/>
      <c r="P43" s="2"/>
      <c r="Q43" s="2"/>
      <c r="R43" s="2"/>
      <c r="S43" s="2"/>
      <c r="T43" s="2"/>
      <c r="U43" s="2"/>
      <c r="V43" s="2"/>
      <c r="W43" s="2"/>
      <c r="X43" s="2"/>
      <c r="Y43" s="2"/>
      <c r="Z43" s="2"/>
    </row>
    <row r="44" ht="15.75" hidden="1" customHeight="1">
      <c r="A44" s="287"/>
      <c r="B44" s="2">
        <v>0.0</v>
      </c>
      <c r="C44" s="2"/>
      <c r="D44" s="18">
        <f t="shared" ref="D44:E44" si="10">D39</f>
        <v>9080.088517</v>
      </c>
      <c r="E44" s="18">
        <f t="shared" si="10"/>
        <v>1452.814163</v>
      </c>
      <c r="F44" s="18">
        <f>ROUNDUP(G39,0)</f>
        <v>313015</v>
      </c>
      <c r="G44" s="2"/>
      <c r="H44" s="2"/>
      <c r="I44" s="2"/>
      <c r="J44" s="2"/>
      <c r="K44" s="287" t="s">
        <v>171</v>
      </c>
      <c r="L44" s="2"/>
      <c r="M44" s="2"/>
      <c r="N44" s="2"/>
      <c r="O44" s="2"/>
      <c r="P44" s="2"/>
      <c r="Q44" s="2"/>
      <c r="R44" s="2"/>
      <c r="S44" s="2"/>
      <c r="T44" s="2"/>
      <c r="U44" s="2"/>
      <c r="V44" s="2"/>
      <c r="W44" s="2"/>
      <c r="X44" s="2"/>
      <c r="Y44" s="2"/>
      <c r="Z44" s="2"/>
    </row>
    <row r="45" ht="15.75" hidden="1" customHeight="1">
      <c r="A45" s="2"/>
      <c r="B45" s="2">
        <v>3.0</v>
      </c>
      <c r="C45" s="273">
        <f t="shared" ref="C45:C48" si="11">H45+K45</f>
        <v>0.039573</v>
      </c>
      <c r="D45" s="18">
        <f t="shared" ref="D45:D48" si="12">G$39/(1-C45)-G$39</f>
        <v>12897.30809</v>
      </c>
      <c r="E45" s="18">
        <f t="shared" ref="E45:E48" si="13">D45*0.16</f>
        <v>2063.569294</v>
      </c>
      <c r="F45" s="18">
        <f t="shared" ref="F45:F48" si="14">ROUNDUP(G$39+D45+E45,0)</f>
        <v>327976</v>
      </c>
      <c r="G45" s="2"/>
      <c r="H45" s="300">
        <v>0.038</v>
      </c>
      <c r="I45" s="261"/>
      <c r="J45" s="276">
        <f t="shared" ref="J45:J48" si="15">F45/$B$6-1</f>
        <v>0.08428413497</v>
      </c>
      <c r="K45" s="301">
        <v>0.001573</v>
      </c>
      <c r="L45" s="2"/>
      <c r="M45" s="2"/>
      <c r="N45" s="2"/>
      <c r="O45" s="2"/>
      <c r="P45" s="2"/>
      <c r="Q45" s="2"/>
      <c r="R45" s="2"/>
      <c r="S45" s="2"/>
      <c r="T45" s="2"/>
      <c r="U45" s="2"/>
      <c r="V45" s="2"/>
      <c r="W45" s="2"/>
      <c r="X45" s="2"/>
      <c r="Y45" s="2"/>
      <c r="Z45" s="2"/>
    </row>
    <row r="46" ht="15.75" hidden="1" customHeight="1">
      <c r="A46" s="2"/>
      <c r="B46" s="2">
        <v>6.0</v>
      </c>
      <c r="C46" s="273">
        <f t="shared" si="11"/>
        <v>0.060602</v>
      </c>
      <c r="D46" s="18">
        <f t="shared" si="12"/>
        <v>20193.04373</v>
      </c>
      <c r="E46" s="18">
        <f t="shared" si="13"/>
        <v>3230.886996</v>
      </c>
      <c r="F46" s="18">
        <f t="shared" si="14"/>
        <v>336439</v>
      </c>
      <c r="G46" s="2"/>
      <c r="H46" s="300">
        <v>0.058</v>
      </c>
      <c r="I46" s="261"/>
      <c r="J46" s="276">
        <f t="shared" si="15"/>
        <v>0.1122626963</v>
      </c>
      <c r="K46" s="301">
        <v>0.002602</v>
      </c>
      <c r="L46" s="2"/>
      <c r="M46" s="2"/>
      <c r="N46" s="2"/>
      <c r="O46" s="2"/>
      <c r="P46" s="2"/>
      <c r="Q46" s="2"/>
      <c r="R46" s="2"/>
      <c r="S46" s="2"/>
      <c r="T46" s="2"/>
      <c r="U46" s="2"/>
      <c r="V46" s="2"/>
      <c r="W46" s="2"/>
      <c r="X46" s="2"/>
      <c r="Y46" s="2"/>
      <c r="Z46" s="2"/>
    </row>
    <row r="47" ht="15.75" hidden="1" customHeight="1">
      <c r="A47" s="2"/>
      <c r="B47" s="2">
        <v>9.0</v>
      </c>
      <c r="C47" s="273">
        <f t="shared" si="11"/>
        <v>0.081772</v>
      </c>
      <c r="D47" s="18">
        <f t="shared" si="12"/>
        <v>27875.23569</v>
      </c>
      <c r="E47" s="18">
        <f t="shared" si="13"/>
        <v>4460.03771</v>
      </c>
      <c r="F47" s="18">
        <f t="shared" si="14"/>
        <v>345350</v>
      </c>
      <c r="G47" s="2"/>
      <c r="H47" s="300">
        <v>0.078</v>
      </c>
      <c r="I47" s="261"/>
      <c r="J47" s="276">
        <f t="shared" si="15"/>
        <v>0.1417223395</v>
      </c>
      <c r="K47" s="301">
        <v>0.003772</v>
      </c>
      <c r="L47" s="2"/>
      <c r="M47" s="2"/>
      <c r="N47" s="2"/>
      <c r="O47" s="2"/>
      <c r="P47" s="2"/>
      <c r="Q47" s="2"/>
      <c r="R47" s="2"/>
      <c r="S47" s="2"/>
      <c r="T47" s="2"/>
      <c r="U47" s="2"/>
      <c r="V47" s="2"/>
      <c r="W47" s="2"/>
      <c r="X47" s="2"/>
      <c r="Y47" s="2"/>
      <c r="Z47" s="2"/>
    </row>
    <row r="48" ht="15.75" hidden="1" customHeight="1">
      <c r="A48" s="2"/>
      <c r="B48" s="2">
        <v>12.0</v>
      </c>
      <c r="C48" s="273">
        <f t="shared" si="11"/>
        <v>0.103085</v>
      </c>
      <c r="D48" s="18">
        <f t="shared" si="12"/>
        <v>35975.64988</v>
      </c>
      <c r="E48" s="18">
        <f t="shared" si="13"/>
        <v>5756.10398</v>
      </c>
      <c r="F48" s="18">
        <f t="shared" si="14"/>
        <v>354747</v>
      </c>
      <c r="G48" s="2"/>
      <c r="H48" s="300">
        <v>0.098</v>
      </c>
      <c r="I48" s="261"/>
      <c r="J48" s="276">
        <f t="shared" si="15"/>
        <v>0.1727886919</v>
      </c>
      <c r="K48" s="301">
        <v>0.005085</v>
      </c>
      <c r="L48" s="2"/>
      <c r="M48" s="2"/>
      <c r="N48" s="2"/>
      <c r="O48" s="2"/>
      <c r="P48" s="2"/>
      <c r="Q48" s="2"/>
      <c r="R48" s="2"/>
      <c r="S48" s="2"/>
      <c r="T48" s="2"/>
      <c r="U48" s="2"/>
      <c r="V48" s="2"/>
      <c r="W48" s="2"/>
      <c r="X48" s="2"/>
      <c r="Y48" s="2"/>
      <c r="Z48" s="2"/>
    </row>
    <row r="49" ht="15.75" hidden="1" customHeight="1">
      <c r="A49" s="287"/>
      <c r="B49" s="2"/>
      <c r="C49" s="2"/>
      <c r="D49" s="2"/>
      <c r="E49" s="2"/>
      <c r="F49" s="2"/>
      <c r="G49" s="2"/>
      <c r="H49" s="2"/>
      <c r="I49" s="2"/>
      <c r="J49" s="2"/>
      <c r="K49" s="288"/>
      <c r="L49" s="2"/>
      <c r="M49" s="2"/>
      <c r="N49" s="2"/>
      <c r="O49" s="2"/>
      <c r="P49" s="2"/>
      <c r="Q49" s="2"/>
      <c r="R49" s="2"/>
      <c r="S49" s="2"/>
      <c r="T49" s="2"/>
      <c r="U49" s="2"/>
      <c r="V49" s="2"/>
      <c r="W49" s="2"/>
      <c r="X49" s="2"/>
      <c r="Y49" s="2"/>
      <c r="Z49" s="2"/>
    </row>
    <row r="50" ht="15.75" hidden="1" customHeight="1">
      <c r="A50" s="287"/>
      <c r="B50" s="2"/>
      <c r="C50" s="2"/>
      <c r="D50" s="2"/>
      <c r="E50" s="2"/>
      <c r="F50" s="2"/>
      <c r="G50" s="2"/>
      <c r="H50" s="2"/>
      <c r="I50" s="2"/>
      <c r="J50" s="2"/>
      <c r="K50" s="288"/>
      <c r="L50" s="2"/>
      <c r="M50" s="2"/>
      <c r="N50" s="2"/>
      <c r="O50" s="2"/>
      <c r="P50" s="2"/>
      <c r="Q50" s="2"/>
      <c r="R50" s="2"/>
      <c r="S50" s="2"/>
      <c r="T50" s="2"/>
      <c r="U50" s="2"/>
      <c r="V50" s="2"/>
      <c r="W50" s="2"/>
      <c r="X50" s="2"/>
      <c r="Y50" s="2"/>
      <c r="Z50" s="2"/>
    </row>
    <row r="51" ht="15.75" hidden="1" customHeight="1">
      <c r="A51" s="287"/>
      <c r="B51" s="2"/>
      <c r="C51" s="2"/>
      <c r="D51" s="2"/>
      <c r="E51" s="2"/>
      <c r="F51" s="2"/>
      <c r="G51" s="2"/>
      <c r="H51" s="2"/>
      <c r="I51" s="2"/>
      <c r="J51" s="2"/>
      <c r="K51" s="288"/>
      <c r="L51" s="2"/>
      <c r="M51" s="2"/>
      <c r="N51" s="2"/>
      <c r="O51" s="2"/>
      <c r="P51" s="2"/>
      <c r="Q51" s="2"/>
      <c r="R51" s="2"/>
      <c r="S51" s="2"/>
      <c r="T51" s="2"/>
      <c r="U51" s="2"/>
      <c r="V51" s="2"/>
      <c r="W51" s="2"/>
      <c r="X51" s="2"/>
      <c r="Y51" s="2"/>
      <c r="Z51" s="2"/>
    </row>
    <row r="52" ht="15.75" hidden="1" customHeight="1">
      <c r="A52" s="287"/>
      <c r="B52" s="2"/>
      <c r="C52" s="2"/>
      <c r="D52" s="2"/>
      <c r="E52" s="2"/>
      <c r="F52" s="2"/>
      <c r="G52" s="2"/>
      <c r="H52" s="2"/>
      <c r="I52" s="2"/>
      <c r="J52" s="2"/>
      <c r="K52" s="288"/>
      <c r="L52" s="2"/>
      <c r="M52" s="2"/>
      <c r="N52" s="2"/>
      <c r="O52" s="2"/>
      <c r="P52" s="2"/>
      <c r="Q52" s="2"/>
      <c r="R52" s="2"/>
      <c r="S52" s="2"/>
      <c r="T52" s="2"/>
      <c r="U52" s="2"/>
      <c r="V52" s="2"/>
      <c r="W52" s="2"/>
      <c r="X52" s="2"/>
      <c r="Y52" s="2"/>
      <c r="Z52" s="2"/>
    </row>
    <row r="53" ht="15.75" hidden="1" customHeight="1">
      <c r="A53" s="287"/>
      <c r="B53" s="2"/>
      <c r="C53" s="2"/>
      <c r="D53" s="2"/>
      <c r="E53" s="2"/>
      <c r="F53" s="2"/>
      <c r="G53" s="2"/>
      <c r="H53" s="2"/>
      <c r="I53" s="2"/>
      <c r="J53" s="2"/>
      <c r="K53" s="288"/>
      <c r="L53" s="2"/>
      <c r="M53" s="2"/>
      <c r="N53" s="2"/>
      <c r="O53" s="2"/>
      <c r="P53" s="2"/>
      <c r="Q53" s="2"/>
      <c r="R53" s="2"/>
      <c r="S53" s="2"/>
      <c r="T53" s="2"/>
      <c r="U53" s="2"/>
      <c r="V53" s="2"/>
      <c r="W53" s="2"/>
      <c r="X53" s="2"/>
      <c r="Y53" s="2"/>
      <c r="Z53" s="2"/>
    </row>
    <row r="54" ht="15.75" hidden="1" customHeight="1">
      <c r="A54" s="287"/>
      <c r="B54" s="2"/>
      <c r="C54" s="2"/>
      <c r="D54" s="2"/>
      <c r="E54" s="2"/>
      <c r="F54" s="2"/>
      <c r="G54" s="2"/>
      <c r="H54" s="2"/>
      <c r="I54" s="2"/>
      <c r="J54" s="2"/>
      <c r="K54" s="288"/>
      <c r="L54" s="2"/>
      <c r="M54" s="2"/>
      <c r="N54" s="2"/>
      <c r="O54" s="2"/>
      <c r="P54" s="2"/>
      <c r="Q54" s="2"/>
      <c r="R54" s="2"/>
      <c r="S54" s="2"/>
      <c r="T54" s="2"/>
      <c r="U54" s="2"/>
      <c r="V54" s="2"/>
      <c r="W54" s="2"/>
      <c r="X54" s="2"/>
      <c r="Y54" s="2"/>
      <c r="Z54" s="2"/>
    </row>
    <row r="55" ht="15.75" hidden="1" customHeight="1">
      <c r="A55" s="287"/>
      <c r="B55" s="2"/>
      <c r="C55" s="2"/>
      <c r="D55" s="2"/>
      <c r="E55" s="2"/>
      <c r="F55" s="2"/>
      <c r="G55" s="2"/>
      <c r="H55" s="2"/>
      <c r="I55" s="2"/>
      <c r="J55" s="2"/>
      <c r="K55" s="288"/>
      <c r="L55" s="2"/>
      <c r="M55" s="2"/>
      <c r="N55" s="2"/>
      <c r="O55" s="2"/>
      <c r="P55" s="2"/>
      <c r="Q55" s="2"/>
      <c r="R55" s="2"/>
      <c r="S55" s="2"/>
      <c r="T55" s="2"/>
      <c r="U55" s="2"/>
      <c r="V55" s="2"/>
      <c r="W55" s="2"/>
      <c r="X55" s="2"/>
      <c r="Y55" s="2"/>
      <c r="Z55" s="2"/>
    </row>
    <row r="56" ht="15.75" hidden="1" customHeight="1">
      <c r="A56" s="287"/>
      <c r="B56" s="2"/>
      <c r="C56" s="2"/>
      <c r="D56" s="2"/>
      <c r="E56" s="2"/>
      <c r="F56" s="2"/>
      <c r="G56" s="2"/>
      <c r="H56" s="2"/>
      <c r="I56" s="2"/>
      <c r="J56" s="2"/>
      <c r="K56" s="288"/>
      <c r="L56" s="2"/>
      <c r="M56" s="2"/>
      <c r="N56" s="2"/>
      <c r="O56" s="2"/>
      <c r="P56" s="2"/>
      <c r="Q56" s="2"/>
      <c r="R56" s="2"/>
      <c r="S56" s="2"/>
      <c r="T56" s="2"/>
      <c r="U56" s="2"/>
      <c r="V56" s="2"/>
      <c r="W56" s="2"/>
      <c r="X56" s="2"/>
      <c r="Y56" s="2"/>
      <c r="Z56" s="2"/>
    </row>
    <row r="57" ht="15.75" hidden="1" customHeight="1">
      <c r="A57" s="275">
        <v>0.029</v>
      </c>
      <c r="B57" s="2" t="s">
        <v>173</v>
      </c>
      <c r="C57" s="2"/>
      <c r="D57" s="2"/>
      <c r="E57" s="2"/>
      <c r="F57" s="2"/>
      <c r="G57" s="2"/>
      <c r="H57" s="2"/>
      <c r="I57" s="2"/>
      <c r="J57" s="2"/>
      <c r="K57" s="288"/>
      <c r="L57" s="2"/>
      <c r="M57" s="2"/>
      <c r="N57" s="2"/>
      <c r="O57" s="2"/>
      <c r="P57" s="2"/>
      <c r="Q57" s="2"/>
      <c r="R57" s="2"/>
      <c r="S57" s="2"/>
      <c r="T57" s="2"/>
      <c r="U57" s="2"/>
      <c r="V57" s="2"/>
      <c r="W57" s="2"/>
      <c r="X57" s="2"/>
      <c r="Y57" s="2"/>
      <c r="Z57" s="2"/>
    </row>
    <row r="58" ht="15.75" hidden="1" customHeight="1">
      <c r="A58" s="289">
        <v>2.5</v>
      </c>
      <c r="B58" s="2" t="s">
        <v>165</v>
      </c>
      <c r="C58" s="2" t="s">
        <v>184</v>
      </c>
      <c r="D58" s="2" t="s">
        <v>175</v>
      </c>
      <c r="E58" s="2" t="s">
        <v>176</v>
      </c>
      <c r="F58" s="2" t="s">
        <v>177</v>
      </c>
      <c r="G58" s="2" t="s">
        <v>178</v>
      </c>
      <c r="H58" s="2" t="s">
        <v>179</v>
      </c>
      <c r="I58" s="2"/>
      <c r="J58" s="2"/>
      <c r="K58" s="288"/>
      <c r="L58" s="2"/>
      <c r="M58" s="2"/>
      <c r="N58" s="2"/>
      <c r="O58" s="2"/>
      <c r="P58" s="2"/>
      <c r="Q58" s="2"/>
      <c r="R58" s="2"/>
      <c r="S58" s="2"/>
      <c r="T58" s="2"/>
      <c r="U58" s="2"/>
      <c r="V58" s="2"/>
      <c r="W58" s="2"/>
      <c r="X58" s="2"/>
      <c r="Y58" s="2"/>
      <c r="Z58" s="2"/>
    </row>
    <row r="59" ht="15.75" hidden="1" customHeight="1">
      <c r="A59" s="287"/>
      <c r="B59" s="2" t="s">
        <v>180</v>
      </c>
      <c r="C59" s="290">
        <f>VLOOKUP(J60,B44:F48,5,FALSE)</f>
        <v>354747</v>
      </c>
      <c r="D59" s="18">
        <f>C59*A57</f>
        <v>10287.663</v>
      </c>
      <c r="E59" s="18">
        <f>A58</f>
        <v>2.5</v>
      </c>
      <c r="F59" s="18">
        <f t="shared" ref="F59:F60" si="16">D59+E59</f>
        <v>10290.163</v>
      </c>
      <c r="G59" s="18">
        <f t="shared" ref="G59:G60" si="17">F59*1.16</f>
        <v>11936.58908</v>
      </c>
      <c r="H59" s="18">
        <f>C59-G59</f>
        <v>342810.4109</v>
      </c>
      <c r="I59" s="2" t="s">
        <v>180</v>
      </c>
      <c r="J59" s="2"/>
      <c r="K59" s="288"/>
      <c r="L59" s="2"/>
      <c r="M59" s="2"/>
      <c r="N59" s="2"/>
      <c r="O59" s="2"/>
      <c r="P59" s="2"/>
      <c r="Q59" s="2"/>
      <c r="R59" s="2"/>
      <c r="S59" s="2"/>
      <c r="T59" s="2"/>
      <c r="U59" s="2"/>
      <c r="V59" s="2"/>
      <c r="W59" s="2"/>
      <c r="X59" s="2"/>
      <c r="Y59" s="2"/>
      <c r="Z59" s="2"/>
    </row>
    <row r="60" ht="15.75" hidden="1" customHeight="1">
      <c r="A60" s="291">
        <f>VLOOKUP(J60,B45:H48,7,FALSE)</f>
        <v>0.098</v>
      </c>
      <c r="B60" s="292" t="s">
        <v>181</v>
      </c>
      <c r="C60" s="292"/>
      <c r="D60" s="293">
        <f>C59*A60</f>
        <v>34765.206</v>
      </c>
      <c r="E60" s="292">
        <v>0.0</v>
      </c>
      <c r="F60" s="293">
        <f t="shared" si="16"/>
        <v>34765.206</v>
      </c>
      <c r="G60" s="293">
        <f t="shared" si="17"/>
        <v>40327.63896</v>
      </c>
      <c r="H60" s="294">
        <f>H59-G60</f>
        <v>302482.772</v>
      </c>
      <c r="I60" s="292" t="s">
        <v>181</v>
      </c>
      <c r="J60" s="295">
        <v>12.0</v>
      </c>
      <c r="K60" s="296"/>
      <c r="L60" s="2"/>
      <c r="M60" s="2"/>
      <c r="N60" s="2"/>
      <c r="O60" s="2"/>
      <c r="P60" s="2"/>
      <c r="Q60" s="2"/>
      <c r="R60" s="2"/>
      <c r="S60" s="2"/>
      <c r="T60" s="2"/>
      <c r="U60" s="2"/>
      <c r="V60" s="2"/>
      <c r="W60" s="2"/>
      <c r="X60" s="2"/>
      <c r="Y60" s="2"/>
      <c r="Z60" s="2"/>
    </row>
    <row r="61" ht="15.75" hidden="1"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hidden="1" customHeight="1">
      <c r="A62" s="157" t="s">
        <v>185</v>
      </c>
      <c r="M62" s="2"/>
      <c r="N62" s="2"/>
      <c r="O62" s="2"/>
      <c r="P62" s="2"/>
      <c r="Q62" s="2"/>
      <c r="R62" s="2"/>
      <c r="S62" s="2"/>
      <c r="T62" s="2"/>
      <c r="U62" s="2"/>
      <c r="V62" s="2"/>
      <c r="W62" s="2"/>
      <c r="X62" s="2"/>
      <c r="Y62" s="2"/>
      <c r="Z62" s="2"/>
    </row>
    <row r="63" ht="15.75" hidden="1" customHeight="1">
      <c r="A63" s="297"/>
      <c r="B63" s="298" t="s">
        <v>186</v>
      </c>
      <c r="C63" s="298"/>
      <c r="D63" s="298" t="s">
        <v>183</v>
      </c>
      <c r="E63" s="298" t="s">
        <v>126</v>
      </c>
      <c r="F63" s="298" t="s">
        <v>127</v>
      </c>
      <c r="G63" s="298" t="s">
        <v>162</v>
      </c>
      <c r="H63" s="298" t="s">
        <v>163</v>
      </c>
      <c r="I63" s="298"/>
      <c r="J63" s="298"/>
      <c r="K63" s="299"/>
      <c r="L63" s="2"/>
      <c r="M63" s="2"/>
      <c r="N63" s="2"/>
      <c r="O63" s="2"/>
      <c r="P63" s="2"/>
      <c r="Q63" s="2"/>
      <c r="R63" s="2"/>
      <c r="S63" s="2"/>
      <c r="T63" s="2"/>
      <c r="U63" s="2"/>
      <c r="V63" s="2"/>
      <c r="W63" s="2"/>
      <c r="X63" s="2"/>
      <c r="Y63" s="2"/>
      <c r="Z63" s="2"/>
    </row>
    <row r="64" ht="15.75" hidden="1" customHeight="1">
      <c r="A64" s="275">
        <v>0.036</v>
      </c>
      <c r="B64" s="273">
        <f>A64+B67</f>
        <v>0.03621</v>
      </c>
      <c r="C64" s="18">
        <f>$B$6/(1-B64)-$B$6</f>
        <v>11364.36229</v>
      </c>
      <c r="D64" s="2"/>
      <c r="E64" s="2"/>
      <c r="F64" s="2"/>
      <c r="G64" s="2"/>
      <c r="H64" s="2"/>
      <c r="I64" s="2"/>
      <c r="J64" s="2"/>
      <c r="K64" s="288"/>
      <c r="L64" s="2"/>
      <c r="M64" s="2"/>
      <c r="N64" s="2"/>
      <c r="O64" s="2"/>
      <c r="P64" s="2"/>
      <c r="Q64" s="2"/>
      <c r="R64" s="2"/>
      <c r="S64" s="2"/>
      <c r="T64" s="2"/>
      <c r="U64" s="2"/>
      <c r="V64" s="2"/>
      <c r="W64" s="2"/>
      <c r="X64" s="2"/>
      <c r="Y64" s="2"/>
      <c r="Z64" s="2"/>
    </row>
    <row r="65" ht="15.75" hidden="1" customHeight="1">
      <c r="A65" s="287"/>
      <c r="B65" s="276" t="s">
        <v>165</v>
      </c>
      <c r="C65" s="18">
        <v>0.0</v>
      </c>
      <c r="D65" s="2"/>
      <c r="E65" s="2"/>
      <c r="F65" s="2"/>
      <c r="G65" s="2"/>
      <c r="H65" s="2"/>
      <c r="I65" s="2"/>
      <c r="J65" s="2"/>
      <c r="K65" s="288"/>
      <c r="L65" s="2"/>
      <c r="M65" s="2"/>
      <c r="N65" s="2"/>
      <c r="O65" s="2"/>
      <c r="P65" s="2"/>
      <c r="Q65" s="2"/>
      <c r="R65" s="2"/>
      <c r="S65" s="2"/>
      <c r="T65" s="2"/>
      <c r="U65" s="2"/>
      <c r="V65" s="2"/>
      <c r="W65" s="2"/>
      <c r="X65" s="2"/>
      <c r="Y65" s="2"/>
      <c r="Z65" s="2"/>
    </row>
    <row r="66" ht="15.75" hidden="1" customHeight="1">
      <c r="A66" s="287"/>
      <c r="B66" s="276"/>
      <c r="C66" s="2"/>
      <c r="D66" s="18">
        <f>SUM(C64:C65)</f>
        <v>11364.36229</v>
      </c>
      <c r="E66" s="18">
        <f>D66*0.16</f>
        <v>1818.297967</v>
      </c>
      <c r="F66" s="18">
        <f>D66+E66</f>
        <v>13182.66026</v>
      </c>
      <c r="G66" s="18">
        <f>F66+$B$6</f>
        <v>315664.2603</v>
      </c>
      <c r="H66" s="2"/>
      <c r="I66" s="2"/>
      <c r="J66" s="2"/>
      <c r="K66" s="288"/>
      <c r="L66" s="2"/>
      <c r="M66" s="2"/>
      <c r="N66" s="2"/>
      <c r="O66" s="2"/>
      <c r="P66" s="2"/>
      <c r="Q66" s="2"/>
      <c r="R66" s="2"/>
      <c r="S66" s="2"/>
      <c r="T66" s="2"/>
      <c r="U66" s="2"/>
      <c r="V66" s="2"/>
      <c r="W66" s="2"/>
      <c r="X66" s="2"/>
      <c r="Y66" s="2"/>
      <c r="Z66" s="2"/>
    </row>
    <row r="67" ht="15.75" hidden="1" customHeight="1">
      <c r="A67" s="287" t="s">
        <v>166</v>
      </c>
      <c r="B67" s="251">
        <v>2.1E-4</v>
      </c>
      <c r="C67" s="2"/>
      <c r="D67" s="2"/>
      <c r="E67" s="2"/>
      <c r="F67" s="2"/>
      <c r="G67" s="2"/>
      <c r="H67" s="2"/>
      <c r="I67" s="2"/>
      <c r="J67" s="2"/>
      <c r="K67" s="288"/>
      <c r="L67" s="2"/>
      <c r="M67" s="2"/>
      <c r="N67" s="2"/>
      <c r="O67" s="2"/>
      <c r="P67" s="2"/>
      <c r="Q67" s="2"/>
      <c r="R67" s="2"/>
      <c r="S67" s="2"/>
      <c r="T67" s="2"/>
      <c r="U67" s="2"/>
      <c r="V67" s="2"/>
      <c r="W67" s="2"/>
      <c r="X67" s="2"/>
      <c r="Y67" s="2"/>
      <c r="Z67" s="2"/>
    </row>
    <row r="68" ht="15.75" hidden="1" customHeight="1">
      <c r="A68" s="287"/>
      <c r="B68" s="251"/>
      <c r="C68" s="2"/>
      <c r="D68" s="2"/>
      <c r="E68" s="2"/>
      <c r="F68" s="2"/>
      <c r="G68" s="2"/>
      <c r="H68" s="2"/>
      <c r="I68" s="2"/>
      <c r="J68" s="2"/>
      <c r="K68" s="288"/>
      <c r="L68" s="2"/>
      <c r="M68" s="2"/>
      <c r="N68" s="2"/>
      <c r="O68" s="2"/>
      <c r="P68" s="2"/>
      <c r="Q68" s="2"/>
      <c r="R68" s="2"/>
      <c r="S68" s="2"/>
      <c r="T68" s="2"/>
      <c r="U68" s="2"/>
      <c r="V68" s="2"/>
      <c r="W68" s="2"/>
      <c r="X68" s="2"/>
      <c r="Y68" s="2"/>
      <c r="Z68" s="2"/>
    </row>
    <row r="69" ht="15.75" hidden="1" customHeight="1">
      <c r="A69" s="287"/>
      <c r="B69" s="2"/>
      <c r="C69" s="2"/>
      <c r="D69" s="2"/>
      <c r="E69" s="2"/>
      <c r="F69" s="2"/>
      <c r="G69" s="2"/>
      <c r="H69" s="2"/>
      <c r="I69" s="2"/>
      <c r="J69" s="2"/>
      <c r="K69" s="288"/>
      <c r="L69" s="2"/>
      <c r="M69" s="2"/>
      <c r="N69" s="2"/>
      <c r="O69" s="2"/>
      <c r="P69" s="2"/>
      <c r="Q69" s="2"/>
      <c r="R69" s="2"/>
      <c r="S69" s="2"/>
      <c r="T69" s="2"/>
      <c r="U69" s="2"/>
      <c r="V69" s="2"/>
      <c r="W69" s="2"/>
      <c r="X69" s="2"/>
      <c r="Y69" s="2"/>
      <c r="Z69" s="2"/>
    </row>
    <row r="70" ht="15.75" hidden="1" customHeight="1">
      <c r="A70" s="287"/>
      <c r="B70" s="2" t="s">
        <v>168</v>
      </c>
      <c r="C70" s="2"/>
      <c r="D70" s="2"/>
      <c r="E70" s="2"/>
      <c r="F70" s="2"/>
      <c r="G70" s="2"/>
      <c r="H70" s="2"/>
      <c r="I70" s="2"/>
      <c r="J70" s="2"/>
      <c r="K70" s="288"/>
      <c r="L70" s="2"/>
      <c r="M70" s="2"/>
      <c r="N70" s="2"/>
      <c r="O70" s="2"/>
      <c r="P70" s="2"/>
      <c r="Q70" s="2"/>
      <c r="R70" s="2"/>
      <c r="S70" s="2"/>
      <c r="T70" s="2"/>
      <c r="U70" s="2"/>
      <c r="V70" s="2"/>
      <c r="W70" s="2"/>
      <c r="X70" s="2"/>
      <c r="Y70" s="2"/>
      <c r="Z70" s="2"/>
    </row>
    <row r="71" ht="15.75" hidden="1" customHeight="1">
      <c r="A71" s="287"/>
      <c r="B71" s="2">
        <v>0.0</v>
      </c>
      <c r="C71" s="2"/>
      <c r="D71" s="18">
        <f t="shared" ref="D71:E71" si="18">D66</f>
        <v>11364.36229</v>
      </c>
      <c r="E71" s="18">
        <f t="shared" si="18"/>
        <v>1818.297967</v>
      </c>
      <c r="F71" s="18">
        <f>ROUNDUP(G66,0)</f>
        <v>315665</v>
      </c>
      <c r="G71" s="2"/>
      <c r="H71" s="2"/>
      <c r="I71" s="2"/>
      <c r="J71" s="2"/>
      <c r="K71" s="287" t="s">
        <v>171</v>
      </c>
      <c r="L71" s="2"/>
      <c r="M71" s="2"/>
      <c r="N71" s="2"/>
      <c r="O71" s="2"/>
      <c r="P71" s="2"/>
      <c r="Q71" s="2"/>
      <c r="R71" s="2"/>
      <c r="S71" s="2"/>
      <c r="T71" s="2"/>
      <c r="U71" s="2"/>
      <c r="V71" s="2"/>
      <c r="W71" s="2"/>
      <c r="X71" s="2"/>
      <c r="Y71" s="2"/>
      <c r="Z71" s="2"/>
    </row>
    <row r="72" ht="15.75" hidden="1" customHeight="1">
      <c r="A72" s="2"/>
      <c r="B72" s="2">
        <v>3.0</v>
      </c>
      <c r="C72" s="273">
        <f t="shared" ref="C72:C75" si="19">H72+K72</f>
        <v>0.03146350209</v>
      </c>
      <c r="D72" s="18">
        <f t="shared" ref="D72:D75" si="20">G$66/(1-C72)-G$66</f>
        <v>10254.54708</v>
      </c>
      <c r="E72" s="18">
        <f t="shared" ref="E72:E75" si="21">D72*0.16</f>
        <v>1640.727532</v>
      </c>
      <c r="F72" s="18">
        <f t="shared" ref="F72:F75" si="22">ROUNDUP(G$66+D72+E72,0)</f>
        <v>327560</v>
      </c>
      <c r="G72" s="2"/>
      <c r="H72" s="300">
        <v>0.03</v>
      </c>
      <c r="I72" s="261"/>
      <c r="J72" s="276">
        <f t="shared" ref="J72:J75" si="23">F72/$B$6-1</f>
        <v>0.0829088447</v>
      </c>
      <c r="K72" s="301">
        <v>0.0014635020926758503</v>
      </c>
      <c r="L72" s="2"/>
      <c r="M72" s="2"/>
      <c r="N72" s="2"/>
      <c r="O72" s="2"/>
      <c r="P72" s="2"/>
      <c r="Q72" s="2"/>
      <c r="R72" s="2"/>
      <c r="S72" s="2"/>
      <c r="T72" s="2"/>
      <c r="U72" s="2"/>
      <c r="V72" s="2"/>
      <c r="W72" s="2"/>
      <c r="X72" s="2"/>
      <c r="Y72" s="2"/>
      <c r="Z72" s="2"/>
    </row>
    <row r="73" ht="15.75" hidden="1" customHeight="1">
      <c r="A73" s="2"/>
      <c r="B73" s="2">
        <v>6.0</v>
      </c>
      <c r="C73" s="273">
        <f t="shared" si="19"/>
        <v>0.06325</v>
      </c>
      <c r="D73" s="18">
        <f t="shared" si="20"/>
        <v>21313.86652</v>
      </c>
      <c r="E73" s="18">
        <f t="shared" si="21"/>
        <v>3410.218643</v>
      </c>
      <c r="F73" s="18">
        <f t="shared" si="22"/>
        <v>340389</v>
      </c>
      <c r="G73" s="2"/>
      <c r="H73" s="300">
        <v>0.06</v>
      </c>
      <c r="I73" s="261"/>
      <c r="J73" s="276">
        <f t="shared" si="23"/>
        <v>0.1253213419</v>
      </c>
      <c r="K73" s="301">
        <v>0.00325</v>
      </c>
      <c r="L73" s="2"/>
      <c r="M73" s="2"/>
      <c r="N73" s="2"/>
      <c r="O73" s="2"/>
      <c r="P73" s="2"/>
      <c r="Q73" s="2"/>
      <c r="R73" s="2"/>
      <c r="S73" s="2"/>
      <c r="T73" s="2"/>
      <c r="U73" s="2"/>
      <c r="V73" s="2"/>
      <c r="W73" s="2"/>
      <c r="X73" s="2"/>
      <c r="Y73" s="2"/>
      <c r="Z73" s="2"/>
    </row>
    <row r="74" ht="15.75" hidden="1" customHeight="1">
      <c r="A74" s="2"/>
      <c r="B74" s="2">
        <v>9.0</v>
      </c>
      <c r="C74" s="273">
        <f t="shared" si="19"/>
        <v>0.095365</v>
      </c>
      <c r="D74" s="18">
        <f t="shared" si="20"/>
        <v>33276.76044</v>
      </c>
      <c r="E74" s="18">
        <f t="shared" si="21"/>
        <v>5324.28167</v>
      </c>
      <c r="F74" s="18">
        <f t="shared" si="22"/>
        <v>354266</v>
      </c>
      <c r="G74" s="2"/>
      <c r="H74" s="300">
        <v>0.09</v>
      </c>
      <c r="I74" s="261"/>
      <c r="J74" s="276">
        <f t="shared" si="23"/>
        <v>0.1711985126</v>
      </c>
      <c r="K74" s="301">
        <v>0.005365</v>
      </c>
      <c r="L74" s="2"/>
      <c r="M74" s="2"/>
      <c r="N74" s="2"/>
      <c r="O74" s="2"/>
      <c r="P74" s="2"/>
      <c r="Q74" s="2"/>
      <c r="R74" s="2"/>
      <c r="S74" s="2"/>
      <c r="T74" s="2"/>
      <c r="U74" s="2"/>
      <c r="V74" s="2"/>
      <c r="W74" s="2"/>
      <c r="X74" s="2"/>
      <c r="Y74" s="2"/>
      <c r="Z74" s="2"/>
    </row>
    <row r="75" ht="15.75" hidden="1" customHeight="1">
      <c r="A75" s="2"/>
      <c r="B75" s="2">
        <v>12.0</v>
      </c>
      <c r="C75" s="273">
        <f t="shared" si="19"/>
        <v>0.1278</v>
      </c>
      <c r="D75" s="18">
        <f t="shared" si="20"/>
        <v>46253.02965</v>
      </c>
      <c r="E75" s="18">
        <f t="shared" si="21"/>
        <v>7400.484744</v>
      </c>
      <c r="F75" s="18">
        <f t="shared" si="22"/>
        <v>369318</v>
      </c>
      <c r="G75" s="2"/>
      <c r="H75" s="300">
        <v>0.12</v>
      </c>
      <c r="I75" s="261"/>
      <c r="J75" s="276">
        <f t="shared" si="23"/>
        <v>0.2209602171</v>
      </c>
      <c r="K75" s="301">
        <v>0.0078</v>
      </c>
      <c r="L75" s="2"/>
      <c r="M75" s="2"/>
      <c r="N75" s="2"/>
      <c r="O75" s="2"/>
      <c r="P75" s="2"/>
      <c r="Q75" s="2"/>
      <c r="R75" s="2"/>
      <c r="S75" s="2"/>
      <c r="T75" s="2"/>
      <c r="U75" s="2"/>
      <c r="V75" s="2"/>
      <c r="W75" s="2"/>
      <c r="X75" s="2"/>
      <c r="Y75" s="2"/>
      <c r="Z75" s="2"/>
    </row>
    <row r="76" ht="15.75" hidden="1" customHeight="1">
      <c r="A76" s="287"/>
      <c r="B76" s="2"/>
      <c r="C76" s="2"/>
      <c r="D76" s="2"/>
      <c r="E76" s="2"/>
      <c r="F76" s="2"/>
      <c r="G76" s="2"/>
      <c r="H76" s="2"/>
      <c r="I76" s="2"/>
      <c r="J76" s="2"/>
      <c r="K76" s="288"/>
      <c r="L76" s="2"/>
      <c r="M76" s="2"/>
      <c r="N76" s="2"/>
      <c r="O76" s="2"/>
      <c r="P76" s="2"/>
      <c r="Q76" s="2"/>
      <c r="R76" s="2"/>
      <c r="S76" s="2"/>
      <c r="T76" s="2"/>
      <c r="U76" s="2"/>
      <c r="V76" s="2"/>
      <c r="W76" s="2"/>
      <c r="X76" s="2"/>
      <c r="Y76" s="2"/>
      <c r="Z76" s="2"/>
    </row>
    <row r="77" ht="15.75" hidden="1" customHeight="1">
      <c r="A77" s="287"/>
      <c r="B77" s="2"/>
      <c r="C77" s="2"/>
      <c r="D77" s="2"/>
      <c r="E77" s="2"/>
      <c r="F77" s="2"/>
      <c r="G77" s="2"/>
      <c r="H77" s="2"/>
      <c r="I77" s="2"/>
      <c r="J77" s="2"/>
      <c r="K77" s="288"/>
      <c r="L77" s="2"/>
      <c r="M77" s="2"/>
      <c r="N77" s="2"/>
      <c r="O77" s="2"/>
      <c r="P77" s="2"/>
      <c r="Q77" s="2"/>
      <c r="R77" s="2"/>
      <c r="S77" s="2"/>
      <c r="T77" s="2"/>
      <c r="U77" s="2"/>
      <c r="V77" s="2"/>
      <c r="W77" s="2"/>
      <c r="X77" s="2"/>
      <c r="Y77" s="2"/>
      <c r="Z77" s="2"/>
    </row>
    <row r="78" ht="15.75" hidden="1" customHeight="1">
      <c r="A78" s="287"/>
      <c r="B78" s="2"/>
      <c r="C78" s="2"/>
      <c r="D78" s="2"/>
      <c r="E78" s="2"/>
      <c r="F78" s="2"/>
      <c r="G78" s="2"/>
      <c r="H78" s="2"/>
      <c r="I78" s="2"/>
      <c r="J78" s="2"/>
      <c r="K78" s="288"/>
      <c r="L78" s="2"/>
      <c r="M78" s="2"/>
      <c r="N78" s="2"/>
      <c r="O78" s="2"/>
      <c r="P78" s="2"/>
      <c r="Q78" s="2"/>
      <c r="R78" s="2"/>
      <c r="S78" s="2"/>
      <c r="T78" s="2"/>
      <c r="U78" s="2"/>
      <c r="V78" s="2"/>
      <c r="W78" s="2"/>
      <c r="X78" s="2"/>
      <c r="Y78" s="2"/>
      <c r="Z78" s="2"/>
    </row>
    <row r="79" ht="15.75" hidden="1" customHeight="1">
      <c r="A79" s="287"/>
      <c r="B79" s="2"/>
      <c r="C79" s="2"/>
      <c r="D79" s="2"/>
      <c r="E79" s="2"/>
      <c r="F79" s="2"/>
      <c r="G79" s="2"/>
      <c r="H79" s="2"/>
      <c r="I79" s="2"/>
      <c r="J79" s="2"/>
      <c r="K79" s="288"/>
      <c r="L79" s="2"/>
      <c r="M79" s="2"/>
      <c r="N79" s="2"/>
      <c r="O79" s="2"/>
      <c r="P79" s="2"/>
      <c r="Q79" s="2"/>
      <c r="R79" s="2"/>
      <c r="S79" s="2"/>
      <c r="T79" s="2"/>
      <c r="U79" s="2"/>
      <c r="V79" s="2"/>
      <c r="W79" s="2"/>
      <c r="X79" s="2"/>
      <c r="Y79" s="2"/>
      <c r="Z79" s="2"/>
    </row>
    <row r="80" ht="15.75" hidden="1" customHeight="1">
      <c r="A80" s="287"/>
      <c r="B80" s="2"/>
      <c r="C80" s="2"/>
      <c r="D80" s="2"/>
      <c r="E80" s="2"/>
      <c r="F80" s="2"/>
      <c r="G80" s="2"/>
      <c r="H80" s="2"/>
      <c r="I80" s="2"/>
      <c r="J80" s="2"/>
      <c r="K80" s="288"/>
      <c r="L80" s="2"/>
      <c r="M80" s="2"/>
      <c r="N80" s="2"/>
      <c r="O80" s="2"/>
      <c r="P80" s="2"/>
      <c r="Q80" s="2"/>
      <c r="R80" s="2"/>
      <c r="S80" s="2"/>
      <c r="T80" s="2"/>
      <c r="U80" s="2"/>
      <c r="V80" s="2"/>
      <c r="W80" s="2"/>
      <c r="X80" s="2"/>
      <c r="Y80" s="2"/>
      <c r="Z80" s="2"/>
    </row>
    <row r="81" ht="15.75" hidden="1" customHeight="1">
      <c r="A81" s="287"/>
      <c r="B81" s="2"/>
      <c r="C81" s="2"/>
      <c r="D81" s="2"/>
      <c r="E81" s="2"/>
      <c r="F81" s="2"/>
      <c r="G81" s="2"/>
      <c r="H81" s="2"/>
      <c r="I81" s="2"/>
      <c r="J81" s="2"/>
      <c r="K81" s="288"/>
      <c r="L81" s="2"/>
      <c r="M81" s="2"/>
      <c r="N81" s="2"/>
      <c r="O81" s="2"/>
      <c r="P81" s="2"/>
      <c r="Q81" s="2"/>
      <c r="R81" s="2"/>
      <c r="S81" s="2"/>
      <c r="T81" s="2"/>
      <c r="U81" s="2"/>
      <c r="V81" s="2"/>
      <c r="W81" s="2"/>
      <c r="X81" s="2"/>
      <c r="Y81" s="2"/>
      <c r="Z81" s="2"/>
    </row>
    <row r="82" ht="15.75" hidden="1" customHeight="1">
      <c r="A82" s="287"/>
      <c r="B82" s="2"/>
      <c r="C82" s="2"/>
      <c r="D82" s="2"/>
      <c r="E82" s="2"/>
      <c r="F82" s="2"/>
      <c r="G82" s="2"/>
      <c r="H82" s="2"/>
      <c r="I82" s="2"/>
      <c r="J82" s="2"/>
      <c r="K82" s="288"/>
      <c r="L82" s="2"/>
      <c r="M82" s="2"/>
      <c r="N82" s="2"/>
      <c r="O82" s="2"/>
      <c r="P82" s="2"/>
      <c r="Q82" s="2"/>
      <c r="R82" s="2"/>
      <c r="S82" s="2"/>
      <c r="T82" s="2"/>
      <c r="U82" s="2"/>
      <c r="V82" s="2"/>
      <c r="W82" s="2"/>
      <c r="X82" s="2"/>
      <c r="Y82" s="2"/>
      <c r="Z82" s="2"/>
    </row>
    <row r="83" ht="15.75" hidden="1" customHeight="1">
      <c r="A83" s="287"/>
      <c r="B83" s="2"/>
      <c r="C83" s="2"/>
      <c r="D83" s="2"/>
      <c r="E83" s="2"/>
      <c r="F83" s="2"/>
      <c r="G83" s="2"/>
      <c r="H83" s="2"/>
      <c r="I83" s="2"/>
      <c r="J83" s="2"/>
      <c r="K83" s="288"/>
      <c r="L83" s="2"/>
      <c r="M83" s="2"/>
      <c r="N83" s="2"/>
      <c r="O83" s="2"/>
      <c r="P83" s="2"/>
      <c r="Q83" s="2"/>
      <c r="R83" s="2"/>
      <c r="S83" s="2"/>
      <c r="T83" s="2"/>
      <c r="U83" s="2"/>
      <c r="V83" s="2"/>
      <c r="W83" s="2"/>
      <c r="X83" s="2"/>
      <c r="Y83" s="2"/>
      <c r="Z83" s="2"/>
    </row>
    <row r="84" ht="15.75" hidden="1" customHeight="1">
      <c r="A84" s="275">
        <v>0.036</v>
      </c>
      <c r="B84" s="2" t="s">
        <v>173</v>
      </c>
      <c r="C84" s="2"/>
      <c r="D84" s="2"/>
      <c r="E84" s="2"/>
      <c r="F84" s="2"/>
      <c r="G84" s="2"/>
      <c r="H84" s="2"/>
      <c r="I84" s="2"/>
      <c r="J84" s="2"/>
      <c r="K84" s="288"/>
      <c r="L84" s="2"/>
      <c r="M84" s="2"/>
      <c r="N84" s="2"/>
      <c r="O84" s="2"/>
      <c r="P84" s="2"/>
      <c r="Q84" s="2"/>
      <c r="R84" s="2"/>
      <c r="S84" s="2"/>
      <c r="T84" s="2"/>
      <c r="U84" s="2"/>
      <c r="V84" s="2"/>
      <c r="W84" s="2"/>
      <c r="X84" s="2"/>
      <c r="Y84" s="2"/>
      <c r="Z84" s="2"/>
    </row>
    <row r="85" ht="15.75" hidden="1" customHeight="1">
      <c r="A85" s="289">
        <v>0.0</v>
      </c>
      <c r="B85" s="2" t="s">
        <v>165</v>
      </c>
      <c r="C85" s="2" t="s">
        <v>184</v>
      </c>
      <c r="D85" s="2" t="s">
        <v>175</v>
      </c>
      <c r="E85" s="2" t="s">
        <v>176</v>
      </c>
      <c r="F85" s="2" t="s">
        <v>177</v>
      </c>
      <c r="G85" s="2" t="s">
        <v>178</v>
      </c>
      <c r="H85" s="2" t="s">
        <v>179</v>
      </c>
      <c r="I85" s="2"/>
      <c r="J85" s="2"/>
      <c r="K85" s="288"/>
      <c r="L85" s="2"/>
      <c r="M85" s="2"/>
      <c r="N85" s="2"/>
      <c r="O85" s="2"/>
      <c r="P85" s="2"/>
      <c r="Q85" s="2"/>
      <c r="R85" s="2"/>
      <c r="S85" s="2"/>
      <c r="T85" s="2"/>
      <c r="U85" s="2"/>
      <c r="V85" s="2"/>
      <c r="W85" s="2"/>
      <c r="X85" s="2"/>
      <c r="Y85" s="2"/>
      <c r="Z85" s="2"/>
    </row>
    <row r="86" ht="15.75" hidden="1" customHeight="1">
      <c r="A86" s="287"/>
      <c r="B86" s="2" t="s">
        <v>180</v>
      </c>
      <c r="C86" s="290">
        <f>VLOOKUP(J87,B71:F75,5,FALSE)</f>
        <v>315665</v>
      </c>
      <c r="D86" s="18">
        <f>C86*A84</f>
        <v>11363.94</v>
      </c>
      <c r="E86" s="18">
        <f>A85</f>
        <v>0</v>
      </c>
      <c r="F86" s="18">
        <f t="shared" ref="F86:F87" si="24">D86+E86</f>
        <v>11363.94</v>
      </c>
      <c r="G86" s="18">
        <f t="shared" ref="G86:G87" si="25">F86*1.16</f>
        <v>13182.1704</v>
      </c>
      <c r="H86" s="18">
        <f>C86-G86</f>
        <v>302482.8296</v>
      </c>
      <c r="I86" s="2" t="s">
        <v>180</v>
      </c>
      <c r="J86" s="2"/>
      <c r="K86" s="288"/>
      <c r="L86" s="2"/>
      <c r="M86" s="2"/>
      <c r="N86" s="2"/>
      <c r="O86" s="2"/>
      <c r="P86" s="2"/>
      <c r="Q86" s="2"/>
      <c r="R86" s="2"/>
      <c r="S86" s="2"/>
      <c r="T86" s="2"/>
      <c r="U86" s="2"/>
      <c r="V86" s="2"/>
      <c r="W86" s="2"/>
      <c r="X86" s="2"/>
      <c r="Y86" s="2"/>
      <c r="Z86" s="2"/>
    </row>
    <row r="87" ht="15.75" hidden="1" customHeight="1">
      <c r="A87" s="291" t="str">
        <f>VLOOKUP(J87,B72:H75,7,FALSE)</f>
        <v>#N/A</v>
      </c>
      <c r="B87" s="292" t="s">
        <v>181</v>
      </c>
      <c r="C87" s="292"/>
      <c r="D87" s="293" t="str">
        <f>C86*A87</f>
        <v>#N/A</v>
      </c>
      <c r="E87" s="292">
        <v>0.0</v>
      </c>
      <c r="F87" s="293" t="str">
        <f t="shared" si="24"/>
        <v>#N/A</v>
      </c>
      <c r="G87" s="293" t="str">
        <f t="shared" si="25"/>
        <v>#N/A</v>
      </c>
      <c r="H87" s="294" t="str">
        <f>H86-G87</f>
        <v>#N/A</v>
      </c>
      <c r="I87" s="292" t="s">
        <v>181</v>
      </c>
      <c r="J87" s="302">
        <f>J33</f>
        <v>0</v>
      </c>
      <c r="K87" s="296"/>
      <c r="L87" s="2"/>
      <c r="M87" s="2"/>
      <c r="N87" s="2"/>
      <c r="O87" s="2"/>
      <c r="P87" s="2"/>
      <c r="Q87" s="2"/>
      <c r="R87" s="2"/>
      <c r="S87" s="2"/>
      <c r="T87" s="2"/>
      <c r="U87" s="2"/>
      <c r="V87" s="2"/>
      <c r="W87" s="2"/>
      <c r="X87" s="2"/>
      <c r="Y87" s="2"/>
      <c r="Z87" s="2"/>
    </row>
    <row r="88" ht="15.75" hidden="1" customHeight="1">
      <c r="A88" s="2"/>
      <c r="B88" s="2"/>
      <c r="C88" s="2"/>
      <c r="D88" s="2"/>
      <c r="E88" s="2"/>
      <c r="F88" s="2"/>
      <c r="G88" s="18" t="str">
        <f>SUM(G86:G87)</f>
        <v>#N/A</v>
      </c>
      <c r="H88" s="2"/>
      <c r="I88" s="2"/>
      <c r="J88" s="2"/>
      <c r="K88" s="2"/>
      <c r="L88" s="2"/>
      <c r="M88" s="2"/>
      <c r="N88" s="2"/>
      <c r="O88" s="2"/>
      <c r="P88" s="2"/>
      <c r="Q88" s="2"/>
      <c r="R88" s="2"/>
      <c r="S88" s="2"/>
      <c r="T88" s="2"/>
      <c r="U88" s="2"/>
      <c r="V88" s="2"/>
      <c r="W88" s="2"/>
      <c r="X88" s="2"/>
      <c r="Y88" s="2"/>
      <c r="Z88" s="2"/>
    </row>
    <row r="89" ht="15.75" hidden="1" customHeight="1">
      <c r="A89" s="2"/>
      <c r="B89" s="2"/>
      <c r="C89" s="2"/>
      <c r="D89" s="2"/>
      <c r="E89" s="2"/>
      <c r="F89" s="2"/>
      <c r="G89" s="18"/>
      <c r="H89" s="2"/>
      <c r="I89" s="2"/>
      <c r="J89" s="2"/>
      <c r="K89" s="2"/>
      <c r="L89" s="2"/>
      <c r="M89" s="2"/>
      <c r="N89" s="2"/>
      <c r="O89" s="2"/>
      <c r="P89" s="2"/>
      <c r="Q89" s="2"/>
      <c r="R89" s="2"/>
      <c r="S89" s="2"/>
      <c r="T89" s="2"/>
      <c r="U89" s="2"/>
      <c r="V89" s="2"/>
      <c r="W89" s="2"/>
      <c r="X89" s="2"/>
      <c r="Y89" s="2"/>
      <c r="Z89" s="2"/>
    </row>
    <row r="90" ht="15.75" hidden="1"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hidden="1" customHeight="1">
      <c r="A91" s="157" t="s">
        <v>187</v>
      </c>
      <c r="M91" s="2"/>
      <c r="N91" s="2"/>
      <c r="O91" s="2"/>
      <c r="P91" s="2"/>
      <c r="Q91" s="2"/>
      <c r="R91" s="2"/>
      <c r="S91" s="2"/>
      <c r="T91" s="2"/>
      <c r="U91" s="2"/>
      <c r="V91" s="2"/>
      <c r="W91" s="2"/>
      <c r="X91" s="2"/>
      <c r="Y91" s="2"/>
      <c r="Z91" s="2"/>
    </row>
    <row r="92" ht="15.75" hidden="1" customHeight="1">
      <c r="A92" s="297"/>
      <c r="B92" s="298" t="s">
        <v>186</v>
      </c>
      <c r="C92" s="298"/>
      <c r="D92" s="298" t="s">
        <v>183</v>
      </c>
      <c r="E92" s="298" t="s">
        <v>126</v>
      </c>
      <c r="F92" s="298" t="s">
        <v>127</v>
      </c>
      <c r="G92" s="298" t="s">
        <v>162</v>
      </c>
      <c r="H92" s="298" t="s">
        <v>163</v>
      </c>
      <c r="I92" s="298"/>
      <c r="J92" s="298"/>
      <c r="K92" s="299"/>
      <c r="L92" s="2"/>
      <c r="M92" s="2"/>
      <c r="N92" s="2"/>
      <c r="O92" s="2"/>
      <c r="P92" s="2"/>
      <c r="Q92" s="2"/>
      <c r="R92" s="2"/>
      <c r="S92" s="2"/>
      <c r="T92" s="2"/>
      <c r="U92" s="2"/>
      <c r="V92" s="2"/>
      <c r="W92" s="2"/>
      <c r="X92" s="2"/>
      <c r="Y92" s="2"/>
      <c r="Z92" s="2"/>
    </row>
    <row r="93" ht="15.75" hidden="1" customHeight="1">
      <c r="A93" s="275">
        <v>0.036</v>
      </c>
      <c r="B93" s="273">
        <f>A93+B96</f>
        <v>0.03621</v>
      </c>
      <c r="C93" s="18">
        <f>$B$6/(1-B93)-$B$6</f>
        <v>11364.36229</v>
      </c>
      <c r="D93" s="2"/>
      <c r="E93" s="2"/>
      <c r="F93" s="2"/>
      <c r="G93" s="2"/>
      <c r="H93" s="2"/>
      <c r="I93" s="2"/>
      <c r="J93" s="2"/>
      <c r="K93" s="288"/>
      <c r="L93" s="2"/>
      <c r="M93" s="2"/>
      <c r="N93" s="2"/>
      <c r="O93" s="2"/>
      <c r="P93" s="2"/>
      <c r="Q93" s="2"/>
      <c r="R93" s="2"/>
      <c r="S93" s="2"/>
      <c r="T93" s="2"/>
      <c r="U93" s="2"/>
      <c r="V93" s="2"/>
      <c r="W93" s="2"/>
      <c r="X93" s="2"/>
      <c r="Y93" s="2"/>
      <c r="Z93" s="2"/>
    </row>
    <row r="94" ht="15.75" hidden="1" customHeight="1">
      <c r="A94" s="287"/>
      <c r="B94" s="276" t="s">
        <v>165</v>
      </c>
      <c r="C94" s="18">
        <v>0.0</v>
      </c>
      <c r="D94" s="2"/>
      <c r="E94" s="2"/>
      <c r="F94" s="2"/>
      <c r="G94" s="2"/>
      <c r="H94" s="2"/>
      <c r="I94" s="2"/>
      <c r="J94" s="2"/>
      <c r="K94" s="288"/>
      <c r="L94" s="2"/>
      <c r="M94" s="2"/>
      <c r="N94" s="2"/>
      <c r="O94" s="2"/>
      <c r="P94" s="2"/>
      <c r="Q94" s="2"/>
      <c r="R94" s="2"/>
      <c r="S94" s="2"/>
      <c r="T94" s="2"/>
      <c r="U94" s="2"/>
      <c r="V94" s="2"/>
      <c r="W94" s="2"/>
      <c r="X94" s="2"/>
      <c r="Y94" s="2"/>
      <c r="Z94" s="2"/>
    </row>
    <row r="95" ht="15.75" hidden="1" customHeight="1">
      <c r="A95" s="287"/>
      <c r="B95" s="276"/>
      <c r="C95" s="2"/>
      <c r="D95" s="18">
        <f>SUM(C93:C94)</f>
        <v>11364.36229</v>
      </c>
      <c r="E95" s="18">
        <f>D95*0.16</f>
        <v>1818.297967</v>
      </c>
      <c r="F95" s="18">
        <f>D95+E95</f>
        <v>13182.66026</v>
      </c>
      <c r="G95" s="18">
        <f>F95+$B$6</f>
        <v>315664.2603</v>
      </c>
      <c r="H95" s="2"/>
      <c r="I95" s="2"/>
      <c r="J95" s="2"/>
      <c r="K95" s="288"/>
      <c r="L95" s="2"/>
      <c r="M95" s="2"/>
      <c r="N95" s="2"/>
      <c r="O95" s="2"/>
      <c r="P95" s="2"/>
      <c r="Q95" s="2"/>
      <c r="R95" s="2"/>
      <c r="S95" s="2"/>
      <c r="T95" s="2"/>
      <c r="U95" s="2"/>
      <c r="V95" s="2"/>
      <c r="W95" s="2"/>
      <c r="X95" s="2"/>
      <c r="Y95" s="2"/>
      <c r="Z95" s="2"/>
    </row>
    <row r="96" ht="15.75" hidden="1" customHeight="1">
      <c r="A96" s="287" t="s">
        <v>166</v>
      </c>
      <c r="B96" s="251">
        <v>2.1E-4</v>
      </c>
      <c r="C96" s="2"/>
      <c r="D96" s="2"/>
      <c r="E96" s="2"/>
      <c r="F96" s="2"/>
      <c r="G96" s="2"/>
      <c r="H96" s="2"/>
      <c r="I96" s="2"/>
      <c r="J96" s="2"/>
      <c r="K96" s="288"/>
      <c r="L96" s="2"/>
      <c r="M96" s="2"/>
      <c r="N96" s="2"/>
      <c r="O96" s="2"/>
      <c r="P96" s="2"/>
      <c r="Q96" s="2"/>
      <c r="R96" s="2"/>
      <c r="S96" s="2"/>
      <c r="T96" s="2"/>
      <c r="U96" s="2"/>
      <c r="V96" s="2"/>
      <c r="W96" s="2"/>
      <c r="X96" s="2"/>
      <c r="Y96" s="2"/>
      <c r="Z96" s="2"/>
    </row>
    <row r="97" ht="15.75" hidden="1" customHeight="1">
      <c r="A97" s="287"/>
      <c r="B97" s="251"/>
      <c r="C97" s="2"/>
      <c r="D97" s="2"/>
      <c r="E97" s="2"/>
      <c r="F97" s="2"/>
      <c r="G97" s="2"/>
      <c r="H97" s="2"/>
      <c r="I97" s="2"/>
      <c r="J97" s="2"/>
      <c r="K97" s="288"/>
      <c r="L97" s="2"/>
      <c r="M97" s="2"/>
      <c r="N97" s="2"/>
      <c r="O97" s="2"/>
      <c r="P97" s="2"/>
      <c r="Q97" s="2"/>
      <c r="R97" s="2"/>
      <c r="S97" s="2"/>
      <c r="T97" s="2"/>
      <c r="U97" s="2"/>
      <c r="V97" s="2"/>
      <c r="W97" s="2"/>
      <c r="X97" s="2"/>
      <c r="Y97" s="2"/>
      <c r="Z97" s="2"/>
    </row>
    <row r="98" ht="15.75" hidden="1" customHeight="1">
      <c r="A98" s="287"/>
      <c r="B98" s="2"/>
      <c r="C98" s="2"/>
      <c r="D98" s="2"/>
      <c r="E98" s="2"/>
      <c r="F98" s="2"/>
      <c r="G98" s="2"/>
      <c r="H98" s="2"/>
      <c r="I98" s="2"/>
      <c r="J98" s="2"/>
      <c r="K98" s="288"/>
      <c r="L98" s="2"/>
      <c r="M98" s="2"/>
      <c r="N98" s="2"/>
      <c r="O98" s="2"/>
      <c r="P98" s="2"/>
      <c r="Q98" s="2"/>
      <c r="R98" s="2"/>
      <c r="S98" s="2"/>
      <c r="T98" s="2"/>
      <c r="U98" s="2"/>
      <c r="V98" s="2"/>
      <c r="W98" s="2"/>
      <c r="X98" s="2"/>
      <c r="Y98" s="2"/>
      <c r="Z98" s="2"/>
    </row>
    <row r="99" ht="15.75" hidden="1" customHeight="1">
      <c r="A99" s="287"/>
      <c r="B99" s="2" t="s">
        <v>168</v>
      </c>
      <c r="C99" s="2"/>
      <c r="D99" s="2"/>
      <c r="E99" s="2"/>
      <c r="F99" s="2"/>
      <c r="G99" s="2"/>
      <c r="H99" s="2"/>
      <c r="I99" s="2"/>
      <c r="J99" s="2"/>
      <c r="K99" s="288"/>
      <c r="L99" s="2"/>
      <c r="M99" s="2"/>
      <c r="N99" s="2"/>
      <c r="O99" s="2"/>
      <c r="P99" s="2"/>
      <c r="Q99" s="2"/>
      <c r="R99" s="2"/>
      <c r="S99" s="2"/>
      <c r="T99" s="2"/>
      <c r="U99" s="2"/>
      <c r="V99" s="2"/>
      <c r="W99" s="2"/>
      <c r="X99" s="2"/>
      <c r="Y99" s="2"/>
      <c r="Z99" s="2"/>
    </row>
    <row r="100" ht="15.75" hidden="1" customHeight="1">
      <c r="A100" s="287"/>
      <c r="B100" s="2">
        <v>0.0</v>
      </c>
      <c r="C100" s="2"/>
      <c r="D100" s="18">
        <f t="shared" ref="D100:E100" si="26">D95</f>
        <v>11364.36229</v>
      </c>
      <c r="E100" s="18">
        <f t="shared" si="26"/>
        <v>1818.297967</v>
      </c>
      <c r="F100" s="18">
        <f>ROUNDUP(G95,0)</f>
        <v>315665</v>
      </c>
      <c r="G100" s="2"/>
      <c r="H100" s="2"/>
      <c r="I100" s="2"/>
      <c r="J100" s="2"/>
      <c r="K100" s="287" t="s">
        <v>171</v>
      </c>
      <c r="L100" s="2"/>
      <c r="M100" s="2"/>
      <c r="N100" s="2"/>
      <c r="O100" s="2"/>
      <c r="P100" s="2"/>
      <c r="Q100" s="2"/>
      <c r="R100" s="2"/>
      <c r="S100" s="2"/>
      <c r="T100" s="2"/>
      <c r="U100" s="2"/>
      <c r="V100" s="2"/>
      <c r="W100" s="2"/>
      <c r="X100" s="2"/>
      <c r="Y100" s="2"/>
      <c r="Z100" s="2"/>
    </row>
    <row r="101" ht="15.75" hidden="1" customHeight="1">
      <c r="A101" s="2"/>
      <c r="B101" s="2">
        <v>3.0</v>
      </c>
      <c r="C101" s="273">
        <f t="shared" ref="C101:C104" si="27">H101+K101</f>
        <v>0.047316</v>
      </c>
      <c r="D101" s="18">
        <f t="shared" ref="D101:D104" si="28">G$66/(1-C101)-G$66</f>
        <v>15677.77998</v>
      </c>
      <c r="E101" s="18">
        <f t="shared" ref="E101:E104" si="29">D101*0.16</f>
        <v>2508.444796</v>
      </c>
      <c r="F101" s="18">
        <f t="shared" ref="F101:F104" si="30">ROUNDUP(G$66+D101+E101,0)</f>
        <v>333851</v>
      </c>
      <c r="G101" s="2"/>
      <c r="H101" s="300">
        <v>0.045</v>
      </c>
      <c r="I101" s="261"/>
      <c r="J101" s="276">
        <f t="shared" ref="J101:J104" si="31">F101/$B$6-1</f>
        <v>0.103706804</v>
      </c>
      <c r="K101" s="301">
        <v>0.002316</v>
      </c>
      <c r="L101" s="2"/>
      <c r="M101" s="251">
        <v>0.002316</v>
      </c>
      <c r="N101" s="2"/>
      <c r="O101" s="2"/>
      <c r="P101" s="2"/>
      <c r="Q101" s="2"/>
      <c r="R101" s="2"/>
      <c r="S101" s="2"/>
      <c r="T101" s="2"/>
      <c r="U101" s="2"/>
      <c r="V101" s="2"/>
      <c r="W101" s="2"/>
      <c r="X101" s="2"/>
      <c r="Y101" s="2"/>
      <c r="Z101" s="2"/>
    </row>
    <row r="102" ht="15.75" hidden="1" customHeight="1">
      <c r="A102" s="2"/>
      <c r="B102" s="2">
        <v>6.0</v>
      </c>
      <c r="C102" s="273">
        <f t="shared" si="27"/>
        <v>0.079261</v>
      </c>
      <c r="D102" s="18">
        <f t="shared" si="28"/>
        <v>27173.67781</v>
      </c>
      <c r="E102" s="18">
        <f t="shared" si="29"/>
        <v>4347.78845</v>
      </c>
      <c r="F102" s="18">
        <f t="shared" si="30"/>
        <v>347186</v>
      </c>
      <c r="G102" s="2"/>
      <c r="H102" s="300">
        <v>0.075</v>
      </c>
      <c r="I102" s="261"/>
      <c r="J102" s="276">
        <f t="shared" si="31"/>
        <v>0.1477921302</v>
      </c>
      <c r="K102" s="301">
        <v>0.004261</v>
      </c>
      <c r="L102" s="2"/>
      <c r="M102" s="251">
        <v>0.004261</v>
      </c>
      <c r="N102" s="2"/>
      <c r="O102" s="2"/>
      <c r="P102" s="2"/>
      <c r="Q102" s="2"/>
      <c r="R102" s="2"/>
      <c r="S102" s="2"/>
      <c r="T102" s="2"/>
      <c r="U102" s="2"/>
      <c r="V102" s="2"/>
      <c r="W102" s="2"/>
      <c r="X102" s="2"/>
      <c r="Y102" s="2"/>
      <c r="Z102" s="2"/>
    </row>
    <row r="103" ht="15.75" hidden="1" customHeight="1">
      <c r="A103" s="2"/>
      <c r="B103" s="2">
        <v>9.0</v>
      </c>
      <c r="C103" s="273">
        <f t="shared" si="27"/>
        <v>0.1050496748</v>
      </c>
      <c r="D103" s="18">
        <f t="shared" si="28"/>
        <v>37052.81395</v>
      </c>
      <c r="E103" s="18">
        <f t="shared" si="29"/>
        <v>5928.450232</v>
      </c>
      <c r="F103" s="18">
        <f t="shared" si="30"/>
        <v>358646</v>
      </c>
      <c r="G103" s="2"/>
      <c r="H103" s="300">
        <v>0.099</v>
      </c>
      <c r="I103" s="261"/>
      <c r="J103" s="276">
        <f t="shared" si="31"/>
        <v>0.1856787322</v>
      </c>
      <c r="K103" s="301">
        <v>0.006049674823954908</v>
      </c>
      <c r="L103" s="2"/>
      <c r="M103" s="251">
        <v>0.006049674823954908</v>
      </c>
      <c r="N103" s="2"/>
      <c r="O103" s="2"/>
      <c r="P103" s="2"/>
      <c r="Q103" s="2"/>
      <c r="R103" s="2"/>
      <c r="S103" s="2"/>
      <c r="T103" s="2"/>
      <c r="U103" s="2"/>
      <c r="V103" s="2"/>
      <c r="W103" s="2"/>
      <c r="X103" s="2"/>
      <c r="Y103" s="2"/>
      <c r="Z103" s="2"/>
    </row>
    <row r="104" ht="15.75" hidden="1" customHeight="1">
      <c r="A104" s="2"/>
      <c r="B104" s="2">
        <v>12.0</v>
      </c>
      <c r="C104" s="273">
        <f t="shared" si="27"/>
        <v>0.127246</v>
      </c>
      <c r="D104" s="18">
        <f t="shared" si="28"/>
        <v>46023.29461</v>
      </c>
      <c r="E104" s="18">
        <f t="shared" si="29"/>
        <v>7363.727137</v>
      </c>
      <c r="F104" s="18">
        <f t="shared" si="30"/>
        <v>369052</v>
      </c>
      <c r="G104" s="2"/>
      <c r="H104" s="275">
        <v>0.1195</v>
      </c>
      <c r="I104" s="261"/>
      <c r="J104" s="276">
        <f t="shared" si="31"/>
        <v>0.2200808248</v>
      </c>
      <c r="K104" s="301">
        <v>0.007746</v>
      </c>
      <c r="L104" s="2"/>
      <c r="M104" s="251">
        <v>0.007746</v>
      </c>
      <c r="N104" s="2"/>
      <c r="O104" s="2"/>
      <c r="P104" s="2"/>
      <c r="Q104" s="2"/>
      <c r="R104" s="2"/>
      <c r="S104" s="2"/>
      <c r="T104" s="2"/>
      <c r="U104" s="2"/>
      <c r="V104" s="2"/>
      <c r="W104" s="2"/>
      <c r="X104" s="2"/>
      <c r="Y104" s="2"/>
      <c r="Z104" s="2"/>
    </row>
    <row r="105" ht="15.75" hidden="1" customHeight="1">
      <c r="A105" s="287"/>
      <c r="B105" s="2"/>
      <c r="C105" s="2"/>
      <c r="D105" s="2"/>
      <c r="E105" s="2"/>
      <c r="F105" s="2"/>
      <c r="G105" s="2"/>
      <c r="H105" s="2"/>
      <c r="I105" s="2"/>
      <c r="J105" s="2"/>
      <c r="K105" s="288"/>
      <c r="L105" s="2"/>
      <c r="M105" s="2"/>
      <c r="N105" s="2"/>
      <c r="O105" s="2"/>
      <c r="P105" s="2"/>
      <c r="Q105" s="2"/>
      <c r="R105" s="2"/>
      <c r="S105" s="2"/>
      <c r="T105" s="2"/>
      <c r="U105" s="2"/>
      <c r="V105" s="2"/>
      <c r="W105" s="2"/>
      <c r="X105" s="2"/>
      <c r="Y105" s="2"/>
      <c r="Z105" s="2"/>
    </row>
    <row r="106" ht="15.75" hidden="1" customHeight="1">
      <c r="A106" s="287"/>
      <c r="B106" s="2"/>
      <c r="C106" s="2"/>
      <c r="D106" s="2"/>
      <c r="E106" s="2"/>
      <c r="F106" s="2"/>
      <c r="G106" s="2"/>
      <c r="H106" s="2"/>
      <c r="I106" s="2"/>
      <c r="J106" s="2"/>
      <c r="K106" s="288"/>
      <c r="L106" s="2"/>
      <c r="M106" s="2"/>
      <c r="N106" s="2"/>
      <c r="O106" s="2"/>
      <c r="P106" s="2"/>
      <c r="Q106" s="2"/>
      <c r="R106" s="2"/>
      <c r="S106" s="2"/>
      <c r="T106" s="2"/>
      <c r="U106" s="2"/>
      <c r="V106" s="2"/>
      <c r="W106" s="2"/>
      <c r="X106" s="2"/>
      <c r="Y106" s="2"/>
      <c r="Z106" s="2"/>
    </row>
    <row r="107" ht="15.75" hidden="1" customHeight="1">
      <c r="A107" s="287"/>
      <c r="B107" s="2"/>
      <c r="C107" s="2"/>
      <c r="D107" s="2"/>
      <c r="E107" s="2"/>
      <c r="F107" s="2"/>
      <c r="G107" s="2"/>
      <c r="H107" s="2"/>
      <c r="I107" s="2"/>
      <c r="J107" s="2"/>
      <c r="K107" s="288"/>
      <c r="L107" s="2"/>
      <c r="M107" s="2"/>
      <c r="N107" s="2"/>
      <c r="O107" s="2"/>
      <c r="P107" s="2"/>
      <c r="Q107" s="2"/>
      <c r="R107" s="2"/>
      <c r="S107" s="2"/>
      <c r="T107" s="2"/>
      <c r="U107" s="2"/>
      <c r="V107" s="2"/>
      <c r="W107" s="2"/>
      <c r="X107" s="2"/>
      <c r="Y107" s="2"/>
      <c r="Z107" s="2"/>
    </row>
    <row r="108" ht="15.75" hidden="1" customHeight="1">
      <c r="A108" s="287"/>
      <c r="B108" s="2"/>
      <c r="C108" s="2"/>
      <c r="D108" s="2"/>
      <c r="E108" s="2"/>
      <c r="F108" s="2"/>
      <c r="G108" s="2"/>
      <c r="H108" s="2"/>
      <c r="I108" s="2"/>
      <c r="J108" s="2"/>
      <c r="K108" s="288"/>
      <c r="L108" s="2"/>
      <c r="M108" s="2"/>
      <c r="N108" s="2"/>
      <c r="O108" s="2"/>
      <c r="P108" s="2"/>
      <c r="Q108" s="2"/>
      <c r="R108" s="2"/>
      <c r="S108" s="2"/>
      <c r="T108" s="2"/>
      <c r="U108" s="2"/>
      <c r="V108" s="2"/>
      <c r="W108" s="2"/>
      <c r="X108" s="2"/>
      <c r="Y108" s="2"/>
      <c r="Z108" s="2"/>
    </row>
    <row r="109" ht="15.75" hidden="1" customHeight="1">
      <c r="A109" s="287"/>
      <c r="B109" s="2"/>
      <c r="C109" s="2"/>
      <c r="D109" s="2"/>
      <c r="E109" s="2"/>
      <c r="F109" s="2"/>
      <c r="G109" s="2"/>
      <c r="H109" s="2"/>
      <c r="I109" s="2"/>
      <c r="J109" s="2"/>
      <c r="K109" s="288"/>
      <c r="L109" s="2"/>
      <c r="M109" s="2"/>
      <c r="N109" s="2"/>
      <c r="O109" s="2"/>
      <c r="P109" s="2"/>
      <c r="Q109" s="2"/>
      <c r="R109" s="2"/>
      <c r="S109" s="2"/>
      <c r="T109" s="2"/>
      <c r="U109" s="2"/>
      <c r="V109" s="2"/>
      <c r="W109" s="2"/>
      <c r="X109" s="2"/>
      <c r="Y109" s="2"/>
      <c r="Z109" s="2"/>
    </row>
    <row r="110" ht="15.75" hidden="1" customHeight="1">
      <c r="A110" s="287"/>
      <c r="B110" s="2"/>
      <c r="C110" s="2"/>
      <c r="D110" s="2"/>
      <c r="E110" s="2"/>
      <c r="F110" s="2"/>
      <c r="G110" s="2"/>
      <c r="H110" s="2"/>
      <c r="I110" s="2"/>
      <c r="J110" s="2"/>
      <c r="K110" s="288"/>
      <c r="L110" s="2"/>
      <c r="M110" s="2"/>
      <c r="N110" s="2"/>
      <c r="O110" s="2"/>
      <c r="P110" s="2"/>
      <c r="Q110" s="2"/>
      <c r="R110" s="2"/>
      <c r="S110" s="2"/>
      <c r="T110" s="2"/>
      <c r="U110" s="2"/>
      <c r="V110" s="2"/>
      <c r="W110" s="2"/>
      <c r="X110" s="2"/>
      <c r="Y110" s="2"/>
      <c r="Z110" s="2"/>
    </row>
    <row r="111" ht="15.75" hidden="1" customHeight="1">
      <c r="A111" s="287"/>
      <c r="B111" s="2"/>
      <c r="C111" s="2"/>
      <c r="D111" s="2"/>
      <c r="E111" s="2"/>
      <c r="F111" s="2"/>
      <c r="G111" s="2"/>
      <c r="H111" s="2"/>
      <c r="I111" s="2"/>
      <c r="J111" s="2"/>
      <c r="K111" s="288"/>
      <c r="L111" s="2"/>
      <c r="M111" s="2"/>
      <c r="N111" s="2"/>
      <c r="O111" s="2"/>
      <c r="P111" s="2"/>
      <c r="Q111" s="2"/>
      <c r="R111" s="2"/>
      <c r="S111" s="2"/>
      <c r="T111" s="2"/>
      <c r="U111" s="2"/>
      <c r="V111" s="2"/>
      <c r="W111" s="2"/>
      <c r="X111" s="2"/>
      <c r="Y111" s="2"/>
      <c r="Z111" s="2"/>
    </row>
    <row r="112" ht="15.75" hidden="1" customHeight="1">
      <c r="A112" s="287"/>
      <c r="B112" s="2"/>
      <c r="C112" s="2"/>
      <c r="D112" s="2"/>
      <c r="E112" s="2"/>
      <c r="F112" s="2"/>
      <c r="G112" s="2"/>
      <c r="H112" s="2"/>
      <c r="I112" s="2"/>
      <c r="J112" s="2"/>
      <c r="K112" s="288"/>
      <c r="L112" s="2"/>
      <c r="M112" s="2"/>
      <c r="N112" s="2"/>
      <c r="O112" s="2"/>
      <c r="P112" s="2"/>
      <c r="Q112" s="2"/>
      <c r="R112" s="2"/>
      <c r="S112" s="2"/>
      <c r="T112" s="2"/>
      <c r="U112" s="2"/>
      <c r="V112" s="2"/>
      <c r="W112" s="2"/>
      <c r="X112" s="2"/>
      <c r="Y112" s="2"/>
      <c r="Z112" s="2"/>
    </row>
    <row r="113" ht="15.75" hidden="1" customHeight="1">
      <c r="A113" s="275">
        <v>0.036</v>
      </c>
      <c r="B113" s="2" t="s">
        <v>173</v>
      </c>
      <c r="C113" s="2"/>
      <c r="D113" s="2"/>
      <c r="E113" s="2"/>
      <c r="F113" s="2"/>
      <c r="G113" s="2"/>
      <c r="H113" s="2"/>
      <c r="I113" s="2"/>
      <c r="J113" s="2"/>
      <c r="K113" s="288"/>
      <c r="L113" s="2"/>
      <c r="M113" s="2"/>
      <c r="N113" s="2"/>
      <c r="O113" s="2"/>
      <c r="P113" s="2"/>
      <c r="Q113" s="2"/>
      <c r="R113" s="2"/>
      <c r="S113" s="2"/>
      <c r="T113" s="2"/>
      <c r="U113" s="2"/>
      <c r="V113" s="2"/>
      <c r="W113" s="2"/>
      <c r="X113" s="2"/>
      <c r="Y113" s="2"/>
      <c r="Z113" s="2"/>
    </row>
    <row r="114" ht="15.75" hidden="1" customHeight="1">
      <c r="A114" s="289">
        <v>0.0</v>
      </c>
      <c r="B114" s="2" t="s">
        <v>165</v>
      </c>
      <c r="C114" s="2" t="s">
        <v>184</v>
      </c>
      <c r="D114" s="2" t="s">
        <v>175</v>
      </c>
      <c r="E114" s="2" t="s">
        <v>176</v>
      </c>
      <c r="F114" s="2" t="s">
        <v>177</v>
      </c>
      <c r="G114" s="2" t="s">
        <v>178</v>
      </c>
      <c r="H114" s="2" t="s">
        <v>179</v>
      </c>
      <c r="I114" s="2"/>
      <c r="J114" s="2"/>
      <c r="K114" s="288"/>
      <c r="L114" s="2"/>
      <c r="M114" s="2"/>
      <c r="N114" s="2"/>
      <c r="O114" s="2"/>
      <c r="P114" s="2"/>
      <c r="Q114" s="2"/>
      <c r="R114" s="2"/>
      <c r="S114" s="2"/>
      <c r="T114" s="2"/>
      <c r="U114" s="2"/>
      <c r="V114" s="2"/>
      <c r="W114" s="2"/>
      <c r="X114" s="2"/>
      <c r="Y114" s="2"/>
      <c r="Z114" s="2"/>
    </row>
    <row r="115" ht="15.75" hidden="1" customHeight="1">
      <c r="A115" s="287"/>
      <c r="B115" s="2" t="s">
        <v>180</v>
      </c>
      <c r="C115" s="290">
        <f>VLOOKUP(J116,B100:F104,5,FALSE)</f>
        <v>315665</v>
      </c>
      <c r="D115" s="18">
        <f>C115*A113</f>
        <v>11363.94</v>
      </c>
      <c r="E115" s="18">
        <f>A114</f>
        <v>0</v>
      </c>
      <c r="F115" s="18">
        <f t="shared" ref="F115:F116" si="32">D115+E115</f>
        <v>11363.94</v>
      </c>
      <c r="G115" s="18">
        <f t="shared" ref="G115:G116" si="33">F115*1.16</f>
        <v>13182.1704</v>
      </c>
      <c r="H115" s="18">
        <f>C115-G115</f>
        <v>302482.8296</v>
      </c>
      <c r="I115" s="2" t="s">
        <v>180</v>
      </c>
      <c r="J115" s="2"/>
      <c r="K115" s="288"/>
      <c r="L115" s="2"/>
      <c r="M115" s="2"/>
      <c r="N115" s="2"/>
      <c r="O115" s="2"/>
      <c r="P115" s="2"/>
      <c r="Q115" s="2"/>
      <c r="R115" s="2"/>
      <c r="S115" s="2"/>
      <c r="T115" s="2"/>
      <c r="U115" s="2"/>
      <c r="V115" s="2"/>
      <c r="W115" s="2"/>
      <c r="X115" s="2"/>
      <c r="Y115" s="2"/>
      <c r="Z115" s="2"/>
    </row>
    <row r="116" ht="15.75" hidden="1" customHeight="1">
      <c r="A116" s="291" t="str">
        <f>VLOOKUP(J116,B101:H104,7,FALSE)</f>
        <v>#N/A</v>
      </c>
      <c r="B116" s="292" t="s">
        <v>181</v>
      </c>
      <c r="C116" s="292"/>
      <c r="D116" s="293" t="str">
        <f>C115*A116</f>
        <v>#N/A</v>
      </c>
      <c r="E116" s="292">
        <v>0.0</v>
      </c>
      <c r="F116" s="293" t="str">
        <f t="shared" si="32"/>
        <v>#N/A</v>
      </c>
      <c r="G116" s="293" t="str">
        <f t="shared" si="33"/>
        <v>#N/A</v>
      </c>
      <c r="H116" s="294" t="str">
        <f>H115-G116</f>
        <v>#N/A</v>
      </c>
      <c r="I116" s="292" t="s">
        <v>181</v>
      </c>
      <c r="J116" s="302">
        <f>J87</f>
        <v>0</v>
      </c>
      <c r="K116" s="296"/>
      <c r="L116" s="2"/>
      <c r="M116" s="2"/>
      <c r="N116" s="2"/>
      <c r="O116" s="2"/>
      <c r="P116" s="2"/>
      <c r="Q116" s="2"/>
      <c r="R116" s="2"/>
      <c r="S116" s="2"/>
      <c r="T116" s="2"/>
      <c r="U116" s="2"/>
      <c r="V116" s="2"/>
      <c r="W116" s="2"/>
      <c r="X116" s="2"/>
      <c r="Y116" s="2"/>
      <c r="Z116" s="2"/>
    </row>
    <row r="117" ht="15.75" hidden="1" customHeight="1">
      <c r="A117" s="2"/>
      <c r="B117" s="2"/>
      <c r="C117" s="2"/>
      <c r="D117" s="2"/>
      <c r="E117" s="2"/>
      <c r="F117" s="2"/>
      <c r="G117" s="18" t="str">
        <f>SUM(G115:G116)</f>
        <v>#N/A</v>
      </c>
      <c r="H117" s="2"/>
      <c r="I117" s="2"/>
      <c r="J117" s="2"/>
      <c r="K117" s="2"/>
      <c r="L117" s="2"/>
      <c r="M117" s="2"/>
      <c r="N117" s="2"/>
      <c r="O117" s="2"/>
      <c r="P117" s="2"/>
      <c r="Q117" s="2"/>
      <c r="R117" s="2"/>
      <c r="S117" s="2"/>
      <c r="T117" s="2"/>
      <c r="U117" s="2"/>
      <c r="V117" s="2"/>
      <c r="W117" s="2"/>
      <c r="X117" s="2"/>
      <c r="Y117" s="2"/>
      <c r="Z117" s="2"/>
    </row>
    <row r="118" ht="15.75" hidden="1"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hidden="1" customHeight="1">
      <c r="A119" s="2"/>
      <c r="B119" s="2"/>
      <c r="C119" s="2">
        <f>C86/C115</f>
        <v>1</v>
      </c>
      <c r="D119" s="2"/>
      <c r="E119" s="2"/>
      <c r="F119" s="2"/>
      <c r="G119" s="2"/>
      <c r="H119" s="2"/>
      <c r="I119" s="2"/>
      <c r="J119" s="2"/>
      <c r="K119" s="2"/>
      <c r="L119" s="2"/>
      <c r="M119" s="2"/>
      <c r="N119" s="2"/>
      <c r="O119" s="2"/>
      <c r="P119" s="2"/>
      <c r="Q119" s="2"/>
      <c r="R119" s="2"/>
      <c r="S119" s="2"/>
      <c r="T119" s="2"/>
      <c r="U119" s="2"/>
      <c r="V119" s="2"/>
      <c r="W119" s="2"/>
      <c r="X119" s="2"/>
      <c r="Y119" s="2"/>
      <c r="Z119" s="2"/>
    </row>
    <row r="120" ht="15.75" hidden="1"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hidden="1" customHeight="1">
      <c r="A121" s="157" t="s">
        <v>188</v>
      </c>
      <c r="M121" s="2"/>
      <c r="N121" s="2"/>
      <c r="O121" s="2"/>
      <c r="P121" s="2"/>
      <c r="Q121" s="2"/>
      <c r="R121" s="2"/>
      <c r="S121" s="2"/>
      <c r="T121" s="2"/>
      <c r="U121" s="2"/>
      <c r="V121" s="2"/>
      <c r="W121" s="2"/>
      <c r="X121" s="2"/>
      <c r="Y121" s="2"/>
      <c r="Z121" s="2"/>
    </row>
    <row r="122" ht="15.75" hidden="1" customHeight="1">
      <c r="A122" s="297"/>
      <c r="B122" s="298" t="s">
        <v>186</v>
      </c>
      <c r="C122" s="298"/>
      <c r="D122" s="298" t="s">
        <v>183</v>
      </c>
      <c r="E122" s="298" t="s">
        <v>126</v>
      </c>
      <c r="F122" s="298" t="s">
        <v>127</v>
      </c>
      <c r="G122" s="298" t="s">
        <v>162</v>
      </c>
      <c r="H122" s="298" t="s">
        <v>163</v>
      </c>
      <c r="I122" s="298"/>
      <c r="J122" s="298"/>
      <c r="K122" s="299"/>
      <c r="L122" s="2"/>
      <c r="M122" s="2"/>
      <c r="N122" s="2"/>
      <c r="O122" s="2"/>
      <c r="P122" s="2"/>
      <c r="Q122" s="2"/>
      <c r="R122" s="2"/>
      <c r="S122" s="2"/>
      <c r="T122" s="2"/>
      <c r="U122" s="2"/>
      <c r="V122" s="2"/>
      <c r="W122" s="2"/>
      <c r="X122" s="2"/>
      <c r="Y122" s="2"/>
      <c r="Z122" s="2"/>
    </row>
    <row r="123" ht="15.75" hidden="1" customHeight="1">
      <c r="A123" s="275">
        <v>0.0395</v>
      </c>
      <c r="B123" s="273">
        <f>A123+B126</f>
        <v>0.039752</v>
      </c>
      <c r="C123" s="18">
        <f>$B$6/(1-B123)-$B$6</f>
        <v>12522.02406</v>
      </c>
      <c r="D123" s="2"/>
      <c r="E123" s="2"/>
      <c r="F123" s="2"/>
      <c r="G123" s="2"/>
      <c r="H123" s="2"/>
      <c r="I123" s="2"/>
      <c r="J123" s="2"/>
      <c r="K123" s="288"/>
      <c r="L123" s="2"/>
      <c r="M123" s="2"/>
      <c r="N123" s="2"/>
      <c r="O123" s="2"/>
      <c r="P123" s="2"/>
      <c r="Q123" s="2"/>
      <c r="R123" s="2"/>
      <c r="S123" s="2"/>
      <c r="T123" s="2"/>
      <c r="U123" s="2"/>
      <c r="V123" s="2"/>
      <c r="W123" s="2"/>
      <c r="X123" s="2"/>
      <c r="Y123" s="2"/>
      <c r="Z123" s="2"/>
    </row>
    <row r="124" ht="15.75" hidden="1" customHeight="1">
      <c r="A124" s="287"/>
      <c r="B124" s="276" t="s">
        <v>165</v>
      </c>
      <c r="C124" s="18">
        <v>4.0</v>
      </c>
      <c r="D124" s="2"/>
      <c r="E124" s="2"/>
      <c r="F124" s="2"/>
      <c r="G124" s="2"/>
      <c r="H124" s="2"/>
      <c r="I124" s="2"/>
      <c r="J124" s="2"/>
      <c r="K124" s="288"/>
      <c r="L124" s="2"/>
      <c r="M124" s="2"/>
      <c r="N124" s="2"/>
      <c r="O124" s="2"/>
      <c r="P124" s="2"/>
      <c r="Q124" s="2"/>
      <c r="R124" s="2"/>
      <c r="S124" s="2"/>
      <c r="T124" s="2"/>
      <c r="U124" s="2"/>
      <c r="V124" s="2"/>
      <c r="W124" s="2"/>
      <c r="X124" s="2"/>
      <c r="Y124" s="2"/>
      <c r="Z124" s="2"/>
    </row>
    <row r="125" ht="15.75" hidden="1" customHeight="1">
      <c r="A125" s="287"/>
      <c r="B125" s="276"/>
      <c r="C125" s="2"/>
      <c r="D125" s="18">
        <f>SUM(C123:C124)</f>
        <v>12526.02406</v>
      </c>
      <c r="E125" s="18">
        <f>D125*0.16</f>
        <v>2004.16385</v>
      </c>
      <c r="F125" s="18">
        <f>D125+E125</f>
        <v>14530.18791</v>
      </c>
      <c r="G125" s="18">
        <f>F125+$B$6</f>
        <v>317011.7879</v>
      </c>
      <c r="H125" s="2"/>
      <c r="I125" s="2"/>
      <c r="J125" s="2"/>
      <c r="K125" s="288"/>
      <c r="L125" s="2"/>
      <c r="M125" s="2"/>
      <c r="N125" s="2"/>
      <c r="O125" s="2"/>
      <c r="P125" s="2"/>
      <c r="Q125" s="2"/>
      <c r="R125" s="2"/>
      <c r="S125" s="2"/>
      <c r="T125" s="2"/>
      <c r="U125" s="2"/>
      <c r="V125" s="2"/>
      <c r="W125" s="2"/>
      <c r="X125" s="2"/>
      <c r="Y125" s="2"/>
      <c r="Z125" s="2"/>
    </row>
    <row r="126" ht="15.75" hidden="1" customHeight="1">
      <c r="A126" s="287" t="s">
        <v>166</v>
      </c>
      <c r="B126" s="251">
        <v>2.52E-4</v>
      </c>
      <c r="C126" s="2"/>
      <c r="D126" s="2"/>
      <c r="E126" s="2"/>
      <c r="F126" s="2"/>
      <c r="G126" s="2"/>
      <c r="H126" s="2"/>
      <c r="I126" s="2"/>
      <c r="J126" s="2"/>
      <c r="K126" s="288"/>
      <c r="L126" s="2"/>
      <c r="M126" s="2"/>
      <c r="N126" s="2"/>
      <c r="O126" s="2"/>
      <c r="P126" s="2"/>
      <c r="Q126" s="2"/>
      <c r="R126" s="2"/>
      <c r="S126" s="2"/>
      <c r="T126" s="2"/>
      <c r="U126" s="2"/>
      <c r="V126" s="2"/>
      <c r="W126" s="2"/>
      <c r="X126" s="2"/>
      <c r="Y126" s="2"/>
      <c r="Z126" s="2"/>
    </row>
    <row r="127" ht="15.75" hidden="1" customHeight="1">
      <c r="A127" s="287"/>
      <c r="B127" s="251"/>
      <c r="C127" s="2"/>
      <c r="D127" s="2"/>
      <c r="E127" s="2"/>
      <c r="F127" s="2"/>
      <c r="G127" s="2"/>
      <c r="H127" s="2"/>
      <c r="I127" s="2"/>
      <c r="J127" s="2"/>
      <c r="K127" s="288"/>
      <c r="L127" s="2"/>
      <c r="M127" s="2"/>
      <c r="N127" s="2"/>
      <c r="O127" s="2"/>
      <c r="P127" s="2"/>
      <c r="Q127" s="2"/>
      <c r="R127" s="2"/>
      <c r="S127" s="2"/>
      <c r="T127" s="2"/>
      <c r="U127" s="2"/>
      <c r="V127" s="2"/>
      <c r="W127" s="2"/>
      <c r="X127" s="2"/>
      <c r="Y127" s="2"/>
      <c r="Z127" s="2"/>
    </row>
    <row r="128" ht="15.75" hidden="1" customHeight="1">
      <c r="A128" s="287"/>
      <c r="B128" s="2"/>
      <c r="C128" s="2"/>
      <c r="D128" s="2"/>
      <c r="E128" s="2"/>
      <c r="F128" s="2"/>
      <c r="G128" s="2"/>
      <c r="H128" s="2"/>
      <c r="I128" s="2"/>
      <c r="J128" s="2"/>
      <c r="K128" s="288"/>
      <c r="L128" s="2"/>
      <c r="M128" s="2"/>
      <c r="N128" s="2"/>
      <c r="O128" s="2"/>
      <c r="P128" s="2"/>
      <c r="Q128" s="2"/>
      <c r="R128" s="2"/>
      <c r="S128" s="2"/>
      <c r="T128" s="2"/>
      <c r="U128" s="2"/>
      <c r="V128" s="2"/>
      <c r="W128" s="2"/>
      <c r="X128" s="2"/>
      <c r="Y128" s="2"/>
      <c r="Z128" s="2"/>
    </row>
    <row r="129" ht="15.75" hidden="1" customHeight="1">
      <c r="A129" s="287"/>
      <c r="B129" s="2" t="s">
        <v>168</v>
      </c>
      <c r="C129" s="2"/>
      <c r="D129" s="2"/>
      <c r="E129" s="2"/>
      <c r="F129" s="2"/>
      <c r="G129" s="2"/>
      <c r="H129" s="2"/>
      <c r="I129" s="2"/>
      <c r="J129" s="2"/>
      <c r="K129" s="288"/>
      <c r="L129" s="2"/>
      <c r="M129" s="2"/>
      <c r="N129" s="2"/>
      <c r="O129" s="2"/>
      <c r="P129" s="2"/>
      <c r="Q129" s="2"/>
      <c r="R129" s="2"/>
      <c r="S129" s="2"/>
      <c r="T129" s="2"/>
      <c r="U129" s="2"/>
      <c r="V129" s="2"/>
      <c r="W129" s="2"/>
      <c r="X129" s="2"/>
      <c r="Y129" s="2"/>
      <c r="Z129" s="2"/>
    </row>
    <row r="130" ht="15.75" hidden="1" customHeight="1">
      <c r="A130" s="287"/>
      <c r="B130" s="2">
        <v>0.0</v>
      </c>
      <c r="C130" s="2"/>
      <c r="D130" s="18">
        <f t="shared" ref="D130:E130" si="34">D125</f>
        <v>12526.02406</v>
      </c>
      <c r="E130" s="18">
        <f t="shared" si="34"/>
        <v>2004.16385</v>
      </c>
      <c r="F130" s="18">
        <f>ROUNDUP(G125,0)</f>
        <v>317012</v>
      </c>
      <c r="G130" s="2"/>
      <c r="H130" s="2"/>
      <c r="I130" s="2"/>
      <c r="J130" s="2"/>
      <c r="K130" s="287" t="s">
        <v>171</v>
      </c>
      <c r="L130" s="2"/>
      <c r="M130" s="2"/>
      <c r="N130" s="2"/>
      <c r="O130" s="2"/>
      <c r="P130" s="2"/>
      <c r="Q130" s="2"/>
      <c r="R130" s="2"/>
      <c r="S130" s="2"/>
      <c r="T130" s="2"/>
      <c r="U130" s="2"/>
      <c r="V130" s="2"/>
      <c r="W130" s="2"/>
      <c r="X130" s="2"/>
      <c r="Y130" s="2"/>
      <c r="Z130" s="2"/>
    </row>
    <row r="131" ht="15.75" hidden="1" customHeight="1">
      <c r="A131" s="2"/>
      <c r="B131" s="2">
        <v>3.0</v>
      </c>
      <c r="C131" s="273">
        <f t="shared" ref="C131:C134" si="35">H131+K131</f>
        <v>0.05155937941</v>
      </c>
      <c r="D131" s="18">
        <f t="shared" ref="D131:D134" si="36">G$66/(1-C131)-G$66</f>
        <v>17160.22385</v>
      </c>
      <c r="E131" s="18">
        <f t="shared" ref="E131:E134" si="37">D131*0.16</f>
        <v>2745.635817</v>
      </c>
      <c r="F131" s="18">
        <f t="shared" ref="F131:F134" si="38">ROUNDUP(G$66+D131+E131,0)</f>
        <v>335571</v>
      </c>
      <c r="G131" s="2"/>
      <c r="H131" s="300">
        <v>0.0455</v>
      </c>
      <c r="I131" s="261"/>
      <c r="J131" s="276">
        <f t="shared" ref="J131:J134" si="39">F131/$B$6-1</f>
        <v>0.1093931003</v>
      </c>
      <c r="K131" s="301">
        <v>0.006059379413996148</v>
      </c>
      <c r="L131" s="2"/>
      <c r="M131" s="2"/>
      <c r="N131" s="2"/>
      <c r="O131" s="2"/>
      <c r="P131" s="2"/>
      <c r="Q131" s="2"/>
      <c r="R131" s="2"/>
      <c r="S131" s="2"/>
      <c r="T131" s="2"/>
      <c r="U131" s="2"/>
      <c r="V131" s="2"/>
      <c r="W131" s="2"/>
      <c r="X131" s="2"/>
      <c r="Y131" s="2"/>
      <c r="Z131" s="2"/>
    </row>
    <row r="132" ht="15.75" hidden="1" customHeight="1">
      <c r="A132" s="2"/>
      <c r="B132" s="2">
        <v>6.0</v>
      </c>
      <c r="C132" s="273">
        <f t="shared" si="35"/>
        <v>0.080334</v>
      </c>
      <c r="D132" s="18">
        <f t="shared" si="36"/>
        <v>27573.6764</v>
      </c>
      <c r="E132" s="18">
        <f t="shared" si="37"/>
        <v>4411.788225</v>
      </c>
      <c r="F132" s="18">
        <f t="shared" si="38"/>
        <v>347650</v>
      </c>
      <c r="G132" s="2"/>
      <c r="H132" s="300">
        <v>0.0725</v>
      </c>
      <c r="I132" s="261"/>
      <c r="J132" s="276">
        <f t="shared" si="39"/>
        <v>0.1493261078</v>
      </c>
      <c r="K132" s="301">
        <v>0.007834</v>
      </c>
      <c r="L132" s="2"/>
      <c r="M132" s="2"/>
      <c r="N132" s="2"/>
      <c r="O132" s="2"/>
      <c r="P132" s="2"/>
      <c r="Q132" s="2"/>
      <c r="R132" s="2"/>
      <c r="S132" s="2"/>
      <c r="T132" s="2"/>
      <c r="U132" s="2"/>
      <c r="V132" s="2"/>
      <c r="W132" s="2"/>
      <c r="X132" s="2"/>
      <c r="Y132" s="2"/>
      <c r="Z132" s="2"/>
    </row>
    <row r="133" ht="15.75" hidden="1" customHeight="1">
      <c r="A133" s="2"/>
      <c r="B133" s="2">
        <v>9.0</v>
      </c>
      <c r="C133" s="273">
        <f t="shared" si="35"/>
        <v>0.123449</v>
      </c>
      <c r="D133" s="18">
        <f t="shared" si="36"/>
        <v>44456.55446</v>
      </c>
      <c r="E133" s="18">
        <f t="shared" si="37"/>
        <v>7113.048713</v>
      </c>
      <c r="F133" s="18">
        <f t="shared" si="38"/>
        <v>367234</v>
      </c>
      <c r="G133" s="2"/>
      <c r="H133" s="300">
        <v>0.1125</v>
      </c>
      <c r="I133" s="261"/>
      <c r="J133" s="276">
        <f t="shared" si="39"/>
        <v>0.2140705418</v>
      </c>
      <c r="K133" s="301">
        <v>0.010949</v>
      </c>
      <c r="L133" s="2"/>
      <c r="M133" s="2"/>
      <c r="N133" s="2"/>
      <c r="O133" s="2"/>
      <c r="P133" s="2"/>
      <c r="Q133" s="2"/>
      <c r="R133" s="2"/>
      <c r="S133" s="2"/>
      <c r="T133" s="2"/>
      <c r="U133" s="2"/>
      <c r="V133" s="2"/>
      <c r="W133" s="2"/>
      <c r="X133" s="2"/>
      <c r="Y133" s="2"/>
      <c r="Z133" s="2"/>
    </row>
    <row r="134" ht="15.75" hidden="1" customHeight="1">
      <c r="A134" s="2"/>
      <c r="B134" s="2">
        <v>12.0</v>
      </c>
      <c r="C134" s="273">
        <f t="shared" si="35"/>
        <v>0.14796</v>
      </c>
      <c r="D134" s="18">
        <f t="shared" si="36"/>
        <v>54816.30434</v>
      </c>
      <c r="E134" s="18">
        <f t="shared" si="37"/>
        <v>8770.608694</v>
      </c>
      <c r="F134" s="18">
        <f t="shared" si="38"/>
        <v>379252</v>
      </c>
      <c r="G134" s="2"/>
      <c r="H134" s="275">
        <v>0.135</v>
      </c>
      <c r="I134" s="261"/>
      <c r="J134" s="276">
        <f t="shared" si="39"/>
        <v>0.2538018841</v>
      </c>
      <c r="K134" s="301">
        <v>0.01296</v>
      </c>
      <c r="L134" s="2"/>
      <c r="M134" s="2"/>
      <c r="N134" s="2"/>
      <c r="O134" s="2"/>
      <c r="P134" s="2"/>
      <c r="Q134" s="2"/>
      <c r="R134" s="2"/>
      <c r="S134" s="2"/>
      <c r="T134" s="2"/>
      <c r="U134" s="2"/>
      <c r="V134" s="2"/>
      <c r="W134" s="2"/>
      <c r="X134" s="2"/>
      <c r="Y134" s="2"/>
      <c r="Z134" s="2"/>
    </row>
    <row r="135" ht="15.75" hidden="1" customHeight="1">
      <c r="A135" s="287"/>
      <c r="B135" s="2"/>
      <c r="C135" s="2"/>
      <c r="D135" s="2"/>
      <c r="E135" s="2"/>
      <c r="F135" s="2"/>
      <c r="G135" s="2"/>
      <c r="H135" s="2"/>
      <c r="I135" s="2"/>
      <c r="J135" s="2"/>
      <c r="K135" s="288"/>
      <c r="L135" s="2"/>
      <c r="M135" s="2"/>
      <c r="N135" s="2"/>
      <c r="O135" s="2"/>
      <c r="P135" s="2"/>
      <c r="Q135" s="2"/>
      <c r="R135" s="2"/>
      <c r="S135" s="2"/>
      <c r="T135" s="2"/>
      <c r="U135" s="2"/>
      <c r="V135" s="2"/>
      <c r="W135" s="2"/>
      <c r="X135" s="2"/>
      <c r="Y135" s="2"/>
      <c r="Z135" s="2"/>
    </row>
    <row r="136" ht="15.75" hidden="1" customHeight="1">
      <c r="A136" s="287"/>
      <c r="B136" s="2"/>
      <c r="C136" s="2"/>
      <c r="D136" s="2"/>
      <c r="E136" s="2"/>
      <c r="F136" s="2"/>
      <c r="G136" s="2"/>
      <c r="H136" s="2"/>
      <c r="I136" s="2"/>
      <c r="J136" s="2"/>
      <c r="K136" s="288"/>
      <c r="L136" s="2"/>
      <c r="M136" s="2"/>
      <c r="N136" s="2"/>
      <c r="O136" s="2"/>
      <c r="P136" s="2"/>
      <c r="Q136" s="2"/>
      <c r="R136" s="2"/>
      <c r="S136" s="2"/>
      <c r="T136" s="2"/>
      <c r="U136" s="2"/>
      <c r="V136" s="2"/>
      <c r="W136" s="2"/>
      <c r="X136" s="2"/>
      <c r="Y136" s="2"/>
      <c r="Z136" s="2"/>
    </row>
    <row r="137" ht="15.75" hidden="1" customHeight="1">
      <c r="A137" s="287"/>
      <c r="B137" s="2"/>
      <c r="C137" s="2"/>
      <c r="D137" s="2"/>
      <c r="E137" s="2"/>
      <c r="F137" s="2"/>
      <c r="G137" s="2"/>
      <c r="H137" s="2"/>
      <c r="I137" s="2"/>
      <c r="J137" s="2"/>
      <c r="K137" s="288"/>
      <c r="L137" s="2"/>
      <c r="M137" s="2"/>
      <c r="N137" s="2"/>
      <c r="O137" s="2"/>
      <c r="P137" s="2"/>
      <c r="Q137" s="2"/>
      <c r="R137" s="2"/>
      <c r="S137" s="2"/>
      <c r="T137" s="2"/>
      <c r="U137" s="2"/>
      <c r="V137" s="2"/>
      <c r="W137" s="2"/>
      <c r="X137" s="2"/>
      <c r="Y137" s="2"/>
      <c r="Z137" s="2"/>
    </row>
    <row r="138" ht="15.75" hidden="1" customHeight="1">
      <c r="A138" s="287"/>
      <c r="B138" s="2"/>
      <c r="C138" s="2"/>
      <c r="D138" s="2"/>
      <c r="E138" s="2"/>
      <c r="F138" s="2"/>
      <c r="G138" s="2"/>
      <c r="H138" s="2"/>
      <c r="I138" s="2"/>
      <c r="J138" s="2"/>
      <c r="K138" s="288"/>
      <c r="L138" s="2"/>
      <c r="M138" s="2"/>
      <c r="N138" s="2"/>
      <c r="O138" s="2"/>
      <c r="P138" s="2"/>
      <c r="Q138" s="2"/>
      <c r="R138" s="2"/>
      <c r="S138" s="2"/>
      <c r="T138" s="2"/>
      <c r="U138" s="2"/>
      <c r="V138" s="2"/>
      <c r="W138" s="2"/>
      <c r="X138" s="2"/>
      <c r="Y138" s="2"/>
      <c r="Z138" s="2"/>
    </row>
    <row r="139" ht="15.75" hidden="1" customHeight="1">
      <c r="A139" s="287"/>
      <c r="B139" s="2"/>
      <c r="C139" s="2"/>
      <c r="D139" s="2"/>
      <c r="E139" s="2"/>
      <c r="F139" s="2"/>
      <c r="G139" s="2"/>
      <c r="H139" s="2"/>
      <c r="I139" s="2"/>
      <c r="J139" s="2"/>
      <c r="K139" s="288"/>
      <c r="L139" s="2"/>
      <c r="M139" s="2"/>
      <c r="N139" s="2"/>
      <c r="O139" s="2"/>
      <c r="P139" s="2"/>
      <c r="Q139" s="2"/>
      <c r="R139" s="2"/>
      <c r="S139" s="2"/>
      <c r="T139" s="2"/>
      <c r="U139" s="2"/>
      <c r="V139" s="2"/>
      <c r="W139" s="2"/>
      <c r="X139" s="2"/>
      <c r="Y139" s="2"/>
      <c r="Z139" s="2"/>
    </row>
    <row r="140" ht="15.75" hidden="1" customHeight="1">
      <c r="A140" s="287"/>
      <c r="B140" s="2"/>
      <c r="C140" s="2"/>
      <c r="D140" s="2"/>
      <c r="E140" s="2"/>
      <c r="F140" s="2"/>
      <c r="G140" s="2"/>
      <c r="H140" s="2"/>
      <c r="I140" s="2"/>
      <c r="J140" s="2"/>
      <c r="K140" s="288"/>
      <c r="L140" s="2"/>
      <c r="M140" s="2"/>
      <c r="N140" s="2"/>
      <c r="O140" s="2"/>
      <c r="P140" s="2"/>
      <c r="Q140" s="2"/>
      <c r="R140" s="2"/>
      <c r="S140" s="2"/>
      <c r="T140" s="2"/>
      <c r="U140" s="2"/>
      <c r="V140" s="2"/>
      <c r="W140" s="2"/>
      <c r="X140" s="2"/>
      <c r="Y140" s="2"/>
      <c r="Z140" s="2"/>
    </row>
    <row r="141" ht="15.75" hidden="1" customHeight="1">
      <c r="A141" s="287"/>
      <c r="B141" s="2"/>
      <c r="C141" s="2"/>
      <c r="D141" s="2"/>
      <c r="E141" s="2"/>
      <c r="F141" s="2"/>
      <c r="G141" s="2"/>
      <c r="H141" s="2"/>
      <c r="I141" s="2"/>
      <c r="J141" s="2"/>
      <c r="K141" s="288"/>
      <c r="L141" s="2"/>
      <c r="M141" s="2"/>
      <c r="N141" s="2"/>
      <c r="O141" s="2"/>
      <c r="P141" s="2"/>
      <c r="Q141" s="2"/>
      <c r="R141" s="2"/>
      <c r="S141" s="2"/>
      <c r="T141" s="2"/>
      <c r="U141" s="2"/>
      <c r="V141" s="2"/>
      <c r="W141" s="2"/>
      <c r="X141" s="2"/>
      <c r="Y141" s="2"/>
      <c r="Z141" s="2"/>
    </row>
    <row r="142" ht="15.75" hidden="1" customHeight="1">
      <c r="A142" s="287"/>
      <c r="B142" s="2"/>
      <c r="C142" s="2"/>
      <c r="D142" s="2"/>
      <c r="E142" s="2"/>
      <c r="F142" s="2"/>
      <c r="G142" s="2"/>
      <c r="H142" s="2"/>
      <c r="I142" s="2"/>
      <c r="J142" s="2"/>
      <c r="K142" s="288"/>
      <c r="L142" s="2"/>
      <c r="M142" s="2"/>
      <c r="N142" s="2"/>
      <c r="O142" s="2"/>
      <c r="P142" s="2"/>
      <c r="Q142" s="2"/>
      <c r="R142" s="2"/>
      <c r="S142" s="2"/>
      <c r="T142" s="2"/>
      <c r="U142" s="2"/>
      <c r="V142" s="2"/>
      <c r="W142" s="2"/>
      <c r="X142" s="2"/>
      <c r="Y142" s="2"/>
      <c r="Z142" s="2"/>
    </row>
    <row r="143" ht="15.75" hidden="1" customHeight="1">
      <c r="A143" s="275">
        <v>0.0395</v>
      </c>
      <c r="B143" s="2" t="s">
        <v>173</v>
      </c>
      <c r="C143" s="2"/>
      <c r="D143" s="2"/>
      <c r="E143" s="2"/>
      <c r="F143" s="2"/>
      <c r="G143" s="2"/>
      <c r="H143" s="2"/>
      <c r="I143" s="2"/>
      <c r="J143" s="2"/>
      <c r="K143" s="288"/>
      <c r="L143" s="2"/>
      <c r="M143" s="2"/>
      <c r="N143" s="2"/>
      <c r="O143" s="2"/>
      <c r="P143" s="2"/>
      <c r="Q143" s="2"/>
      <c r="R143" s="2"/>
      <c r="S143" s="2"/>
      <c r="T143" s="2"/>
      <c r="U143" s="2"/>
      <c r="V143" s="2"/>
      <c r="W143" s="2"/>
      <c r="X143" s="2"/>
      <c r="Y143" s="2"/>
      <c r="Z143" s="2"/>
    </row>
    <row r="144" ht="15.75" hidden="1" customHeight="1">
      <c r="A144" s="289">
        <v>4.0</v>
      </c>
      <c r="B144" s="2" t="s">
        <v>165</v>
      </c>
      <c r="C144" s="2" t="s">
        <v>184</v>
      </c>
      <c r="D144" s="2" t="s">
        <v>175</v>
      </c>
      <c r="E144" s="2" t="s">
        <v>176</v>
      </c>
      <c r="F144" s="2" t="s">
        <v>177</v>
      </c>
      <c r="G144" s="2" t="s">
        <v>178</v>
      </c>
      <c r="H144" s="2" t="s">
        <v>179</v>
      </c>
      <c r="I144" s="2"/>
      <c r="J144" s="2"/>
      <c r="K144" s="288"/>
      <c r="L144" s="2"/>
      <c r="M144" s="2"/>
      <c r="N144" s="2"/>
      <c r="O144" s="2"/>
      <c r="P144" s="2"/>
      <c r="Q144" s="2"/>
      <c r="R144" s="2"/>
      <c r="S144" s="2"/>
      <c r="T144" s="2"/>
      <c r="U144" s="2"/>
      <c r="V144" s="2"/>
      <c r="W144" s="2"/>
      <c r="X144" s="2"/>
      <c r="Y144" s="2"/>
      <c r="Z144" s="2"/>
    </row>
    <row r="145" ht="15.75" hidden="1" customHeight="1">
      <c r="A145" s="287"/>
      <c r="B145" s="2" t="s">
        <v>180</v>
      </c>
      <c r="C145" s="290">
        <f>VLOOKUP(J146,B130:F134,5,FALSE)</f>
        <v>317012</v>
      </c>
      <c r="D145" s="18">
        <f>C145*A143</f>
        <v>12521.974</v>
      </c>
      <c r="E145" s="18">
        <f>A144</f>
        <v>4</v>
      </c>
      <c r="F145" s="18">
        <f t="shared" ref="F145:F146" si="40">D145+E145</f>
        <v>12525.974</v>
      </c>
      <c r="G145" s="18">
        <f t="shared" ref="G145:G146" si="41">F145*1.16</f>
        <v>14530.12984</v>
      </c>
      <c r="H145" s="18">
        <f>C145-G145</f>
        <v>302481.8702</v>
      </c>
      <c r="I145" s="2" t="s">
        <v>180</v>
      </c>
      <c r="J145" s="2"/>
      <c r="K145" s="288"/>
      <c r="L145" s="2"/>
      <c r="M145" s="2"/>
      <c r="N145" s="2"/>
      <c r="O145" s="2"/>
      <c r="P145" s="2"/>
      <c r="Q145" s="2"/>
      <c r="R145" s="2"/>
      <c r="S145" s="2"/>
      <c r="T145" s="2"/>
      <c r="U145" s="2"/>
      <c r="V145" s="2"/>
      <c r="W145" s="2"/>
      <c r="X145" s="2"/>
      <c r="Y145" s="2"/>
      <c r="Z145" s="2"/>
    </row>
    <row r="146" ht="15.75" hidden="1" customHeight="1">
      <c r="A146" s="291" t="str">
        <f>VLOOKUP(J146,B131:H134,7,FALSE)</f>
        <v>#N/A</v>
      </c>
      <c r="B146" s="292" t="s">
        <v>181</v>
      </c>
      <c r="C146" s="292"/>
      <c r="D146" s="293" t="str">
        <f>C145*A146</f>
        <v>#N/A</v>
      </c>
      <c r="E146" s="293"/>
      <c r="F146" s="293" t="str">
        <f t="shared" si="40"/>
        <v>#N/A</v>
      </c>
      <c r="G146" s="293" t="str">
        <f t="shared" si="41"/>
        <v>#N/A</v>
      </c>
      <c r="H146" s="294" t="str">
        <f>H145-G146</f>
        <v>#N/A</v>
      </c>
      <c r="I146" s="292" t="s">
        <v>181</v>
      </c>
      <c r="J146" s="302">
        <f>J87</f>
        <v>0</v>
      </c>
      <c r="K146" s="296"/>
      <c r="L146" s="2"/>
      <c r="M146" s="2"/>
      <c r="N146" s="2"/>
      <c r="O146" s="2"/>
      <c r="P146" s="2"/>
      <c r="Q146" s="2"/>
      <c r="R146" s="2"/>
      <c r="S146" s="2"/>
      <c r="T146" s="2"/>
      <c r="U146" s="2"/>
      <c r="V146" s="2"/>
      <c r="W146" s="2"/>
      <c r="X146" s="2"/>
      <c r="Y146" s="2"/>
      <c r="Z146" s="2"/>
    </row>
    <row r="147" ht="15.75" hidden="1" customHeight="1">
      <c r="A147" s="2"/>
      <c r="B147" s="2"/>
      <c r="C147" s="2"/>
      <c r="D147" s="2"/>
      <c r="E147" s="2"/>
      <c r="F147" s="2"/>
      <c r="G147" s="18" t="str">
        <f>SUM(G145:G146)</f>
        <v>#N/A</v>
      </c>
      <c r="H147" s="2"/>
      <c r="I147" s="2"/>
      <c r="J147" s="2"/>
      <c r="K147" s="2"/>
      <c r="L147" s="2"/>
      <c r="M147" s="2"/>
      <c r="N147" s="2"/>
      <c r="O147" s="2"/>
      <c r="P147" s="2"/>
      <c r="Q147" s="2"/>
      <c r="R147" s="2"/>
      <c r="S147" s="2"/>
      <c r="T147" s="2"/>
      <c r="U147" s="2"/>
      <c r="V147" s="2"/>
      <c r="W147" s="2"/>
      <c r="X147" s="2"/>
      <c r="Y147" s="2"/>
      <c r="Z147" s="2"/>
    </row>
    <row r="148" ht="15.75" customHeight="1">
      <c r="A148" s="275">
        <v>0.0379</v>
      </c>
      <c r="B148" s="2" t="s">
        <v>173</v>
      </c>
      <c r="C148" s="2"/>
      <c r="D148" s="2"/>
      <c r="E148" s="2"/>
      <c r="F148" s="2"/>
      <c r="G148" s="2"/>
      <c r="H148" s="2"/>
      <c r="I148" s="2"/>
      <c r="J148" s="2"/>
      <c r="K148" s="288"/>
      <c r="L148" s="2"/>
      <c r="M148" s="2"/>
      <c r="N148" s="2"/>
      <c r="O148" s="2"/>
      <c r="P148" s="2"/>
      <c r="Q148" s="2"/>
      <c r="R148" s="2"/>
      <c r="S148" s="2"/>
      <c r="T148" s="2"/>
      <c r="U148" s="2"/>
      <c r="V148" s="2"/>
      <c r="W148" s="2"/>
      <c r="X148" s="2"/>
      <c r="Y148" s="2"/>
      <c r="Z148" s="2"/>
    </row>
    <row r="149" ht="15.75" customHeight="1">
      <c r="A149" s="289">
        <v>4.0</v>
      </c>
      <c r="B149" s="2" t="s">
        <v>165</v>
      </c>
      <c r="C149" s="2" t="s">
        <v>174</v>
      </c>
      <c r="D149" s="2" t="s">
        <v>175</v>
      </c>
      <c r="E149" s="2" t="s">
        <v>176</v>
      </c>
      <c r="F149" s="2" t="s">
        <v>177</v>
      </c>
      <c r="G149" s="2" t="s">
        <v>178</v>
      </c>
      <c r="H149" s="2" t="s">
        <v>179</v>
      </c>
      <c r="I149" s="2"/>
      <c r="J149" s="2"/>
      <c r="K149" s="288"/>
      <c r="L149" s="2"/>
      <c r="M149" s="2"/>
      <c r="N149" s="2"/>
      <c r="O149" s="2"/>
      <c r="P149" s="2"/>
      <c r="Q149" s="2"/>
      <c r="R149" s="2"/>
      <c r="S149" s="2"/>
      <c r="T149" s="2"/>
      <c r="U149" s="2"/>
      <c r="V149" s="2"/>
      <c r="W149" s="2"/>
      <c r="X149" s="2"/>
      <c r="Y149" s="2"/>
      <c r="Z149" s="2"/>
    </row>
    <row r="150" ht="15.75" customHeight="1">
      <c r="A150" s="287"/>
      <c r="B150" s="2" t="s">
        <v>180</v>
      </c>
      <c r="C150" s="290">
        <f>VLOOKUP(J151,B17:F23,5,FALSE)</f>
        <v>334624</v>
      </c>
      <c r="D150" s="18">
        <f>C150*A148</f>
        <v>12682.2496</v>
      </c>
      <c r="E150" s="18">
        <f>A149</f>
        <v>4</v>
      </c>
      <c r="F150" s="18">
        <f t="shared" ref="F150:F151" si="42">D150+E150</f>
        <v>12686.2496</v>
      </c>
      <c r="G150" s="18">
        <f t="shared" ref="G150:G151" si="43">F150*1.16</f>
        <v>14716.04954</v>
      </c>
      <c r="H150" s="18">
        <f>C150-G150</f>
        <v>319907.9505</v>
      </c>
      <c r="I150" s="2" t="s">
        <v>180</v>
      </c>
      <c r="J150" s="2"/>
      <c r="K150" s="288"/>
      <c r="L150" s="2"/>
      <c r="M150" s="2"/>
      <c r="N150" s="2"/>
      <c r="O150" s="2"/>
      <c r="P150" s="2"/>
      <c r="Q150" s="2"/>
      <c r="R150" s="2"/>
      <c r="S150" s="2"/>
      <c r="T150" s="2"/>
      <c r="U150" s="2"/>
      <c r="V150" s="2"/>
      <c r="W150" s="2"/>
      <c r="X150" s="2"/>
      <c r="Y150" s="2"/>
      <c r="Z150" s="2"/>
    </row>
    <row r="151" ht="15.75" customHeight="1">
      <c r="A151" s="291">
        <f>VLOOKUP(J151,B18:H23,7,FALSE)</f>
        <v>0.0449</v>
      </c>
      <c r="B151" s="292" t="s">
        <v>181</v>
      </c>
      <c r="C151" s="292"/>
      <c r="D151" s="293">
        <f>C150*A151</f>
        <v>15024.6176</v>
      </c>
      <c r="E151" s="292">
        <v>0.0</v>
      </c>
      <c r="F151" s="293">
        <f t="shared" si="42"/>
        <v>15024.6176</v>
      </c>
      <c r="G151" s="293">
        <f t="shared" si="43"/>
        <v>17428.55642</v>
      </c>
      <c r="H151" s="294">
        <f>H150-G151</f>
        <v>302479.394</v>
      </c>
      <c r="I151" s="292" t="s">
        <v>181</v>
      </c>
      <c r="J151" s="295">
        <v>3.0</v>
      </c>
      <c r="K151" s="296"/>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75">
        <v>0.0379</v>
      </c>
      <c r="B153" s="2" t="s">
        <v>173</v>
      </c>
      <c r="C153" s="2"/>
      <c r="D153" s="2"/>
      <c r="E153" s="2"/>
      <c r="F153" s="2"/>
      <c r="G153" s="2"/>
      <c r="H153" s="2"/>
      <c r="I153" s="2"/>
      <c r="J153" s="2"/>
      <c r="K153" s="288"/>
      <c r="L153" s="2"/>
      <c r="M153" s="2"/>
      <c r="N153" s="2"/>
      <c r="O153" s="2"/>
      <c r="P153" s="2"/>
      <c r="Q153" s="2"/>
      <c r="R153" s="2"/>
      <c r="S153" s="2"/>
      <c r="T153" s="2"/>
      <c r="U153" s="2"/>
      <c r="V153" s="2"/>
      <c r="W153" s="2"/>
      <c r="X153" s="2"/>
      <c r="Y153" s="2"/>
      <c r="Z153" s="2"/>
    </row>
    <row r="154" ht="15.75" customHeight="1">
      <c r="A154" s="289">
        <v>4.0</v>
      </c>
      <c r="B154" s="2" t="s">
        <v>165</v>
      </c>
      <c r="C154" s="2" t="s">
        <v>174</v>
      </c>
      <c r="D154" s="2" t="s">
        <v>175</v>
      </c>
      <c r="E154" s="2" t="s">
        <v>176</v>
      </c>
      <c r="F154" s="2" t="s">
        <v>177</v>
      </c>
      <c r="G154" s="2" t="s">
        <v>178</v>
      </c>
      <c r="H154" s="2" t="s">
        <v>179</v>
      </c>
      <c r="I154" s="2"/>
      <c r="J154" s="2"/>
      <c r="K154" s="288"/>
      <c r="L154" s="2"/>
      <c r="M154" s="2"/>
      <c r="N154" s="2"/>
      <c r="O154" s="2"/>
      <c r="P154" s="2"/>
      <c r="Q154" s="2"/>
      <c r="R154" s="2"/>
      <c r="S154" s="2"/>
      <c r="T154" s="2"/>
      <c r="U154" s="2"/>
      <c r="V154" s="2"/>
      <c r="W154" s="2"/>
      <c r="X154" s="2"/>
      <c r="Y154" s="2"/>
      <c r="Z154" s="2"/>
    </row>
    <row r="155" ht="15.75" customHeight="1">
      <c r="A155" s="287"/>
      <c r="B155" s="2" t="s">
        <v>180</v>
      </c>
      <c r="C155" s="290">
        <f>VLOOKUP(J156,B17:F23,5,FALSE)</f>
        <v>345714</v>
      </c>
      <c r="D155" s="18">
        <f>C155*A153</f>
        <v>13102.5606</v>
      </c>
      <c r="E155" s="18">
        <f>A154</f>
        <v>4</v>
      </c>
      <c r="F155" s="18">
        <f t="shared" ref="F155:F156" si="44">D155+E155</f>
        <v>13106.5606</v>
      </c>
      <c r="G155" s="18">
        <f t="shared" ref="G155:G156" si="45">F155*1.16</f>
        <v>15203.6103</v>
      </c>
      <c r="H155" s="18">
        <f>C155-G155</f>
        <v>330510.3897</v>
      </c>
      <c r="I155" s="2" t="s">
        <v>180</v>
      </c>
      <c r="J155" s="2"/>
      <c r="K155" s="288"/>
      <c r="L155" s="2"/>
      <c r="M155" s="2"/>
      <c r="N155" s="2"/>
      <c r="O155" s="2"/>
      <c r="P155" s="2"/>
      <c r="Q155" s="2"/>
      <c r="R155" s="2"/>
      <c r="S155" s="2"/>
      <c r="T155" s="2"/>
      <c r="U155" s="2"/>
      <c r="V155" s="2"/>
      <c r="W155" s="2"/>
      <c r="X155" s="2"/>
      <c r="Y155" s="2"/>
      <c r="Z155" s="2"/>
    </row>
    <row r="156" ht="15.75" customHeight="1">
      <c r="A156" s="291">
        <f>VLOOKUP(J156,B18:H23,7,FALSE)</f>
        <v>0.0699</v>
      </c>
      <c r="B156" s="292" t="s">
        <v>181</v>
      </c>
      <c r="C156" s="292" t="s">
        <v>189</v>
      </c>
      <c r="D156" s="293">
        <f>C155*A156</f>
        <v>24165.4086</v>
      </c>
      <c r="E156" s="292">
        <v>0.0</v>
      </c>
      <c r="F156" s="293">
        <f t="shared" si="44"/>
        <v>24165.4086</v>
      </c>
      <c r="G156" s="293">
        <f t="shared" si="45"/>
        <v>28031.87398</v>
      </c>
      <c r="H156" s="294">
        <f>H155-G156</f>
        <v>302478.5157</v>
      </c>
      <c r="I156" s="292" t="s">
        <v>181</v>
      </c>
      <c r="J156" s="295">
        <v>6.0</v>
      </c>
      <c r="K156" s="296"/>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75">
        <v>0.0379</v>
      </c>
      <c r="B158" s="2" t="s">
        <v>173</v>
      </c>
      <c r="C158" s="2"/>
      <c r="D158" s="2"/>
      <c r="E158" s="2"/>
      <c r="F158" s="2"/>
      <c r="G158" s="2"/>
      <c r="H158" s="2"/>
      <c r="I158" s="2"/>
      <c r="J158" s="2"/>
      <c r="K158" s="288"/>
      <c r="L158" s="2"/>
      <c r="M158" s="2"/>
      <c r="N158" s="2"/>
      <c r="O158" s="2"/>
      <c r="P158" s="2"/>
      <c r="Q158" s="2"/>
      <c r="R158" s="2"/>
      <c r="S158" s="2"/>
      <c r="T158" s="2"/>
      <c r="U158" s="2"/>
      <c r="V158" s="2"/>
      <c r="W158" s="2"/>
      <c r="X158" s="2"/>
      <c r="Y158" s="2"/>
      <c r="Z158" s="2"/>
    </row>
    <row r="159" ht="15.75" customHeight="1">
      <c r="A159" s="289">
        <v>4.0</v>
      </c>
      <c r="B159" s="2" t="s">
        <v>165</v>
      </c>
      <c r="C159" s="2" t="s">
        <v>174</v>
      </c>
      <c r="D159" s="2" t="s">
        <v>175</v>
      </c>
      <c r="E159" s="2" t="s">
        <v>176</v>
      </c>
      <c r="F159" s="2" t="s">
        <v>177</v>
      </c>
      <c r="G159" s="2" t="s">
        <v>178</v>
      </c>
      <c r="H159" s="2" t="s">
        <v>179</v>
      </c>
      <c r="I159" s="2"/>
      <c r="J159" s="2"/>
      <c r="K159" s="288"/>
      <c r="L159" s="2"/>
      <c r="M159" s="2"/>
      <c r="N159" s="2"/>
      <c r="O159" s="2"/>
      <c r="P159" s="2"/>
      <c r="Q159" s="2"/>
      <c r="R159" s="2"/>
      <c r="S159" s="2"/>
      <c r="T159" s="2"/>
      <c r="U159" s="2"/>
      <c r="V159" s="2"/>
      <c r="W159" s="2"/>
      <c r="X159" s="2"/>
      <c r="Y159" s="2"/>
      <c r="Z159" s="2"/>
    </row>
    <row r="160" ht="15.75" customHeight="1">
      <c r="A160" s="287"/>
      <c r="B160" s="2" t="s">
        <v>180</v>
      </c>
      <c r="C160" s="290">
        <f>VLOOKUP(J161,B17:F23,5,FALSE)</f>
        <v>360034</v>
      </c>
      <c r="D160" s="18">
        <f>C160*A158</f>
        <v>13645.2886</v>
      </c>
      <c r="E160" s="18">
        <f>A159</f>
        <v>4</v>
      </c>
      <c r="F160" s="18">
        <f t="shared" ref="F160:F161" si="46">D160+E160</f>
        <v>13649.2886</v>
      </c>
      <c r="G160" s="18">
        <f t="shared" ref="G160:G161" si="47">F160*1.16</f>
        <v>15833.17478</v>
      </c>
      <c r="H160" s="18">
        <f>C160-G160</f>
        <v>344200.8252</v>
      </c>
      <c r="I160" s="2" t="s">
        <v>180</v>
      </c>
      <c r="J160" s="2"/>
      <c r="K160" s="288"/>
      <c r="L160" s="2"/>
      <c r="M160" s="2"/>
      <c r="N160" s="2"/>
      <c r="O160" s="2"/>
      <c r="P160" s="2"/>
      <c r="Q160" s="2"/>
      <c r="R160" s="2"/>
      <c r="S160" s="2"/>
      <c r="T160" s="2"/>
      <c r="U160" s="2"/>
      <c r="V160" s="2"/>
      <c r="W160" s="2"/>
      <c r="X160" s="2"/>
      <c r="Y160" s="2"/>
      <c r="Z160" s="2"/>
    </row>
    <row r="161" ht="15.75" customHeight="1">
      <c r="A161" s="291">
        <f>VLOOKUP(J161,B18:H23,7,FALSE)</f>
        <v>0.0999</v>
      </c>
      <c r="B161" s="292" t="s">
        <v>181</v>
      </c>
      <c r="C161" s="292"/>
      <c r="D161" s="293">
        <f>C160*A161</f>
        <v>35967.3966</v>
      </c>
      <c r="E161" s="292">
        <v>0.0</v>
      </c>
      <c r="F161" s="293">
        <f t="shared" si="46"/>
        <v>35967.3966</v>
      </c>
      <c r="G161" s="293">
        <f t="shared" si="47"/>
        <v>41722.18006</v>
      </c>
      <c r="H161" s="294">
        <f>H160-G161</f>
        <v>302478.6452</v>
      </c>
      <c r="I161" s="292" t="s">
        <v>181</v>
      </c>
      <c r="J161" s="295">
        <v>9.0</v>
      </c>
      <c r="K161" s="296"/>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75">
        <v>0.0379</v>
      </c>
      <c r="B163" s="2" t="s">
        <v>173</v>
      </c>
      <c r="C163" s="2"/>
      <c r="D163" s="2"/>
      <c r="E163" s="2"/>
      <c r="F163" s="2"/>
      <c r="G163" s="2"/>
      <c r="H163" s="2"/>
      <c r="I163" s="2"/>
      <c r="J163" s="2"/>
      <c r="K163" s="288"/>
      <c r="L163" s="2"/>
      <c r="M163" s="2"/>
      <c r="N163" s="2"/>
      <c r="O163" s="2"/>
      <c r="P163" s="2"/>
      <c r="Q163" s="2"/>
      <c r="R163" s="2"/>
      <c r="S163" s="2"/>
      <c r="T163" s="2"/>
      <c r="U163" s="2"/>
      <c r="V163" s="2"/>
      <c r="W163" s="2"/>
      <c r="X163" s="2"/>
      <c r="Y163" s="2"/>
      <c r="Z163" s="2"/>
    </row>
    <row r="164" ht="15.75" customHeight="1">
      <c r="A164" s="289">
        <v>4.0</v>
      </c>
      <c r="B164" s="2" t="s">
        <v>165</v>
      </c>
      <c r="C164" s="2" t="s">
        <v>174</v>
      </c>
      <c r="D164" s="2" t="s">
        <v>175</v>
      </c>
      <c r="E164" s="2" t="s">
        <v>176</v>
      </c>
      <c r="F164" s="2" t="s">
        <v>177</v>
      </c>
      <c r="G164" s="2" t="s">
        <v>178</v>
      </c>
      <c r="H164" s="2" t="s">
        <v>179</v>
      </c>
      <c r="I164" s="2"/>
      <c r="J164" s="2"/>
      <c r="K164" s="288"/>
      <c r="L164" s="2"/>
      <c r="M164" s="2"/>
      <c r="N164" s="2"/>
      <c r="O164" s="2"/>
      <c r="P164" s="2"/>
      <c r="Q164" s="2"/>
      <c r="R164" s="2"/>
      <c r="S164" s="2"/>
      <c r="T164" s="2"/>
      <c r="U164" s="2"/>
      <c r="V164" s="2"/>
      <c r="W164" s="2"/>
      <c r="X164" s="2"/>
      <c r="Y164" s="2"/>
      <c r="Z164" s="2"/>
    </row>
    <row r="165" ht="15.75" customHeight="1">
      <c r="A165" s="287"/>
      <c r="B165" s="2" t="s">
        <v>180</v>
      </c>
      <c r="C165" s="290">
        <f>VLOOKUP(J166,B17:F23,5,FALSE)</f>
        <v>375591</v>
      </c>
      <c r="D165" s="18">
        <f>C165*A163</f>
        <v>14234.8989</v>
      </c>
      <c r="E165" s="18">
        <f>A164</f>
        <v>4</v>
      </c>
      <c r="F165" s="18">
        <f t="shared" ref="F165:F166" si="48">D165+E165</f>
        <v>14238.8989</v>
      </c>
      <c r="G165" s="18">
        <f t="shared" ref="G165:G166" si="49">F165*1.16</f>
        <v>16517.12272</v>
      </c>
      <c r="H165" s="18">
        <f>C165-G165</f>
        <v>359073.8773</v>
      </c>
      <c r="I165" s="2" t="s">
        <v>180</v>
      </c>
      <c r="J165" s="2"/>
      <c r="K165" s="288"/>
      <c r="L165" s="2"/>
      <c r="M165" s="2"/>
      <c r="N165" s="2"/>
      <c r="O165" s="2"/>
      <c r="P165" s="2"/>
      <c r="Q165" s="2"/>
      <c r="R165" s="2"/>
      <c r="S165" s="2"/>
      <c r="T165" s="2"/>
      <c r="U165" s="2"/>
      <c r="V165" s="2"/>
      <c r="W165" s="2"/>
      <c r="X165" s="2"/>
      <c r="Y165" s="2"/>
      <c r="Z165" s="2"/>
    </row>
    <row r="166" ht="15.75" customHeight="1">
      <c r="A166" s="291">
        <f>VLOOKUP(J166,B18:H23,7,FALSE)</f>
        <v>0.1299</v>
      </c>
      <c r="B166" s="292" t="s">
        <v>181</v>
      </c>
      <c r="C166" s="292"/>
      <c r="D166" s="293">
        <f>C165*A166</f>
        <v>48789.2709</v>
      </c>
      <c r="E166" s="292">
        <v>0.0</v>
      </c>
      <c r="F166" s="293">
        <f t="shared" si="48"/>
        <v>48789.2709</v>
      </c>
      <c r="G166" s="293">
        <f t="shared" si="49"/>
        <v>56595.55424</v>
      </c>
      <c r="H166" s="294">
        <f>H165-G166</f>
        <v>302478.323</v>
      </c>
      <c r="I166" s="292" t="s">
        <v>181</v>
      </c>
      <c r="J166" s="295">
        <v>12.0</v>
      </c>
      <c r="K166" s="296"/>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75">
        <v>0.0379</v>
      </c>
      <c r="B168" s="2" t="s">
        <v>173</v>
      </c>
      <c r="C168" s="2"/>
      <c r="D168" s="2"/>
      <c r="E168" s="2"/>
      <c r="F168" s="2"/>
      <c r="G168" s="2"/>
      <c r="H168" s="2"/>
      <c r="I168" s="2"/>
      <c r="J168" s="2"/>
      <c r="K168" s="288"/>
      <c r="L168" s="2"/>
      <c r="M168" s="2"/>
      <c r="N168" s="2"/>
      <c r="O168" s="2"/>
      <c r="P168" s="2"/>
      <c r="Q168" s="2"/>
      <c r="R168" s="2"/>
      <c r="S168" s="2"/>
      <c r="T168" s="2"/>
      <c r="U168" s="2"/>
      <c r="V168" s="2"/>
      <c r="W168" s="2"/>
      <c r="X168" s="2"/>
      <c r="Y168" s="2"/>
      <c r="Z168" s="2"/>
    </row>
    <row r="169" ht="15.75" customHeight="1">
      <c r="A169" s="289">
        <v>4.0</v>
      </c>
      <c r="B169" s="2" t="s">
        <v>165</v>
      </c>
      <c r="C169" s="2" t="s">
        <v>174</v>
      </c>
      <c r="D169" s="2" t="s">
        <v>175</v>
      </c>
      <c r="E169" s="2" t="s">
        <v>176</v>
      </c>
      <c r="F169" s="2" t="s">
        <v>177</v>
      </c>
      <c r="G169" s="2" t="s">
        <v>178</v>
      </c>
      <c r="H169" s="2" t="s">
        <v>179</v>
      </c>
      <c r="I169" s="2"/>
      <c r="J169" s="2"/>
      <c r="K169" s="288"/>
      <c r="L169" s="2"/>
      <c r="M169" s="2"/>
      <c r="N169" s="2"/>
      <c r="O169" s="2"/>
      <c r="P169" s="2"/>
      <c r="Q169" s="2"/>
      <c r="R169" s="2"/>
      <c r="S169" s="2"/>
      <c r="T169" s="2"/>
      <c r="U169" s="2"/>
      <c r="V169" s="2"/>
      <c r="W169" s="2"/>
      <c r="X169" s="2"/>
      <c r="Y169" s="2"/>
      <c r="Z169" s="2"/>
    </row>
    <row r="170" ht="15.75" customHeight="1">
      <c r="A170" s="287"/>
      <c r="B170" s="2" t="s">
        <v>180</v>
      </c>
      <c r="C170" s="290">
        <f>VLOOKUP(J171,B17:F23,5,FALSE)</f>
        <v>402926</v>
      </c>
      <c r="D170" s="18">
        <f>C170*A168</f>
        <v>15270.8954</v>
      </c>
      <c r="E170" s="18">
        <f>A169</f>
        <v>4</v>
      </c>
      <c r="F170" s="18">
        <f t="shared" ref="F170:F171" si="50">D170+E170</f>
        <v>15274.8954</v>
      </c>
      <c r="G170" s="18">
        <f t="shared" ref="G170:G171" si="51">F170*1.16</f>
        <v>17718.87866</v>
      </c>
      <c r="H170" s="18">
        <f>C170-G170</f>
        <v>385207.1213</v>
      </c>
      <c r="I170" s="2" t="s">
        <v>180</v>
      </c>
      <c r="J170" s="2"/>
      <c r="K170" s="288"/>
      <c r="L170" s="2"/>
      <c r="M170" s="2"/>
      <c r="N170" s="2"/>
      <c r="O170" s="2"/>
      <c r="P170" s="2"/>
      <c r="Q170" s="2"/>
      <c r="R170" s="2"/>
      <c r="S170" s="2"/>
      <c r="T170" s="2"/>
      <c r="U170" s="2"/>
      <c r="V170" s="2"/>
      <c r="W170" s="2"/>
      <c r="X170" s="2"/>
      <c r="Y170" s="2"/>
      <c r="Z170" s="2"/>
    </row>
    <row r="171" ht="15.75" customHeight="1">
      <c r="A171" s="291">
        <f>VLOOKUP(J171,B18:H23,7,FALSE)</f>
        <v>0.177</v>
      </c>
      <c r="B171" s="292" t="s">
        <v>181</v>
      </c>
      <c r="C171" s="292"/>
      <c r="D171" s="293">
        <f>C170*A171</f>
        <v>71317.902</v>
      </c>
      <c r="E171" s="292">
        <v>0.0</v>
      </c>
      <c r="F171" s="293">
        <f t="shared" si="50"/>
        <v>71317.902</v>
      </c>
      <c r="G171" s="293">
        <f t="shared" si="51"/>
        <v>82728.76632</v>
      </c>
      <c r="H171" s="294">
        <f>H170-G171</f>
        <v>302478.355</v>
      </c>
      <c r="I171" s="292" t="s">
        <v>181</v>
      </c>
      <c r="J171" s="295">
        <v>18.0</v>
      </c>
      <c r="K171" s="296"/>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75">
        <v>0.0379</v>
      </c>
      <c r="B173" s="2" t="s">
        <v>173</v>
      </c>
      <c r="C173" s="2"/>
      <c r="D173" s="2"/>
      <c r="E173" s="2"/>
      <c r="F173" s="2"/>
      <c r="G173" s="2"/>
      <c r="H173" s="2"/>
      <c r="I173" s="2"/>
      <c r="J173" s="2"/>
      <c r="K173" s="288"/>
      <c r="L173" s="2"/>
      <c r="M173" s="2"/>
      <c r="N173" s="2"/>
      <c r="O173" s="2"/>
      <c r="P173" s="2"/>
      <c r="Q173" s="2"/>
      <c r="R173" s="2"/>
      <c r="S173" s="2"/>
      <c r="T173" s="2"/>
      <c r="U173" s="2"/>
      <c r="V173" s="2"/>
      <c r="W173" s="2"/>
      <c r="X173" s="2"/>
      <c r="Y173" s="2"/>
      <c r="Z173" s="2"/>
    </row>
    <row r="174" ht="15.75" customHeight="1">
      <c r="A174" s="289">
        <v>4.0</v>
      </c>
      <c r="B174" s="2" t="s">
        <v>165</v>
      </c>
      <c r="C174" s="2" t="s">
        <v>174</v>
      </c>
      <c r="D174" s="2" t="s">
        <v>175</v>
      </c>
      <c r="E174" s="2" t="s">
        <v>176</v>
      </c>
      <c r="F174" s="2" t="s">
        <v>177</v>
      </c>
      <c r="G174" s="2" t="s">
        <v>178</v>
      </c>
      <c r="H174" s="2" t="s">
        <v>179</v>
      </c>
      <c r="I174" s="2"/>
      <c r="J174" s="2"/>
      <c r="K174" s="288"/>
      <c r="L174" s="2"/>
      <c r="M174" s="2"/>
      <c r="N174" s="2"/>
      <c r="O174" s="2"/>
      <c r="P174" s="2"/>
      <c r="Q174" s="2"/>
      <c r="R174" s="2"/>
      <c r="S174" s="2"/>
      <c r="T174" s="2"/>
      <c r="U174" s="2"/>
      <c r="V174" s="2"/>
      <c r="W174" s="2"/>
      <c r="X174" s="2"/>
      <c r="Y174" s="2"/>
      <c r="Z174" s="2"/>
    </row>
    <row r="175" ht="15.75" customHeight="1">
      <c r="A175" s="287"/>
      <c r="B175" s="2" t="s">
        <v>180</v>
      </c>
      <c r="C175" s="290">
        <f>VLOOKUP(J176,B17:F23,5,FALSE)</f>
        <v>449460</v>
      </c>
      <c r="D175" s="18">
        <f>C175*A173</f>
        <v>17034.534</v>
      </c>
      <c r="E175" s="18">
        <f>A174</f>
        <v>4</v>
      </c>
      <c r="F175" s="18">
        <f t="shared" ref="F175:F176" si="52">D175+E175</f>
        <v>17038.534</v>
      </c>
      <c r="G175" s="18">
        <f t="shared" ref="G175:G176" si="53">F175*1.16</f>
        <v>19764.69944</v>
      </c>
      <c r="H175" s="18">
        <f>C175-G175</f>
        <v>429695.3006</v>
      </c>
      <c r="I175" s="2" t="s">
        <v>180</v>
      </c>
      <c r="J175" s="2"/>
      <c r="K175" s="288"/>
      <c r="L175" s="2"/>
      <c r="M175" s="2"/>
      <c r="N175" s="2"/>
      <c r="O175" s="2"/>
      <c r="P175" s="2"/>
      <c r="Q175" s="2"/>
      <c r="R175" s="2"/>
      <c r="S175" s="2"/>
      <c r="T175" s="2"/>
      <c r="U175" s="2"/>
      <c r="V175" s="2"/>
      <c r="W175" s="2"/>
      <c r="X175" s="2"/>
      <c r="Y175" s="2"/>
      <c r="Z175" s="2"/>
    </row>
    <row r="176" ht="15.75" customHeight="1">
      <c r="A176" s="291">
        <f>VLOOKUP(J176,B18:H23,7,FALSE)</f>
        <v>0.244</v>
      </c>
      <c r="B176" s="292" t="s">
        <v>181</v>
      </c>
      <c r="C176" s="292"/>
      <c r="D176" s="293">
        <f>C175*A176</f>
        <v>109668.24</v>
      </c>
      <c r="E176" s="292">
        <v>0.0</v>
      </c>
      <c r="F176" s="293">
        <f t="shared" si="52"/>
        <v>109668.24</v>
      </c>
      <c r="G176" s="293">
        <f t="shared" si="53"/>
        <v>127215.1584</v>
      </c>
      <c r="H176" s="294">
        <f>H175-G176</f>
        <v>302480.1422</v>
      </c>
      <c r="I176" s="292" t="s">
        <v>181</v>
      </c>
      <c r="J176" s="295">
        <v>24.0</v>
      </c>
      <c r="K176" s="296"/>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
    <mergeCell ref="A8:L8"/>
    <mergeCell ref="A18:A21"/>
    <mergeCell ref="A62:L62"/>
    <mergeCell ref="A91:L91"/>
    <mergeCell ref="A121:L121"/>
  </mergeCells>
  <printOptions/>
  <pageMargins bottom="0.75" footer="0.0" header="0.0" left="0.7" right="0.7" top="0.75"/>
  <pageSetup orientation="landscape"/>
  <drawing r:id="rId1"/>
</worksheet>
</file>