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4 2020 After NYC/Jupyter/simulationID/cim_0315_1240/data/script/"/>
    </mc:Choice>
  </mc:AlternateContent>
  <xr:revisionPtr revIDLastSave="0" documentId="13_ncr:1_{77B637FA-912C-2F48-9574-4A14071AA977}" xr6:coauthVersionLast="45" xr6:coauthVersionMax="45" xr10:uidLastSave="{00000000-0000-0000-0000-000000000000}"/>
  <bookViews>
    <workbookView xWindow="33600" yWindow="-2680" windowWidth="33600" windowHeight="20540" xr2:uid="{A86D1036-0752-124D-A288-1321B8986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8" i="1" l="1"/>
  <c r="U18" i="1"/>
  <c r="N18" i="1"/>
  <c r="M18" i="1"/>
  <c r="L18" i="1"/>
  <c r="K18" i="1"/>
  <c r="E18" i="1"/>
  <c r="G18" i="1"/>
  <c r="N17" i="1"/>
  <c r="M17" i="1"/>
  <c r="L17" i="1"/>
  <c r="E17" i="1"/>
  <c r="K17" i="1"/>
  <c r="U17" i="1"/>
  <c r="V17" i="1"/>
  <c r="N16" i="1"/>
  <c r="K16" i="1"/>
  <c r="M16" i="1" s="1"/>
  <c r="G16" i="1"/>
  <c r="L16" i="1" s="1"/>
  <c r="U16" i="1"/>
  <c r="V16" i="1"/>
  <c r="E15" i="1"/>
  <c r="L15" i="1"/>
  <c r="V15" i="1"/>
  <c r="U15" i="1"/>
  <c r="K15" i="1"/>
  <c r="M15" i="1" s="1"/>
  <c r="E14" i="1"/>
  <c r="V14" i="1"/>
  <c r="U14" i="1"/>
  <c r="M14" i="1"/>
  <c r="G14" i="1"/>
  <c r="L14" i="1" s="1"/>
  <c r="K14" i="1"/>
  <c r="N14" i="1" s="1"/>
  <c r="E13" i="1"/>
  <c r="V13" i="1"/>
  <c r="U13" i="1"/>
  <c r="L13" i="1"/>
  <c r="K13" i="1"/>
  <c r="N13" i="1" s="1"/>
  <c r="G13" i="1"/>
  <c r="E12" i="1"/>
  <c r="N12" i="1"/>
  <c r="K12" i="1"/>
  <c r="M12" i="1" s="1"/>
  <c r="U12" i="1"/>
  <c r="V12" i="1"/>
  <c r="G12" i="1"/>
  <c r="L12" i="1" s="1"/>
  <c r="E11" i="1"/>
  <c r="L11" i="1"/>
  <c r="K11" i="1"/>
  <c r="N11" i="1" s="1"/>
  <c r="U11" i="1"/>
  <c r="V11" i="1"/>
  <c r="K10" i="1"/>
  <c r="N10" i="1" s="1"/>
  <c r="U10" i="1"/>
  <c r="V10" i="1"/>
  <c r="H10" i="1"/>
  <c r="M10" i="1" s="1"/>
  <c r="G10" i="1"/>
  <c r="L10" i="1" s="1"/>
  <c r="H8" i="1"/>
  <c r="E9" i="1"/>
  <c r="U9" i="1"/>
  <c r="V9" i="1"/>
  <c r="L9" i="1"/>
  <c r="K9" i="1"/>
  <c r="M9" i="1" s="1"/>
  <c r="G8" i="1"/>
  <c r="L8" i="1" s="1"/>
  <c r="G7" i="1"/>
  <c r="K8" i="1"/>
  <c r="N8" i="1" s="1"/>
  <c r="E8" i="1"/>
  <c r="U8" i="1"/>
  <c r="V8" i="1"/>
  <c r="G6" i="1"/>
  <c r="L6" i="1" s="1"/>
  <c r="K6" i="1"/>
  <c r="M6" i="1" s="1"/>
  <c r="E6" i="1"/>
  <c r="U6" i="1"/>
  <c r="V6" i="1"/>
  <c r="N15" i="1" l="1"/>
  <c r="N9" i="1"/>
  <c r="M8" i="1"/>
  <c r="N6" i="1"/>
  <c r="M13" i="1"/>
  <c r="M11" i="1"/>
  <c r="E2" i="1"/>
  <c r="E3" i="1" l="1"/>
  <c r="E4" i="1"/>
  <c r="U5" i="1"/>
  <c r="V5" i="1"/>
  <c r="K5" i="1"/>
  <c r="N5" i="1" s="1"/>
  <c r="G2" i="1"/>
  <c r="G3" i="1"/>
  <c r="G4" i="1"/>
  <c r="G5" i="1"/>
  <c r="L5" i="1" s="1"/>
  <c r="E5" i="1"/>
  <c r="B19" i="1"/>
  <c r="K3" i="1" l="1"/>
  <c r="N3" i="1" s="1"/>
  <c r="K4" i="1"/>
  <c r="M4" i="1" s="1"/>
  <c r="K7" i="1"/>
  <c r="N7" i="1" s="1"/>
  <c r="K19" i="1"/>
  <c r="M19" i="1" s="1"/>
  <c r="K2" i="1"/>
  <c r="N2" i="1" s="1"/>
  <c r="N4" i="1" l="1"/>
  <c r="M2" i="1"/>
  <c r="M3" i="1"/>
  <c r="M7" i="1"/>
  <c r="N19" i="1"/>
  <c r="L19" i="1"/>
  <c r="U19" i="1"/>
  <c r="L7" i="1"/>
  <c r="U7" i="1"/>
  <c r="V7" i="1"/>
  <c r="L4" i="1"/>
  <c r="V19" i="1" l="1"/>
  <c r="U4" i="1"/>
  <c r="V4" i="1"/>
  <c r="L3" i="1"/>
  <c r="V2" i="1"/>
  <c r="U2" i="1"/>
  <c r="U3" i="1"/>
  <c r="V3" i="1"/>
  <c r="L2" i="1"/>
</calcChain>
</file>

<file path=xl/sharedStrings.xml><?xml version="1.0" encoding="utf-8"?>
<sst xmlns="http://schemas.openxmlformats.org/spreadsheetml/2006/main" count="139" uniqueCount="93">
  <si>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</si>
  <si>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</si>
  <si>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</si>
  <si>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</si>
  <si>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</si>
  <si>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</si>
  <si>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</si>
  <si>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East</t>
  </si>
  <si>
    <t>North</t>
  </si>
  <si>
    <t>bld_operation</t>
  </si>
  <si>
    <t>pointPolygon</t>
  </si>
  <si>
    <t>Point</t>
  </si>
  <si>
    <t>Old_Purchase</t>
  </si>
  <si>
    <t>OldRent</t>
  </si>
  <si>
    <t>Maintenace</t>
  </si>
  <si>
    <t>ParcelChange</t>
  </si>
  <si>
    <t>No</t>
  </si>
  <si>
    <t>ExcelChange</t>
  </si>
  <si>
    <t>ExcelBefore</t>
  </si>
  <si>
    <t>ExcelPolygon</t>
  </si>
  <si>
    <t>FuturePlanID</t>
  </si>
  <si>
    <t>215_22</t>
  </si>
  <si>
    <t>Address Title</t>
  </si>
  <si>
    <t>סוקולוב 22, בת ים</t>
  </si>
  <si>
    <t>TypeTitle</t>
  </si>
  <si>
    <t>תמ״א 38/1</t>
  </si>
  <si>
    <t>מסריק 10, בת ים</t>
  </si>
  <si>
    <t>216_10</t>
  </si>
  <si>
    <t>216_4</t>
  </si>
  <si>
    <t>מסריק 4, בת ים</t>
  </si>
  <si>
    <t>תמ״א 38/2</t>
  </si>
  <si>
    <t>209_6</t>
  </si>
  <si>
    <t>polygon_502_0317495.xlsx</t>
  </si>
  <si>
    <t>Polygon</t>
  </si>
  <si>
    <t>Yes</t>
  </si>
  <si>
    <t>502-0317495</t>
  </si>
  <si>
    <t>תב״ע פינוי בינוי</t>
  </si>
  <si>
    <t>הרצל 16,18 וחנה סנש 11, 9, 7, בת ים</t>
  </si>
  <si>
    <t>GIS_files</t>
  </si>
  <si>
    <t>bldgs_1a</t>
  </si>
  <si>
    <t>bldgs_6a</t>
  </si>
  <si>
    <t>bldgs_2a</t>
  </si>
  <si>
    <t>bldgs_3a</t>
  </si>
  <si>
    <t>bldgs_45a</t>
  </si>
  <si>
    <t>Arnona</t>
  </si>
  <si>
    <t>ArnonaPerMeter</t>
  </si>
  <si>
    <t>Tax and Maintenace</t>
  </si>
  <si>
    <t>502-0178285</t>
  </si>
  <si>
    <t>216_7</t>
  </si>
  <si>
    <t>originalRentPercent</t>
  </si>
  <si>
    <t>bldgs_4a</t>
  </si>
  <si>
    <t>מסריק 7, בת ים</t>
  </si>
  <si>
    <t>סוקולוב 15, בת ים</t>
  </si>
  <si>
    <t>215_15</t>
  </si>
  <si>
    <t>bldgs_5a</t>
  </si>
  <si>
    <t>bldgs_7a</t>
  </si>
  <si>
    <t>ארלוזורוב 6, בת ים</t>
  </si>
  <si>
    <t>209_8</t>
  </si>
  <si>
    <t>ארלוזורוב 8, בת ים</t>
  </si>
  <si>
    <t>הלפר 12, בת ים</t>
  </si>
  <si>
    <t>208_12</t>
  </si>
  <si>
    <t>bldgs_8a</t>
  </si>
  <si>
    <t>210_56</t>
  </si>
  <si>
    <t>הרצל 56, בת ים</t>
  </si>
  <si>
    <t>bldgs_9a</t>
  </si>
  <si>
    <t>210_11</t>
  </si>
  <si>
    <t>הרצל 11, בת ים</t>
  </si>
  <si>
    <t>bldgs_10a</t>
  </si>
  <si>
    <t>216_3</t>
  </si>
  <si>
    <t>מסריק 3, בת ים</t>
  </si>
  <si>
    <t>bldgs_11a</t>
  </si>
  <si>
    <t>215_18</t>
  </si>
  <si>
    <t>סוקולוב 18, בת ים</t>
  </si>
  <si>
    <t>bldgs_12a</t>
  </si>
  <si>
    <t>215_24</t>
  </si>
  <si>
    <t>סוקולוב 24, בת ים</t>
  </si>
  <si>
    <t>bldgs_13a</t>
  </si>
  <si>
    <t>220_4</t>
  </si>
  <si>
    <t>רוטשילד 4, בת ים</t>
  </si>
  <si>
    <t>bldgs_14a</t>
  </si>
  <si>
    <t>502-0147678</t>
  </si>
  <si>
    <t>complex_215_2</t>
  </si>
  <si>
    <t>bldgs_15a</t>
  </si>
  <si>
    <t>רוטשילד2 וסוקלוב 2, בת ים</t>
  </si>
  <si>
    <t>polygon_502_0147678.xlsx</t>
  </si>
  <si>
    <t>bldgs_16a</t>
  </si>
  <si>
    <t>complex_16</t>
  </si>
  <si>
    <t>דוד מסיקה 6,8 והרצל 8</t>
  </si>
  <si>
    <t>YES</t>
  </si>
  <si>
    <t>polygon_502_0178285.xlsx</t>
  </si>
  <si>
    <t>212_53</t>
  </si>
  <si>
    <t>bldgs_17a</t>
  </si>
  <si>
    <t>בן גוריון 53, בת 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</si>
</sst>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2"/>
      <color rgb="FF2AA198"/>
      <name val="Menlo"/>
      <family val="2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Fill="1" applyBorder="1"/>
    <xf numFmtId="0" fontId="3" fillId="0" borderId="0" xfId="0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292D-0617-114F-905A-ECB223F31F24}">
  <dimension ref="A1:Z22"/>
  <sheetViews>
    <sheetView tabSelected="1" zoomScale="90" workbookViewId="0">
      <selection activeCell="N27" sqref="N27"/>
    </sheetView>
  </sheetViews>
  <sheetFormatPr baseColWidth="10" defaultRowHeight="16" x14ac:dyDescent="0.2"/>
  <cols>
    <col min="1" max="1" width="5.33203125" customWidth="1"/>
    <col min="2" max="2" width="15.33203125" bestFit="1" customWidth="1"/>
    <col min="3" max="3" width="10.33203125" customWidth="1"/>
    <col min="4" max="4" width="7.33203125" customWidth="1"/>
    <col min="5" max="5" width="6.33203125" customWidth="1"/>
    <col min="6" max="6" width="15" bestFit="1" customWidth="1"/>
    <col min="11" max="11" width="8" customWidth="1"/>
    <col min="13" max="13" width="7.5" bestFit="1" customWidth="1"/>
    <col min="14" max="14" width="9.6640625" customWidth="1"/>
    <col min="17" max="17" width="5.83203125" customWidth="1"/>
    <col min="21" max="21" width="24.1640625" bestFit="1" customWidth="1"/>
    <col min="22" max="22" width="15.5" customWidth="1"/>
    <col min="23" max="23" width="11.5" customWidth="1"/>
    <col min="24" max="24" width="9.5" bestFit="1" customWidth="1"/>
    <col min="25" max="25" width="17" customWidth="1"/>
    <col min="26" max="26" width="16.6640625" customWidth="1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45</v>
      </c>
      <c r="K1" s="2" t="s">
        <v>44</v>
      </c>
      <c r="L1" s="2" t="s">
        <v>12</v>
      </c>
      <c r="M1" s="2" t="s">
        <v>13</v>
      </c>
      <c r="N1" s="2" t="s">
        <v>46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15</v>
      </c>
      <c r="T1" s="2" t="s">
        <v>20</v>
      </c>
      <c r="U1" s="2" t="s">
        <v>18</v>
      </c>
      <c r="V1" s="2" t="s">
        <v>17</v>
      </c>
      <c r="W1" s="2" t="s">
        <v>19</v>
      </c>
      <c r="X1" s="4" t="s">
        <v>38</v>
      </c>
      <c r="Y1" s="3" t="s">
        <v>22</v>
      </c>
      <c r="Z1" s="3" t="s">
        <v>24</v>
      </c>
    </row>
    <row r="2" spans="1:26" x14ac:dyDescent="0.2">
      <c r="A2">
        <v>0</v>
      </c>
      <c r="B2" t="s">
        <v>21</v>
      </c>
      <c r="C2">
        <v>18</v>
      </c>
      <c r="D2">
        <v>3</v>
      </c>
      <c r="E2">
        <f>7/33</f>
        <v>0.21212121212121213</v>
      </c>
      <c r="F2" s="1">
        <v>88</v>
      </c>
      <c r="G2">
        <f>22930/1.2</f>
        <v>19108.333333333336</v>
      </c>
      <c r="H2">
        <v>62</v>
      </c>
      <c r="I2">
        <v>100</v>
      </c>
      <c r="J2" s="7">
        <v>5.4358000000000004</v>
      </c>
      <c r="K2" s="7">
        <f>INT(J2*F2)</f>
        <v>478</v>
      </c>
      <c r="L2">
        <f>G2*F2</f>
        <v>1681533.3333333335</v>
      </c>
      <c r="M2">
        <f>H2*F2+I2+K2</f>
        <v>6034</v>
      </c>
      <c r="N2">
        <f>K2+I2</f>
        <v>578</v>
      </c>
      <c r="O2">
        <v>175764</v>
      </c>
      <c r="P2">
        <v>658989</v>
      </c>
      <c r="Q2">
        <v>1</v>
      </c>
      <c r="R2" t="s">
        <v>11</v>
      </c>
      <c r="S2" t="s">
        <v>16</v>
      </c>
      <c r="T2">
        <v>20140882</v>
      </c>
      <c r="U2" t="str">
        <f>"before_"&amp;B2&amp;".xlsx"</f>
        <v>before_215_22.xlsx</v>
      </c>
      <c r="V2" t="str">
        <f>"after_"&amp;B2&amp;".xlsx"</f>
        <v>after_215_22.xlsx</v>
      </c>
      <c r="X2" t="s">
        <v>39</v>
      </c>
      <c r="Y2" t="s">
        <v>23</v>
      </c>
      <c r="Z2" t="s">
        <v>25</v>
      </c>
    </row>
    <row r="3" spans="1:26" x14ac:dyDescent="0.2">
      <c r="A3">
        <v>1</v>
      </c>
      <c r="B3" t="s">
        <v>27</v>
      </c>
      <c r="C3">
        <v>12</v>
      </c>
      <c r="D3">
        <v>3</v>
      </c>
      <c r="E3">
        <f>6/20</f>
        <v>0.3</v>
      </c>
      <c r="F3">
        <v>100</v>
      </c>
      <c r="G3">
        <f>24376/1.2</f>
        <v>20313.333333333336</v>
      </c>
      <c r="H3">
        <v>68</v>
      </c>
      <c r="I3">
        <v>100</v>
      </c>
      <c r="J3" s="7">
        <v>5.4358000000000004</v>
      </c>
      <c r="K3" s="7">
        <f t="shared" ref="K3:K5" si="0">INT(J3*F3)</f>
        <v>543</v>
      </c>
      <c r="L3">
        <f>G3*F3</f>
        <v>2031333.3333333335</v>
      </c>
      <c r="M3">
        <f t="shared" ref="M3:M6" si="1">H3*F3+I3+K3</f>
        <v>7443</v>
      </c>
      <c r="N3">
        <f t="shared" ref="N3:N6" si="2">K3+I3</f>
        <v>643</v>
      </c>
      <c r="O3">
        <v>175672</v>
      </c>
      <c r="P3">
        <v>659031</v>
      </c>
      <c r="Q3">
        <v>1</v>
      </c>
      <c r="R3" t="s">
        <v>11</v>
      </c>
      <c r="S3" t="s">
        <v>16</v>
      </c>
      <c r="T3">
        <v>20120398</v>
      </c>
      <c r="U3" t="str">
        <f>"before_"&amp;B3&amp;".xlsx"</f>
        <v>before_216_10.xlsx</v>
      </c>
      <c r="V3" t="str">
        <f>"after_"&amp;B3&amp;".xlsx"</f>
        <v>after_216_10.xlsx</v>
      </c>
      <c r="X3" t="s">
        <v>41</v>
      </c>
      <c r="Y3" t="s">
        <v>26</v>
      </c>
      <c r="Z3" t="s">
        <v>25</v>
      </c>
    </row>
    <row r="4" spans="1:26" x14ac:dyDescent="0.2">
      <c r="A4">
        <v>2</v>
      </c>
      <c r="B4" t="s">
        <v>28</v>
      </c>
      <c r="C4">
        <v>12</v>
      </c>
      <c r="D4">
        <v>3</v>
      </c>
      <c r="E4">
        <f>12/19</f>
        <v>0.63157894736842102</v>
      </c>
      <c r="F4">
        <v>94</v>
      </c>
      <c r="G4">
        <f>23351/1.2</f>
        <v>19459.166666666668</v>
      </c>
      <c r="H4">
        <v>67</v>
      </c>
      <c r="I4">
        <v>100</v>
      </c>
      <c r="J4" s="7">
        <v>5.4358000000000004</v>
      </c>
      <c r="K4" s="7">
        <f t="shared" si="0"/>
        <v>510</v>
      </c>
      <c r="L4">
        <f>G4*F4</f>
        <v>1829161.6666666667</v>
      </c>
      <c r="M4">
        <f t="shared" si="1"/>
        <v>6908</v>
      </c>
      <c r="N4">
        <f t="shared" si="2"/>
        <v>610</v>
      </c>
      <c r="O4">
        <v>175687</v>
      </c>
      <c r="P4">
        <v>659077</v>
      </c>
      <c r="Q4">
        <v>1</v>
      </c>
      <c r="R4" t="s">
        <v>11</v>
      </c>
      <c r="S4" t="s">
        <v>16</v>
      </c>
      <c r="T4">
        <v>20141086</v>
      </c>
      <c r="U4" t="str">
        <f>"before_"&amp;B4&amp;".xlsx"</f>
        <v>before_216_4.xlsx</v>
      </c>
      <c r="V4" t="str">
        <f>"after_"&amp;B4&amp;".xlsx"</f>
        <v>after_216_4.xlsx</v>
      </c>
      <c r="X4" t="s">
        <v>42</v>
      </c>
      <c r="Y4" t="s">
        <v>29</v>
      </c>
      <c r="Z4" t="s">
        <v>25</v>
      </c>
    </row>
    <row r="5" spans="1:26" x14ac:dyDescent="0.2">
      <c r="A5">
        <v>3</v>
      </c>
      <c r="B5" s="8" t="s">
        <v>48</v>
      </c>
      <c r="C5">
        <v>18</v>
      </c>
      <c r="D5">
        <v>3</v>
      </c>
      <c r="E5">
        <f>8/25</f>
        <v>0.32</v>
      </c>
      <c r="F5">
        <v>75</v>
      </c>
      <c r="G5">
        <f>2500/1.2</f>
        <v>2083.3333333333335</v>
      </c>
      <c r="H5">
        <v>60</v>
      </c>
      <c r="I5">
        <v>100</v>
      </c>
      <c r="J5" s="7">
        <v>5.4358000000000004</v>
      </c>
      <c r="K5" s="7">
        <f>INT(J5*F5)</f>
        <v>407</v>
      </c>
      <c r="L5">
        <f>G5*F5</f>
        <v>156250</v>
      </c>
      <c r="M5">
        <v>6000</v>
      </c>
      <c r="N5">
        <f t="shared" si="2"/>
        <v>507</v>
      </c>
      <c r="O5">
        <v>175720</v>
      </c>
      <c r="P5">
        <v>659014</v>
      </c>
      <c r="Q5">
        <v>1</v>
      </c>
      <c r="R5" t="s">
        <v>11</v>
      </c>
      <c r="S5" t="s">
        <v>16</v>
      </c>
      <c r="T5">
        <v>20160636</v>
      </c>
      <c r="U5" t="str">
        <f>"before_"&amp;B5&amp;".xlsx"</f>
        <v>before_216_7.xlsx</v>
      </c>
      <c r="V5" t="str">
        <f>"after_"&amp;B5&amp;".xlsx"</f>
        <v>after_216_7.xlsx</v>
      </c>
      <c r="X5" t="s">
        <v>50</v>
      </c>
      <c r="Y5" t="s">
        <v>51</v>
      </c>
      <c r="Z5" t="s">
        <v>25</v>
      </c>
    </row>
    <row r="6" spans="1:26" x14ac:dyDescent="0.2">
      <c r="A6">
        <v>4</v>
      </c>
      <c r="B6" t="s">
        <v>53</v>
      </c>
      <c r="C6">
        <v>12</v>
      </c>
      <c r="D6">
        <v>3</v>
      </c>
      <c r="E6">
        <f>8/16</f>
        <v>0.5</v>
      </c>
      <c r="F6">
        <v>80</v>
      </c>
      <c r="G6">
        <f>21731.335/1.2</f>
        <v>18109.445833333335</v>
      </c>
      <c r="H6">
        <v>60</v>
      </c>
      <c r="I6">
        <v>100</v>
      </c>
      <c r="J6" s="7">
        <v>5.4358000000000004</v>
      </c>
      <c r="K6" s="9">
        <f>INT(J6*F6)</f>
        <v>434</v>
      </c>
      <c r="L6">
        <f>G6*F6</f>
        <v>1448755.6666666667</v>
      </c>
      <c r="M6">
        <f t="shared" si="1"/>
        <v>5334</v>
      </c>
      <c r="N6">
        <f t="shared" si="2"/>
        <v>534</v>
      </c>
      <c r="O6">
        <v>175802</v>
      </c>
      <c r="P6">
        <v>659095</v>
      </c>
      <c r="Q6">
        <v>1</v>
      </c>
      <c r="R6" t="s">
        <v>11</v>
      </c>
      <c r="S6" t="s">
        <v>16</v>
      </c>
      <c r="T6">
        <v>20140449</v>
      </c>
      <c r="U6" s="6" t="str">
        <f>"before_"&amp;B6&amp;".xlsx"</f>
        <v>before_215_15.xlsx</v>
      </c>
      <c r="V6" s="6" t="str">
        <f>"after_"&amp;B6&amp;".xlsx"</f>
        <v>after_215_15.xlsx</v>
      </c>
      <c r="X6" t="s">
        <v>54</v>
      </c>
      <c r="Y6" t="s">
        <v>52</v>
      </c>
      <c r="Z6" t="s">
        <v>25</v>
      </c>
    </row>
    <row r="7" spans="1:26" x14ac:dyDescent="0.2">
      <c r="A7">
        <v>5</v>
      </c>
      <c r="B7" t="s">
        <v>31</v>
      </c>
      <c r="C7">
        <v>6</v>
      </c>
      <c r="D7">
        <v>3</v>
      </c>
      <c r="E7">
        <v>0</v>
      </c>
      <c r="F7">
        <v>94</v>
      </c>
      <c r="G7">
        <f>22922/1.2</f>
        <v>19101.666666666668</v>
      </c>
      <c r="H7">
        <v>50</v>
      </c>
      <c r="I7">
        <v>100</v>
      </c>
      <c r="J7" s="7">
        <v>5.4358000000000004</v>
      </c>
      <c r="K7" s="7">
        <f>INT(J7*F7)</f>
        <v>510</v>
      </c>
      <c r="L7">
        <f>G7*F7</f>
        <v>1795556.6666666667</v>
      </c>
      <c r="M7">
        <f>H7*F7+I7+K7</f>
        <v>5310</v>
      </c>
      <c r="N7">
        <f>K7+I7</f>
        <v>610</v>
      </c>
      <c r="O7">
        <v>175958</v>
      </c>
      <c r="P7">
        <v>659687</v>
      </c>
      <c r="Q7">
        <v>2</v>
      </c>
      <c r="R7" t="s">
        <v>11</v>
      </c>
      <c r="S7" t="s">
        <v>16</v>
      </c>
      <c r="T7" s="5">
        <v>20140231</v>
      </c>
      <c r="U7" t="str">
        <f>"before_"&amp;B7&amp;".xlsx"</f>
        <v>before_209_6.xlsx</v>
      </c>
      <c r="V7" t="str">
        <f>"after_"&amp;B7&amp;".xlsx"</f>
        <v>after_209_6.xlsx</v>
      </c>
      <c r="X7" t="s">
        <v>40</v>
      </c>
      <c r="Y7" t="s">
        <v>56</v>
      </c>
      <c r="Z7" t="s">
        <v>30</v>
      </c>
    </row>
    <row r="8" spans="1:26" x14ac:dyDescent="0.2">
      <c r="A8">
        <v>6</v>
      </c>
      <c r="B8" t="s">
        <v>57</v>
      </c>
      <c r="C8">
        <v>40</v>
      </c>
      <c r="D8">
        <v>4</v>
      </c>
      <c r="E8">
        <f>11/40</f>
        <v>0.27500000000000002</v>
      </c>
      <c r="F8">
        <v>75</v>
      </c>
      <c r="G8">
        <f>23869/1.2</f>
        <v>19890.833333333336</v>
      </c>
      <c r="H8">
        <f>ROUND(85/1.2,0)</f>
        <v>71</v>
      </c>
      <c r="I8">
        <v>100</v>
      </c>
      <c r="J8" s="7">
        <v>5.4358000000000004</v>
      </c>
      <c r="K8" s="7">
        <f>INT(J8*F8)</f>
        <v>407</v>
      </c>
      <c r="L8">
        <f>G8*F8</f>
        <v>1491812.5000000002</v>
      </c>
      <c r="M8">
        <f>H8*F8+I8+K8</f>
        <v>5832</v>
      </c>
      <c r="N8">
        <f>K8+I8</f>
        <v>507</v>
      </c>
      <c r="O8">
        <v>175948</v>
      </c>
      <c r="P8">
        <v>659647</v>
      </c>
      <c r="Q8">
        <v>1</v>
      </c>
      <c r="R8" t="s">
        <v>11</v>
      </c>
      <c r="S8" t="s">
        <v>16</v>
      </c>
      <c r="T8">
        <v>20120894</v>
      </c>
      <c r="U8" t="str">
        <f>"before_"&amp;B8&amp;".xlsx"</f>
        <v>before_209_8.xlsx</v>
      </c>
      <c r="V8" t="str">
        <f>"after_"&amp;B8&amp;".xlsx"</f>
        <v>after_209_8.xlsx</v>
      </c>
      <c r="X8" t="s">
        <v>55</v>
      </c>
      <c r="Y8" t="s">
        <v>58</v>
      </c>
      <c r="Z8" t="s">
        <v>25</v>
      </c>
    </row>
    <row r="9" spans="1:26" x14ac:dyDescent="0.2">
      <c r="A9">
        <v>7</v>
      </c>
      <c r="B9" s="8" t="s">
        <v>60</v>
      </c>
      <c r="C9">
        <v>24</v>
      </c>
      <c r="D9">
        <v>3</v>
      </c>
      <c r="E9">
        <f>7/24</f>
        <v>0.29166666666666669</v>
      </c>
      <c r="F9">
        <v>85</v>
      </c>
      <c r="G9" s="8">
        <v>18357.297999999999</v>
      </c>
      <c r="H9" s="8">
        <v>62</v>
      </c>
      <c r="I9">
        <v>100</v>
      </c>
      <c r="J9" s="7">
        <v>5.4358000000000004</v>
      </c>
      <c r="K9" s="7">
        <f>INT(J9*F9)</f>
        <v>462</v>
      </c>
      <c r="L9">
        <f>G9*F9</f>
        <v>1560370.3299999998</v>
      </c>
      <c r="M9">
        <f>H9*F9+I9+K9</f>
        <v>5832</v>
      </c>
      <c r="N9">
        <f>K9+I9</f>
        <v>562</v>
      </c>
      <c r="O9">
        <v>175920</v>
      </c>
      <c r="P9">
        <v>659469</v>
      </c>
      <c r="Q9">
        <v>1</v>
      </c>
      <c r="R9" t="s">
        <v>11</v>
      </c>
      <c r="S9" t="s">
        <v>16</v>
      </c>
      <c r="T9">
        <v>20181295</v>
      </c>
      <c r="U9" t="str">
        <f>"before_"&amp;B9&amp;".xlsx"</f>
        <v>before_208_12.xlsx</v>
      </c>
      <c r="V9" t="str">
        <f>"after_"&amp;B9&amp;".xlsx"</f>
        <v>after_208_12.xlsx</v>
      </c>
      <c r="X9" t="s">
        <v>61</v>
      </c>
      <c r="Y9" t="s">
        <v>59</v>
      </c>
      <c r="Z9" t="s">
        <v>25</v>
      </c>
    </row>
    <row r="10" spans="1:26" x14ac:dyDescent="0.2">
      <c r="A10">
        <v>8</v>
      </c>
      <c r="B10" s="8" t="s">
        <v>62</v>
      </c>
      <c r="C10">
        <v>10</v>
      </c>
      <c r="D10">
        <v>2</v>
      </c>
      <c r="E10">
        <v>0</v>
      </c>
      <c r="F10">
        <v>65</v>
      </c>
      <c r="G10" s="8">
        <f>21994.789/1.2</f>
        <v>18328.990833333333</v>
      </c>
      <c r="H10">
        <f>ROUND(74/1.1,0)</f>
        <v>67</v>
      </c>
      <c r="I10">
        <v>100</v>
      </c>
      <c r="J10" s="7">
        <v>5.4358000000000004</v>
      </c>
      <c r="K10" s="7">
        <f>INT(J10*F10)</f>
        <v>353</v>
      </c>
      <c r="L10">
        <f>G10*F10</f>
        <v>1191384.4041666666</v>
      </c>
      <c r="M10">
        <f>H10*F10+I10+K10</f>
        <v>4808</v>
      </c>
      <c r="N10">
        <f>K10+I10</f>
        <v>453</v>
      </c>
      <c r="O10">
        <v>175858</v>
      </c>
      <c r="P10">
        <v>659064</v>
      </c>
      <c r="Q10">
        <v>2</v>
      </c>
      <c r="R10" t="s">
        <v>11</v>
      </c>
      <c r="S10" t="s">
        <v>16</v>
      </c>
      <c r="T10">
        <v>20180335</v>
      </c>
      <c r="U10" t="str">
        <f>"before_"&amp;B10&amp;".xlsx"</f>
        <v>before_210_56.xlsx</v>
      </c>
      <c r="V10" t="str">
        <f>"after_"&amp;B10&amp;".xlsx"</f>
        <v>after_210_56.xlsx</v>
      </c>
      <c r="X10" t="s">
        <v>64</v>
      </c>
      <c r="Y10" t="s">
        <v>63</v>
      </c>
      <c r="Z10" t="s">
        <v>30</v>
      </c>
    </row>
    <row r="11" spans="1:26" x14ac:dyDescent="0.2">
      <c r="A11">
        <v>9</v>
      </c>
      <c r="B11" s="8" t="s">
        <v>65</v>
      </c>
      <c r="C11">
        <v>12</v>
      </c>
      <c r="D11">
        <v>3</v>
      </c>
      <c r="E11">
        <f>4/12</f>
        <v>0.33333333333333331</v>
      </c>
      <c r="F11">
        <v>85</v>
      </c>
      <c r="G11" s="8">
        <v>19858.652999999998</v>
      </c>
      <c r="H11">
        <v>65</v>
      </c>
      <c r="I11">
        <v>100</v>
      </c>
      <c r="J11" s="7">
        <v>5.4358000000000004</v>
      </c>
      <c r="K11" s="7">
        <f>INT(J11*F11)</f>
        <v>462</v>
      </c>
      <c r="L11">
        <f>G11*F11</f>
        <v>1687985.5049999999</v>
      </c>
      <c r="M11">
        <f>H11*F11+I11+K11</f>
        <v>6087</v>
      </c>
      <c r="N11">
        <f>K11+I11</f>
        <v>562</v>
      </c>
      <c r="O11">
        <v>175912</v>
      </c>
      <c r="P11">
        <v>659631</v>
      </c>
      <c r="Q11">
        <v>1</v>
      </c>
      <c r="R11" t="s">
        <v>11</v>
      </c>
      <c r="S11" t="s">
        <v>16</v>
      </c>
      <c r="T11">
        <v>20150274</v>
      </c>
      <c r="U11" t="str">
        <f>"before_"&amp;B11&amp;".xlsx"</f>
        <v>before_210_11.xlsx</v>
      </c>
      <c r="V11" t="str">
        <f>"after_"&amp;B11&amp;".xlsx"</f>
        <v>after_210_11.xlsx</v>
      </c>
      <c r="X11" t="s">
        <v>67</v>
      </c>
      <c r="Y11" t="s">
        <v>66</v>
      </c>
      <c r="Z11" t="s">
        <v>25</v>
      </c>
    </row>
    <row r="12" spans="1:26" x14ac:dyDescent="0.2">
      <c r="A12">
        <v>10</v>
      </c>
      <c r="B12" s="8" t="s">
        <v>68</v>
      </c>
      <c r="C12">
        <v>18</v>
      </c>
      <c r="D12">
        <v>3</v>
      </c>
      <c r="E12">
        <f>10/37</f>
        <v>0.27027027027027029</v>
      </c>
      <c r="F12">
        <v>78</v>
      </c>
      <c r="G12" s="8">
        <f>20676.289</f>
        <v>20676.289000000001</v>
      </c>
      <c r="H12">
        <v>62</v>
      </c>
      <c r="I12">
        <v>100</v>
      </c>
      <c r="J12" s="7">
        <v>5.4358000000000004</v>
      </c>
      <c r="K12" s="10">
        <f>INT(J12*F12)</f>
        <v>423</v>
      </c>
      <c r="L12">
        <f>G12*F12</f>
        <v>1612750.5420000001</v>
      </c>
      <c r="M12">
        <f>H12*F12+I12+K12</f>
        <v>5359</v>
      </c>
      <c r="N12">
        <f>K12+I12</f>
        <v>523</v>
      </c>
      <c r="O12" s="8">
        <v>175736</v>
      </c>
      <c r="P12" s="8">
        <v>659078</v>
      </c>
      <c r="Q12">
        <v>1</v>
      </c>
      <c r="R12" t="s">
        <v>11</v>
      </c>
      <c r="S12" t="s">
        <v>16</v>
      </c>
      <c r="T12">
        <v>20141190</v>
      </c>
      <c r="U12" t="str">
        <f>"before_"&amp;B12&amp;".xlsx"</f>
        <v>before_216_3.xlsx</v>
      </c>
      <c r="V12" t="str">
        <f>"after_"&amp;B12&amp;".xlsx"</f>
        <v>after_216_3.xlsx</v>
      </c>
      <c r="X12" t="s">
        <v>70</v>
      </c>
      <c r="Y12" t="s">
        <v>69</v>
      </c>
      <c r="Z12" t="s">
        <v>25</v>
      </c>
    </row>
    <row r="13" spans="1:26" x14ac:dyDescent="0.2">
      <c r="A13">
        <v>11</v>
      </c>
      <c r="B13" s="8" t="s">
        <v>71</v>
      </c>
      <c r="C13">
        <v>18</v>
      </c>
      <c r="D13">
        <v>3</v>
      </c>
      <c r="E13">
        <f>6/15</f>
        <v>0.4</v>
      </c>
      <c r="F13" s="8">
        <v>83</v>
      </c>
      <c r="G13" s="8">
        <f>22956.143/1.2</f>
        <v>19130.119166666667</v>
      </c>
      <c r="H13" s="8">
        <v>53</v>
      </c>
      <c r="I13">
        <v>100</v>
      </c>
      <c r="J13" s="7">
        <v>5.4358000000000004</v>
      </c>
      <c r="K13" s="10">
        <f>INT(J13*F13)</f>
        <v>451</v>
      </c>
      <c r="L13">
        <f>G13*F13</f>
        <v>1587799.8908333334</v>
      </c>
      <c r="M13">
        <f>H13*F13+I13+K13</f>
        <v>4950</v>
      </c>
      <c r="N13">
        <f>K13+I13</f>
        <v>551</v>
      </c>
      <c r="O13" s="8">
        <v>175768</v>
      </c>
      <c r="P13" s="8">
        <v>659033</v>
      </c>
      <c r="Q13">
        <v>1</v>
      </c>
      <c r="R13" t="s">
        <v>11</v>
      </c>
      <c r="S13" t="s">
        <v>16</v>
      </c>
      <c r="T13">
        <v>20140060</v>
      </c>
      <c r="U13" t="str">
        <f>"before_"&amp;B13&amp;".xlsx"</f>
        <v>before_215_18.xlsx</v>
      </c>
      <c r="V13" t="str">
        <f>"after_"&amp;B13&amp;".xlsx"</f>
        <v>after_215_18.xlsx</v>
      </c>
      <c r="X13" t="s">
        <v>73</v>
      </c>
      <c r="Y13" t="s">
        <v>72</v>
      </c>
      <c r="Z13" t="s">
        <v>25</v>
      </c>
    </row>
    <row r="14" spans="1:26" x14ac:dyDescent="0.2">
      <c r="A14">
        <v>12</v>
      </c>
      <c r="B14" s="8" t="s">
        <v>74</v>
      </c>
      <c r="C14">
        <v>18</v>
      </c>
      <c r="D14">
        <v>3</v>
      </c>
      <c r="E14">
        <f>5/18</f>
        <v>0.27777777777777779</v>
      </c>
      <c r="F14">
        <v>74</v>
      </c>
      <c r="G14" s="8">
        <f>23330.288/1.2</f>
        <v>19441.906666666669</v>
      </c>
      <c r="H14">
        <v>65</v>
      </c>
      <c r="I14">
        <v>100</v>
      </c>
      <c r="J14" s="7">
        <v>5.4358000000000004</v>
      </c>
      <c r="K14" s="10">
        <f>INT(J14*F14)</f>
        <v>402</v>
      </c>
      <c r="L14">
        <f>G14*F14</f>
        <v>1438701.0933333335</v>
      </c>
      <c r="M14" s="8">
        <f>H14*F14+I14+K14</f>
        <v>5312</v>
      </c>
      <c r="N14" s="8">
        <f>K14+I14</f>
        <v>502</v>
      </c>
      <c r="O14" s="8">
        <v>175764</v>
      </c>
      <c r="P14" s="8">
        <v>658971</v>
      </c>
      <c r="Q14" s="8">
        <v>1</v>
      </c>
      <c r="R14" t="s">
        <v>11</v>
      </c>
      <c r="S14" t="s">
        <v>16</v>
      </c>
      <c r="T14">
        <v>20110270</v>
      </c>
      <c r="U14" t="str">
        <f>"before_"&amp;B14&amp;".xlsx"</f>
        <v>before_215_24.xlsx</v>
      </c>
      <c r="V14" t="str">
        <f>"after_"&amp;B14&amp;".xlsx"</f>
        <v>after_215_24.xlsx</v>
      </c>
      <c r="X14" t="s">
        <v>76</v>
      </c>
      <c r="Y14" t="s">
        <v>75</v>
      </c>
      <c r="Z14" t="s">
        <v>25</v>
      </c>
    </row>
    <row r="15" spans="1:26" x14ac:dyDescent="0.2">
      <c r="A15">
        <v>13</v>
      </c>
      <c r="B15" s="8" t="s">
        <v>77</v>
      </c>
      <c r="C15">
        <v>16</v>
      </c>
      <c r="D15">
        <v>3</v>
      </c>
      <c r="E15">
        <f>2/16</f>
        <v>0.125</v>
      </c>
      <c r="F15">
        <v>81</v>
      </c>
      <c r="G15" s="8">
        <v>19110.503000000001</v>
      </c>
      <c r="H15" s="8">
        <v>65</v>
      </c>
      <c r="I15">
        <v>100</v>
      </c>
      <c r="J15" s="7">
        <v>5.4358000000000004</v>
      </c>
      <c r="K15" s="10">
        <f>INT(J15*F15)</f>
        <v>440</v>
      </c>
      <c r="L15">
        <f>G15*F15</f>
        <v>1547950.743</v>
      </c>
      <c r="M15" s="10">
        <f>H15*F15+I15+K15</f>
        <v>5805</v>
      </c>
      <c r="N15" s="10">
        <f>K15+I15</f>
        <v>540</v>
      </c>
      <c r="O15">
        <v>175786</v>
      </c>
      <c r="P15" s="8">
        <v>659333</v>
      </c>
      <c r="Q15" s="10">
        <v>1</v>
      </c>
      <c r="R15" t="s">
        <v>11</v>
      </c>
      <c r="S15" t="s">
        <v>16</v>
      </c>
      <c r="T15">
        <v>20131419</v>
      </c>
      <c r="U15" t="str">
        <f>"before_"&amp;B15&amp;".xlsx"</f>
        <v>before_220_4.xlsx</v>
      </c>
      <c r="V15" t="str">
        <f>"after_"&amp;B15&amp;".xlsx"</f>
        <v>after_220_4.xlsx</v>
      </c>
      <c r="X15" t="s">
        <v>79</v>
      </c>
      <c r="Y15" t="s">
        <v>78</v>
      </c>
      <c r="Z15" t="s">
        <v>25</v>
      </c>
    </row>
    <row r="16" spans="1:26" x14ac:dyDescent="0.2">
      <c r="A16">
        <v>14</v>
      </c>
      <c r="B16" s="8" t="s">
        <v>81</v>
      </c>
      <c r="C16">
        <v>24</v>
      </c>
      <c r="D16">
        <v>4</v>
      </c>
      <c r="E16">
        <v>0</v>
      </c>
      <c r="F16">
        <v>80</v>
      </c>
      <c r="G16" s="8">
        <f>23570.736</f>
        <v>23570.736000000001</v>
      </c>
      <c r="H16">
        <v>65</v>
      </c>
      <c r="I16">
        <v>100</v>
      </c>
      <c r="J16" s="7">
        <v>5.4358000000000004</v>
      </c>
      <c r="K16" s="10">
        <f>INT(J16*F16)</f>
        <v>434</v>
      </c>
      <c r="L16">
        <f>G16*F16</f>
        <v>1885658.8800000001</v>
      </c>
      <c r="M16" s="10">
        <f>H16*F16+I16+K16</f>
        <v>5734</v>
      </c>
      <c r="N16" s="10">
        <f>K16+I16</f>
        <v>534</v>
      </c>
      <c r="O16" s="8">
        <v>175747</v>
      </c>
      <c r="P16" s="8">
        <v>659326</v>
      </c>
      <c r="Q16" s="10">
        <v>3</v>
      </c>
      <c r="R16" t="s">
        <v>33</v>
      </c>
      <c r="S16" s="10" t="s">
        <v>34</v>
      </c>
      <c r="T16" t="s">
        <v>80</v>
      </c>
      <c r="U16" t="str">
        <f>"before_"&amp;B16&amp;".xlsx"</f>
        <v>before_complex_215_2.xlsx</v>
      </c>
      <c r="V16" t="str">
        <f>"after_"&amp;B16&amp;".xlsx"</f>
        <v>after_complex_215_2.xlsx</v>
      </c>
      <c r="W16" t="s">
        <v>84</v>
      </c>
      <c r="X16" t="s">
        <v>82</v>
      </c>
      <c r="Y16" t="s">
        <v>83</v>
      </c>
      <c r="Z16" t="s">
        <v>36</v>
      </c>
    </row>
    <row r="17" spans="1:26" x14ac:dyDescent="0.2">
      <c r="A17">
        <v>15</v>
      </c>
      <c r="B17" s="8" t="s">
        <v>86</v>
      </c>
      <c r="C17">
        <v>118</v>
      </c>
      <c r="D17">
        <v>3</v>
      </c>
      <c r="E17">
        <f>58/118</f>
        <v>0.49152542372881358</v>
      </c>
      <c r="F17">
        <v>65</v>
      </c>
      <c r="G17">
        <v>23800</v>
      </c>
      <c r="H17" s="8">
        <v>63</v>
      </c>
      <c r="I17">
        <v>100</v>
      </c>
      <c r="J17" s="7">
        <v>5.4358000000000004</v>
      </c>
      <c r="K17" s="10">
        <f>INT(J17*F17)</f>
        <v>353</v>
      </c>
      <c r="L17">
        <f>G17*F17</f>
        <v>1547000</v>
      </c>
      <c r="M17" s="10">
        <f>H17*F17+I17+K17</f>
        <v>4548</v>
      </c>
      <c r="N17" s="10">
        <f>K17+I17</f>
        <v>453</v>
      </c>
      <c r="O17" s="8">
        <v>175891</v>
      </c>
      <c r="P17" s="8">
        <v>659752</v>
      </c>
      <c r="Q17" s="8">
        <v>3</v>
      </c>
      <c r="R17" t="s">
        <v>33</v>
      </c>
      <c r="S17" t="s">
        <v>88</v>
      </c>
      <c r="T17" t="s">
        <v>47</v>
      </c>
      <c r="U17" t="str">
        <f>"before_"&amp;B17&amp;".xlsx"</f>
        <v>before_complex_16.xlsx</v>
      </c>
      <c r="V17" t="str">
        <f>"after_"&amp;B17&amp;".xlsx"</f>
        <v>after_complex_16.xlsx</v>
      </c>
      <c r="W17" t="s">
        <v>89</v>
      </c>
      <c r="X17" t="s">
        <v>85</v>
      </c>
      <c r="Y17" t="s">
        <v>87</v>
      </c>
      <c r="Z17" t="s">
        <v>36</v>
      </c>
    </row>
    <row r="18" spans="1:26" x14ac:dyDescent="0.2">
      <c r="A18">
        <v>16</v>
      </c>
      <c r="B18" s="8" t="s">
        <v>90</v>
      </c>
      <c r="C18">
        <v>33</v>
      </c>
      <c r="D18">
        <v>6</v>
      </c>
      <c r="E18">
        <f>7/33</f>
        <v>0.21212121212121213</v>
      </c>
      <c r="F18">
        <v>85</v>
      </c>
      <c r="G18">
        <f>23315.381/1.1</f>
        <v>21195.800909090907</v>
      </c>
      <c r="H18">
        <v>65</v>
      </c>
      <c r="I18">
        <v>100</v>
      </c>
      <c r="J18" s="7">
        <v>5.4358000000000004</v>
      </c>
      <c r="K18" s="10">
        <f>INT(J18*F18)</f>
        <v>462</v>
      </c>
      <c r="L18">
        <f>G18*F18</f>
        <v>1801643.0772727272</v>
      </c>
      <c r="M18" s="10">
        <f>H18*F18+I18+K18</f>
        <v>6087</v>
      </c>
      <c r="N18" s="10">
        <f>K18+I18</f>
        <v>562</v>
      </c>
      <c r="O18" s="8">
        <v>175678</v>
      </c>
      <c r="P18" s="8">
        <v>659228</v>
      </c>
      <c r="Q18">
        <v>1</v>
      </c>
      <c r="R18" t="s">
        <v>11</v>
      </c>
      <c r="S18" t="s">
        <v>16</v>
      </c>
      <c r="T18">
        <v>20160319</v>
      </c>
      <c r="U18" t="str">
        <f>"before_"&amp;B18&amp;".xlsx"</f>
        <v>before_212_53.xlsx</v>
      </c>
      <c r="V18" t="str">
        <f>"after_"&amp;B18&amp;".xlsx"</f>
        <v>after_212_53.xlsx</v>
      </c>
      <c r="X18" t="s">
        <v>91</v>
      </c>
      <c r="Y18" t="s">
        <v>92</v>
      </c>
      <c r="Z18" t="s">
        <v>25</v>
      </c>
    </row>
    <row r="19" spans="1:26" x14ac:dyDescent="0.2">
      <c r="A19">
        <v>17</v>
      </c>
      <c r="B19" t="str">
        <f>"complex_"&amp;A19</f>
        <v>complex_17</v>
      </c>
      <c r="C19">
        <v>46</v>
      </c>
      <c r="D19">
        <v>2.5</v>
      </c>
      <c r="F19">
        <v>72</v>
      </c>
      <c r="G19">
        <v>21336</v>
      </c>
      <c r="H19">
        <v>62</v>
      </c>
      <c r="I19">
        <v>100</v>
      </c>
      <c r="J19" s="7">
        <v>5.4358000000000004</v>
      </c>
      <c r="K19" s="7">
        <f>INT(J19*F19)</f>
        <v>391</v>
      </c>
      <c r="L19" s="6">
        <f>G19*F19</f>
        <v>1536192</v>
      </c>
      <c r="M19">
        <f>H19*F19+I19+K19</f>
        <v>4955</v>
      </c>
      <c r="N19">
        <f>K19+I19</f>
        <v>491</v>
      </c>
      <c r="O19" s="8">
        <v>175839</v>
      </c>
      <c r="P19">
        <v>659613</v>
      </c>
      <c r="Q19">
        <v>3</v>
      </c>
      <c r="R19" t="s">
        <v>33</v>
      </c>
      <c r="S19" t="s">
        <v>34</v>
      </c>
      <c r="T19" t="s">
        <v>35</v>
      </c>
      <c r="U19" t="str">
        <f>"before_"&amp;B19&amp;".xlsx"</f>
        <v>before_complex_17.xlsx</v>
      </c>
      <c r="V19" t="str">
        <f>"after_"&amp;B19&amp;".xlsx"</f>
        <v>after_complex_17.xlsx</v>
      </c>
      <c r="W19" t="s">
        <v>32</v>
      </c>
      <c r="X19" t="s">
        <v>43</v>
      </c>
      <c r="Y19" t="s">
        <v>37</v>
      </c>
      <c r="Z19" t="s">
        <v>36</v>
      </c>
    </row>
    <row r="21" spans="1:26" x14ac:dyDescent="0.2">
      <c r="C21" s="10"/>
      <c r="D21" s="10"/>
      <c r="E21" s="10"/>
      <c r="F21" s="10"/>
      <c r="G21" s="10"/>
      <c r="H21" s="10"/>
      <c r="I21" s="10"/>
    </row>
    <row r="22" spans="1:26" x14ac:dyDescent="0.2">
      <c r="C22" s="10"/>
      <c r="E22" s="8"/>
      <c r="F22" s="8"/>
      <c r="G22" s="8"/>
      <c r="H22" s="8"/>
      <c r="I22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2020-03-08T13:50:00Z</dcterms:created>
  <dcterms:modified xsi:type="dcterms:W3CDTF">2020-03-16T16:21:11Z</dcterms:modified>
</cp:coreProperties>
</file>