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170141C-CA37-45BA-9971-A9F580BDA73F}" xr6:coauthVersionLast="47" xr6:coauthVersionMax="47" xr10:uidLastSave="{00000000-0000-0000-0000-000000000000}"/>
  <bookViews>
    <workbookView xWindow="-108" yWindow="-108" windowWidth="23256" windowHeight="12576" activeTab="7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  <sheet name="Marvel Financials" sheetId="6" r:id="rId6"/>
    <sheet name="Stats 1" sheetId="7" r:id="rId7"/>
    <sheet name="Stats 2" sheetId="8" r:id="rId8"/>
  </sheets>
  <definedNames>
    <definedName name="France_Income_mean">'Stats 2'!$J$12</definedName>
    <definedName name="Uganda_income_mean">'Stats 2'!$C$12</definedName>
    <definedName name="Uganda_mean_income">'Stats 2'!$C$12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7" l="1"/>
  <c r="B9" i="7"/>
  <c r="L17" i="8"/>
  <c r="E17" i="8"/>
  <c r="D8" i="8"/>
  <c r="E8" i="8" s="1"/>
  <c r="D3" i="8"/>
  <c r="E3" i="8" s="1"/>
  <c r="J12" i="8"/>
  <c r="K5" i="8" s="1"/>
  <c r="L5" i="8" s="1"/>
  <c r="C12" i="8"/>
  <c r="D5" i="8" s="1"/>
  <c r="E5" i="8" s="1"/>
  <c r="B6" i="7"/>
  <c r="B5" i="7"/>
  <c r="B4" i="7"/>
  <c r="C5" i="6"/>
  <c r="B50" i="1"/>
  <c r="B43" i="1"/>
  <c r="B42" i="1"/>
  <c r="B51" i="1" s="1"/>
  <c r="H26" i="1" a="1"/>
  <c r="H26" i="1" s="1"/>
  <c r="H6" i="1" a="1"/>
  <c r="H6" i="1" s="1"/>
  <c r="H3" i="1" a="1"/>
  <c r="H3" i="1" s="1"/>
  <c r="H12" i="1" a="1"/>
  <c r="H12" i="1" s="1"/>
  <c r="H4" i="1" a="1"/>
  <c r="H4" i="1" s="1"/>
  <c r="H18" i="1" a="1"/>
  <c r="H18" i="1" s="1"/>
  <c r="H14" i="1" a="1"/>
  <c r="H14" i="1" s="1"/>
  <c r="H27" i="1" a="1"/>
  <c r="H27" i="1" s="1"/>
  <c r="H8" i="1" a="1"/>
  <c r="H8" i="1" s="1"/>
  <c r="H7" i="1" a="1"/>
  <c r="H7" i="1" s="1"/>
  <c r="H39" i="1" a="1"/>
  <c r="H39" i="1" s="1"/>
  <c r="H35" i="1" a="1"/>
  <c r="H35" i="1" s="1"/>
  <c r="H33" i="1" a="1"/>
  <c r="H33" i="1" s="1"/>
  <c r="H15" i="1" a="1"/>
  <c r="H15" i="1" s="1"/>
  <c r="H31" i="1" a="1"/>
  <c r="H31" i="1" s="1"/>
  <c r="H13" i="1" a="1"/>
  <c r="H13" i="1" s="1"/>
  <c r="H34" i="1" a="1"/>
  <c r="H34" i="1" s="1"/>
  <c r="H10" i="1" a="1"/>
  <c r="H10" i="1" s="1"/>
  <c r="H38" i="1" a="1"/>
  <c r="H38" i="1" s="1"/>
  <c r="H36" i="1" a="1"/>
  <c r="H36" i="1" s="1"/>
  <c r="H37" i="1" a="1"/>
  <c r="H37" i="1" s="1"/>
  <c r="H22" i="1" a="1"/>
  <c r="H22" i="1" s="1"/>
  <c r="H32" i="1" a="1"/>
  <c r="H32" i="1" s="1"/>
  <c r="H28" i="1" a="1"/>
  <c r="H28" i="1" s="1"/>
  <c r="H29" i="1" a="1"/>
  <c r="H29" i="1" s="1"/>
  <c r="H23" i="1" a="1"/>
  <c r="H23" i="1" s="1"/>
  <c r="H24" i="1" a="1"/>
  <c r="H24" i="1" s="1"/>
  <c r="H19" i="1" a="1"/>
  <c r="H19" i="1" s="1"/>
  <c r="H20" i="1" a="1"/>
  <c r="H20" i="1" s="1"/>
  <c r="H40" i="1" a="1"/>
  <c r="H40" i="1" s="1"/>
  <c r="H9" i="1" a="1"/>
  <c r="H9" i="1" s="1"/>
  <c r="H16" i="1" a="1"/>
  <c r="H16" i="1" s="1"/>
  <c r="H17" i="1" a="1"/>
  <c r="H17" i="1" s="1"/>
  <c r="H25" i="1" a="1"/>
  <c r="H25" i="1" s="1"/>
  <c r="H21" i="1" a="1"/>
  <c r="H21" i="1" s="1"/>
  <c r="H5" i="1" a="1"/>
  <c r="H5" i="1" s="1"/>
  <c r="H11" i="1" a="1"/>
  <c r="H11" i="1" s="1"/>
  <c r="H2" i="1" a="1"/>
  <c r="H2" i="1" s="1"/>
  <c r="H30" i="1" a="1"/>
  <c r="H30" i="1" s="1"/>
  <c r="K6" i="1" a="1"/>
  <c r="K6" i="1" s="1"/>
  <c r="K3" i="1" a="1"/>
  <c r="K3" i="1" s="1"/>
  <c r="K12" i="1" a="1"/>
  <c r="K12" i="1" s="1"/>
  <c r="K4" i="1" a="1"/>
  <c r="K4" i="1" s="1"/>
  <c r="K18" i="1" a="1"/>
  <c r="K18" i="1" s="1"/>
  <c r="K14" i="1" a="1"/>
  <c r="K14" i="1" s="1"/>
  <c r="K27" i="1" a="1"/>
  <c r="K27" i="1" s="1"/>
  <c r="K8" i="1" a="1"/>
  <c r="K8" i="1" s="1"/>
  <c r="K7" i="1" a="1"/>
  <c r="K7" i="1" s="1"/>
  <c r="K39" i="1" a="1"/>
  <c r="K39" i="1" s="1"/>
  <c r="K35" i="1" a="1"/>
  <c r="K35" i="1" s="1"/>
  <c r="K33" i="1" a="1"/>
  <c r="K33" i="1" s="1"/>
  <c r="K15" i="1" a="1"/>
  <c r="K15" i="1" s="1"/>
  <c r="K31" i="1" a="1"/>
  <c r="K31" i="1" s="1"/>
  <c r="K13" i="1" a="1"/>
  <c r="K13" i="1" s="1"/>
  <c r="K34" i="1" a="1"/>
  <c r="K34" i="1" s="1"/>
  <c r="K10" i="1" a="1"/>
  <c r="K10" i="1" s="1"/>
  <c r="K38" i="1" a="1"/>
  <c r="K38" i="1" s="1"/>
  <c r="K36" i="1" a="1"/>
  <c r="K36" i="1" s="1"/>
  <c r="K37" i="1" a="1"/>
  <c r="K37" i="1" s="1"/>
  <c r="K22" i="1" a="1"/>
  <c r="K22" i="1" s="1"/>
  <c r="K32" i="1" a="1"/>
  <c r="K32" i="1" s="1"/>
  <c r="K28" i="1" a="1"/>
  <c r="K28" i="1" s="1"/>
  <c r="K29" i="1" a="1"/>
  <c r="K29" i="1" s="1"/>
  <c r="K23" i="1" a="1"/>
  <c r="K23" i="1" s="1"/>
  <c r="K24" i="1" a="1"/>
  <c r="K24" i="1" s="1"/>
  <c r="K19" i="1" a="1"/>
  <c r="K19" i="1" s="1"/>
  <c r="K20" i="1" a="1"/>
  <c r="K20" i="1" s="1"/>
  <c r="K40" i="1" a="1"/>
  <c r="K40" i="1" s="1"/>
  <c r="K9" i="1" a="1"/>
  <c r="K9" i="1" s="1"/>
  <c r="K16" i="1" a="1"/>
  <c r="K16" i="1" s="1"/>
  <c r="K17" i="1" a="1"/>
  <c r="K17" i="1" s="1"/>
  <c r="K25" i="1" a="1"/>
  <c r="K25" i="1" s="1"/>
  <c r="K21" i="1" a="1"/>
  <c r="K21" i="1" s="1"/>
  <c r="K5" i="1" a="1"/>
  <c r="K5" i="1" s="1"/>
  <c r="K11" i="1" a="1"/>
  <c r="K11" i="1" s="1"/>
  <c r="K2" i="1" a="1"/>
  <c r="K2" i="1" s="1"/>
  <c r="K30" i="1" a="1"/>
  <c r="K30" i="1" s="1"/>
  <c r="J6" i="1" a="1"/>
  <c r="J6" i="1" s="1"/>
  <c r="J3" i="1" a="1"/>
  <c r="J3" i="1" s="1"/>
  <c r="J12" i="1" a="1"/>
  <c r="J12" i="1" s="1"/>
  <c r="J4" i="1" a="1"/>
  <c r="J4" i="1" s="1"/>
  <c r="L4" i="1" s="1"/>
  <c r="J18" i="1" a="1"/>
  <c r="J18" i="1" s="1"/>
  <c r="L18" i="1" s="1"/>
  <c r="J14" i="1" a="1"/>
  <c r="J14" i="1" s="1"/>
  <c r="L14" i="1" s="1"/>
  <c r="J27" i="1" a="1"/>
  <c r="J27" i="1" s="1"/>
  <c r="L27" i="1" s="1"/>
  <c r="J8" i="1" a="1"/>
  <c r="J8" i="1" s="1"/>
  <c r="L8" i="1" s="1"/>
  <c r="J7" i="1" a="1"/>
  <c r="J7" i="1" s="1"/>
  <c r="L7" i="1" s="1"/>
  <c r="J39" i="1" a="1"/>
  <c r="J39" i="1" s="1"/>
  <c r="L39" i="1" s="1"/>
  <c r="J35" i="1" a="1"/>
  <c r="J35" i="1" s="1"/>
  <c r="L35" i="1" s="1"/>
  <c r="J33" i="1" a="1"/>
  <c r="J33" i="1" s="1"/>
  <c r="L33" i="1" s="1"/>
  <c r="J15" i="1" a="1"/>
  <c r="J15" i="1" s="1"/>
  <c r="L15" i="1" s="1"/>
  <c r="J31" i="1" a="1"/>
  <c r="J31" i="1" s="1"/>
  <c r="L31" i="1" s="1"/>
  <c r="J13" i="1" a="1"/>
  <c r="J13" i="1" s="1"/>
  <c r="L13" i="1" s="1"/>
  <c r="J34" i="1" a="1"/>
  <c r="J34" i="1" s="1"/>
  <c r="L34" i="1" s="1"/>
  <c r="J10" i="1" a="1"/>
  <c r="J10" i="1" s="1"/>
  <c r="L10" i="1" s="1"/>
  <c r="J38" i="1" a="1"/>
  <c r="J38" i="1" s="1"/>
  <c r="L38" i="1" s="1"/>
  <c r="J36" i="1" a="1"/>
  <c r="J36" i="1" s="1"/>
  <c r="L36" i="1" s="1"/>
  <c r="J37" i="1" a="1"/>
  <c r="J37" i="1" s="1"/>
  <c r="L37" i="1" s="1"/>
  <c r="J22" i="1" a="1"/>
  <c r="J22" i="1" s="1"/>
  <c r="J32" i="1" a="1"/>
  <c r="J32" i="1" s="1"/>
  <c r="L32" i="1" s="1"/>
  <c r="J28" i="1" a="1"/>
  <c r="J28" i="1" s="1"/>
  <c r="L28" i="1" s="1"/>
  <c r="J29" i="1" a="1"/>
  <c r="J29" i="1" s="1"/>
  <c r="L29" i="1" s="1"/>
  <c r="J23" i="1" a="1"/>
  <c r="J23" i="1" s="1"/>
  <c r="L23" i="1" s="1"/>
  <c r="J24" i="1" a="1"/>
  <c r="J24" i="1" s="1"/>
  <c r="L24" i="1" s="1"/>
  <c r="J19" i="1" a="1"/>
  <c r="J19" i="1" s="1"/>
  <c r="L19" i="1" s="1"/>
  <c r="J20" i="1" a="1"/>
  <c r="J20" i="1" s="1"/>
  <c r="L20" i="1" s="1"/>
  <c r="J40" i="1" a="1"/>
  <c r="J40" i="1" s="1"/>
  <c r="L40" i="1" s="1"/>
  <c r="J9" i="1" a="1"/>
  <c r="J9" i="1" s="1"/>
  <c r="L9" i="1" s="1"/>
  <c r="J16" i="1" a="1"/>
  <c r="J16" i="1" s="1"/>
  <c r="L16" i="1" s="1"/>
  <c r="J17" i="1" a="1"/>
  <c r="J17" i="1" s="1"/>
  <c r="L17" i="1" s="1"/>
  <c r="J25" i="1" a="1"/>
  <c r="J25" i="1" s="1"/>
  <c r="L25" i="1" s="1"/>
  <c r="J21" i="1" a="1"/>
  <c r="J21" i="1" s="1"/>
  <c r="L21" i="1" s="1"/>
  <c r="J5" i="1" a="1"/>
  <c r="J5" i="1" s="1"/>
  <c r="L5" i="1" s="1"/>
  <c r="J11" i="1" a="1"/>
  <c r="J11" i="1" s="1"/>
  <c r="L11" i="1" s="1"/>
  <c r="J2" i="1" a="1"/>
  <c r="J2" i="1" s="1"/>
  <c r="L2" i="1" s="1"/>
  <c r="J30" i="1" a="1"/>
  <c r="J30" i="1" s="1"/>
  <c r="L30" i="1" s="1"/>
  <c r="I6" i="1" a="1"/>
  <c r="I6" i="1" s="1"/>
  <c r="I3" i="1" a="1"/>
  <c r="I3" i="1" s="1"/>
  <c r="I12" i="1" a="1"/>
  <c r="I12" i="1" s="1"/>
  <c r="I4" i="1" a="1"/>
  <c r="I4" i="1" s="1"/>
  <c r="I18" i="1" a="1"/>
  <c r="I18" i="1" s="1"/>
  <c r="I14" i="1" a="1"/>
  <c r="I14" i="1" s="1"/>
  <c r="I27" i="1" a="1"/>
  <c r="I27" i="1" s="1"/>
  <c r="I8" i="1" a="1"/>
  <c r="I8" i="1" s="1"/>
  <c r="I7" i="1" a="1"/>
  <c r="I7" i="1" s="1"/>
  <c r="I39" i="1" a="1"/>
  <c r="I39" i="1" s="1"/>
  <c r="I35" i="1" a="1"/>
  <c r="I35" i="1" s="1"/>
  <c r="I33" i="1" a="1"/>
  <c r="I33" i="1" s="1"/>
  <c r="I15" i="1" a="1"/>
  <c r="I15" i="1" s="1"/>
  <c r="I31" i="1" a="1"/>
  <c r="I31" i="1" s="1"/>
  <c r="I13" i="1" a="1"/>
  <c r="I13" i="1" s="1"/>
  <c r="I34" i="1" a="1"/>
  <c r="I34" i="1" s="1"/>
  <c r="I10" i="1" a="1"/>
  <c r="I10" i="1" s="1"/>
  <c r="I38" i="1" a="1"/>
  <c r="I38" i="1" s="1"/>
  <c r="I36" i="1" a="1"/>
  <c r="I36" i="1" s="1"/>
  <c r="I37" i="1" a="1"/>
  <c r="I37" i="1" s="1"/>
  <c r="I22" i="1" a="1"/>
  <c r="I22" i="1" s="1"/>
  <c r="I32" i="1" a="1"/>
  <c r="I32" i="1" s="1"/>
  <c r="I28" i="1" a="1"/>
  <c r="I28" i="1" s="1"/>
  <c r="I29" i="1" a="1"/>
  <c r="I29" i="1" s="1"/>
  <c r="I23" i="1" a="1"/>
  <c r="I23" i="1" s="1"/>
  <c r="I24" i="1" a="1"/>
  <c r="I24" i="1" s="1"/>
  <c r="I19" i="1" a="1"/>
  <c r="I19" i="1" s="1"/>
  <c r="I20" i="1" a="1"/>
  <c r="I20" i="1" s="1"/>
  <c r="I40" i="1" a="1"/>
  <c r="I40" i="1" s="1"/>
  <c r="I9" i="1" a="1"/>
  <c r="I9" i="1" s="1"/>
  <c r="I16" i="1" a="1"/>
  <c r="I16" i="1" s="1"/>
  <c r="I17" i="1" a="1"/>
  <c r="I17" i="1" s="1"/>
  <c r="I25" i="1" a="1"/>
  <c r="I25" i="1" s="1"/>
  <c r="I21" i="1" a="1"/>
  <c r="I21" i="1" s="1"/>
  <c r="I5" i="1" a="1"/>
  <c r="I5" i="1" s="1"/>
  <c r="I11" i="1" a="1"/>
  <c r="I11" i="1" s="1"/>
  <c r="I2" i="1" a="1"/>
  <c r="I2" i="1" s="1"/>
  <c r="I30" i="1" a="1"/>
  <c r="I30" i="1" s="1"/>
  <c r="K26" i="1" a="1"/>
  <c r="K26" i="1" s="1"/>
  <c r="J26" i="1" a="1"/>
  <c r="J26" i="1" s="1"/>
  <c r="I26" i="1" a="1"/>
  <c r="I26" i="1" s="1"/>
  <c r="D7" i="8" l="1"/>
  <c r="E7" i="8" s="1"/>
  <c r="D4" i="8"/>
  <c r="E4" i="8" s="1"/>
  <c r="K4" i="8"/>
  <c r="L4" i="8" s="1"/>
  <c r="K7" i="8"/>
  <c r="L7" i="8" s="1"/>
  <c r="D10" i="8"/>
  <c r="E10" i="8" s="1"/>
  <c r="D6" i="8"/>
  <c r="E6" i="8" s="1"/>
  <c r="K10" i="8"/>
  <c r="L10" i="8" s="1"/>
  <c r="K6" i="8"/>
  <c r="L6" i="8" s="1"/>
  <c r="K8" i="8"/>
  <c r="L8" i="8" s="1"/>
  <c r="K3" i="8"/>
  <c r="L3" i="8" s="1"/>
  <c r="D9" i="8"/>
  <c r="E9" i="8" s="1"/>
  <c r="E14" i="8" s="1"/>
  <c r="K9" i="8"/>
  <c r="L9" i="8" s="1"/>
  <c r="L12" i="1"/>
  <c r="B44" i="1"/>
  <c r="P30" i="1"/>
  <c r="P21" i="1"/>
  <c r="P9" i="1"/>
  <c r="P24" i="1"/>
  <c r="P32" i="1"/>
  <c r="P38" i="1"/>
  <c r="P31" i="1"/>
  <c r="P39" i="1"/>
  <c r="P14" i="1"/>
  <c r="L6" i="1"/>
  <c r="P6" i="1" s="1"/>
  <c r="P11" i="1"/>
  <c r="P17" i="1"/>
  <c r="P20" i="1"/>
  <c r="P29" i="1"/>
  <c r="P37" i="1"/>
  <c r="P34" i="1"/>
  <c r="P33" i="1"/>
  <c r="P8" i="1"/>
  <c r="P4" i="1"/>
  <c r="N28" i="1"/>
  <c r="P23" i="1"/>
  <c r="P18" i="1"/>
  <c r="L3" i="1"/>
  <c r="P3" i="1" s="1"/>
  <c r="P25" i="1"/>
  <c r="P15" i="1"/>
  <c r="P2" i="1"/>
  <c r="P10" i="1"/>
  <c r="P5" i="1"/>
  <c r="P16" i="1"/>
  <c r="P19" i="1"/>
  <c r="P28" i="1"/>
  <c r="P36" i="1"/>
  <c r="P13" i="1"/>
  <c r="P35" i="1"/>
  <c r="P27" i="1"/>
  <c r="P12" i="1"/>
  <c r="P40" i="1"/>
  <c r="P7" i="1"/>
  <c r="N27" i="1"/>
  <c r="N30" i="1"/>
  <c r="N21" i="1"/>
  <c r="N9" i="1"/>
  <c r="N24" i="1"/>
  <c r="N32" i="1"/>
  <c r="N38" i="1"/>
  <c r="N31" i="1"/>
  <c r="N39" i="1"/>
  <c r="N14" i="1"/>
  <c r="N16" i="1"/>
  <c r="N19" i="1"/>
  <c r="N13" i="1"/>
  <c r="N35" i="1"/>
  <c r="N2" i="1"/>
  <c r="N25" i="1"/>
  <c r="N40" i="1"/>
  <c r="N23" i="1"/>
  <c r="N10" i="1"/>
  <c r="N15" i="1"/>
  <c r="N7" i="1"/>
  <c r="N18" i="1"/>
  <c r="N5" i="1"/>
  <c r="N36" i="1"/>
  <c r="N12" i="1"/>
  <c r="N11" i="1"/>
  <c r="N17" i="1"/>
  <c r="N20" i="1"/>
  <c r="N29" i="1"/>
  <c r="N37" i="1"/>
  <c r="N34" i="1"/>
  <c r="N33" i="1"/>
  <c r="N8" i="1"/>
  <c r="N4" i="1"/>
  <c r="M26" i="1"/>
  <c r="O26" i="1" s="1"/>
  <c r="M22" i="1"/>
  <c r="O22" i="1" s="1"/>
  <c r="L22" i="1"/>
  <c r="M5" i="1"/>
  <c r="M16" i="1"/>
  <c r="M19" i="1"/>
  <c r="M28" i="1"/>
  <c r="M36" i="1"/>
  <c r="M13" i="1"/>
  <c r="M35" i="1"/>
  <c r="M27" i="1"/>
  <c r="M12" i="1"/>
  <c r="M30" i="1"/>
  <c r="M21" i="1"/>
  <c r="M9" i="1"/>
  <c r="M24" i="1"/>
  <c r="M32" i="1"/>
  <c r="M38" i="1"/>
  <c r="M31" i="1"/>
  <c r="M39" i="1"/>
  <c r="M14" i="1"/>
  <c r="M3" i="1"/>
  <c r="M2" i="1"/>
  <c r="O2" i="1" s="1"/>
  <c r="M25" i="1"/>
  <c r="O25" i="1" s="1"/>
  <c r="M40" i="1"/>
  <c r="O40" i="1" s="1"/>
  <c r="M23" i="1"/>
  <c r="O23" i="1" s="1"/>
  <c r="M10" i="1"/>
  <c r="O10" i="1" s="1"/>
  <c r="M15" i="1"/>
  <c r="O15" i="1" s="1"/>
  <c r="M7" i="1"/>
  <c r="O7" i="1" s="1"/>
  <c r="M18" i="1"/>
  <c r="O18" i="1" s="1"/>
  <c r="M6" i="1"/>
  <c r="O6" i="1" s="1"/>
  <c r="M11" i="1"/>
  <c r="O11" i="1" s="1"/>
  <c r="M17" i="1"/>
  <c r="O17" i="1" s="1"/>
  <c r="M20" i="1"/>
  <c r="O20" i="1" s="1"/>
  <c r="M29" i="1"/>
  <c r="O29" i="1" s="1"/>
  <c r="M37" i="1"/>
  <c r="O37" i="1" s="1"/>
  <c r="M34" i="1"/>
  <c r="O34" i="1" s="1"/>
  <c r="M33" i="1"/>
  <c r="O33" i="1" s="1"/>
  <c r="M8" i="1"/>
  <c r="O8" i="1" s="1"/>
  <c r="M4" i="1"/>
  <c r="O4" i="1" s="1"/>
  <c r="L26" i="1"/>
  <c r="N26" i="1" s="1"/>
  <c r="E15" i="8" l="1"/>
  <c r="E16" i="8" s="1"/>
  <c r="L15" i="8"/>
  <c r="L14" i="8"/>
  <c r="L16" i="8" s="1"/>
  <c r="N6" i="1"/>
  <c r="B3" i="6"/>
  <c r="D3" i="6" s="1"/>
  <c r="E3" i="6" s="1"/>
  <c r="Q18" i="1"/>
  <c r="N3" i="1"/>
  <c r="Q40" i="1"/>
  <c r="Q7" i="1"/>
  <c r="Q6" i="1"/>
  <c r="Q22" i="1"/>
  <c r="O24" i="1"/>
  <c r="Q24" i="1"/>
  <c r="O36" i="1"/>
  <c r="Q36" i="1"/>
  <c r="Q37" i="1"/>
  <c r="O31" i="1"/>
  <c r="Q31" i="1"/>
  <c r="O27" i="1"/>
  <c r="Q27" i="1"/>
  <c r="O28" i="1"/>
  <c r="Q28" i="1"/>
  <c r="Q29" i="1"/>
  <c r="O38" i="1"/>
  <c r="Q38" i="1"/>
  <c r="O21" i="1"/>
  <c r="Q21" i="1"/>
  <c r="Q33" i="1"/>
  <c r="Q23" i="1"/>
  <c r="Q15" i="1"/>
  <c r="Q25" i="1"/>
  <c r="O39" i="1"/>
  <c r="Q39" i="1"/>
  <c r="O12" i="1"/>
  <c r="Q12" i="1"/>
  <c r="O5" i="1"/>
  <c r="Q5" i="1"/>
  <c r="Q4" i="1"/>
  <c r="Q11" i="1"/>
  <c r="O9" i="1"/>
  <c r="Q9" i="1"/>
  <c r="Q8" i="1"/>
  <c r="O3" i="1"/>
  <c r="B52" i="1" s="1"/>
  <c r="B53" i="1" s="1"/>
  <c r="Q3" i="1"/>
  <c r="O35" i="1"/>
  <c r="Q35" i="1"/>
  <c r="O19" i="1"/>
  <c r="Q19" i="1"/>
  <c r="Q20" i="1"/>
  <c r="O14" i="1"/>
  <c r="Q14" i="1"/>
  <c r="O32" i="1"/>
  <c r="Q32" i="1"/>
  <c r="O30" i="1"/>
  <c r="Q30" i="1"/>
  <c r="O13" i="1"/>
  <c r="Q13" i="1"/>
  <c r="O16" i="1"/>
  <c r="Q16" i="1"/>
  <c r="Q34" i="1"/>
  <c r="Q17" i="1"/>
  <c r="Q26" i="1"/>
  <c r="Q10" i="1"/>
  <c r="Q2" i="1"/>
  <c r="N22" i="1"/>
  <c r="P22" i="1"/>
  <c r="P26" i="1"/>
  <c r="P43" i="1" s="1"/>
  <c r="B2" i="6" l="1"/>
  <c r="B45" i="1"/>
  <c r="B46" i="1" s="1"/>
  <c r="N43" i="1"/>
  <c r="Q43" i="1"/>
  <c r="O43" i="1"/>
  <c r="B6" i="6" l="1"/>
  <c r="D6" i="6" s="1"/>
  <c r="E6" i="6" s="1"/>
  <c r="D2" i="6"/>
  <c r="E2" i="6" s="1"/>
  <c r="B4" i="6"/>
  <c r="D4" i="6" l="1"/>
  <c r="E4" i="6" s="1"/>
  <c r="B5" i="6"/>
  <c r="D5" i="6" s="1"/>
  <c r="E5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<sst xmlns="http://schemas.openxmlformats.org/spreadsheetml/2006/main" count="363" uniqueCount="216">
  <si>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</si>
  <si>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</si>
  <si>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</si>
  <si>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</si>
  <si>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</si>
  <si>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</si>
  <si>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</si>
  <si>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</si>
  <si>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</si>
  <si>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</si>
  <si>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</si>
  <si>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</si>
  <si>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</si>
  <si>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</si>
  <si>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</si>
  <si>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</si>
  <si>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</si>
  <si>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</si>
  <si>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</si>
  <si>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</si>
  <si>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</si>
  <si>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</si>
  <si>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</si>
  <si>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</si>
  <si>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</si>
  <si>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</si>
  <si>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</si>
  <si>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</si>
  <si>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</si>
  <si>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</si>
  <si>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</si>
  <si>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</si>
  <si>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</si>
  <si>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</si>
  <si>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</si>
  <si>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</si>
  <si>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</si>
  <si>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</si>
  <si>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</si>
  <si>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</si>
  <si>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</si>
  <si>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</si>
  <si>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</si>
  <si>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</si>
  <si>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</si>
  <si>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</si>
  <si>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</si>
  <si>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</si>
  <si>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</si>
  <si>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</si>
  <si>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</si>
  <si>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</si>
  <si>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</si>
  <si>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</si>
  <si>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</si>
  <si>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</si>
  <si>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</si>
  <si>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</si>
  <si>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</si>
  <si>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</si>
  <si>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</si>
  <si>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</si>
  <si>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</si>
  <si>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</si>
  <si>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</si>
  <si>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</si>
  <si>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</si>
  <si>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</si>
  <si>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</si>
  <si>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</si>
  <si>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</si>
  <si>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</si>
  <si>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</si>
  <si>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</si>
  <si>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</si>
  <si>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</si>
  <si>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</si>
  <si>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</si>
  <si>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</si>
  <si>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</si>
  <si>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</si>
  <si>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</si>
  <si>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</si>
  <si>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</si>
  <si>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</si>
  <si>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</si>
  <si>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</si>
  <si>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</si>
  <si>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</si>
  <si>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</si>
  <si>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</si>
  <si>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</si>
  <si>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</si>
  <si>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</si>
  <si>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</si>
  <si>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</si>
  <si>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</si>
  <si>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</si>
  <si>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</si>
  <si>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</si>
  <si>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</si>
  <si>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</si>
  <si>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</si>
  <si>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</si>
  <si>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</si>
  <si>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</si>
  <si>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</si>
  <si>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</si>
  <si>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</si>
  <si>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</si>
  <si>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</si>
  <si>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</si>
  <si>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</si>
  <si>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</si>
  <si>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</si>
  <si>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</si>
  <si>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</si>
  <si>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</si>
  <si>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</si>
  <si>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</si>
  <si>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</si>
  <si>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</si>
  <si>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</si>
  <si>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</si>
  <si>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</si>
  <si>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</si>
  <si>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</si>
  <si>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</si>
  <si>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</si>
  <si>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</si>
  <si>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</si>
  <si>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</si>
  <si>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</si>
  <si>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</si>
  <si>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</si>
  <si>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</si>
  <si>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</si>
  <si>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</si>
  <si>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</si>
  <si>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</si>
  <si>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</si>
  <si>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</si>
  <si>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</si>
  <si>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</si>
  <si>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</si>
  <si>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</si>
  <si>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</si>
  <si>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</si>
  <si>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</si>
  <si>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</si>
  <si>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</si>
  <si>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</si>
  <si>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</si>
  <si>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</si>
  <si>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</si>
  <si>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</si>
  <si>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</si>
  <si>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Budget (Min)</t>
  </si>
  <si>
    <t>Revenue(Min)</t>
  </si>
  <si>
    <t>Budget INR</t>
  </si>
  <si>
    <t>Revenue INR</t>
  </si>
  <si>
    <t>Total INR(Min)</t>
  </si>
  <si>
    <t>Budget USD</t>
  </si>
  <si>
    <t>Revenue USD</t>
  </si>
  <si>
    <t>Total Movies</t>
  </si>
  <si>
    <t>Total Bollywood Movies</t>
  </si>
  <si>
    <t>Total % of Bollywood Movies</t>
  </si>
  <si>
    <t>Total Bollywood Revenue (Min) INR</t>
  </si>
  <si>
    <t>Avg Bollywodd Revenue (Min) INR</t>
  </si>
  <si>
    <t>Total Hollywood Movies</t>
  </si>
  <si>
    <t>Total % of Hollywood Movies</t>
  </si>
  <si>
    <t>Total Hollywood Revenue (Min) INR</t>
  </si>
  <si>
    <t>Avg bollywood Revenue (Min) INR</t>
  </si>
  <si>
    <t>Key Metrics</t>
  </si>
  <si>
    <t>Marvel Consolidated P &amp; L</t>
  </si>
  <si>
    <t xml:space="preserve">Revenue </t>
  </si>
  <si>
    <t>Budget</t>
  </si>
  <si>
    <t>Profit/ Loss</t>
  </si>
  <si>
    <t>Profit/ Loss %</t>
  </si>
  <si>
    <t>Market Share %</t>
  </si>
  <si>
    <t>Target</t>
  </si>
  <si>
    <t>Target-Actuals</t>
  </si>
  <si>
    <t>Target-Actuals %</t>
  </si>
  <si>
    <t xml:space="preserve">Mean </t>
  </si>
  <si>
    <t xml:space="preserve">Median </t>
  </si>
  <si>
    <t>Mode</t>
  </si>
  <si>
    <t>Yearly Income -Mean</t>
  </si>
  <si>
    <t>Name</t>
  </si>
  <si>
    <t>Veeral</t>
  </si>
  <si>
    <t>Nishith</t>
  </si>
  <si>
    <t>Angelina</t>
  </si>
  <si>
    <t>Salma</t>
  </si>
  <si>
    <t>Nitin</t>
  </si>
  <si>
    <t>Dhaval</t>
  </si>
  <si>
    <t>Vankat</t>
  </si>
  <si>
    <t>Priya</t>
  </si>
  <si>
    <t>Mean</t>
  </si>
  <si>
    <t>Uganda Income Level (In Thousands $)</t>
  </si>
  <si>
    <t>France Income Level (In Thousands $)</t>
  </si>
  <si>
    <t>Yearly Income - Mean</t>
  </si>
  <si>
    <t>Mohan</t>
  </si>
  <si>
    <t>Rita</t>
  </si>
  <si>
    <t>Bhavin</t>
  </si>
  <si>
    <t>Michael</t>
  </si>
  <si>
    <t>Abdul</t>
  </si>
  <si>
    <t>Kiran</t>
  </si>
  <si>
    <t>Ahmed</t>
  </si>
  <si>
    <t>Gayatri</t>
  </si>
  <si>
    <t>Income -MEAN</t>
  </si>
  <si>
    <t xml:space="preserve">Income -MEAN </t>
  </si>
  <si>
    <t>Total</t>
  </si>
  <si>
    <t>Count</t>
  </si>
  <si>
    <t>Variance</t>
  </si>
  <si>
    <t>Square of Mean</t>
  </si>
  <si>
    <t>Standard Deviation</t>
  </si>
  <si>
    <t xml:space="preserve">Variance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</si>
</sst>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 &quot;₹&quot;\ * #,##0.00_ ;_ &quot;₹&quot;\ * \-#,##0.00_ ;_ &quot;₹&quot;\ * &quot;-&quot;??_ ;_ @_ "/>
    <numFmt numFmtId="164" formatCode="_ [$₹-4009]\ * #,##0.00_ ;_ [$₹-4009]\ * \-#,##0.00_ ;_ [$₹-4009]\ * &quot;-&quot;??_ ;_ @_ "/>
    <numFmt numFmtId="165" formatCode="_-[$$-409]* #,##0.00_ ;_-[$$-409]* \-#,##0.00\ ;_-[$$-409]* &quot;-&quot;??_ ;_-@_ "/>
    <numFmt numFmtId="166" formatCode="0.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28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9" fontId="0" fillId="0" borderId="0" xfId="1" applyFont="1"/>
    <xf numFmtId="2" fontId="0" fillId="0" borderId="0" xfId="0" applyNumberFormat="1"/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  <xf numFmtId="165" fontId="0" fillId="0" borderId="0" xfId="2" applyNumberFormat="1" applyFont="1"/>
    <xf numFmtId="9" fontId="0" fillId="0" borderId="0" xfId="0" applyNumberFormat="1"/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9" borderId="0" xfId="0" applyFill="1"/>
    <xf numFmtId="0" fontId="0" fillId="10" borderId="0" xfId="0" applyFill="1"/>
    <xf numFmtId="166" fontId="0" fillId="0" borderId="0" xfId="0" applyNumberFormat="1"/>
    <xf numFmtId="166" fontId="0" fillId="2" borderId="0" xfId="0" applyNumberFormat="1" applyFill="1"/>
    <xf numFmtId="0" fontId="0" fillId="11" borderId="0" xfId="0" applyFill="1"/>
    <xf numFmtId="166" fontId="0" fillId="11" borderId="0" xfId="0" applyNumberFormat="1" applyFill="1"/>
    <xf numFmtId="0" fontId="5" fillId="4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</cellXfs>
  <cellStyles count="3">
    <cellStyle name="Currency" xfId="2" builtinId="4"/>
    <cellStyle name="Normal" xfId="0" builtinId="0"/>
    <cellStyle name="Percent" xfId="1" builtinId="5"/>
  </cellStyles>
  <dxfs count="2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1" defaultTableStyle="TableStyleMedium2" defaultPivotStyle="PivotStyleLight16">
    <tableStyle name="Invisible" pivot="0" table="0" count="0" xr9:uid="{AE843E39-C0BB-439B-8FFD-C1F7AAB2B83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Q41" totalsRowCount="1" headerRowDxfId="25">
  <autoFilter ref="A1:Q40" xr:uid="{6A7FE39D-5614-4A7F-89B7-C167ABC0A251}"/>
  <sortState xmlns:xlrd2="http://schemas.microsoft.com/office/spreadsheetml/2017/richdata2" ref="A2:Q40">
    <sortCondition ref="E2:E40"/>
  </sortState>
  <tableColumns count="17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4" xr3:uid="{DD2A0151-E545-4BFF-93A3-124AFC8C3768}" name="budget" dataDxfId="24" totalsRowDxfId="23">
      <calculatedColumnFormula array="1">_xlfn.XLOOKUP(Movies[[#This Row],[movie_id]:[movie_id]],Financials[[#All],[movie_id]:[movie_id]],Financials[[#All],[budget]],"Not Available",0)</calculatedColumnFormula>
    </tableColumn>
    <tableColumn id="19" xr3:uid="{DB0D2613-55BC-4836-9E67-0E5D587EA27B}" name="revenue">
      <calculatedColumnFormula array="1">_xlfn.XLOOKUP(Movies[[#This Row],[movie_id]:[movie_id]],Financials[[#All],[movie_id]:[movie_id]],Financials[[#All],[revenue]],"Not Available",0)</calculatedColumnFormula>
    </tableColumn>
    <tableColumn id="15" xr3:uid="{4FC460F8-5501-4B3D-B612-AA6EA53F088D}" name="unit" dataDxfId="22" totalsRowDxfId="21">
      <calculatedColumnFormula array="1">_xlfn.XLOOKUP(Movies[[#This Row],[movie_id]:[movie_id]],Financials[[#All],[movie_id]:[movie_id]],Financials[[#All],[unit]],"Not Available",0)</calculatedColumnFormula>
    </tableColumn>
    <tableColumn id="16" xr3:uid="{71AF9D00-263F-48BA-A598-7B2DDE3DCFC0}" name="currency" dataDxfId="20" totalsRowDxfId="19">
      <calculatedColumnFormula array="1">_xlfn.XLOOKUP(Movies[[#This Row],[movie_id]:[movie_id]],Financials[[#All],[movie_id]:[movie_id]],Financials[[#All],[currency]],"Not Available",0)</calculatedColumnFormula>
    </tableColumn>
    <tableColumn id="2" xr3:uid="{C52C9DF8-88E8-4F62-93F8-93EAEAE64B88}" name="Budget (Min)" dataDxfId="18" totalsRowDxfId="17">
      <calculatedColumnFormula>IF(Movies[[#This Row],[unit]]="Billions",Movies[[#This Row],[budget]] *1000,Movies[[#This Row],[budget]])</calculatedColumnFormula>
    </tableColumn>
    <tableColumn id="9" xr3:uid="{A1F45C33-9890-461C-A36F-BE6B2903DF94}" name="Revenue(Min)" dataDxfId="16" totalsRowDxfId="15">
      <calculatedColumnFormula>IF(Movies[[#This Row],[unit]]= "Billions",Movies[[#This Row],[revenue]]*1000,Movies[[#This Row],[revenue]])</calculatedColumnFormula>
    </tableColumn>
    <tableColumn id="10" xr3:uid="{E00C5BC6-C8EE-4E9B-894E-24A53D3DA093}" name="Budget INR" dataDxfId="14" totalsRowDxfId="13">
      <calculatedColumnFormula>IF(Movies[[#This Row],[currency]]="USD",Movies[[#This Row],[Budget (Min)]] *80,Movies[[#This Row],[Budget (Min)]])</calculatedColumnFormula>
    </tableColumn>
    <tableColumn id="11" xr3:uid="{DB0B113F-1DEA-4547-919B-29E9786341B2}" name="Revenue INR" dataDxfId="12" totalsRowDxfId="11">
      <calculatedColumnFormula>IF(Movies[[#This Row],[currency]]="USD",Movies[[#This Row],[Revenue(Min)]]* 80,Movies[[#This Row],[Revenue(Min)]])</calculatedColumnFormula>
    </tableColumn>
    <tableColumn id="12" xr3:uid="{BEB4FA67-34F6-4684-B832-8C9A7FEDC564}" name="Budget USD" dataDxfId="10">
      <calculatedColumnFormula>IF(Movies[[#This Row],[currency]]="INR",Movies[[#This Row],[Budget (Min)]]/80,Movies[[#This Row],[Budget (Min)]])</calculatedColumnFormula>
    </tableColumn>
    <tableColumn id="13" xr3:uid="{84D63D02-56D4-43D0-8755-395543275517}" name="Revenue USD" dataDxfId="9">
      <calculatedColumnFormula>IF(Movies[[#This Row],[currency]]="INR",Movies[[#This Row],[Revenue(Min)]]/80,Movies[[#This Row],[Revenue(Min)]])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8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7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6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5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"/>
  <sheetViews>
    <sheetView topLeftCell="D11" zoomScale="76" zoomScaleNormal="175" workbookViewId="0">
      <selection activeCell="G43" sqref="G43"/>
    </sheetView>
  </sheetViews>
  <sheetFormatPr defaultRowHeight="14.4" x14ac:dyDescent="0.3"/>
  <cols>
    <col min="1" max="1" width="33.109375" bestFit="1" customWidth="1"/>
    <col min="2" max="2" width="38.5546875" bestFit="1" customWidth="1"/>
    <col min="3" max="3" width="11.21875" bestFit="1" customWidth="1"/>
    <col min="4" max="4" width="14.88671875" bestFit="1" customWidth="1"/>
    <col min="5" max="5" width="14.44140625" bestFit="1" customWidth="1"/>
    <col min="6" max="6" width="22" customWidth="1"/>
    <col min="7" max="7" width="8.21875" customWidth="1"/>
    <col min="8" max="9" width="16.6640625" customWidth="1"/>
    <col min="10" max="10" width="13.109375" customWidth="1"/>
    <col min="12" max="12" width="14.33203125" bestFit="1" customWidth="1"/>
    <col min="13" max="13" width="15.33203125" bestFit="1" customWidth="1"/>
    <col min="14" max="15" width="16.33203125" bestFit="1" customWidth="1"/>
    <col min="16" max="16" width="13.21875" bestFit="1" customWidth="1"/>
    <col min="17" max="17" width="14.5546875" bestFit="1" customWidth="1"/>
  </cols>
  <sheetData>
    <row r="1" spans="1:17" x14ac:dyDescent="0.3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162</v>
      </c>
      <c r="Q1" s="1" t="s">
        <v>163</v>
      </c>
    </row>
    <row r="2" spans="1:17" x14ac:dyDescent="0.3">
      <c r="A2">
        <v>139</v>
      </c>
      <c r="B2" t="s">
        <v>154</v>
      </c>
      <c r="C2" t="s">
        <v>6</v>
      </c>
      <c r="D2">
        <v>2018</v>
      </c>
      <c r="E2">
        <v>1.9</v>
      </c>
      <c r="F2" t="s">
        <v>26</v>
      </c>
      <c r="G2">
        <v>1</v>
      </c>
      <c r="H2" cm="1">
        <f t="array" ref="H2">_xlfn.XLOOKUP(Movies[[#This Row],[movie_id]:[movie_id]],Financials[[#All],[movie_id]:[movie_id]],Financials[[#All],[budget]],"Not Available",0)</f>
        <v>1.8</v>
      </c>
      <c r="I2" cm="1">
        <f t="array" ref="I2">_xlfn.XLOOKUP(Movies[[#This Row],[movie_id]:[movie_id]],Financials[[#All],[movie_id]:[movie_id]],Financials[[#All],[revenue]],"Not Available",0)</f>
        <v>3.1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  <c r="L2">
        <f>IF(Movies[[#This Row],[unit]]="Billions",Movies[[#This Row],[budget]] *1000,Movies[[#This Row],[budget]])</f>
        <v>1800</v>
      </c>
      <c r="M2">
        <f>IF(Movies[[#This Row],[unit]]= "Billions",Movies[[#This Row],[revenue]]*1000,Movies[[#This Row],[revenue]])</f>
        <v>3100</v>
      </c>
      <c r="N2">
        <f>IF(Movies[[#This Row],[currency]]="USD",Movies[[#This Row],[Budget (Min)]] *80,Movies[[#This Row],[Budget (Min)]])</f>
        <v>1800</v>
      </c>
      <c r="O2">
        <f>IF(Movies[[#This Row],[currency]]="USD",Movies[[#This Row],[Revenue(Min)]]* 80,Movies[[#This Row],[Revenue(Min)]])</f>
        <v>3100</v>
      </c>
      <c r="P2">
        <f>IF(Movies[[#This Row],[currency]]="INR",Movies[[#This Row],[Budget (Min)]]/80,Movies[[#This Row],[Budget (Min)]])</f>
        <v>22.5</v>
      </c>
      <c r="Q2">
        <f>IF(Movies[[#This Row],[currency]]="INR",Movies[[#This Row],[Revenue(Min)]]/80,Movies[[#This Row],[Revenue(Min)]])</f>
        <v>38.75</v>
      </c>
    </row>
    <row r="3" spans="1:17" x14ac:dyDescent="0.3">
      <c r="A3">
        <v>103</v>
      </c>
      <c r="B3" t="s">
        <v>119</v>
      </c>
      <c r="C3" t="s">
        <v>7</v>
      </c>
      <c r="D3">
        <v>2013</v>
      </c>
      <c r="E3">
        <v>6.8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165</v>
      </c>
      <c r="I3" cm="1">
        <f t="array" ref="I3">_xlfn.XLOOKUP(Movies[[#This Row],[movie_id]:[movie_id]],Financials[[#All],[movie_id]:[movie_id]],Financials[[#All],[revenue]],"Not Available",0)</f>
        <v>644.79999999999995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  <c r="L3">
        <f>IF(Movies[[#This Row],[unit]]="Billions",Movies[[#This Row],[budget]] *1000,Movies[[#This Row],[budget]])</f>
        <v>165</v>
      </c>
      <c r="M3">
        <f>IF(Movies[[#This Row],[unit]]= "Billions",Movies[[#This Row],[revenue]]*1000,Movies[[#This Row],[revenue]])</f>
        <v>644.79999999999995</v>
      </c>
      <c r="N3">
        <f>IF(Movies[[#This Row],[currency]]="USD",Movies[[#This Row],[Budget (Min)]] *80,Movies[[#This Row],[Budget (Min)]])</f>
        <v>13200</v>
      </c>
      <c r="O3">
        <f>IF(Movies[[#This Row],[currency]]="USD",Movies[[#This Row],[Revenue(Min)]]* 80,Movies[[#This Row],[Revenue(Min)]])</f>
        <v>51584</v>
      </c>
      <c r="P3">
        <f>IF(Movies[[#This Row],[currency]]="INR",Movies[[#This Row],[Budget (Min)]]/80,Movies[[#This Row],[Budget (Min)]])</f>
        <v>165</v>
      </c>
      <c r="Q3">
        <f>IF(Movies[[#This Row],[currency]]="INR",Movies[[#This Row],[Revenue(Min)]]/80,Movies[[#This Row],[Revenue(Min)]])</f>
        <v>644.79999999999995</v>
      </c>
    </row>
    <row r="4" spans="1:17" x14ac:dyDescent="0.3">
      <c r="A4">
        <v>105</v>
      </c>
      <c r="B4" t="s">
        <v>121</v>
      </c>
      <c r="C4" t="s">
        <v>7</v>
      </c>
      <c r="D4">
        <v>2022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250</v>
      </c>
      <c r="I4" cm="1">
        <f t="array" ref="I4">_xlfn.XLOOKUP(Movies[[#This Row],[movie_id]:[movie_id]],Financials[[#All],[movie_id]:[movie_id]],Financials[[#All],[revenue]],"Not Available",0)</f>
        <v>670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  <c r="L4">
        <f>IF(Movies[[#This Row],[unit]]="Billions",Movies[[#This Row],[budget]] *1000,Movies[[#This Row],[budget]])</f>
        <v>250</v>
      </c>
      <c r="M4">
        <f>IF(Movies[[#This Row],[unit]]= "Billions",Movies[[#This Row],[revenue]]*1000,Movies[[#This Row],[revenue]])</f>
        <v>670</v>
      </c>
      <c r="N4">
        <f>IF(Movies[[#This Row],[currency]]="USD",Movies[[#This Row],[Budget (Min)]] *80,Movies[[#This Row],[Budget (Min)]])</f>
        <v>20000</v>
      </c>
      <c r="O4">
        <f>IF(Movies[[#This Row],[currency]]="USD",Movies[[#This Row],[Revenue(Min)]]* 80,Movies[[#This Row],[Revenue(Min)]])</f>
        <v>53600</v>
      </c>
      <c r="P4">
        <f>IF(Movies[[#This Row],[currency]]="INR",Movies[[#This Row],[Budget (Min)]]/80,Movies[[#This Row],[Budget (Min)]])</f>
        <v>250</v>
      </c>
      <c r="Q4">
        <f>IF(Movies[[#This Row],[currency]]="INR",Movies[[#This Row],[Revenue(Min)]]/80,Movies[[#This Row],[Revenue(Min)]])</f>
        <v>670</v>
      </c>
    </row>
    <row r="5" spans="1:17" x14ac:dyDescent="0.3">
      <c r="A5">
        <v>137</v>
      </c>
      <c r="B5" t="s">
        <v>152</v>
      </c>
      <c r="C5" t="s">
        <v>7</v>
      </c>
      <c r="D5">
        <v>2011</v>
      </c>
      <c r="E5">
        <v>6.9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216.7</v>
      </c>
      <c r="I5" cm="1">
        <f t="array" ref="I5">_xlfn.XLOOKUP(Movies[[#This Row],[movie_id]:[movie_id]],Financials[[#All],[movie_id]:[movie_id]],Financials[[#All],[revenue]],"Not Available",0)</f>
        <v>370.6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  <c r="L5">
        <f>IF(Movies[[#This Row],[unit]]="Billions",Movies[[#This Row],[budget]] *1000,Movies[[#This Row],[budget]])</f>
        <v>216.7</v>
      </c>
      <c r="M5">
        <f>IF(Movies[[#This Row],[unit]]= "Billions",Movies[[#This Row],[revenue]]*1000,Movies[[#This Row],[revenue]])</f>
        <v>370.6</v>
      </c>
      <c r="N5">
        <f>IF(Movies[[#This Row],[currency]]="USD",Movies[[#This Row],[Budget (Min)]] *80,Movies[[#This Row],[Budget (Min)]])</f>
        <v>17336</v>
      </c>
      <c r="O5">
        <f>IF(Movies[[#This Row],[currency]]="USD",Movies[[#This Row],[Revenue(Min)]]* 80,Movies[[#This Row],[Revenue(Min)]])</f>
        <v>29648</v>
      </c>
      <c r="P5">
        <f>IF(Movies[[#This Row],[currency]]="INR",Movies[[#This Row],[Budget (Min)]]/80,Movies[[#This Row],[Budget (Min)]])</f>
        <v>216.7</v>
      </c>
      <c r="Q5">
        <f>IF(Movies[[#This Row],[currency]]="INR",Movies[[#This Row],[Revenue(Min)]]/80,Movies[[#This Row],[Revenue(Min)]])</f>
        <v>370.6</v>
      </c>
    </row>
    <row r="6" spans="1:17" x14ac:dyDescent="0.3">
      <c r="A6">
        <v>102</v>
      </c>
      <c r="B6" t="s">
        <v>118</v>
      </c>
      <c r="C6" t="s">
        <v>7</v>
      </c>
      <c r="D6">
        <v>2022</v>
      </c>
      <c r="E6">
        <v>7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200</v>
      </c>
      <c r="I6" cm="1">
        <f t="array" ref="I6">_xlfn.XLOOKUP(Movies[[#This Row],[movie_id]:[movie_id]],Financials[[#All],[movie_id]:[movie_id]],Financials[[#All],[revenue]],"Not Available",0)</f>
        <v>954.8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  <c r="L6">
        <f>IF(Movies[[#This Row],[unit]]="Billions",Movies[[#This Row],[budget]] *1000,Movies[[#This Row],[budget]])</f>
        <v>200</v>
      </c>
      <c r="M6">
        <f>IF(Movies[[#This Row],[unit]]= "Billions",Movies[[#This Row],[revenue]]*1000,Movies[[#This Row],[revenue]])</f>
        <v>954.8</v>
      </c>
      <c r="N6">
        <f>IF(Movies[[#This Row],[currency]]="USD",Movies[[#This Row],[Budget (Min)]] *80,Movies[[#This Row],[Budget (Min)]])</f>
        <v>16000</v>
      </c>
      <c r="O6">
        <f>IF(Movies[[#This Row],[currency]]="USD",Movies[[#This Row],[Revenue(Min)]]* 80,Movies[[#This Row],[Revenue(Min)]])</f>
        <v>76384</v>
      </c>
      <c r="P6">
        <f>IF(Movies[[#This Row],[currency]]="INR",Movies[[#This Row],[Budget (Min)]]/80,Movies[[#This Row],[Budget (Min)]])</f>
        <v>200</v>
      </c>
      <c r="Q6">
        <f>IF(Movies[[#This Row],[currency]]="INR",Movies[[#This Row],[Revenue(Min)]]/80,Movies[[#This Row],[Revenue(Min)]])</f>
        <v>954.8</v>
      </c>
    </row>
    <row r="7" spans="1:17" x14ac:dyDescent="0.3">
      <c r="A7">
        <v>110</v>
      </c>
      <c r="B7" t="s">
        <v>126</v>
      </c>
      <c r="C7" t="s">
        <v>6</v>
      </c>
      <c r="D7">
        <v>2015</v>
      </c>
      <c r="E7">
        <v>7.2</v>
      </c>
      <c r="F7" t="s">
        <v>114</v>
      </c>
      <c r="G7">
        <v>1</v>
      </c>
      <c r="H7" cm="1">
        <f t="array" ref="H7">_xlfn.XLOOKUP(Movies[[#This Row],[movie_id]:[movie_id]],Financials[[#All],[movie_id]:[movie_id]],Financials[[#All],[budget]],"Not Available",0)</f>
        <v>1.4</v>
      </c>
      <c r="I7" cm="1">
        <f t="array" ref="I7">_xlfn.XLOOKUP(Movies[[#This Row],[movie_id]:[movie_id]],Financials[[#All],[movie_id]:[movie_id]],Financials[[#All],[revenue]],"Not Available",0)</f>
        <v>3.5</v>
      </c>
      <c r="J7" t="str" cm="1">
        <f t="array" ref="J7">_xlfn.XLOOKUP(Movies[[#This Row],[movie_id]:[movie_id]],Financials[[#All],[movie_id]:[movie_id]],Financials[[#All],[unit]],"Not Available",0)</f>
        <v>Billions</v>
      </c>
      <c r="K7" t="str" cm="1">
        <f t="array" ref="K7">_xlfn.XLOOKUP(Movies[[#This Row],[movie_id]:[movie_id]],Financials[[#All],[movie_id]:[movie_id]],Financials[[#All],[currency]],"Not Available",0)</f>
        <v>INR</v>
      </c>
      <c r="L7">
        <f>IF(Movies[[#This Row],[unit]]="Billions",Movies[[#This Row],[budget]] *1000,Movies[[#This Row],[budget]])</f>
        <v>1400</v>
      </c>
      <c r="M7">
        <f>IF(Movies[[#This Row],[unit]]= "Billions",Movies[[#This Row],[revenue]]*1000,Movies[[#This Row],[revenue]])</f>
        <v>3500</v>
      </c>
      <c r="N7">
        <f>IF(Movies[[#This Row],[currency]]="USD",Movies[[#This Row],[Budget (Min)]] *80,Movies[[#This Row],[Budget (Min)]])</f>
        <v>1400</v>
      </c>
      <c r="O7">
        <f>IF(Movies[[#This Row],[currency]]="USD",Movies[[#This Row],[Revenue(Min)]]* 80,Movies[[#This Row],[Revenue(Min)]])</f>
        <v>3500</v>
      </c>
      <c r="P7">
        <f>IF(Movies[[#This Row],[currency]]="INR",Movies[[#This Row],[Budget (Min)]]/80,Movies[[#This Row],[Budget (Min)]])</f>
        <v>17.5</v>
      </c>
      <c r="Q7">
        <f>IF(Movies[[#This Row],[currency]]="INR",Movies[[#This Row],[Revenue(Min)]]/80,Movies[[#This Row],[Revenue(Min)]])</f>
        <v>43.75</v>
      </c>
    </row>
    <row r="8" spans="1:17" x14ac:dyDescent="0.3">
      <c r="A8">
        <v>109</v>
      </c>
      <c r="B8" t="s">
        <v>125</v>
      </c>
      <c r="C8" t="s">
        <v>6</v>
      </c>
      <c r="D8">
        <v>2001</v>
      </c>
      <c r="E8">
        <v>7.4</v>
      </c>
      <c r="F8" t="s">
        <v>12</v>
      </c>
      <c r="G8">
        <v>1</v>
      </c>
      <c r="H8" cm="1">
        <f t="array" ref="H8">_xlfn.XLOOKUP(Movies[[#This Row],[movie_id]:[movie_id]],Financials[[#All],[movie_id]:[movie_id]],Financials[[#All],[budget]],"Not Available",0)</f>
        <v>390</v>
      </c>
      <c r="I8" cm="1">
        <f t="array" ref="I8">_xlfn.XLOOKUP(Movies[[#This Row],[movie_id]:[movie_id]],Financials[[#All],[movie_id]:[movie_id]],Financials[[#All],[revenue]],"Not Available",0)</f>
        <v>1360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  <c r="L8">
        <f>IF(Movies[[#This Row],[unit]]="Billions",Movies[[#This Row],[budget]] *1000,Movies[[#This Row],[budget]])</f>
        <v>390</v>
      </c>
      <c r="M8">
        <f>IF(Movies[[#This Row],[unit]]= "Billions",Movies[[#This Row],[revenue]]*1000,Movies[[#This Row],[revenue]])</f>
        <v>1360</v>
      </c>
      <c r="N8">
        <f>IF(Movies[[#This Row],[currency]]="USD",Movies[[#This Row],[Budget (Min)]] *80,Movies[[#This Row],[Budget (Min)]])</f>
        <v>390</v>
      </c>
      <c r="O8">
        <f>IF(Movies[[#This Row],[currency]]="USD",Movies[[#This Row],[Revenue(Min)]]* 80,Movies[[#This Row],[Revenue(Min)]])</f>
        <v>1360</v>
      </c>
      <c r="P8">
        <f>IF(Movies[[#This Row],[currency]]="INR",Movies[[#This Row],[Budget (Min)]]/80,Movies[[#This Row],[Budget (Min)]])</f>
        <v>4.875</v>
      </c>
      <c r="Q8">
        <f>IF(Movies[[#This Row],[currency]]="INR",Movies[[#This Row],[Revenue(Min)]]/80,Movies[[#This Row],[Revenue(Min)]])</f>
        <v>17</v>
      </c>
    </row>
    <row r="9" spans="1:17" x14ac:dyDescent="0.3">
      <c r="A9">
        <v>132</v>
      </c>
      <c r="B9" t="s">
        <v>147</v>
      </c>
      <c r="C9" t="s">
        <v>6</v>
      </c>
      <c r="D9">
        <v>2021</v>
      </c>
      <c r="E9">
        <v>7.6</v>
      </c>
      <c r="F9" t="s">
        <v>22</v>
      </c>
      <c r="G9">
        <v>2</v>
      </c>
      <c r="H9" cm="1">
        <f t="array" ref="H9">_xlfn.XLOOKUP(Movies[[#This Row],[movie_id]:[movie_id]],Financials[[#All],[movie_id]:[movie_id]],Financials[[#All],[budget]],"Not Available",0)</f>
        <v>2</v>
      </c>
      <c r="I9" cm="1">
        <f t="array" ref="I9">_xlfn.XLOOKUP(Movies[[#This Row],[movie_id]:[movie_id]],Financials[[#All],[movie_id]:[movie_id]],Financials[[#All],[revenue]],"Not Available",0)</f>
        <v>3.6</v>
      </c>
      <c r="J9" t="str" cm="1">
        <f t="array" ref="J9">_xlfn.XLOOKUP(Movies[[#This Row],[movie_id]:[movie_id]],Financials[[#All],[movie_id]:[movie_id]],Financials[[#All],[unit]],"Not Available",0)</f>
        <v>Billions</v>
      </c>
      <c r="K9" t="str" cm="1">
        <f t="array" ref="K9">_xlfn.XLOOKUP(Movies[[#This Row],[movie_id]:[movie_id]],Financials[[#All],[movie_id]:[movie_id]],Financials[[#All],[currency]],"Not Available",0)</f>
        <v>INR</v>
      </c>
      <c r="L9">
        <f>IF(Movies[[#This Row],[unit]]="Billions",Movies[[#This Row],[budget]] *1000,Movies[[#This Row],[budget]])</f>
        <v>2000</v>
      </c>
      <c r="M9">
        <f>IF(Movies[[#This Row],[unit]]= "Billions",Movies[[#This Row],[revenue]]*1000,Movies[[#This Row],[revenue]])</f>
        <v>3600</v>
      </c>
      <c r="N9">
        <f>IF(Movies[[#This Row],[currency]]="USD",Movies[[#This Row],[Budget (Min)]] *80,Movies[[#This Row],[Budget (Min)]])</f>
        <v>2000</v>
      </c>
      <c r="O9">
        <f>IF(Movies[[#This Row],[currency]]="USD",Movies[[#This Row],[Revenue(Min)]]* 80,Movies[[#This Row],[Revenue(Min)]])</f>
        <v>3600</v>
      </c>
      <c r="P9">
        <f>IF(Movies[[#This Row],[currency]]="INR",Movies[[#This Row],[Budget (Min)]]/80,Movies[[#This Row],[Budget (Min)]])</f>
        <v>25</v>
      </c>
      <c r="Q9">
        <f>IF(Movies[[#This Row],[currency]]="INR",Movies[[#This Row],[Revenue(Min)]]/80,Movies[[#This Row],[Revenue(Min)]])</f>
        <v>45</v>
      </c>
    </row>
    <row r="10" spans="1:17" x14ac:dyDescent="0.3">
      <c r="A10">
        <v>119</v>
      </c>
      <c r="B10" t="s">
        <v>134</v>
      </c>
      <c r="C10" t="s">
        <v>7</v>
      </c>
      <c r="D10">
        <v>2009</v>
      </c>
      <c r="E10">
        <v>7.8</v>
      </c>
      <c r="F10" t="s">
        <v>18</v>
      </c>
      <c r="G10">
        <v>5</v>
      </c>
      <c r="H10" cm="1">
        <f t="array" ref="H10">_xlfn.XLOOKUP(Movies[[#This Row],[movie_id]:[movie_id]],Financials[[#All],[movie_id]:[movie_id]],Financials[[#All],[budget]],"Not Available",0)</f>
        <v>237</v>
      </c>
      <c r="I10" cm="1">
        <f t="array" ref="I10">_xlfn.XLOOKUP(Movies[[#This Row],[movie_id]:[movie_id]],Financials[[#All],[movie_id]:[movie_id]],Financials[[#All],[revenue]],"Not Available",0)</f>
        <v>2847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USD</v>
      </c>
      <c r="L10">
        <f>IF(Movies[[#This Row],[unit]]="Billions",Movies[[#This Row],[budget]] *1000,Movies[[#This Row],[budget]])</f>
        <v>237</v>
      </c>
      <c r="M10">
        <f>IF(Movies[[#This Row],[unit]]= "Billions",Movies[[#This Row],[revenue]]*1000,Movies[[#This Row],[revenue]])</f>
        <v>2847</v>
      </c>
      <c r="N10">
        <f>IF(Movies[[#This Row],[currency]]="USD",Movies[[#This Row],[Budget (Min)]] *80,Movies[[#This Row],[Budget (Min)]])</f>
        <v>18960</v>
      </c>
      <c r="O10">
        <f>IF(Movies[[#This Row],[currency]]="USD",Movies[[#This Row],[Revenue(Min)]]* 80,Movies[[#This Row],[Revenue(Min)]])</f>
        <v>227760</v>
      </c>
      <c r="P10">
        <f>IF(Movies[[#This Row],[currency]]="INR",Movies[[#This Row],[Budget (Min)]]/80,Movies[[#This Row],[Budget (Min)]])</f>
        <v>237</v>
      </c>
      <c r="Q10">
        <f>IF(Movies[[#This Row],[currency]]="INR",Movies[[#This Row],[Revenue(Min)]]/80,Movies[[#This Row],[Revenue(Min)]])</f>
        <v>2847</v>
      </c>
    </row>
    <row r="11" spans="1:17" x14ac:dyDescent="0.3">
      <c r="A11">
        <v>138</v>
      </c>
      <c r="B11" t="s">
        <v>153</v>
      </c>
      <c r="C11" t="s">
        <v>7</v>
      </c>
      <c r="D11">
        <v>2014</v>
      </c>
      <c r="E11">
        <v>7.8</v>
      </c>
      <c r="F11" t="s">
        <v>8</v>
      </c>
      <c r="G11">
        <v>5</v>
      </c>
      <c r="H11" cm="1">
        <f t="array" ref="H11">_xlfn.XLOOKUP(Movies[[#This Row],[movie_id]:[movie_id]],Financials[[#All],[movie_id]:[movie_id]],Financials[[#All],[budget]],"Not Available",0)</f>
        <v>177</v>
      </c>
      <c r="I11" cm="1">
        <f t="array" ref="I11">_xlfn.XLOOKUP(Movies[[#This Row],[movie_id]:[movie_id]],Financials[[#All],[movie_id]:[movie_id]],Financials[[#All],[revenue]],"Not Available",0)</f>
        <v>714.4</v>
      </c>
      <c r="J11" t="str" cm="1">
        <f t="array" ref="J11">_xlfn.XLOOKUP(Movies[[#This Row],[movie_id]:[movie_id]],Financials[[#All],[movie_id]:[movie_id]],Financials[[#All],[unit]],"Not Available",0)</f>
        <v>Millions</v>
      </c>
      <c r="K11" t="str" cm="1">
        <f t="array" ref="K11">_xlfn.XLOOKUP(Movies[[#This Row],[movie_id]:[movie_id]],Financials[[#All],[movie_id]:[movie_id]],Financials[[#All],[currency]],"Not Available",0)</f>
        <v>USD</v>
      </c>
      <c r="L11">
        <f>IF(Movies[[#This Row],[unit]]="Billions",Movies[[#This Row],[budget]] *1000,Movies[[#This Row],[budget]])</f>
        <v>177</v>
      </c>
      <c r="M11">
        <f>IF(Movies[[#This Row],[unit]]= "Billions",Movies[[#This Row],[revenue]]*1000,Movies[[#This Row],[revenue]])</f>
        <v>714.4</v>
      </c>
      <c r="N11">
        <f>IF(Movies[[#This Row],[currency]]="USD",Movies[[#This Row],[Budget (Min)]] *80,Movies[[#This Row],[Budget (Min)]])</f>
        <v>14160</v>
      </c>
      <c r="O11">
        <f>IF(Movies[[#This Row],[currency]]="USD",Movies[[#This Row],[Revenue(Min)]]* 80,Movies[[#This Row],[Revenue(Min)]])</f>
        <v>57152</v>
      </c>
      <c r="P11">
        <f>IF(Movies[[#This Row],[currency]]="INR",Movies[[#This Row],[Budget (Min)]]/80,Movies[[#This Row],[Budget (Min)]])</f>
        <v>177</v>
      </c>
      <c r="Q11">
        <f>IF(Movies[[#This Row],[currency]]="INR",Movies[[#This Row],[Revenue(Min)]]/80,Movies[[#This Row],[Revenue(Min)]])</f>
        <v>714.4</v>
      </c>
    </row>
    <row r="12" spans="1:17" x14ac:dyDescent="0.3">
      <c r="A12">
        <v>104</v>
      </c>
      <c r="B12" t="s">
        <v>120</v>
      </c>
      <c r="C12" t="s">
        <v>7</v>
      </c>
      <c r="D12">
        <v>2017</v>
      </c>
      <c r="E12">
        <v>7.9</v>
      </c>
      <c r="F12" t="s">
        <v>8</v>
      </c>
      <c r="G12">
        <v>5</v>
      </c>
      <c r="H12" cm="1">
        <f t="array" ref="H12">_xlfn.XLOOKUP(Movies[[#This Row],[movie_id]:[movie_id]],Financials[[#All],[movie_id]:[movie_id]],Financials[[#All],[budget]],"Not Available",0)</f>
        <v>180</v>
      </c>
      <c r="I12" cm="1">
        <f t="array" ref="I12">_xlfn.XLOOKUP(Movies[[#This Row],[movie_id]:[movie_id]],Financials[[#All],[movie_id]:[movie_id]],Financials[[#All],[revenue]],"Not Available",0)</f>
        <v>854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  <c r="L12">
        <f>IF(Movies[[#This Row],[unit]]="Billions",Movies[[#This Row],[budget]] *1000,Movies[[#This Row],[budget]])</f>
        <v>180</v>
      </c>
      <c r="M12">
        <f>IF(Movies[[#This Row],[unit]]= "Billions",Movies[[#This Row],[revenue]]*1000,Movies[[#This Row],[revenue]])</f>
        <v>854</v>
      </c>
      <c r="N12">
        <f>IF(Movies[[#This Row],[currency]]="USD",Movies[[#This Row],[Budget (Min)]] *80,Movies[[#This Row],[Budget (Min)]])</f>
        <v>14400</v>
      </c>
      <c r="O12">
        <f>IF(Movies[[#This Row],[currency]]="USD",Movies[[#This Row],[Revenue(Min)]]* 80,Movies[[#This Row],[Revenue(Min)]])</f>
        <v>68320</v>
      </c>
      <c r="P12">
        <f>IF(Movies[[#This Row],[currency]]="INR",Movies[[#This Row],[Budget (Min)]]/80,Movies[[#This Row],[Budget (Min)]])</f>
        <v>180</v>
      </c>
      <c r="Q12">
        <f>IF(Movies[[#This Row],[currency]]="INR",Movies[[#This Row],[Revenue(Min)]]/80,Movies[[#This Row],[Revenue(Min)]])</f>
        <v>854</v>
      </c>
    </row>
    <row r="13" spans="1:17" x14ac:dyDescent="0.3">
      <c r="A13">
        <v>117</v>
      </c>
      <c r="B13" t="s">
        <v>132</v>
      </c>
      <c r="C13" t="s">
        <v>7</v>
      </c>
      <c r="D13">
        <v>1997</v>
      </c>
      <c r="E13">
        <v>7.9</v>
      </c>
      <c r="F13" t="s">
        <v>16</v>
      </c>
      <c r="G13">
        <v>5</v>
      </c>
      <c r="H13" cm="1">
        <f t="array" ref="H13">_xlfn.XLOOKUP(Movies[[#This Row],[movie_id]:[movie_id]],Financials[[#All],[movie_id]:[movie_id]],Financials[[#All],[budget]],"Not Available",0)</f>
        <v>200</v>
      </c>
      <c r="I13" cm="1">
        <f t="array" ref="I13">_xlfn.XLOOKUP(Movies[[#This Row],[movie_id]:[movie_id]],Financials[[#All],[movie_id]:[movie_id]],Financials[[#All],[revenue]],"Not Available",0)</f>
        <v>2202</v>
      </c>
      <c r="J13" t="str" cm="1">
        <f t="array" ref="J13">_xlfn.XLOOKUP(Movies[[#This Row],[movie_id]:[movie_id]],Financials[[#All],[movie_id]:[movie_id]],Financials[[#All],[unit]],"Not Available",0)</f>
        <v>Millions</v>
      </c>
      <c r="K13" t="str" cm="1">
        <f t="array" ref="K13">_xlfn.XLOOKUP(Movies[[#This Row],[movie_id]:[movie_id]],Financials[[#All],[movie_id]:[movie_id]],Financials[[#All],[currency]],"Not Available",0)</f>
        <v>USD</v>
      </c>
      <c r="L13">
        <f>IF(Movies[[#This Row],[unit]]="Billions",Movies[[#This Row],[budget]] *1000,Movies[[#This Row],[budget]])</f>
        <v>200</v>
      </c>
      <c r="M13">
        <f>IF(Movies[[#This Row],[unit]]= "Billions",Movies[[#This Row],[revenue]]*1000,Movies[[#This Row],[revenue]])</f>
        <v>2202</v>
      </c>
      <c r="N13">
        <f>IF(Movies[[#This Row],[currency]]="USD",Movies[[#This Row],[Budget (Min)]] *80,Movies[[#This Row],[Budget (Min)]])</f>
        <v>16000</v>
      </c>
      <c r="O13">
        <f>IF(Movies[[#This Row],[currency]]="USD",Movies[[#This Row],[Revenue(Min)]]* 80,Movies[[#This Row],[Revenue(Min)]])</f>
        <v>176160</v>
      </c>
      <c r="P13">
        <f>IF(Movies[[#This Row],[currency]]="INR",Movies[[#This Row],[Budget (Min)]]/80,Movies[[#This Row],[Budget (Min)]])</f>
        <v>200</v>
      </c>
      <c r="Q13">
        <f>IF(Movies[[#This Row],[currency]]="INR",Movies[[#This Row],[Revenue(Min)]]/80,Movies[[#This Row],[Revenue(Min)]])</f>
        <v>2202</v>
      </c>
    </row>
    <row r="14" spans="1:17" x14ac:dyDescent="0.3">
      <c r="A14">
        <v>107</v>
      </c>
      <c r="B14" t="s">
        <v>123</v>
      </c>
      <c r="C14" t="s">
        <v>6</v>
      </c>
      <c r="D14">
        <v>1995</v>
      </c>
      <c r="E14">
        <v>8</v>
      </c>
      <c r="F14" t="s">
        <v>10</v>
      </c>
      <c r="G14">
        <v>1</v>
      </c>
      <c r="H14" cm="1">
        <f t="array" ref="H14">_xlfn.XLOOKUP(Movies[[#This Row],[movie_id]:[movie_id]],Financials[[#All],[movie_id]:[movie_id]],Financials[[#All],[budget]],"Not Available",0)</f>
        <v>400</v>
      </c>
      <c r="I14" cm="1">
        <f t="array" ref="I14">_xlfn.XLOOKUP(Movies[[#This Row],[movie_id]:[movie_id]],Financials[[#All],[movie_id]:[movie_id]],Financials[[#All],[revenue]],"Not Available",0)</f>
        <v>2000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INR</v>
      </c>
      <c r="L14">
        <f>IF(Movies[[#This Row],[unit]]="Billions",Movies[[#This Row],[budget]] *1000,Movies[[#This Row],[budget]])</f>
        <v>400</v>
      </c>
      <c r="M14">
        <f>IF(Movies[[#This Row],[unit]]= "Billions",Movies[[#This Row],[revenue]]*1000,Movies[[#This Row],[revenue]])</f>
        <v>2000</v>
      </c>
      <c r="N14">
        <f>IF(Movies[[#This Row],[currency]]="USD",Movies[[#This Row],[Budget (Min)]] *80,Movies[[#This Row],[Budget (Min)]])</f>
        <v>400</v>
      </c>
      <c r="O14">
        <f>IF(Movies[[#This Row],[currency]]="USD",Movies[[#This Row],[Revenue(Min)]]* 80,Movies[[#This Row],[Revenue(Min)]])</f>
        <v>2000</v>
      </c>
      <c r="P14">
        <f>IF(Movies[[#This Row],[currency]]="INR",Movies[[#This Row],[Budget (Min)]]/80,Movies[[#This Row],[Budget (Min)]])</f>
        <v>5</v>
      </c>
      <c r="Q14">
        <f>IF(Movies[[#This Row],[currency]]="INR",Movies[[#This Row],[Revenue(Min)]]/80,Movies[[#This Row],[Revenue(Min)]])</f>
        <v>25</v>
      </c>
    </row>
    <row r="15" spans="1:17" x14ac:dyDescent="0.3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  <c r="L15">
        <f>IF(Movies[[#This Row],[unit]]="Billions",Movies[[#This Row],[budget]] *1000,Movies[[#This Row],[budget]])</f>
        <v>55</v>
      </c>
      <c r="M15">
        <f>IF(Movies[[#This Row],[unit]]= "Billions",Movies[[#This Row],[revenue]]*1000,Movies[[#This Row],[revenue]])</f>
        <v>307.10000000000002</v>
      </c>
      <c r="N15">
        <f>IF(Movies[[#This Row],[currency]]="USD",Movies[[#This Row],[Budget (Min)]] *80,Movies[[#This Row],[Budget (Min)]])</f>
        <v>4400</v>
      </c>
      <c r="O15">
        <f>IF(Movies[[#This Row],[currency]]="USD",Movies[[#This Row],[Revenue(Min)]]* 80,Movies[[#This Row],[Revenue(Min)]])</f>
        <v>24568</v>
      </c>
      <c r="P15">
        <f>IF(Movies[[#This Row],[currency]]="INR",Movies[[#This Row],[Budget (Min)]]/80,Movies[[#This Row],[Budget (Min)]])</f>
        <v>55</v>
      </c>
      <c r="Q15">
        <f>IF(Movies[[#This Row],[currency]]="INR",Movies[[#This Row],[Revenue(Min)]]/80,Movies[[#This Row],[Revenue(Min)]])</f>
        <v>307.10000000000002</v>
      </c>
    </row>
    <row r="16" spans="1:17" x14ac:dyDescent="0.3">
      <c r="A16">
        <v>133</v>
      </c>
      <c r="B16" t="s">
        <v>148</v>
      </c>
      <c r="C16" t="s">
        <v>6</v>
      </c>
      <c r="D16">
        <v>2022</v>
      </c>
      <c r="E16">
        <v>8</v>
      </c>
      <c r="F16" t="s">
        <v>23</v>
      </c>
      <c r="G16">
        <v>2</v>
      </c>
      <c r="H16" cm="1">
        <f t="array" ref="H16">_xlfn.XLOOKUP(Movies[[#This Row],[movie_id]:[movie_id]],Financials[[#All],[movie_id]:[movie_id]],Financials[[#All],[budget]],"Not Available",0)</f>
        <v>5.5</v>
      </c>
      <c r="I16" cm="1">
        <f t="array" ref="I16">_xlfn.XLOOKUP(Movies[[#This Row],[movie_id]:[movie_id]],Financials[[#All],[movie_id]:[movie_id]],Financials[[#All],[revenue]],"Not Available",0)</f>
        <v>12</v>
      </c>
      <c r="J16" t="str" cm="1">
        <f t="array" ref="J16">_xlfn.XLOOKUP(Movies[[#This Row],[movie_id]:[movie_id]],Financials[[#All],[movie_id]:[movie_id]],Financials[[#All],[unit]],"Not Available",0)</f>
        <v>Billions</v>
      </c>
      <c r="K16" t="str" cm="1">
        <f t="array" ref="K16">_xlfn.XLOOKUP(Movies[[#This Row],[movie_id]:[movie_id]],Financials[[#All],[movie_id]:[movie_id]],Financials[[#All],[currency]],"Not Available",0)</f>
        <v>INR</v>
      </c>
      <c r="L16">
        <f>IF(Movies[[#This Row],[unit]]="Billions",Movies[[#This Row],[budget]] *1000,Movies[[#This Row],[budget]])</f>
        <v>5500</v>
      </c>
      <c r="M16">
        <f>IF(Movies[[#This Row],[unit]]= "Billions",Movies[[#This Row],[revenue]]*1000,Movies[[#This Row],[revenue]])</f>
        <v>12000</v>
      </c>
      <c r="N16">
        <f>IF(Movies[[#This Row],[currency]]="USD",Movies[[#This Row],[Budget (Min)]] *80,Movies[[#This Row],[Budget (Min)]])</f>
        <v>5500</v>
      </c>
      <c r="O16">
        <f>IF(Movies[[#This Row],[currency]]="USD",Movies[[#This Row],[Revenue(Min)]]* 80,Movies[[#This Row],[Revenue(Min)]])</f>
        <v>12000</v>
      </c>
      <c r="P16">
        <f>IF(Movies[[#This Row],[currency]]="INR",Movies[[#This Row],[Budget (Min)]]/80,Movies[[#This Row],[Budget (Min)]])</f>
        <v>68.75</v>
      </c>
      <c r="Q16">
        <f>IF(Movies[[#This Row],[currency]]="INR",Movies[[#This Row],[Revenue(Min)]]/80,Movies[[#This Row],[Revenue(Min)]])</f>
        <v>150</v>
      </c>
    </row>
    <row r="17" spans="1:17" x14ac:dyDescent="0.3">
      <c r="A17">
        <v>134</v>
      </c>
      <c r="B17" t="s">
        <v>149</v>
      </c>
      <c r="C17" t="s">
        <v>6</v>
      </c>
      <c r="D17">
        <v>2015</v>
      </c>
      <c r="E17">
        <v>8</v>
      </c>
      <c r="F17" t="s">
        <v>24</v>
      </c>
      <c r="G17">
        <v>2</v>
      </c>
      <c r="H17" cm="1">
        <f t="array" ref="H17">_xlfn.XLOOKUP(Movies[[#This Row],[movie_id]:[movie_id]],Financials[[#All],[movie_id]:[movie_id]],Financials[[#All],[budget]],"Not Available",0)</f>
        <v>1.8</v>
      </c>
      <c r="I17" cm="1">
        <f t="array" ref="I17">_xlfn.XLOOKUP(Movies[[#This Row],[movie_id]:[movie_id]],Financials[[#All],[movie_id]:[movie_id]],Financials[[#All],[revenue]],"Not Available",0)</f>
        <v>6.5</v>
      </c>
      <c r="J17" t="str" cm="1">
        <f t="array" ref="J17">_xlfn.XLOOKUP(Movies[[#This Row],[movie_id]:[movie_id]],Financials[[#All],[movie_id]:[movie_id]],Financials[[#All],[unit]],"Not Available",0)</f>
        <v>Billions</v>
      </c>
      <c r="K17" t="str" cm="1">
        <f t="array" ref="K17">_xlfn.XLOOKUP(Movies[[#This Row],[movie_id]:[movie_id]],Financials[[#All],[movie_id]:[movie_id]],Financials[[#All],[currency]],"Not Available",0)</f>
        <v>INR</v>
      </c>
      <c r="L17">
        <f>IF(Movies[[#This Row],[unit]]="Billions",Movies[[#This Row],[budget]] *1000,Movies[[#This Row],[budget]])</f>
        <v>1800</v>
      </c>
      <c r="M17">
        <f>IF(Movies[[#This Row],[unit]]= "Billions",Movies[[#This Row],[revenue]]*1000,Movies[[#This Row],[revenue]])</f>
        <v>6500</v>
      </c>
      <c r="N17">
        <f>IF(Movies[[#This Row],[currency]]="USD",Movies[[#This Row],[Budget (Min)]] *80,Movies[[#This Row],[Budget (Min)]])</f>
        <v>1800</v>
      </c>
      <c r="O17">
        <f>IF(Movies[[#This Row],[currency]]="USD",Movies[[#This Row],[Revenue(Min)]]* 80,Movies[[#This Row],[Revenue(Min)]])</f>
        <v>6500</v>
      </c>
      <c r="P17">
        <f>IF(Movies[[#This Row],[currency]]="INR",Movies[[#This Row],[Budget (Min)]]/80,Movies[[#This Row],[Budget (Min)]])</f>
        <v>22.5</v>
      </c>
      <c r="Q17">
        <f>IF(Movies[[#This Row],[currency]]="INR",Movies[[#This Row],[Revenue(Min)]]/80,Movies[[#This Row],[Revenue(Min)]])</f>
        <v>81.25</v>
      </c>
    </row>
    <row r="18" spans="1:17" x14ac:dyDescent="0.3">
      <c r="A18">
        <v>106</v>
      </c>
      <c r="B18" t="s">
        <v>122</v>
      </c>
      <c r="C18" t="s">
        <v>6</v>
      </c>
      <c r="D18">
        <v>1975</v>
      </c>
      <c r="E18">
        <v>8.1</v>
      </c>
      <c r="F18" t="s">
        <v>9</v>
      </c>
      <c r="G18">
        <v>1</v>
      </c>
      <c r="H18" t="str" cm="1">
        <f t="array" ref="H18">_xlfn.XLOOKUP(Movies[[#This Row],[movie_id]:[movie_id]],Financials[[#All],[movie_id]:[movie_id]],Financials[[#All],[budget]],"Not Available",0)</f>
        <v>Not Available</v>
      </c>
      <c r="I18" t="str" cm="1">
        <f t="array" ref="I18">_xlfn.XLOOKUP(Movies[[#This Row],[movie_id]:[movie_id]],Financials[[#All],[movie_id]:[movie_id]],Financials[[#All],[revenue]],"Not Available",0)</f>
        <v>Not Available</v>
      </c>
      <c r="J18" t="str" cm="1">
        <f t="array" ref="J18">_xlfn.XLOOKUP(Movies[[#This Row],[movie_id]:[movie_id]],Financials[[#All],[movie_id]:[movie_id]],Financials[[#All],[unit]],"Not Available",0)</f>
        <v>Not Available</v>
      </c>
      <c r="K18" t="str" cm="1">
        <f t="array" ref="K18">_xlfn.XLOOKUP(Movies[[#This Row],[movie_id]:[movie_id]],Financials[[#All],[movie_id]:[movie_id]],Financials[[#All],[currency]],"Not Available",0)</f>
        <v>Not Available</v>
      </c>
      <c r="L18" t="str">
        <f>IF(Movies[[#This Row],[unit]]="Billions",Movies[[#This Row],[budget]] *1000,Movies[[#This Row],[budget]])</f>
        <v>Not Available</v>
      </c>
      <c r="M18" t="str">
        <f>IF(Movies[[#This Row],[unit]]= "Billions",Movies[[#This Row],[revenue]]*1000,Movies[[#This Row],[revenue]])</f>
        <v>Not Available</v>
      </c>
      <c r="N18" t="str">
        <f>IF(Movies[[#This Row],[currency]]="USD",Movies[[#This Row],[Budget (Min)]] *80,Movies[[#This Row],[Budget (Min)]])</f>
        <v>Not Available</v>
      </c>
      <c r="O18" t="str">
        <f>IF(Movies[[#This Row],[currency]]="USD",Movies[[#This Row],[Revenue(Min)]]* 80,Movies[[#This Row],[Revenue(Min)]])</f>
        <v>Not Available</v>
      </c>
      <c r="P18" t="str">
        <f>IF(Movies[[#This Row],[currency]]="INR",Movies[[#This Row],[Budget (Min)]]/80,Movies[[#This Row],[Budget (Min)]])</f>
        <v>Not Available</v>
      </c>
      <c r="Q18" t="str">
        <f>IF(Movies[[#This Row],[currency]]="INR",Movies[[#This Row],[Revenue(Min)]]/80,Movies[[#This Row],[Revenue(Min)]])</f>
        <v>Not Available</v>
      </c>
    </row>
    <row r="19" spans="1:17" x14ac:dyDescent="0.3">
      <c r="A19">
        <v>129</v>
      </c>
      <c r="B19" t="s">
        <v>144</v>
      </c>
      <c r="C19" t="s">
        <v>6</v>
      </c>
      <c r="D19">
        <v>2003</v>
      </c>
      <c r="E19">
        <v>8.1</v>
      </c>
      <c r="F19" t="s">
        <v>21</v>
      </c>
      <c r="G19">
        <v>1</v>
      </c>
      <c r="H19" cm="1">
        <f t="array" ref="H19">_xlfn.XLOOKUP(Movies[[#This Row],[movie_id]:[movie_id]],Financials[[#All],[movie_id]:[movie_id]],Financials[[#All],[budget]],"Not Available",0)</f>
        <v>100</v>
      </c>
      <c r="I19" cm="1">
        <f t="array" ref="I19">_xlfn.XLOOKUP(Movies[[#This Row],[movie_id]:[movie_id]],Financials[[#All],[movie_id]:[movie_id]],Financials[[#All],[revenue]],"Not Available",0)</f>
        <v>410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INR</v>
      </c>
      <c r="L19">
        <f>IF(Movies[[#This Row],[unit]]="Billions",Movies[[#This Row],[budget]] *1000,Movies[[#This Row],[budget]])</f>
        <v>100</v>
      </c>
      <c r="M19">
        <f>IF(Movies[[#This Row],[unit]]= "Billions",Movies[[#This Row],[revenue]]*1000,Movies[[#This Row],[revenue]])</f>
        <v>410</v>
      </c>
      <c r="N19">
        <f>IF(Movies[[#This Row],[currency]]="USD",Movies[[#This Row],[Budget (Min)]] *80,Movies[[#This Row],[Budget (Min)]])</f>
        <v>100</v>
      </c>
      <c r="O19">
        <f>IF(Movies[[#This Row],[currency]]="USD",Movies[[#This Row],[Revenue(Min)]]* 80,Movies[[#This Row],[Revenue(Min)]])</f>
        <v>410</v>
      </c>
      <c r="P19">
        <f>IF(Movies[[#This Row],[currency]]="INR",Movies[[#This Row],[Budget (Min)]]/80,Movies[[#This Row],[Budget (Min)]])</f>
        <v>1.25</v>
      </c>
      <c r="Q19">
        <f>IF(Movies[[#This Row],[currency]]="INR",Movies[[#This Row],[Revenue(Min)]]/80,Movies[[#This Row],[Revenue(Min)]])</f>
        <v>5.125</v>
      </c>
    </row>
    <row r="20" spans="1:17" x14ac:dyDescent="0.3">
      <c r="A20">
        <v>130</v>
      </c>
      <c r="B20" t="s">
        <v>145</v>
      </c>
      <c r="C20" t="s">
        <v>6</v>
      </c>
      <c r="D20">
        <v>2014</v>
      </c>
      <c r="E20">
        <v>8.1</v>
      </c>
      <c r="F20" t="s">
        <v>11</v>
      </c>
      <c r="G20">
        <v>1</v>
      </c>
      <c r="H20" cm="1">
        <f t="array" ref="H20">_xlfn.XLOOKUP(Movies[[#This Row],[movie_id]:[movie_id]],Financials[[#All],[movie_id]:[movie_id]],Financials[[#All],[budget]],"Not Available",0)</f>
        <v>850</v>
      </c>
      <c r="I20" cm="1">
        <f t="array" ref="I20">_xlfn.XLOOKUP(Movies[[#This Row],[movie_id]:[movie_id]],Financials[[#All],[movie_id]:[movie_id]],Financials[[#All],[revenue]],"Not Available",0)</f>
        <v>8540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INR</v>
      </c>
      <c r="L20">
        <f>IF(Movies[[#This Row],[unit]]="Billions",Movies[[#This Row],[budget]] *1000,Movies[[#This Row],[budget]])</f>
        <v>850</v>
      </c>
      <c r="M20">
        <f>IF(Movies[[#This Row],[unit]]= "Billions",Movies[[#This Row],[revenue]]*1000,Movies[[#This Row],[revenue]])</f>
        <v>8540</v>
      </c>
      <c r="N20">
        <f>IF(Movies[[#This Row],[currency]]="USD",Movies[[#This Row],[Budget (Min)]] *80,Movies[[#This Row],[Budget (Min)]])</f>
        <v>850</v>
      </c>
      <c r="O20">
        <f>IF(Movies[[#This Row],[currency]]="USD",Movies[[#This Row],[Revenue(Min)]]* 80,Movies[[#This Row],[Revenue(Min)]])</f>
        <v>8540</v>
      </c>
      <c r="P20">
        <f>IF(Movies[[#This Row],[currency]]="INR",Movies[[#This Row],[Budget (Min)]]/80,Movies[[#This Row],[Budget (Min)]])</f>
        <v>10.625</v>
      </c>
      <c r="Q20">
        <f>IF(Movies[[#This Row],[currency]]="INR",Movies[[#This Row],[Revenue(Min)]]/80,Movies[[#This Row],[Revenue(Min)]])</f>
        <v>106.75</v>
      </c>
    </row>
    <row r="21" spans="1:17" x14ac:dyDescent="0.3">
      <c r="A21">
        <v>136</v>
      </c>
      <c r="B21" t="s">
        <v>151</v>
      </c>
      <c r="C21" t="s">
        <v>6</v>
      </c>
      <c r="D21">
        <v>2015</v>
      </c>
      <c r="E21">
        <v>8.1</v>
      </c>
      <c r="F21" t="s">
        <v>26</v>
      </c>
      <c r="G21">
        <v>1</v>
      </c>
      <c r="H21" cm="1">
        <f t="array" ref="H21">_xlfn.XLOOKUP(Movies[[#This Row],[movie_id]:[movie_id]],Financials[[#All],[movie_id]:[movie_id]],Financials[[#All],[budget]],"Not Available",0)</f>
        <v>900</v>
      </c>
      <c r="I21" cm="1">
        <f t="array" ref="I21">_xlfn.XLOOKUP(Movies[[#This Row],[movie_id]:[movie_id]],Financials[[#All],[movie_id]:[movie_id]],Financials[[#All],[revenue]],"Not Available",0)</f>
        <v>11690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INR</v>
      </c>
      <c r="L21">
        <f>IF(Movies[[#This Row],[unit]]="Billions",Movies[[#This Row],[budget]] *1000,Movies[[#This Row],[budget]])</f>
        <v>900</v>
      </c>
      <c r="M21">
        <f>IF(Movies[[#This Row],[unit]]= "Billions",Movies[[#This Row],[revenue]]*1000,Movies[[#This Row],[revenue]])</f>
        <v>11690</v>
      </c>
      <c r="N21">
        <f>IF(Movies[[#This Row],[currency]]="USD",Movies[[#This Row],[Budget (Min)]] *80,Movies[[#This Row],[Budget (Min)]])</f>
        <v>900</v>
      </c>
      <c r="O21">
        <f>IF(Movies[[#This Row],[currency]]="USD",Movies[[#This Row],[Revenue(Min)]]* 80,Movies[[#This Row],[Revenue(Min)]])</f>
        <v>11690</v>
      </c>
      <c r="P21">
        <f>IF(Movies[[#This Row],[currency]]="INR",Movies[[#This Row],[Budget (Min)]]/80,Movies[[#This Row],[Budget (Min)]])</f>
        <v>11.25</v>
      </c>
      <c r="Q21">
        <f>IF(Movies[[#This Row],[currency]]="INR",Movies[[#This Row],[Revenue(Min)]]/80,Movies[[#This Row],[Revenue(Min)]])</f>
        <v>146.125</v>
      </c>
    </row>
    <row r="22" spans="1:17" x14ac:dyDescent="0.3">
      <c r="A22">
        <v>123</v>
      </c>
      <c r="B22" t="s">
        <v>138</v>
      </c>
      <c r="C22" t="s">
        <v>7</v>
      </c>
      <c r="D22">
        <v>1993</v>
      </c>
      <c r="E22">
        <v>8.1999999999999993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63</v>
      </c>
      <c r="I22" cm="1">
        <f t="array" ref="I22">_xlfn.XLOOKUP(Movies[[#This Row],[movie_id]:[movie_id]],Financials[[#All],[movie_id]:[movie_id]],Financials[[#All],[revenue]],"Not Available",0)</f>
        <v>1046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  <c r="L22">
        <f>IF(Movies[[#This Row],[unit]]="Billions",Movies[[#This Row],[budget]] *1000,Movies[[#This Row],[budget]])</f>
        <v>63</v>
      </c>
      <c r="M22">
        <f>IF(Movies[[#This Row],[unit]]= "Billions",Movies[[#This Row],[revenue]]*1000,Movies[[#This Row],[revenue]])</f>
        <v>1046</v>
      </c>
      <c r="N22">
        <f>IF(Movies[[#This Row],[currency]]="USD",Movies[[#This Row],[Budget (Min)]] *80,Movies[[#This Row],[Budget (Min)]])</f>
        <v>5040</v>
      </c>
      <c r="O22">
        <f>IF(Movies[[#This Row],[currency]]="USD",Movies[[#This Row],[Revenue(Min)]]* 80,Movies[[#This Row],[Revenue(Min)]])</f>
        <v>83680</v>
      </c>
      <c r="P22">
        <f>IF(Movies[[#This Row],[currency]]="INR",Movies[[#This Row],[Budget (Min)]]/80,Movies[[#This Row],[Budget (Min)]])</f>
        <v>63</v>
      </c>
      <c r="Q22">
        <f>IF(Movies[[#This Row],[currency]]="INR",Movies[[#This Row],[Revenue(Min)]]/80,Movies[[#This Row],[Revenue(Min)]])</f>
        <v>1046</v>
      </c>
    </row>
    <row r="23" spans="1:17" x14ac:dyDescent="0.3">
      <c r="A23">
        <v>127</v>
      </c>
      <c r="B23" t="s">
        <v>142</v>
      </c>
      <c r="C23" t="s">
        <v>6</v>
      </c>
      <c r="D23">
        <v>1955</v>
      </c>
      <c r="E23">
        <v>8.3000000000000007</v>
      </c>
      <c r="F23" t="s">
        <v>116</v>
      </c>
      <c r="G23">
        <v>7</v>
      </c>
      <c r="H23" cm="1">
        <f t="array" ref="H23">_xlfn.XLOOKUP(Movies[[#This Row],[movie_id]:[movie_id]],Financials[[#All],[movie_id]:[movie_id]],Financials[[#All],[budget]],"Not Available",0)</f>
        <v>70</v>
      </c>
      <c r="I23" cm="1">
        <f t="array" ref="I23">_xlfn.XLOOKUP(Movies[[#This Row],[movie_id]:[movie_id]],Financials[[#All],[movie_id]:[movie_id]],Financials[[#All],[revenue]],"Not Available",0)</f>
        <v>100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INR</v>
      </c>
      <c r="L23">
        <f>IF(Movies[[#This Row],[unit]]="Billions",Movies[[#This Row],[budget]] *1000,Movies[[#This Row],[budget]])</f>
        <v>70</v>
      </c>
      <c r="M23">
        <f>IF(Movies[[#This Row],[unit]]= "Billions",Movies[[#This Row],[revenue]]*1000,Movies[[#This Row],[revenue]])</f>
        <v>100</v>
      </c>
      <c r="N23">
        <f>IF(Movies[[#This Row],[currency]]="USD",Movies[[#This Row],[Budget (Min)]] *80,Movies[[#This Row],[Budget (Min)]])</f>
        <v>70</v>
      </c>
      <c r="O23">
        <f>IF(Movies[[#This Row],[currency]]="USD",Movies[[#This Row],[Revenue(Min)]]* 80,Movies[[#This Row],[Revenue(Min)]])</f>
        <v>100</v>
      </c>
      <c r="P23">
        <f>IF(Movies[[#This Row],[currency]]="INR",Movies[[#This Row],[Budget (Min)]]/80,Movies[[#This Row],[Budget (Min)]])</f>
        <v>0.875</v>
      </c>
      <c r="Q23">
        <f>IF(Movies[[#This Row],[currency]]="INR",Movies[[#This Row],[Revenue(Min)]]/80,Movies[[#This Row],[Revenue(Min)]])</f>
        <v>1.25</v>
      </c>
    </row>
    <row r="24" spans="1:17" x14ac:dyDescent="0.3">
      <c r="A24">
        <v>128</v>
      </c>
      <c r="B24" t="s">
        <v>143</v>
      </c>
      <c r="C24" t="s">
        <v>6</v>
      </c>
      <c r="D24">
        <v>2007</v>
      </c>
      <c r="E24">
        <v>8.3000000000000007</v>
      </c>
      <c r="F24" t="s">
        <v>114</v>
      </c>
      <c r="G24">
        <v>1</v>
      </c>
      <c r="H24" cm="1">
        <f t="array" ref="H24">_xlfn.XLOOKUP(Movies[[#This Row],[movie_id]:[movie_id]],Financials[[#All],[movie_id]:[movie_id]],Financials[[#All],[budget]],"Not Available",0)</f>
        <v>120</v>
      </c>
      <c r="I24" cm="1">
        <f t="array" ref="I24">_xlfn.XLOOKUP(Movies[[#This Row],[movie_id]:[movie_id]],Financials[[#All],[movie_id]:[movie_id]],Financials[[#All],[revenue]],"Not Available",0)</f>
        <v>1350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INR</v>
      </c>
      <c r="L24">
        <f>IF(Movies[[#This Row],[unit]]="Billions",Movies[[#This Row],[budget]] *1000,Movies[[#This Row],[budget]])</f>
        <v>120</v>
      </c>
      <c r="M24">
        <f>IF(Movies[[#This Row],[unit]]= "Billions",Movies[[#This Row],[revenue]]*1000,Movies[[#This Row],[revenue]])</f>
        <v>1350</v>
      </c>
      <c r="N24">
        <f>IF(Movies[[#This Row],[currency]]="USD",Movies[[#This Row],[Budget (Min)]] *80,Movies[[#This Row],[Budget (Min)]])</f>
        <v>120</v>
      </c>
      <c r="O24">
        <f>IF(Movies[[#This Row],[currency]]="USD",Movies[[#This Row],[Revenue(Min)]]* 80,Movies[[#This Row],[Revenue(Min)]])</f>
        <v>1350</v>
      </c>
      <c r="P24">
        <f>IF(Movies[[#This Row],[currency]]="INR",Movies[[#This Row],[Budget (Min)]]/80,Movies[[#This Row],[Budget (Min)]])</f>
        <v>1.5</v>
      </c>
      <c r="Q24">
        <f>IF(Movies[[#This Row],[currency]]="INR",Movies[[#This Row],[Revenue(Min)]]/80,Movies[[#This Row],[Revenue(Min)]])</f>
        <v>16.875</v>
      </c>
    </row>
    <row r="25" spans="1:17" x14ac:dyDescent="0.3">
      <c r="A25">
        <v>135</v>
      </c>
      <c r="B25" t="s">
        <v>150</v>
      </c>
      <c r="C25" t="s">
        <v>6</v>
      </c>
      <c r="D25">
        <v>2022</v>
      </c>
      <c r="E25">
        <v>8.3000000000000007</v>
      </c>
      <c r="F25" t="s">
        <v>25</v>
      </c>
      <c r="G25">
        <v>1</v>
      </c>
      <c r="H25" cm="1">
        <f t="array" ref="H25">_xlfn.XLOOKUP(Movies[[#This Row],[movie_id]:[movie_id]],Financials[[#All],[movie_id]:[movie_id]],Financials[[#All],[budget]],"Not Available",0)</f>
        <v>250</v>
      </c>
      <c r="I25" cm="1">
        <f t="array" ref="I25">_xlfn.XLOOKUP(Movies[[#This Row],[movie_id]:[movie_id]],Financials[[#All],[movie_id]:[movie_id]],Financials[[#All],[revenue]],"Not Available",0)</f>
        <v>3409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INR</v>
      </c>
      <c r="L25">
        <f>IF(Movies[[#This Row],[unit]]="Billions",Movies[[#This Row],[budget]] *1000,Movies[[#This Row],[budget]])</f>
        <v>250</v>
      </c>
      <c r="M25">
        <f>IF(Movies[[#This Row],[unit]]= "Billions",Movies[[#This Row],[revenue]]*1000,Movies[[#This Row],[revenue]])</f>
        <v>3409</v>
      </c>
      <c r="N25">
        <f>IF(Movies[[#This Row],[currency]]="USD",Movies[[#This Row],[Budget (Min)]] *80,Movies[[#This Row],[Budget (Min)]])</f>
        <v>250</v>
      </c>
      <c r="O25">
        <f>IF(Movies[[#This Row],[currency]]="USD",Movies[[#This Row],[Revenue(Min)]]* 80,Movies[[#This Row],[Revenue(Min)]])</f>
        <v>3409</v>
      </c>
      <c r="P25">
        <f>IF(Movies[[#This Row],[currency]]="INR",Movies[[#This Row],[Budget (Min)]]/80,Movies[[#This Row],[Budget (Min)]])</f>
        <v>3.125</v>
      </c>
      <c r="Q25">
        <f>IF(Movies[[#This Row],[currency]]="INR",Movies[[#This Row],[Revenue(Min)]]/80,Movies[[#This Row],[Revenue(Min)]])</f>
        <v>42.612499999999997</v>
      </c>
    </row>
    <row r="26" spans="1:17" x14ac:dyDescent="0.3">
      <c r="A26">
        <v>101</v>
      </c>
      <c r="B26" t="s">
        <v>117</v>
      </c>
      <c r="C26" t="s">
        <v>6</v>
      </c>
      <c r="D26">
        <v>2022</v>
      </c>
      <c r="E26">
        <v>8.4</v>
      </c>
      <c r="F26" t="s">
        <v>115</v>
      </c>
      <c r="G26">
        <v>3</v>
      </c>
      <c r="H26" cm="1">
        <f t="array" ref="H26">_xlfn.XLOOKUP(Movies[[#This Row],[movie_id]:[movie_id]],Financials[[#All],[movie_id]:[movie_id]],Financials[[#All],[budget]],"Not Available",0)</f>
        <v>1</v>
      </c>
      <c r="I26" cm="1">
        <f t="array" ref="I26">_xlfn.XLOOKUP(Movies[[#This Row],[movie_id]:[movie_id]],Financials[[#All],[movie_id]:[movie_id]],Financials[[#All],[revenue]],"Not Available",0)</f>
        <v>12.5</v>
      </c>
      <c r="J26" t="str" cm="1">
        <f t="array" ref="J26">_xlfn.XLOOKUP(Movies[[#This Row],[movie_id]:[movie_id]],Financials[[#All],[movie_id]:[movie_id]],Financials[[#All],[unit]],"Not Available",0)</f>
        <v>Billions</v>
      </c>
      <c r="K26" t="str" cm="1">
        <f t="array" ref="K26">_xlfn.XLOOKUP(Movies[[#This Row],[movie_id]:[movie_id]],Financials[[#All],[movie_id]:[movie_id]],Financials[[#All],[currency]],"Not Available",0)</f>
        <v>INR</v>
      </c>
      <c r="L26">
        <f>IF(Movies[[#This Row],[unit]]="Billions",Movies[[#This Row],[budget]] *1000,Movies[[#This Row],[budget]])</f>
        <v>1000</v>
      </c>
      <c r="M26">
        <f>IF(Movies[[#This Row],[unit]]= "Billions",Movies[[#This Row],[revenue]]*1000,Movies[[#This Row],[revenue]])</f>
        <v>12500</v>
      </c>
      <c r="N26">
        <f>IF(Movies[[#This Row],[currency]]="USD",Movies[[#This Row],[Budget (Min)]] *80,Movies[[#This Row],[Budget (Min)]])</f>
        <v>1000</v>
      </c>
      <c r="O26">
        <f>IF(Movies[[#This Row],[currency]]="USD",Movies[[#This Row],[Revenue(Min)]]* 80,Movies[[#This Row],[Revenue(Min)]])</f>
        <v>12500</v>
      </c>
      <c r="P26">
        <f>IF(Movies[[#This Row],[currency]]="INR",Movies[[#This Row],[Budget (Min)]]/80,Movies[[#This Row],[Budget (Min)]])</f>
        <v>12.5</v>
      </c>
      <c r="Q26">
        <f>IF(Movies[[#This Row],[currency]]="INR",Movies[[#This Row],[Revenue(Min)]]/80,Movies[[#This Row],[Revenue(Min)]])</f>
        <v>156.25</v>
      </c>
    </row>
    <row r="27" spans="1:17" x14ac:dyDescent="0.3">
      <c r="A27">
        <v>108</v>
      </c>
      <c r="B27" t="s">
        <v>124</v>
      </c>
      <c r="C27" t="s">
        <v>6</v>
      </c>
      <c r="D27">
        <v>2009</v>
      </c>
      <c r="E27">
        <v>8.4</v>
      </c>
      <c r="F27" t="s">
        <v>11</v>
      </c>
      <c r="G27">
        <v>1</v>
      </c>
      <c r="H27" cm="1">
        <f t="array" ref="H27">_xlfn.XLOOKUP(Movies[[#This Row],[movie_id]:[movie_id]],Financials[[#All],[movie_id]:[movie_id]],Financials[[#All],[budget]],"Not Available",0)</f>
        <v>550</v>
      </c>
      <c r="I27" cm="1">
        <f t="array" ref="I27">_xlfn.XLOOKUP(Movies[[#This Row],[movie_id]:[movie_id]],Financials[[#All],[movie_id]:[movie_id]],Financials[[#All],[revenue]],"Not Available",0)</f>
        <v>4000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  <c r="L27">
        <f>IF(Movies[[#This Row],[unit]]="Billions",Movies[[#This Row],[budget]] *1000,Movies[[#This Row],[budget]])</f>
        <v>550</v>
      </c>
      <c r="M27">
        <f>IF(Movies[[#This Row],[unit]]= "Billions",Movies[[#This Row],[revenue]]*1000,Movies[[#This Row],[revenue]])</f>
        <v>4000</v>
      </c>
      <c r="N27">
        <f>IF(Movies[[#This Row],[currency]]="USD",Movies[[#This Row],[Budget (Min)]] *80,Movies[[#This Row],[Budget (Min)]])</f>
        <v>550</v>
      </c>
      <c r="O27">
        <f>IF(Movies[[#This Row],[currency]]="USD",Movies[[#This Row],[Revenue(Min)]]* 80,Movies[[#This Row],[Revenue(Min)]])</f>
        <v>4000</v>
      </c>
      <c r="P27">
        <f>IF(Movies[[#This Row],[currency]]="INR",Movies[[#This Row],[Budget (Min)]]/80,Movies[[#This Row],[Budget (Min)]])</f>
        <v>6.875</v>
      </c>
      <c r="Q27">
        <f>IF(Movies[[#This Row],[currency]]="INR",Movies[[#This Row],[Revenue(Min)]]/80,Movies[[#This Row],[Revenue(Min)]])</f>
        <v>50</v>
      </c>
    </row>
    <row r="28" spans="1:17" x14ac:dyDescent="0.3">
      <c r="A28">
        <v>125</v>
      </c>
      <c r="B28" t="s">
        <v>140</v>
      </c>
      <c r="C28" t="s">
        <v>7</v>
      </c>
      <c r="D28">
        <v>2019</v>
      </c>
      <c r="E28">
        <v>8.4</v>
      </c>
      <c r="F28" t="s">
        <v>8</v>
      </c>
      <c r="G28">
        <v>5</v>
      </c>
      <c r="H28" cm="1">
        <f t="array" ref="H28">_xlfn.XLOOKUP(Movies[[#This Row],[movie_id]:[movie_id]],Financials[[#All],[movie_id]:[movie_id]],Financials[[#All],[budget]],"Not Available",0)</f>
        <v>400</v>
      </c>
      <c r="I28" cm="1">
        <f t="array" ref="I28">_xlfn.XLOOKUP(Movies[[#This Row],[movie_id]:[movie_id]],Financials[[#All],[movie_id]:[movie_id]],Financials[[#All],[revenue]],"Not Available",0)</f>
        <v>2798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USD</v>
      </c>
      <c r="L28">
        <f>IF(Movies[[#This Row],[unit]]="Billions",Movies[[#This Row],[budget]] *1000,Movies[[#This Row],[budget]])</f>
        <v>400</v>
      </c>
      <c r="M28">
        <f>IF(Movies[[#This Row],[unit]]= "Billions",Movies[[#This Row],[revenue]]*1000,Movies[[#This Row],[revenue]])</f>
        <v>2798</v>
      </c>
      <c r="N28">
        <f>IF(Movies[[#This Row],[currency]]="USD",Movies[[#This Row],[Budget (Min)]] *80,Movies[[#This Row],[Budget (Min)]])</f>
        <v>32000</v>
      </c>
      <c r="O28">
        <f>IF(Movies[[#This Row],[currency]]="USD",Movies[[#This Row],[Revenue(Min)]]* 80,Movies[[#This Row],[Revenue(Min)]])</f>
        <v>223840</v>
      </c>
      <c r="P28">
        <f>IF(Movies[[#This Row],[currency]]="INR",Movies[[#This Row],[Budget (Min)]]/80,Movies[[#This Row],[Budget (Min)]])</f>
        <v>400</v>
      </c>
      <c r="Q28">
        <f>IF(Movies[[#This Row],[currency]]="INR",Movies[[#This Row],[Revenue(Min)]]/80,Movies[[#This Row],[Revenue(Min)]])</f>
        <v>2798</v>
      </c>
    </row>
    <row r="29" spans="1:17" x14ac:dyDescent="0.3">
      <c r="A29">
        <v>126</v>
      </c>
      <c r="B29" t="s">
        <v>141</v>
      </c>
      <c r="C29" t="s">
        <v>7</v>
      </c>
      <c r="D29">
        <v>2018</v>
      </c>
      <c r="E29">
        <v>8.4</v>
      </c>
      <c r="F29" t="s">
        <v>8</v>
      </c>
      <c r="G29">
        <v>5</v>
      </c>
      <c r="H29" cm="1">
        <f t="array" ref="H29">_xlfn.XLOOKUP(Movies[[#This Row],[movie_id]:[movie_id]],Financials[[#All],[movie_id]:[movie_id]],Financials[[#All],[budget]],"Not Available",0)</f>
        <v>400</v>
      </c>
      <c r="I29" cm="1">
        <f t="array" ref="I29">_xlfn.XLOOKUP(Movies[[#This Row],[movie_id]:[movie_id]],Financials[[#All],[movie_id]:[movie_id]],Financials[[#All],[revenue]],"Not Available",0)</f>
        <v>2048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USD</v>
      </c>
      <c r="L29">
        <f>IF(Movies[[#This Row],[unit]]="Billions",Movies[[#This Row],[budget]] *1000,Movies[[#This Row],[budget]])</f>
        <v>400</v>
      </c>
      <c r="M29">
        <f>IF(Movies[[#This Row],[unit]]= "Billions",Movies[[#This Row],[revenue]]*1000,Movies[[#This Row],[revenue]])</f>
        <v>2048</v>
      </c>
      <c r="N29">
        <f>IF(Movies[[#This Row],[currency]]="USD",Movies[[#This Row],[Budget (Min)]] *80,Movies[[#This Row],[Budget (Min)]])</f>
        <v>32000</v>
      </c>
      <c r="O29">
        <f>IF(Movies[[#This Row],[currency]]="USD",Movies[[#This Row],[Revenue(Min)]]* 80,Movies[[#This Row],[Revenue(Min)]])</f>
        <v>163840</v>
      </c>
      <c r="P29">
        <f>IF(Movies[[#This Row],[currency]]="INR",Movies[[#This Row],[Budget (Min)]]/80,Movies[[#This Row],[Budget (Min)]])</f>
        <v>400</v>
      </c>
      <c r="Q29">
        <f>IF(Movies[[#This Row],[currency]]="INR",Movies[[#This Row],[Revenue(Min)]]/80,Movies[[#This Row],[Revenue(Min)]])</f>
        <v>2048</v>
      </c>
    </row>
    <row r="30" spans="1:17" x14ac:dyDescent="0.3">
      <c r="A30">
        <v>140</v>
      </c>
      <c r="B30" t="s">
        <v>155</v>
      </c>
      <c r="C30" t="s">
        <v>6</v>
      </c>
      <c r="D30">
        <v>2021</v>
      </c>
      <c r="E30">
        <v>8.4</v>
      </c>
      <c r="F30" t="s">
        <v>12</v>
      </c>
      <c r="G30">
        <v>1</v>
      </c>
      <c r="H30" cm="1">
        <f t="array" ref="H30">_xlfn.XLOOKUP(Movies[[#This Row],[movie_id]:[movie_id]],Financials[[#All],[movie_id]:[movie_id]],Financials[[#All],[budget]],"Not Available",0)</f>
        <v>500</v>
      </c>
      <c r="I30" cm="1">
        <f t="array" ref="I30">_xlfn.XLOOKUP(Movies[[#This Row],[movie_id]:[movie_id]],Financials[[#All],[movie_id]:[movie_id]],Financials[[#All],[revenue]],"Not Available",0)</f>
        <v>950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  <c r="L30">
        <f>IF(Movies[[#This Row],[unit]]="Billions",Movies[[#This Row],[budget]] *1000,Movies[[#This Row],[budget]])</f>
        <v>500</v>
      </c>
      <c r="M30">
        <f>IF(Movies[[#This Row],[unit]]= "Billions",Movies[[#This Row],[revenue]]*1000,Movies[[#This Row],[revenue]])</f>
        <v>950</v>
      </c>
      <c r="N30">
        <f>IF(Movies[[#This Row],[currency]]="USD",Movies[[#This Row],[Budget (Min)]] *80,Movies[[#This Row],[Budget (Min)]])</f>
        <v>500</v>
      </c>
      <c r="O30">
        <f>IF(Movies[[#This Row],[currency]]="USD",Movies[[#This Row],[Revenue(Min)]]* 80,Movies[[#This Row],[Revenue(Min)]])</f>
        <v>950</v>
      </c>
      <c r="P30">
        <f>IF(Movies[[#This Row],[currency]]="INR",Movies[[#This Row],[Budget (Min)]]/80,Movies[[#This Row],[Budget (Min)]])</f>
        <v>6.25</v>
      </c>
      <c r="Q30">
        <f>IF(Movies[[#This Row],[currency]]="INR",Movies[[#This Row],[Revenue(Min)]]/80,Movies[[#This Row],[Revenue(Min)]])</f>
        <v>11.875</v>
      </c>
    </row>
    <row r="31" spans="1:17" x14ac:dyDescent="0.3">
      <c r="A31">
        <v>116</v>
      </c>
      <c r="B31" t="s">
        <v>131</v>
      </c>
      <c r="C31" t="s">
        <v>7</v>
      </c>
      <c r="D31">
        <v>2000</v>
      </c>
      <c r="E31">
        <v>8.5</v>
      </c>
      <c r="F31" t="s">
        <v>20</v>
      </c>
      <c r="G31">
        <v>5</v>
      </c>
      <c r="H31" cm="1">
        <f t="array" ref="H31">_xlfn.XLOOKUP(Movies[[#This Row],[movie_id]:[movie_id]],Financials[[#All],[movie_id]:[movie_id]],Financials[[#All],[budget]],"Not Available",0)</f>
        <v>103</v>
      </c>
      <c r="I31" cm="1">
        <f t="array" ref="I31">_xlfn.XLOOKUP(Movies[[#This Row],[movie_id]:[movie_id]],Financials[[#All],[movie_id]:[movie_id]],Financials[[#All],[revenue]],"Not Available",0)</f>
        <v>460.5</v>
      </c>
      <c r="J31" t="str" cm="1">
        <f t="array" ref="J31">_xlfn.XLOOKUP(Movies[[#This Row],[movie_id]:[movie_id]],Financials[[#All],[movie_id]:[movie_id]],Financials[[#All],[unit]],"Not Available",0)</f>
        <v>Millions</v>
      </c>
      <c r="K31" t="str" cm="1">
        <f t="array" ref="K31">_xlfn.XLOOKUP(Movies[[#This Row],[movie_id]:[movie_id]],Financials[[#All],[movie_id]:[movie_id]],Financials[[#All],[currency]],"Not Available",0)</f>
        <v>USD</v>
      </c>
      <c r="L31">
        <f>IF(Movies[[#This Row],[unit]]="Billions",Movies[[#This Row],[budget]] *1000,Movies[[#This Row],[budget]])</f>
        <v>103</v>
      </c>
      <c r="M31">
        <f>IF(Movies[[#This Row],[unit]]= "Billions",Movies[[#This Row],[revenue]]*1000,Movies[[#This Row],[revenue]])</f>
        <v>460.5</v>
      </c>
      <c r="N31">
        <f>IF(Movies[[#This Row],[currency]]="USD",Movies[[#This Row],[Budget (Min)]] *80,Movies[[#This Row],[Budget (Min)]])</f>
        <v>8240</v>
      </c>
      <c r="O31">
        <f>IF(Movies[[#This Row],[currency]]="USD",Movies[[#This Row],[Revenue(Min)]]* 80,Movies[[#This Row],[Revenue(Min)]])</f>
        <v>36840</v>
      </c>
      <c r="P31">
        <f>IF(Movies[[#This Row],[currency]]="INR",Movies[[#This Row],[Budget (Min)]]/80,Movies[[#This Row],[Budget (Min)]])</f>
        <v>103</v>
      </c>
      <c r="Q31">
        <f>IF(Movies[[#This Row],[currency]]="INR",Movies[[#This Row],[Revenue(Min)]]/80,Movies[[#This Row],[Revenue(Min)]])</f>
        <v>460.5</v>
      </c>
    </row>
    <row r="32" spans="1:17" x14ac:dyDescent="0.3">
      <c r="A32">
        <v>124</v>
      </c>
      <c r="B32" t="s">
        <v>139</v>
      </c>
      <c r="C32" t="s">
        <v>7</v>
      </c>
      <c r="D32">
        <v>2019</v>
      </c>
      <c r="E32">
        <v>8.5</v>
      </c>
      <c r="F32" t="s">
        <v>114</v>
      </c>
      <c r="G32">
        <v>5</v>
      </c>
      <c r="H32" cm="1">
        <f t="array" ref="H32">_xlfn.XLOOKUP(Movies[[#This Row],[movie_id]:[movie_id]],Financials[[#All],[movie_id]:[movie_id]],Financials[[#All],[budget]],"Not Available",0)</f>
        <v>15.5</v>
      </c>
      <c r="I32" cm="1">
        <f t="array" ref="I32">_xlfn.XLOOKUP(Movies[[#This Row],[movie_id]:[movie_id]],Financials[[#All],[movie_id]:[movie_id]],Financials[[#All],[revenue]],"Not Available",0)</f>
        <v>263.10000000000002</v>
      </c>
      <c r="J32" t="str" cm="1">
        <f t="array" ref="J32">_xlfn.XLOOKUP(Movies[[#This Row],[movie_id]:[movie_id]],Financials[[#All],[movie_id]:[movie_id]],Financials[[#All],[unit]],"Not Available",0)</f>
        <v>Millions</v>
      </c>
      <c r="K32" t="str" cm="1">
        <f t="array" ref="K32">_xlfn.XLOOKUP(Movies[[#This Row],[movie_id]:[movie_id]],Financials[[#All],[movie_id]:[movie_id]],Financials[[#All],[currency]],"Not Available",0)</f>
        <v>USD</v>
      </c>
      <c r="L32">
        <f>IF(Movies[[#This Row],[unit]]="Billions",Movies[[#This Row],[budget]] *1000,Movies[[#This Row],[budget]])</f>
        <v>15.5</v>
      </c>
      <c r="M32">
        <f>IF(Movies[[#This Row],[unit]]= "Billions",Movies[[#This Row],[revenue]]*1000,Movies[[#This Row],[revenue]])</f>
        <v>263.10000000000002</v>
      </c>
      <c r="N32">
        <f>IF(Movies[[#This Row],[currency]]="USD",Movies[[#This Row],[Budget (Min)]] *80,Movies[[#This Row],[Budget (Min)]])</f>
        <v>1240</v>
      </c>
      <c r="O32">
        <f>IF(Movies[[#This Row],[currency]]="USD",Movies[[#This Row],[Revenue(Min)]]* 80,Movies[[#This Row],[Revenue(Min)]])</f>
        <v>21048</v>
      </c>
      <c r="P32">
        <f>IF(Movies[[#This Row],[currency]]="INR",Movies[[#This Row],[Budget (Min)]]/80,Movies[[#This Row],[Budget (Min)]])</f>
        <v>15.5</v>
      </c>
      <c r="Q32">
        <f>IF(Movies[[#This Row],[currency]]="INR",Movies[[#This Row],[Revenue(Min)]]/80,Movies[[#This Row],[Revenue(Min)]])</f>
        <v>263.10000000000002</v>
      </c>
    </row>
    <row r="33" spans="1:17" x14ac:dyDescent="0.3">
      <c r="A33">
        <v>113</v>
      </c>
      <c r="B33" t="s">
        <v>129</v>
      </c>
      <c r="C33" t="s">
        <v>7</v>
      </c>
      <c r="D33">
        <v>2014</v>
      </c>
      <c r="E33">
        <v>8.6</v>
      </c>
      <c r="F33" t="s">
        <v>14</v>
      </c>
      <c r="G33">
        <v>5</v>
      </c>
      <c r="H33" cm="1">
        <f t="array" ref="H33">_xlfn.XLOOKUP(Movies[[#This Row],[movie_id]:[movie_id]],Financials[[#All],[movie_id]:[movie_id]],Financials[[#All],[budget]],"Not Available",0)</f>
        <v>165</v>
      </c>
      <c r="I33" cm="1">
        <f t="array" ref="I33">_xlfn.XLOOKUP(Movies[[#This Row],[movie_id]:[movie_id]],Financials[[#All],[movie_id]:[movie_id]],Financials[[#All],[revenue]],"Not Available",0)</f>
        <v>701.8</v>
      </c>
      <c r="J33" t="str" cm="1">
        <f t="array" ref="J33">_xlfn.XLOOKUP(Movies[[#This Row],[movie_id]:[movie_id]],Financials[[#All],[movie_id]:[movie_id]],Financials[[#All],[unit]],"Not Available",0)</f>
        <v>Millions</v>
      </c>
      <c r="K33" t="str" cm="1">
        <f t="array" ref="K33">_xlfn.XLOOKUP(Movies[[#This Row],[movie_id]:[movie_id]],Financials[[#All],[movie_id]:[movie_id]],Financials[[#All],[currency]],"Not Available",0)</f>
        <v>USD</v>
      </c>
      <c r="L33">
        <f>IF(Movies[[#This Row],[unit]]="Billions",Movies[[#This Row],[budget]] *1000,Movies[[#This Row],[budget]])</f>
        <v>165</v>
      </c>
      <c r="M33">
        <f>IF(Movies[[#This Row],[unit]]= "Billions",Movies[[#This Row],[revenue]]*1000,Movies[[#This Row],[revenue]])</f>
        <v>701.8</v>
      </c>
      <c r="N33">
        <f>IF(Movies[[#This Row],[currency]]="USD",Movies[[#This Row],[Budget (Min)]] *80,Movies[[#This Row],[Budget (Min)]])</f>
        <v>13200</v>
      </c>
      <c r="O33">
        <f>IF(Movies[[#This Row],[currency]]="USD",Movies[[#This Row],[Revenue(Min)]]* 80,Movies[[#This Row],[Revenue(Min)]])</f>
        <v>56144</v>
      </c>
      <c r="P33">
        <f>IF(Movies[[#This Row],[currency]]="INR",Movies[[#This Row],[Budget (Min)]]/80,Movies[[#This Row],[Budget (Min)]])</f>
        <v>165</v>
      </c>
      <c r="Q33">
        <f>IF(Movies[[#This Row],[currency]]="INR",Movies[[#This Row],[Revenue(Min)]]/80,Movies[[#This Row],[Revenue(Min)]])</f>
        <v>701.8</v>
      </c>
    </row>
    <row r="34" spans="1:17" x14ac:dyDescent="0.3">
      <c r="A34">
        <v>118</v>
      </c>
      <c r="B34" t="s">
        <v>133</v>
      </c>
      <c r="C34" t="s">
        <v>7</v>
      </c>
      <c r="D34">
        <v>1946</v>
      </c>
      <c r="E34">
        <v>8.6</v>
      </c>
      <c r="F34" t="s">
        <v>17</v>
      </c>
      <c r="G34">
        <v>5</v>
      </c>
      <c r="H34" cm="1">
        <f t="array" ref="H34">_xlfn.XLOOKUP(Movies[[#This Row],[movie_id]:[movie_id]],Financials[[#All],[movie_id]:[movie_id]],Financials[[#All],[budget]],"Not Available",0)</f>
        <v>3.18</v>
      </c>
      <c r="I34" cm="1">
        <f t="array" ref="I34">_xlfn.XLOOKUP(Movies[[#This Row],[movie_id]:[movie_id]],Financials[[#All],[movie_id]:[movie_id]],Financials[[#All],[revenue]],"Not Available",0)</f>
        <v>3.3</v>
      </c>
      <c r="J34" t="str" cm="1">
        <f t="array" ref="J34">_xlfn.XLOOKUP(Movies[[#This Row],[movie_id]:[movie_id]],Financials[[#All],[movie_id]:[movie_id]],Financials[[#All],[unit]],"Not Available",0)</f>
        <v>Millions</v>
      </c>
      <c r="K34" t="str" cm="1">
        <f t="array" ref="K34">_xlfn.XLOOKUP(Movies[[#This Row],[movie_id]:[movie_id]],Financials[[#All],[movie_id]:[movie_id]],Financials[[#All],[currency]],"Not Available",0)</f>
        <v>USD</v>
      </c>
      <c r="L34">
        <f>IF(Movies[[#This Row],[unit]]="Billions",Movies[[#This Row],[budget]] *1000,Movies[[#This Row],[budget]])</f>
        <v>3.18</v>
      </c>
      <c r="M34">
        <f>IF(Movies[[#This Row],[unit]]= "Billions",Movies[[#This Row],[revenue]]*1000,Movies[[#This Row],[revenue]])</f>
        <v>3.3</v>
      </c>
      <c r="N34">
        <f>IF(Movies[[#This Row],[currency]]="USD",Movies[[#This Row],[Budget (Min)]] *80,Movies[[#This Row],[Budget (Min)]])</f>
        <v>254.4</v>
      </c>
      <c r="O34">
        <f>IF(Movies[[#This Row],[currency]]="USD",Movies[[#This Row],[Revenue(Min)]]* 80,Movies[[#This Row],[Revenue(Min)]])</f>
        <v>264</v>
      </c>
      <c r="P34">
        <f>IF(Movies[[#This Row],[currency]]="INR",Movies[[#This Row],[Budget (Min)]]/80,Movies[[#This Row],[Budget (Min)]])</f>
        <v>3.18</v>
      </c>
      <c r="Q34">
        <f>IF(Movies[[#This Row],[currency]]="INR",Movies[[#This Row],[Revenue(Min)]]/80,Movies[[#This Row],[Revenue(Min)]])</f>
        <v>3.3</v>
      </c>
    </row>
    <row r="35" spans="1:17" x14ac:dyDescent="0.3">
      <c r="A35">
        <v>112</v>
      </c>
      <c r="B35" t="s">
        <v>128</v>
      </c>
      <c r="C35" t="s">
        <v>7</v>
      </c>
      <c r="D35">
        <v>2010</v>
      </c>
      <c r="E35">
        <v>8.8000000000000007</v>
      </c>
      <c r="F35" t="s">
        <v>14</v>
      </c>
      <c r="G35">
        <v>5</v>
      </c>
      <c r="H35" t="str" cm="1">
        <f t="array" ref="H35">_xlfn.XLOOKUP(Movies[[#This Row],[movie_id]:[movie_id]],Financials[[#All],[movie_id]:[movie_id]],Financials[[#All],[budget]],"Not Available",0)</f>
        <v>Not Available</v>
      </c>
      <c r="I35" t="str" cm="1">
        <f t="array" ref="I35">_xlfn.XLOOKUP(Movies[[#This Row],[movie_id]:[movie_id]],Financials[[#All],[movie_id]:[movie_id]],Financials[[#All],[revenue]],"Not Available",0)</f>
        <v>Not Available</v>
      </c>
      <c r="J35" t="str" cm="1">
        <f t="array" ref="J35">_xlfn.XLOOKUP(Movies[[#This Row],[movie_id]:[movie_id]],Financials[[#All],[movie_id]:[movie_id]],Financials[[#All],[unit]],"Not Available",0)</f>
        <v>Not Available</v>
      </c>
      <c r="K35" t="str" cm="1">
        <f t="array" ref="K35">_xlfn.XLOOKUP(Movies[[#This Row],[movie_id]:[movie_id]],Financials[[#All],[movie_id]:[movie_id]],Financials[[#All],[currency]],"Not Available",0)</f>
        <v>Not Available</v>
      </c>
      <c r="L35" t="str">
        <f>IF(Movies[[#This Row],[unit]]="Billions",Movies[[#This Row],[budget]] *1000,Movies[[#This Row],[budget]])</f>
        <v>Not Available</v>
      </c>
      <c r="M35" t="str">
        <f>IF(Movies[[#This Row],[unit]]= "Billions",Movies[[#This Row],[revenue]]*1000,Movies[[#This Row],[revenue]])</f>
        <v>Not Available</v>
      </c>
      <c r="N35" t="str">
        <f>IF(Movies[[#This Row],[currency]]="USD",Movies[[#This Row],[Budget (Min)]] *80,Movies[[#This Row],[Budget (Min)]])</f>
        <v>Not Available</v>
      </c>
      <c r="O35" t="str">
        <f>IF(Movies[[#This Row],[currency]]="USD",Movies[[#This Row],[Revenue(Min)]]* 80,Movies[[#This Row],[Revenue(Min)]])</f>
        <v>Not Available</v>
      </c>
      <c r="P35" t="str">
        <f>IF(Movies[[#This Row],[currency]]="INR",Movies[[#This Row],[Budget (Min)]]/80,Movies[[#This Row],[Budget (Min)]])</f>
        <v>Not Available</v>
      </c>
      <c r="Q35" t="str">
        <f>IF(Movies[[#This Row],[currency]]="INR",Movies[[#This Row],[Revenue(Min)]]/80,Movies[[#This Row],[Revenue(Min)]])</f>
        <v>Not Available</v>
      </c>
    </row>
    <row r="36" spans="1:17" x14ac:dyDescent="0.3">
      <c r="A36">
        <v>121</v>
      </c>
      <c r="B36" t="s">
        <v>136</v>
      </c>
      <c r="C36" t="s">
        <v>7</v>
      </c>
      <c r="D36">
        <v>2008</v>
      </c>
      <c r="E36">
        <v>9</v>
      </c>
      <c r="F36" t="s">
        <v>19</v>
      </c>
      <c r="G36">
        <v>5</v>
      </c>
      <c r="H36" cm="1">
        <f t="array" ref="H36">_xlfn.XLOOKUP(Movies[[#This Row],[movie_id]:[movie_id]],Financials[[#All],[movie_id]:[movie_id]],Financials[[#All],[budget]],"Not Available",0)</f>
        <v>185</v>
      </c>
      <c r="I36" cm="1">
        <f t="array" ref="I36">_xlfn.XLOOKUP(Movies[[#This Row],[movie_id]:[movie_id]],Financials[[#All],[movie_id]:[movie_id]],Financials[[#All],[revenue]],"Not Available",0)</f>
        <v>1006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USD</v>
      </c>
      <c r="L36">
        <f>IF(Movies[[#This Row],[unit]]="Billions",Movies[[#This Row],[budget]] *1000,Movies[[#This Row],[budget]])</f>
        <v>185</v>
      </c>
      <c r="M36">
        <f>IF(Movies[[#This Row],[unit]]= "Billions",Movies[[#This Row],[revenue]]*1000,Movies[[#This Row],[revenue]])</f>
        <v>1006</v>
      </c>
      <c r="N36">
        <f>IF(Movies[[#This Row],[currency]]="USD",Movies[[#This Row],[Budget (Min)]] *80,Movies[[#This Row],[Budget (Min)]])</f>
        <v>14800</v>
      </c>
      <c r="O36">
        <f>IF(Movies[[#This Row],[currency]]="USD",Movies[[#This Row],[Revenue(Min)]]* 80,Movies[[#This Row],[Revenue(Min)]])</f>
        <v>80480</v>
      </c>
      <c r="P36">
        <f>IF(Movies[[#This Row],[currency]]="INR",Movies[[#This Row],[Budget (Min)]]/80,Movies[[#This Row],[Budget (Min)]])</f>
        <v>185</v>
      </c>
      <c r="Q36">
        <f>IF(Movies[[#This Row],[currency]]="INR",Movies[[#This Row],[Revenue(Min)]]/80,Movies[[#This Row],[Revenue(Min)]])</f>
        <v>1006</v>
      </c>
    </row>
    <row r="37" spans="1:17" x14ac:dyDescent="0.3">
      <c r="A37">
        <v>122</v>
      </c>
      <c r="B37" t="s">
        <v>137</v>
      </c>
      <c r="C37" t="s">
        <v>7</v>
      </c>
      <c r="D37">
        <v>1993</v>
      </c>
      <c r="E37">
        <v>9</v>
      </c>
      <c r="F37" t="s">
        <v>20</v>
      </c>
      <c r="G37">
        <v>5</v>
      </c>
      <c r="H37" cm="1">
        <f t="array" ref="H37">_xlfn.XLOOKUP(Movies[[#This Row],[movie_id]:[movie_id]],Financials[[#All],[movie_id]:[movie_id]],Financials[[#All],[budget]],"Not Available",0)</f>
        <v>22</v>
      </c>
      <c r="I37" cm="1">
        <f t="array" ref="I37">_xlfn.XLOOKUP(Movies[[#This Row],[movie_id]:[movie_id]],Financials[[#All],[movie_id]:[movie_id]],Financials[[#All],[revenue]],"Not Available",0)</f>
        <v>322.2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  <c r="L37">
        <f>IF(Movies[[#This Row],[unit]]="Billions",Movies[[#This Row],[budget]] *1000,Movies[[#This Row],[budget]])</f>
        <v>22</v>
      </c>
      <c r="M37">
        <f>IF(Movies[[#This Row],[unit]]= "Billions",Movies[[#This Row],[revenue]]*1000,Movies[[#This Row],[revenue]])</f>
        <v>322.2</v>
      </c>
      <c r="N37">
        <f>IF(Movies[[#This Row],[currency]]="USD",Movies[[#This Row],[Budget (Min)]] *80,Movies[[#This Row],[Budget (Min)]])</f>
        <v>1760</v>
      </c>
      <c r="O37">
        <f>IF(Movies[[#This Row],[currency]]="USD",Movies[[#This Row],[Revenue(Min)]]* 80,Movies[[#This Row],[Revenue(Min)]])</f>
        <v>25776</v>
      </c>
      <c r="P37">
        <f>IF(Movies[[#This Row],[currency]]="INR",Movies[[#This Row],[Budget (Min)]]/80,Movies[[#This Row],[Budget (Min)]])</f>
        <v>22</v>
      </c>
      <c r="Q37">
        <f>IF(Movies[[#This Row],[currency]]="INR",Movies[[#This Row],[Revenue(Min)]]/80,Movies[[#This Row],[Revenue(Min)]])</f>
        <v>322.2</v>
      </c>
    </row>
    <row r="38" spans="1:17" x14ac:dyDescent="0.3">
      <c r="A38">
        <v>120</v>
      </c>
      <c r="B38" t="s">
        <v>135</v>
      </c>
      <c r="C38" t="s">
        <v>7</v>
      </c>
      <c r="D38">
        <v>1972</v>
      </c>
      <c r="E38">
        <v>9.1999999999999993</v>
      </c>
      <c r="F38" t="s">
        <v>16</v>
      </c>
      <c r="G38">
        <v>5</v>
      </c>
      <c r="H38" cm="1">
        <f t="array" ref="H38">_xlfn.XLOOKUP(Movies[[#This Row],[movie_id]:[movie_id]],Financials[[#All],[movie_id]:[movie_id]],Financials[[#All],[budget]],"Not Available",0)</f>
        <v>7.2</v>
      </c>
      <c r="I38" cm="1">
        <f t="array" ref="I38">_xlfn.XLOOKUP(Movies[[#This Row],[movie_id]:[movie_id]],Financials[[#All],[movie_id]:[movie_id]],Financials[[#All],[revenue]],"Not Available",0)</f>
        <v>291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  <c r="L38">
        <f>IF(Movies[[#This Row],[unit]]="Billions",Movies[[#This Row],[budget]] *1000,Movies[[#This Row],[budget]])</f>
        <v>7.2</v>
      </c>
      <c r="M38">
        <f>IF(Movies[[#This Row],[unit]]= "Billions",Movies[[#This Row],[revenue]]*1000,Movies[[#This Row],[revenue]])</f>
        <v>291</v>
      </c>
      <c r="N38">
        <f>IF(Movies[[#This Row],[currency]]="USD",Movies[[#This Row],[Budget (Min)]] *80,Movies[[#This Row],[Budget (Min)]])</f>
        <v>576</v>
      </c>
      <c r="O38">
        <f>IF(Movies[[#This Row],[currency]]="USD",Movies[[#This Row],[Revenue(Min)]]* 80,Movies[[#This Row],[Revenue(Min)]])</f>
        <v>23280</v>
      </c>
      <c r="P38">
        <f>IF(Movies[[#This Row],[currency]]="INR",Movies[[#This Row],[Budget (Min)]]/80,Movies[[#This Row],[Budget (Min)]])</f>
        <v>7.2</v>
      </c>
      <c r="Q38">
        <f>IF(Movies[[#This Row],[currency]]="INR",Movies[[#This Row],[Revenue(Min)]]/80,Movies[[#This Row],[Revenue(Min)]])</f>
        <v>291</v>
      </c>
    </row>
    <row r="39" spans="1:17" x14ac:dyDescent="0.3">
      <c r="A39">
        <v>111</v>
      </c>
      <c r="B39" t="s">
        <v>127</v>
      </c>
      <c r="C39" t="s">
        <v>7</v>
      </c>
      <c r="D39">
        <v>1994</v>
      </c>
      <c r="E39">
        <v>9.3000000000000007</v>
      </c>
      <c r="F39" t="s">
        <v>13</v>
      </c>
      <c r="G39">
        <v>5</v>
      </c>
      <c r="H39" cm="1">
        <f t="array" ref="H39">_xlfn.XLOOKUP(Movies[[#This Row],[movie_id]:[movie_id]],Financials[[#All],[movie_id]:[movie_id]],Financials[[#All],[budget]],"Not Available",0)</f>
        <v>25</v>
      </c>
      <c r="I39" cm="1">
        <f t="array" ref="I39">_xlfn.XLOOKUP(Movies[[#This Row],[movie_id]:[movie_id]],Financials[[#All],[movie_id]:[movie_id]],Financials[[#All],[revenue]],"Not Available",0)</f>
        <v>73.3</v>
      </c>
      <c r="J39" t="str" cm="1">
        <f t="array" ref="J39">_xlfn.XLOOKUP(Movies[[#This Row],[movie_id]:[movie_id]],Financials[[#All],[movie_id]:[movie_id]],Financials[[#All],[unit]],"Not Available",0)</f>
        <v>Millions</v>
      </c>
      <c r="K39" t="str" cm="1">
        <f t="array" ref="K39">_xlfn.XLOOKUP(Movies[[#This Row],[movie_id]:[movie_id]],Financials[[#All],[movie_id]:[movie_id]],Financials[[#All],[currency]],"Not Available",0)</f>
        <v>USD</v>
      </c>
      <c r="L39">
        <f>IF(Movies[[#This Row],[unit]]="Billions",Movies[[#This Row],[budget]] *1000,Movies[[#This Row],[budget]])</f>
        <v>25</v>
      </c>
      <c r="M39">
        <f>IF(Movies[[#This Row],[unit]]= "Billions",Movies[[#This Row],[revenue]]*1000,Movies[[#This Row],[revenue]])</f>
        <v>73.3</v>
      </c>
      <c r="N39">
        <f>IF(Movies[[#This Row],[currency]]="USD",Movies[[#This Row],[Budget (Min)]] *80,Movies[[#This Row],[Budget (Min)]])</f>
        <v>2000</v>
      </c>
      <c r="O39">
        <f>IF(Movies[[#This Row],[currency]]="USD",Movies[[#This Row],[Revenue(Min)]]* 80,Movies[[#This Row],[Revenue(Min)]])</f>
        <v>5864</v>
      </c>
      <c r="P39">
        <f>IF(Movies[[#This Row],[currency]]="INR",Movies[[#This Row],[Budget (Min)]]/80,Movies[[#This Row],[Budget (Min)]])</f>
        <v>25</v>
      </c>
      <c r="Q39">
        <f>IF(Movies[[#This Row],[currency]]="INR",Movies[[#This Row],[Revenue(Min)]]/80,Movies[[#This Row],[Revenue(Min)]])</f>
        <v>73.3</v>
      </c>
    </row>
    <row r="40" spans="1:17" x14ac:dyDescent="0.3">
      <c r="A40">
        <v>131</v>
      </c>
      <c r="B40" t="s">
        <v>146</v>
      </c>
      <c r="C40" t="s">
        <v>6</v>
      </c>
      <c r="D40">
        <v>2018</v>
      </c>
      <c r="E40" t="s">
        <v>113</v>
      </c>
      <c r="F40" t="s">
        <v>11</v>
      </c>
      <c r="G40">
        <v>1</v>
      </c>
      <c r="H40" cm="1">
        <f t="array" ref="H40">_xlfn.XLOOKUP(Movies[[#This Row],[movie_id]:[movie_id]],Financials[[#All],[movie_id]:[movie_id]],Financials[[#All],[budget]],"Not Available",0)</f>
        <v>1</v>
      </c>
      <c r="I40" cm="1">
        <f t="array" ref="I40">_xlfn.XLOOKUP(Movies[[#This Row],[movie_id]:[movie_id]],Financials[[#All],[movie_id]:[movie_id]],Financials[[#All],[revenue]],"Not Available",0)</f>
        <v>5.9</v>
      </c>
      <c r="J40" t="str" cm="1">
        <f t="array" ref="J40">_xlfn.XLOOKUP(Movies[[#This Row],[movie_id]:[movie_id]],Financials[[#All],[movie_id]:[movie_id]],Financials[[#All],[unit]],"Not Available",0)</f>
        <v>Billions</v>
      </c>
      <c r="K40" t="str" cm="1">
        <f t="array" ref="K40">_xlfn.XLOOKUP(Movies[[#This Row],[movie_id]:[movie_id]],Financials[[#All],[movie_id]:[movie_id]],Financials[[#All],[currency]],"Not Available",0)</f>
        <v>INR</v>
      </c>
      <c r="L40">
        <f>IF(Movies[[#This Row],[unit]]="Billions",Movies[[#This Row],[budget]] *1000,Movies[[#This Row],[budget]])</f>
        <v>1000</v>
      </c>
      <c r="M40">
        <f>IF(Movies[[#This Row],[unit]]= "Billions",Movies[[#This Row],[revenue]]*1000,Movies[[#This Row],[revenue]])</f>
        <v>5900</v>
      </c>
      <c r="N40">
        <f>IF(Movies[[#This Row],[currency]]="USD",Movies[[#This Row],[Budget (Min)]] *80,Movies[[#This Row],[Budget (Min)]])</f>
        <v>1000</v>
      </c>
      <c r="O40">
        <f>IF(Movies[[#This Row],[currency]]="USD",Movies[[#This Row],[Revenue(Min)]]* 80,Movies[[#This Row],[Revenue(Min)]])</f>
        <v>5900</v>
      </c>
      <c r="P40">
        <f>IF(Movies[[#This Row],[currency]]="INR",Movies[[#This Row],[Budget (Min)]]/80,Movies[[#This Row],[Budget (Min)]])</f>
        <v>12.5</v>
      </c>
      <c r="Q40">
        <f>IF(Movies[[#This Row],[currency]]="INR",Movies[[#This Row],[Revenue(Min)]]/80,Movies[[#This Row],[Revenue(Min)]])</f>
        <v>73.75</v>
      </c>
    </row>
    <row r="42" spans="1:17" x14ac:dyDescent="0.3">
      <c r="A42" s="3" t="s">
        <v>164</v>
      </c>
      <c r="B42">
        <f>COUNT(Movies[movie_id])</f>
        <v>39</v>
      </c>
    </row>
    <row r="43" spans="1:17" x14ac:dyDescent="0.3">
      <c r="A43" s="3" t="s">
        <v>165</v>
      </c>
      <c r="B43">
        <f>COUNTIF(Movies[industry],"Bollywood")</f>
        <v>18</v>
      </c>
      <c r="L43" s="3" t="s">
        <v>161</v>
      </c>
      <c r="N43" s="4">
        <f>SUM(Movies[Budget INR])</f>
        <v>264196.40000000002</v>
      </c>
      <c r="O43" s="4">
        <f>SUM(Movies[Revenue INR])</f>
        <v>1567141</v>
      </c>
      <c r="P43" s="5">
        <f>SUM(Movies[Budget USD])</f>
        <v>3302.4549999999995</v>
      </c>
      <c r="Q43" s="5">
        <f>SUM(Movies[Revenue USD])</f>
        <v>19589.262499999997</v>
      </c>
    </row>
    <row r="44" spans="1:17" x14ac:dyDescent="0.3">
      <c r="A44" s="3" t="s">
        <v>166</v>
      </c>
      <c r="B44" s="6">
        <f>B43/B42</f>
        <v>0.46153846153846156</v>
      </c>
    </row>
    <row r="45" spans="1:17" x14ac:dyDescent="0.3">
      <c r="A45" s="3" t="s">
        <v>167</v>
      </c>
      <c r="B45">
        <f>SUMIF(Movies[industry],"Bollywood",Movies[Revenue INR])</f>
        <v>80909</v>
      </c>
    </row>
    <row r="46" spans="1:17" x14ac:dyDescent="0.3">
      <c r="A46" s="3" t="s">
        <v>168</v>
      </c>
      <c r="B46" s="7">
        <f>B45/B43</f>
        <v>4494.9444444444443</v>
      </c>
    </row>
    <row r="50" spans="1:2" x14ac:dyDescent="0.3">
      <c r="A50" s="3" t="s">
        <v>169</v>
      </c>
      <c r="B50">
        <f>COUNTIF(Movies[industry],"Hollywood")</f>
        <v>21</v>
      </c>
    </row>
    <row r="51" spans="1:2" x14ac:dyDescent="0.3">
      <c r="A51" s="3" t="s">
        <v>170</v>
      </c>
      <c r="B51" s="6">
        <f>B50/B42</f>
        <v>0.53846153846153844</v>
      </c>
    </row>
    <row r="52" spans="1:2" x14ac:dyDescent="0.3">
      <c r="A52" s="3" t="s">
        <v>171</v>
      </c>
      <c r="B52">
        <f>SUMIF(Movies[industry],"Hollywood",Movies[Revenue INR])</f>
        <v>1486232</v>
      </c>
    </row>
    <row r="53" spans="1:2" x14ac:dyDescent="0.3">
      <c r="A53" s="3" t="s">
        <v>172</v>
      </c>
      <c r="B53" s="7">
        <f>B52/B50</f>
        <v>70772.952380952382</v>
      </c>
    </row>
  </sheetData>
  <conditionalFormatting sqref="A1:B1">
    <cfRule type="duplicateValues" dxfId="4" priority="5"/>
    <cfRule type="duplicateValues" dxfId="3" priority="6"/>
  </conditionalFormatting>
  <conditionalFormatting sqref="A2:B40">
    <cfRule type="duplicateValues" dxfId="2" priority="9"/>
    <cfRule type="duplicateValues" dxfId="1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topLeftCell="A11" zoomScale="68" zoomScaleNormal="100" workbookViewId="0">
      <selection activeCell="B26" sqref="B26:D26"/>
    </sheetView>
  </sheetViews>
  <sheetFormatPr defaultRowHeight="14.4" x14ac:dyDescent="0.3"/>
  <cols>
    <col min="1" max="1" width="9.44140625" customWidth="1"/>
    <col min="5" max="5" width="30.33203125" customWidth="1"/>
  </cols>
  <sheetData>
    <row r="1" spans="1:5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3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3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3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3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3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3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3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3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3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3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3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3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3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3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3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3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3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3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3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3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3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3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3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3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3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3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3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3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3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3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3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3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3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3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3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3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3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3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3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61" zoomScaleNormal="160" workbookViewId="0">
      <selection activeCell="A2" sqref="A2:B3"/>
    </sheetView>
  </sheetViews>
  <sheetFormatPr defaultRowHeight="14.4" x14ac:dyDescent="0.3"/>
  <cols>
    <col min="2" max="2" width="26.44140625" customWidth="1"/>
    <col min="3" max="3" width="10.88671875" customWidth="1"/>
    <col min="5" max="5" width="22.109375" customWidth="1"/>
  </cols>
  <sheetData>
    <row r="1" spans="1:3" x14ac:dyDescent="0.3">
      <c r="A1" s="2" t="s">
        <v>35</v>
      </c>
      <c r="B1" s="2" t="s">
        <v>36</v>
      </c>
      <c r="C1" s="2" t="s">
        <v>37</v>
      </c>
    </row>
    <row r="2" spans="1:3" x14ac:dyDescent="0.3">
      <c r="A2">
        <v>50</v>
      </c>
      <c r="B2" t="s">
        <v>38</v>
      </c>
      <c r="C2">
        <v>1986</v>
      </c>
    </row>
    <row r="3" spans="1:3" x14ac:dyDescent="0.3">
      <c r="A3">
        <v>51</v>
      </c>
      <c r="B3" t="s">
        <v>39</v>
      </c>
      <c r="C3">
        <v>1959</v>
      </c>
    </row>
    <row r="4" spans="1:3" x14ac:dyDescent="0.3">
      <c r="A4">
        <v>52</v>
      </c>
      <c r="B4" t="s">
        <v>40</v>
      </c>
      <c r="C4">
        <v>1976</v>
      </c>
    </row>
    <row r="5" spans="1:3" x14ac:dyDescent="0.3">
      <c r="A5">
        <v>53</v>
      </c>
      <c r="B5" t="s">
        <v>41</v>
      </c>
      <c r="C5">
        <v>1989</v>
      </c>
    </row>
    <row r="6" spans="1:3" x14ac:dyDescent="0.3">
      <c r="A6">
        <v>54</v>
      </c>
      <c r="B6" t="s">
        <v>42</v>
      </c>
      <c r="C6">
        <v>1983</v>
      </c>
    </row>
    <row r="7" spans="1:3" x14ac:dyDescent="0.3">
      <c r="A7">
        <v>55</v>
      </c>
      <c r="B7" t="s">
        <v>43</v>
      </c>
      <c r="C7">
        <v>1981</v>
      </c>
    </row>
    <row r="8" spans="1:3" x14ac:dyDescent="0.3">
      <c r="A8">
        <v>56</v>
      </c>
      <c r="B8" t="s">
        <v>44</v>
      </c>
      <c r="C8">
        <v>1981</v>
      </c>
    </row>
    <row r="9" spans="1:3" x14ac:dyDescent="0.3">
      <c r="A9">
        <v>57</v>
      </c>
      <c r="B9" t="s">
        <v>45</v>
      </c>
      <c r="C9">
        <v>1942</v>
      </c>
    </row>
    <row r="10" spans="1:3" x14ac:dyDescent="0.3">
      <c r="A10">
        <v>58</v>
      </c>
      <c r="B10" t="s">
        <v>46</v>
      </c>
      <c r="C10">
        <v>1948</v>
      </c>
    </row>
    <row r="11" spans="1:3" x14ac:dyDescent="0.3">
      <c r="A11">
        <v>59</v>
      </c>
      <c r="B11" t="s">
        <v>47</v>
      </c>
      <c r="C11">
        <v>1965</v>
      </c>
    </row>
    <row r="12" spans="1:3" x14ac:dyDescent="0.3">
      <c r="A12">
        <v>60</v>
      </c>
      <c r="B12" t="s">
        <v>48</v>
      </c>
      <c r="C12">
        <v>1974</v>
      </c>
    </row>
    <row r="13" spans="1:3" x14ac:dyDescent="0.3">
      <c r="A13">
        <v>61</v>
      </c>
      <c r="B13" t="s">
        <v>49</v>
      </c>
      <c r="C13">
        <v>1965</v>
      </c>
    </row>
    <row r="14" spans="1:3" x14ac:dyDescent="0.3">
      <c r="A14">
        <v>62</v>
      </c>
      <c r="B14" t="s">
        <v>50</v>
      </c>
      <c r="C14">
        <v>1970</v>
      </c>
    </row>
    <row r="15" spans="1:3" x14ac:dyDescent="0.3">
      <c r="A15">
        <v>63</v>
      </c>
      <c r="B15" t="s">
        <v>51</v>
      </c>
      <c r="C15">
        <v>1979</v>
      </c>
    </row>
    <row r="16" spans="1:3" x14ac:dyDescent="0.3">
      <c r="A16">
        <v>64</v>
      </c>
      <c r="B16" t="s">
        <v>52</v>
      </c>
      <c r="C16">
        <v>1974</v>
      </c>
    </row>
    <row r="17" spans="1:3" x14ac:dyDescent="0.3">
      <c r="A17">
        <v>65</v>
      </c>
      <c r="B17" t="s">
        <v>53</v>
      </c>
      <c r="C17">
        <v>1985</v>
      </c>
    </row>
    <row r="18" spans="1:3" x14ac:dyDescent="0.3">
      <c r="A18">
        <v>66</v>
      </c>
      <c r="B18" t="s">
        <v>54</v>
      </c>
      <c r="C18">
        <v>1986</v>
      </c>
    </row>
    <row r="19" spans="1:3" x14ac:dyDescent="0.3">
      <c r="A19">
        <v>67</v>
      </c>
      <c r="B19" t="s">
        <v>55</v>
      </c>
      <c r="C19">
        <v>1958</v>
      </c>
    </row>
    <row r="20" spans="1:3" x14ac:dyDescent="0.3">
      <c r="A20">
        <v>68</v>
      </c>
      <c r="B20" t="s">
        <v>56</v>
      </c>
      <c r="C20">
        <v>1937</v>
      </c>
    </row>
    <row r="21" spans="1:3" x14ac:dyDescent="0.3">
      <c r="A21">
        <v>69</v>
      </c>
      <c r="B21" t="s">
        <v>57</v>
      </c>
      <c r="C21">
        <v>1974</v>
      </c>
    </row>
    <row r="22" spans="1:3" x14ac:dyDescent="0.3">
      <c r="A22">
        <v>70</v>
      </c>
      <c r="B22" t="s">
        <v>58</v>
      </c>
      <c r="C22">
        <v>1959</v>
      </c>
    </row>
    <row r="23" spans="1:3" x14ac:dyDescent="0.3">
      <c r="A23">
        <v>71</v>
      </c>
      <c r="B23" t="s">
        <v>59</v>
      </c>
      <c r="C23">
        <v>1969</v>
      </c>
    </row>
    <row r="24" spans="1:3" x14ac:dyDescent="0.3">
      <c r="A24">
        <v>72</v>
      </c>
      <c r="B24" t="s">
        <v>60</v>
      </c>
      <c r="C24">
        <v>1982</v>
      </c>
    </row>
    <row r="25" spans="1:3" x14ac:dyDescent="0.3">
      <c r="A25">
        <v>73</v>
      </c>
      <c r="B25" t="s">
        <v>61</v>
      </c>
      <c r="C25">
        <v>1984</v>
      </c>
    </row>
    <row r="26" spans="1:3" x14ac:dyDescent="0.3">
      <c r="A26">
        <v>74</v>
      </c>
      <c r="B26" t="s">
        <v>62</v>
      </c>
      <c r="C26">
        <v>1986</v>
      </c>
    </row>
    <row r="27" spans="1:3" x14ac:dyDescent="0.3">
      <c r="A27">
        <v>75</v>
      </c>
      <c r="B27" t="s">
        <v>63</v>
      </c>
      <c r="C27">
        <v>1968</v>
      </c>
    </row>
    <row r="28" spans="1:3" x14ac:dyDescent="0.3">
      <c r="A28">
        <v>76</v>
      </c>
      <c r="B28" t="s">
        <v>64</v>
      </c>
      <c r="C28">
        <v>1972</v>
      </c>
    </row>
    <row r="29" spans="1:3" x14ac:dyDescent="0.3">
      <c r="A29">
        <v>77</v>
      </c>
      <c r="B29" t="s">
        <v>65</v>
      </c>
      <c r="C29">
        <v>1964</v>
      </c>
    </row>
    <row r="30" spans="1:3" x14ac:dyDescent="0.3">
      <c r="A30">
        <v>78</v>
      </c>
      <c r="B30" t="s">
        <v>66</v>
      </c>
      <c r="C30">
        <v>1974</v>
      </c>
    </row>
    <row r="31" spans="1:3" x14ac:dyDescent="0.3">
      <c r="A31">
        <v>79</v>
      </c>
      <c r="B31" t="s">
        <v>67</v>
      </c>
      <c r="C31">
        <v>1975</v>
      </c>
    </row>
    <row r="32" spans="1:3" x14ac:dyDescent="0.3">
      <c r="A32">
        <v>80</v>
      </c>
      <c r="B32" t="s">
        <v>68</v>
      </c>
      <c r="C32">
        <v>1908</v>
      </c>
    </row>
    <row r="33" spans="1:3" x14ac:dyDescent="0.3">
      <c r="A33">
        <v>81</v>
      </c>
      <c r="B33" t="s">
        <v>69</v>
      </c>
      <c r="C33">
        <v>1921</v>
      </c>
    </row>
    <row r="34" spans="1:3" x14ac:dyDescent="0.3">
      <c r="A34">
        <v>82</v>
      </c>
      <c r="B34" t="s">
        <v>70</v>
      </c>
      <c r="C34">
        <v>1976</v>
      </c>
    </row>
    <row r="35" spans="1:3" x14ac:dyDescent="0.3">
      <c r="A35">
        <v>83</v>
      </c>
      <c r="B35" t="s">
        <v>71</v>
      </c>
      <c r="C35">
        <v>1978</v>
      </c>
    </row>
    <row r="36" spans="1:3" x14ac:dyDescent="0.3">
      <c r="A36">
        <v>84</v>
      </c>
      <c r="B36" t="s">
        <v>72</v>
      </c>
      <c r="C36">
        <v>1924</v>
      </c>
    </row>
    <row r="37" spans="1:3" x14ac:dyDescent="0.3">
      <c r="A37">
        <v>85</v>
      </c>
      <c r="B37" t="s">
        <v>73</v>
      </c>
      <c r="C37">
        <v>1940</v>
      </c>
    </row>
    <row r="38" spans="1:3" x14ac:dyDescent="0.3">
      <c r="A38">
        <v>86</v>
      </c>
      <c r="B38" t="s">
        <v>74</v>
      </c>
      <c r="C38">
        <v>1974</v>
      </c>
    </row>
    <row r="39" spans="1:3" x14ac:dyDescent="0.3">
      <c r="A39">
        <v>87</v>
      </c>
      <c r="B39" t="s">
        <v>75</v>
      </c>
      <c r="C39">
        <v>1979</v>
      </c>
    </row>
    <row r="40" spans="1:3" x14ac:dyDescent="0.3">
      <c r="A40">
        <v>88</v>
      </c>
      <c r="B40" t="s">
        <v>76</v>
      </c>
      <c r="C40">
        <v>1952</v>
      </c>
    </row>
    <row r="41" spans="1:3" x14ac:dyDescent="0.3">
      <c r="A41">
        <v>89</v>
      </c>
      <c r="B41" t="s">
        <v>77</v>
      </c>
      <c r="C41">
        <v>1943</v>
      </c>
    </row>
    <row r="42" spans="1:3" x14ac:dyDescent="0.3">
      <c r="A42">
        <v>90</v>
      </c>
      <c r="B42" t="s">
        <v>78</v>
      </c>
      <c r="C42">
        <v>1947</v>
      </c>
    </row>
    <row r="43" spans="1:3" x14ac:dyDescent="0.3">
      <c r="A43">
        <v>91</v>
      </c>
      <c r="B43" t="s">
        <v>79</v>
      </c>
      <c r="C43">
        <v>1967</v>
      </c>
    </row>
    <row r="44" spans="1:3" x14ac:dyDescent="0.3">
      <c r="A44">
        <v>92</v>
      </c>
      <c r="B44" t="s">
        <v>80</v>
      </c>
      <c r="C44">
        <v>1967</v>
      </c>
    </row>
    <row r="45" spans="1:3" x14ac:dyDescent="0.3">
      <c r="A45">
        <v>93</v>
      </c>
      <c r="B45" t="s">
        <v>81</v>
      </c>
      <c r="C45">
        <v>1975</v>
      </c>
    </row>
    <row r="46" spans="1:3" x14ac:dyDescent="0.3">
      <c r="A46">
        <v>94</v>
      </c>
      <c r="B46" t="s">
        <v>82</v>
      </c>
      <c r="C46">
        <v>1965</v>
      </c>
    </row>
    <row r="47" spans="1:3" x14ac:dyDescent="0.3">
      <c r="A47">
        <v>95</v>
      </c>
      <c r="B47" t="s">
        <v>83</v>
      </c>
      <c r="C47">
        <v>1981</v>
      </c>
    </row>
    <row r="48" spans="1:3" x14ac:dyDescent="0.3">
      <c r="A48">
        <v>150</v>
      </c>
      <c r="B48" t="s">
        <v>84</v>
      </c>
      <c r="C48">
        <v>1905</v>
      </c>
    </row>
    <row r="49" spans="1:3" x14ac:dyDescent="0.3">
      <c r="A49">
        <v>151</v>
      </c>
      <c r="B49" t="s">
        <v>85</v>
      </c>
      <c r="C49">
        <v>1919</v>
      </c>
    </row>
    <row r="50" spans="1:3" x14ac:dyDescent="0.3">
      <c r="A50">
        <v>152</v>
      </c>
      <c r="B50" t="s">
        <v>86</v>
      </c>
      <c r="C50">
        <v>1997</v>
      </c>
    </row>
    <row r="51" spans="1:3" x14ac:dyDescent="0.3">
      <c r="A51">
        <v>153</v>
      </c>
      <c r="B51" t="s">
        <v>87</v>
      </c>
      <c r="C51">
        <v>1929</v>
      </c>
    </row>
    <row r="52" spans="1:3" x14ac:dyDescent="0.3">
      <c r="A52">
        <v>154</v>
      </c>
      <c r="B52" t="s">
        <v>88</v>
      </c>
      <c r="C52">
        <v>1988</v>
      </c>
    </row>
    <row r="53" spans="1:3" x14ac:dyDescent="0.3">
      <c r="A53">
        <v>155</v>
      </c>
      <c r="B53" t="s">
        <v>89</v>
      </c>
      <c r="C53">
        <v>1982</v>
      </c>
    </row>
    <row r="54" spans="1:3" x14ac:dyDescent="0.3">
      <c r="A54">
        <v>156</v>
      </c>
      <c r="B54" t="s">
        <v>90</v>
      </c>
      <c r="C54">
        <v>1982</v>
      </c>
    </row>
    <row r="55" spans="1:3" x14ac:dyDescent="0.3">
      <c r="A55">
        <v>157</v>
      </c>
      <c r="B55" t="s">
        <v>91</v>
      </c>
      <c r="C55">
        <v>1982</v>
      </c>
    </row>
    <row r="56" spans="1:3" x14ac:dyDescent="0.3">
      <c r="A56">
        <v>158</v>
      </c>
      <c r="B56" t="s">
        <v>92</v>
      </c>
      <c r="C56">
        <v>1983</v>
      </c>
    </row>
    <row r="57" spans="1:3" x14ac:dyDescent="0.3">
      <c r="A57">
        <v>159</v>
      </c>
      <c r="B57" t="s">
        <v>93</v>
      </c>
      <c r="C57">
        <v>1985</v>
      </c>
    </row>
    <row r="58" spans="1:3" x14ac:dyDescent="0.3">
      <c r="A58">
        <v>160</v>
      </c>
      <c r="B58" t="s">
        <v>94</v>
      </c>
      <c r="C58">
        <v>1979</v>
      </c>
    </row>
    <row r="59" spans="1:3" x14ac:dyDescent="0.3">
      <c r="A59">
        <v>161</v>
      </c>
      <c r="B59" t="s">
        <v>95</v>
      </c>
      <c r="C59">
        <v>1984</v>
      </c>
    </row>
    <row r="60" spans="1:3" x14ac:dyDescent="0.3">
      <c r="A60">
        <v>162</v>
      </c>
      <c r="B60" t="s">
        <v>96</v>
      </c>
      <c r="C60">
        <v>1950</v>
      </c>
    </row>
    <row r="61" spans="1:3" x14ac:dyDescent="0.3">
      <c r="A61">
        <v>163</v>
      </c>
      <c r="B61" t="s">
        <v>97</v>
      </c>
      <c r="C61">
        <v>1955</v>
      </c>
    </row>
    <row r="62" spans="1:3" x14ac:dyDescent="0.3">
      <c r="A62">
        <v>164</v>
      </c>
      <c r="B62" t="s">
        <v>98</v>
      </c>
      <c r="C62">
        <v>1965</v>
      </c>
    </row>
    <row r="63" spans="1:3" x14ac:dyDescent="0.3">
      <c r="A63">
        <v>165</v>
      </c>
      <c r="B63" t="s">
        <v>99</v>
      </c>
      <c r="C63">
        <v>1967</v>
      </c>
    </row>
    <row r="64" spans="1:3" x14ac:dyDescent="0.3">
      <c r="A64">
        <v>166</v>
      </c>
      <c r="B64" t="s">
        <v>100</v>
      </c>
      <c r="C64">
        <v>1946</v>
      </c>
    </row>
    <row r="65" spans="1:3" x14ac:dyDescent="0.3">
      <c r="A65">
        <v>167</v>
      </c>
      <c r="B65" t="s">
        <v>101</v>
      </c>
      <c r="C65">
        <v>1982</v>
      </c>
    </row>
    <row r="66" spans="1:3" x14ac:dyDescent="0.3">
      <c r="A66">
        <v>168</v>
      </c>
      <c r="B66" t="s">
        <v>102</v>
      </c>
      <c r="C66">
        <v>1956</v>
      </c>
    </row>
    <row r="67" spans="1:3" x14ac:dyDescent="0.3">
      <c r="A67">
        <v>169</v>
      </c>
      <c r="B67" t="s">
        <v>103</v>
      </c>
      <c r="C67">
        <v>1985</v>
      </c>
    </row>
    <row r="68" spans="1:3" x14ac:dyDescent="0.3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topLeftCell="A13" zoomScale="160" zoomScaleNormal="160" workbookViewId="0">
      <selection activeCell="B2" sqref="B2:B3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35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23" zoomScaleNormal="160" workbookViewId="0">
      <selection activeCell="B4" sqref="B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36</v>
      </c>
    </row>
    <row r="2" spans="1:2" x14ac:dyDescent="0.3">
      <c r="A2">
        <v>1</v>
      </c>
      <c r="B2" t="s">
        <v>105</v>
      </c>
    </row>
    <row r="3" spans="1:2" x14ac:dyDescent="0.3">
      <c r="A3">
        <v>2</v>
      </c>
      <c r="B3" t="s">
        <v>106</v>
      </c>
    </row>
    <row r="4" spans="1:2" x14ac:dyDescent="0.3">
      <c r="A4">
        <v>3</v>
      </c>
      <c r="B4" t="s">
        <v>107</v>
      </c>
    </row>
    <row r="5" spans="1:2" x14ac:dyDescent="0.3">
      <c r="A5">
        <v>4</v>
      </c>
      <c r="B5" t="s">
        <v>108</v>
      </c>
    </row>
    <row r="6" spans="1:2" x14ac:dyDescent="0.3">
      <c r="A6">
        <v>5</v>
      </c>
      <c r="B6" t="s">
        <v>109</v>
      </c>
    </row>
    <row r="7" spans="1:2" x14ac:dyDescent="0.3">
      <c r="A7">
        <v>6</v>
      </c>
      <c r="B7" t="s">
        <v>110</v>
      </c>
    </row>
    <row r="8" spans="1:2" x14ac:dyDescent="0.3">
      <c r="A8">
        <v>7</v>
      </c>
      <c r="B8" t="s">
        <v>111</v>
      </c>
    </row>
    <row r="9" spans="1:2" x14ac:dyDescent="0.3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58360-0678-489D-88CF-D04C14EACB07}">
  <dimension ref="A1:E7"/>
  <sheetViews>
    <sheetView workbookViewId="0">
      <selection activeCell="G14" sqref="G14"/>
    </sheetView>
  </sheetViews>
  <sheetFormatPr defaultRowHeight="14.4" x14ac:dyDescent="0.3"/>
  <cols>
    <col min="1" max="1" width="22.21875" bestFit="1" customWidth="1"/>
    <col min="2" max="2" width="29.44140625" customWidth="1"/>
    <col min="3" max="3" width="13.5546875" customWidth="1"/>
    <col min="4" max="4" width="14.5546875" customWidth="1"/>
    <col min="5" max="5" width="17.33203125" customWidth="1"/>
  </cols>
  <sheetData>
    <row r="1" spans="1:5" x14ac:dyDescent="0.3">
      <c r="A1" s="8" t="s">
        <v>173</v>
      </c>
      <c r="B1" s="8" t="s">
        <v>174</v>
      </c>
      <c r="C1" s="8" t="s">
        <v>180</v>
      </c>
      <c r="D1" s="8" t="s">
        <v>181</v>
      </c>
      <c r="E1" s="8" t="s">
        <v>182</v>
      </c>
    </row>
    <row r="2" spans="1:5" x14ac:dyDescent="0.3">
      <c r="A2" s="9" t="s">
        <v>175</v>
      </c>
      <c r="B2" s="10">
        <f>SUMIF(Movies[studio],"Marvel Studios",Movies[Revenue USD])</f>
        <v>9054.6</v>
      </c>
      <c r="C2" s="11">
        <v>8000</v>
      </c>
      <c r="D2" s="10">
        <f>B2-C2</f>
        <v>1054.6000000000004</v>
      </c>
      <c r="E2" s="6">
        <f>D2/B2</f>
        <v>0.11647118591655074</v>
      </c>
    </row>
    <row r="3" spans="1:5" x14ac:dyDescent="0.3">
      <c r="A3" s="9" t="s">
        <v>176</v>
      </c>
      <c r="B3" s="10">
        <f>SUMIF(Movies[studio],"Marvel Studios", Movies[Budget USD])</f>
        <v>1988.7</v>
      </c>
      <c r="C3" s="11">
        <v>2000</v>
      </c>
      <c r="D3" s="10">
        <f>B3-C3</f>
        <v>-11.299999999999955</v>
      </c>
      <c r="E3" s="6">
        <f t="shared" ref="E3:E6" si="0">D3/B3</f>
        <v>-5.6821038869613082E-3</v>
      </c>
    </row>
    <row r="4" spans="1:5" x14ac:dyDescent="0.3">
      <c r="A4" s="9" t="s">
        <v>177</v>
      </c>
      <c r="B4" s="10">
        <f>B2-B3</f>
        <v>7065.9000000000005</v>
      </c>
      <c r="C4" s="11">
        <v>6000</v>
      </c>
      <c r="D4" s="10">
        <f>B4-C4</f>
        <v>1065.9000000000005</v>
      </c>
      <c r="E4" s="6">
        <f t="shared" si="0"/>
        <v>0.15085127160022085</v>
      </c>
    </row>
    <row r="5" spans="1:5" x14ac:dyDescent="0.3">
      <c r="A5" s="9" t="s">
        <v>178</v>
      </c>
      <c r="B5" s="6">
        <f>B4/B3</f>
        <v>3.5530245889274403</v>
      </c>
      <c r="C5" s="6">
        <f>C3/C4</f>
        <v>0.33333333333333331</v>
      </c>
      <c r="D5" s="6">
        <f t="shared" ref="D5:D6" si="1">B5-C5</f>
        <v>3.2196912555941068</v>
      </c>
      <c r="E5" s="6">
        <f t="shared" si="0"/>
        <v>0.90618321799063106</v>
      </c>
    </row>
    <row r="6" spans="1:5" x14ac:dyDescent="0.3">
      <c r="A6" s="9" t="s">
        <v>179</v>
      </c>
      <c r="B6" s="6">
        <f>B2/SUMIF(Movies[industry],"Hollywood",Movies[Revenue USD])</f>
        <v>0.48738554949698304</v>
      </c>
      <c r="C6" s="12">
        <v>0.55000000000000004</v>
      </c>
      <c r="D6" s="6">
        <f t="shared" si="1"/>
        <v>-6.2614450503017005E-2</v>
      </c>
      <c r="E6" s="6">
        <f t="shared" si="0"/>
        <v>-0.12847005941731268</v>
      </c>
    </row>
    <row r="7" spans="1:5" x14ac:dyDescent="0.3">
      <c r="A7" s="9"/>
    </row>
  </sheetData>
  <conditionalFormatting sqref="E2:E6">
    <cfRule type="cellIs" dxfId="0" priority="1" operator="lessThan">
      <formula>-0.1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BC85C-2A11-46E5-A378-4752E99A3FA8}">
  <dimension ref="A4:B10"/>
  <sheetViews>
    <sheetView workbookViewId="0">
      <selection activeCell="C16" sqref="C16:C20"/>
    </sheetView>
  </sheetViews>
  <sheetFormatPr defaultRowHeight="14.4" x14ac:dyDescent="0.3"/>
  <cols>
    <col min="1" max="1" width="16.5546875" bestFit="1" customWidth="1"/>
  </cols>
  <sheetData>
    <row r="4" spans="1:2" x14ac:dyDescent="0.3">
      <c r="A4" t="s">
        <v>183</v>
      </c>
      <c r="B4" s="7">
        <f>AVERAGE(Movies[imdb_rating])</f>
        <v>7.9473684210526327</v>
      </c>
    </row>
    <row r="5" spans="1:2" x14ac:dyDescent="0.3">
      <c r="A5" t="s">
        <v>184</v>
      </c>
      <c r="B5">
        <f>MEDIAN(Movies[imdb_rating])</f>
        <v>8.1</v>
      </c>
    </row>
    <row r="6" spans="1:2" x14ac:dyDescent="0.3">
      <c r="A6" t="s">
        <v>185</v>
      </c>
      <c r="B6">
        <f>MODE(Movies[imdb_rating])</f>
        <v>8.4</v>
      </c>
    </row>
    <row r="9" spans="1:2" x14ac:dyDescent="0.3">
      <c r="A9" t="s">
        <v>215</v>
      </c>
      <c r="B9" s="22">
        <f>_xlfn.VAR.P(Movies[imdb_rating])</f>
        <v>1.3577562326869543</v>
      </c>
    </row>
    <row r="10" spans="1:2" x14ac:dyDescent="0.3">
      <c r="A10" t="s">
        <v>214</v>
      </c>
      <c r="B10" s="7">
        <f>_xlfn.STDEV.P(Movies[imdb_rating])</f>
        <v>1.1652279745556036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76351-BC15-40F3-9A7D-8346696E5F67}">
  <dimension ref="A1:L17"/>
  <sheetViews>
    <sheetView tabSelected="1" workbookViewId="0">
      <selection activeCell="E19" sqref="E19"/>
    </sheetView>
  </sheetViews>
  <sheetFormatPr defaultRowHeight="14.4" x14ac:dyDescent="0.3"/>
  <cols>
    <col min="1" max="1" width="18.5546875" bestFit="1" customWidth="1"/>
    <col min="2" max="2" width="11.33203125" customWidth="1"/>
    <col min="3" max="3" width="18.5546875" bestFit="1" customWidth="1"/>
    <col min="4" max="4" width="18.88671875" customWidth="1"/>
    <col min="5" max="5" width="14" bestFit="1" customWidth="1"/>
    <col min="9" max="10" width="19" bestFit="1" customWidth="1"/>
    <col min="11" max="11" width="26.33203125" customWidth="1"/>
    <col min="12" max="12" width="14" bestFit="1" customWidth="1"/>
  </cols>
  <sheetData>
    <row r="1" spans="1:12" ht="19.8" x14ac:dyDescent="0.4">
      <c r="A1" s="26" t="s">
        <v>197</v>
      </c>
      <c r="B1" s="26"/>
      <c r="C1" s="26"/>
      <c r="D1" s="26"/>
      <c r="E1" s="16"/>
      <c r="I1" s="27" t="s">
        <v>198</v>
      </c>
      <c r="J1" s="27"/>
      <c r="K1" s="27"/>
      <c r="L1" s="18"/>
    </row>
    <row r="2" spans="1:12" x14ac:dyDescent="0.3">
      <c r="A2" s="15" t="s">
        <v>187</v>
      </c>
      <c r="B2" s="13"/>
      <c r="C2" s="13" t="s">
        <v>186</v>
      </c>
      <c r="D2" s="13" t="s">
        <v>208</v>
      </c>
      <c r="E2" s="17" t="s">
        <v>213</v>
      </c>
      <c r="I2" s="15" t="s">
        <v>187</v>
      </c>
      <c r="J2" s="14" t="s">
        <v>199</v>
      </c>
      <c r="K2" s="14" t="s">
        <v>209</v>
      </c>
      <c r="L2" s="19" t="s">
        <v>213</v>
      </c>
    </row>
    <row r="3" spans="1:12" x14ac:dyDescent="0.3">
      <c r="A3" t="s">
        <v>189</v>
      </c>
      <c r="C3">
        <v>71</v>
      </c>
      <c r="D3" s="9">
        <f t="shared" ref="D3:D10" si="0">C3-Uganda_mean_income</f>
        <v>9</v>
      </c>
      <c r="E3">
        <f>D3*D3</f>
        <v>81</v>
      </c>
      <c r="I3" t="s">
        <v>200</v>
      </c>
      <c r="J3">
        <v>99</v>
      </c>
      <c r="K3" s="9">
        <f t="shared" ref="K3:K10" si="1">J3-France_Income_mean</f>
        <v>37</v>
      </c>
      <c r="L3">
        <f>K3*K3</f>
        <v>1369</v>
      </c>
    </row>
    <row r="4" spans="1:12" x14ac:dyDescent="0.3">
      <c r="A4" t="s">
        <v>188</v>
      </c>
      <c r="C4">
        <v>62</v>
      </c>
      <c r="D4" s="9">
        <f t="shared" si="0"/>
        <v>0</v>
      </c>
      <c r="E4">
        <f t="shared" ref="E4:E10" si="2">D4*D4</f>
        <v>0</v>
      </c>
      <c r="I4" t="s">
        <v>201</v>
      </c>
      <c r="J4">
        <v>14</v>
      </c>
      <c r="K4" s="9">
        <f t="shared" si="1"/>
        <v>-48</v>
      </c>
      <c r="L4">
        <f t="shared" ref="L4:L10" si="3">K4*K4</f>
        <v>2304</v>
      </c>
    </row>
    <row r="5" spans="1:12" x14ac:dyDescent="0.3">
      <c r="A5" t="s">
        <v>190</v>
      </c>
      <c r="C5">
        <v>66</v>
      </c>
      <c r="D5" s="9">
        <f t="shared" si="0"/>
        <v>4</v>
      </c>
      <c r="E5">
        <f t="shared" si="2"/>
        <v>16</v>
      </c>
      <c r="I5" t="s">
        <v>202</v>
      </c>
      <c r="J5">
        <v>75</v>
      </c>
      <c r="K5" s="9">
        <f t="shared" si="1"/>
        <v>13</v>
      </c>
      <c r="L5">
        <f t="shared" si="3"/>
        <v>169</v>
      </c>
    </row>
    <row r="6" spans="1:12" x14ac:dyDescent="0.3">
      <c r="A6" t="s">
        <v>191</v>
      </c>
      <c r="C6">
        <v>61</v>
      </c>
      <c r="D6" s="9">
        <f t="shared" si="0"/>
        <v>-1</v>
      </c>
      <c r="E6">
        <f t="shared" si="2"/>
        <v>1</v>
      </c>
      <c r="I6" t="s">
        <v>203</v>
      </c>
      <c r="J6">
        <v>84</v>
      </c>
      <c r="K6" s="9">
        <f t="shared" si="1"/>
        <v>22</v>
      </c>
      <c r="L6">
        <f t="shared" si="3"/>
        <v>484</v>
      </c>
    </row>
    <row r="7" spans="1:12" x14ac:dyDescent="0.3">
      <c r="A7" t="s">
        <v>192</v>
      </c>
      <c r="C7">
        <v>54</v>
      </c>
      <c r="D7" s="9">
        <f t="shared" si="0"/>
        <v>-8</v>
      </c>
      <c r="E7">
        <f t="shared" si="2"/>
        <v>64</v>
      </c>
      <c r="I7" t="s">
        <v>204</v>
      </c>
      <c r="J7">
        <v>44</v>
      </c>
      <c r="K7" s="9">
        <f t="shared" si="1"/>
        <v>-18</v>
      </c>
      <c r="L7">
        <f t="shared" si="3"/>
        <v>324</v>
      </c>
    </row>
    <row r="8" spans="1:12" x14ac:dyDescent="0.3">
      <c r="A8" t="s">
        <v>193</v>
      </c>
      <c r="C8">
        <v>67</v>
      </c>
      <c r="D8" s="9">
        <f t="shared" si="0"/>
        <v>5</v>
      </c>
      <c r="E8">
        <f t="shared" si="2"/>
        <v>25</v>
      </c>
      <c r="I8" t="s">
        <v>205</v>
      </c>
      <c r="J8">
        <v>54</v>
      </c>
      <c r="K8" s="9">
        <f t="shared" si="1"/>
        <v>-8</v>
      </c>
      <c r="L8">
        <f t="shared" si="3"/>
        <v>64</v>
      </c>
    </row>
    <row r="9" spans="1:12" x14ac:dyDescent="0.3">
      <c r="A9" t="s">
        <v>194</v>
      </c>
      <c r="C9">
        <v>55</v>
      </c>
      <c r="D9" s="9">
        <f t="shared" si="0"/>
        <v>-7</v>
      </c>
      <c r="E9">
        <f t="shared" si="2"/>
        <v>49</v>
      </c>
      <c r="I9" t="s">
        <v>206</v>
      </c>
      <c r="J9">
        <v>98</v>
      </c>
      <c r="K9" s="9">
        <f t="shared" si="1"/>
        <v>36</v>
      </c>
      <c r="L9">
        <f t="shared" si="3"/>
        <v>1296</v>
      </c>
    </row>
    <row r="10" spans="1:12" x14ac:dyDescent="0.3">
      <c r="A10" t="s">
        <v>195</v>
      </c>
      <c r="C10">
        <v>60</v>
      </c>
      <c r="D10" s="9">
        <f t="shared" si="0"/>
        <v>-2</v>
      </c>
      <c r="E10">
        <f t="shared" si="2"/>
        <v>4</v>
      </c>
      <c r="I10" t="s">
        <v>207</v>
      </c>
      <c r="J10">
        <v>28</v>
      </c>
      <c r="K10" s="9">
        <f t="shared" si="1"/>
        <v>-34</v>
      </c>
      <c r="L10">
        <f t="shared" si="3"/>
        <v>1156</v>
      </c>
    </row>
    <row r="12" spans="1:12" x14ac:dyDescent="0.3">
      <c r="A12" t="s">
        <v>196</v>
      </c>
      <c r="C12">
        <f>AVERAGE(C3:C10)</f>
        <v>62</v>
      </c>
      <c r="I12" t="s">
        <v>196</v>
      </c>
      <c r="J12">
        <f>AVERAGE(J3:J10)</f>
        <v>62</v>
      </c>
    </row>
    <row r="14" spans="1:12" x14ac:dyDescent="0.3">
      <c r="D14" t="s">
        <v>210</v>
      </c>
      <c r="E14">
        <f>SUM(E3:E10)</f>
        <v>240</v>
      </c>
      <c r="K14" t="s">
        <v>210</v>
      </c>
      <c r="L14">
        <f>SUM(L3:L10)</f>
        <v>7166</v>
      </c>
    </row>
    <row r="15" spans="1:12" x14ac:dyDescent="0.3">
      <c r="D15" t="s">
        <v>211</v>
      </c>
      <c r="E15">
        <f>COUNT(E3:E10)</f>
        <v>8</v>
      </c>
      <c r="K15" t="s">
        <v>211</v>
      </c>
      <c r="L15">
        <f>COUNT(L3:L10)</f>
        <v>8</v>
      </c>
    </row>
    <row r="16" spans="1:12" x14ac:dyDescent="0.3">
      <c r="D16" s="21" t="s">
        <v>212</v>
      </c>
      <c r="E16" s="21">
        <f>E14/E15</f>
        <v>30</v>
      </c>
      <c r="K16" s="20" t="s">
        <v>212</v>
      </c>
      <c r="L16" s="20">
        <f>L14/L15</f>
        <v>895.75</v>
      </c>
    </row>
    <row r="17" spans="4:12" x14ac:dyDescent="0.3">
      <c r="D17" s="2" t="s">
        <v>214</v>
      </c>
      <c r="E17" s="23">
        <f>SQRT(E16)</f>
        <v>5.4772255750516612</v>
      </c>
      <c r="K17" s="24" t="s">
        <v>214</v>
      </c>
      <c r="L17" s="25">
        <f>SQRT(L16)</f>
        <v>29.929082845954369</v>
      </c>
    </row>
  </sheetData>
  <mergeCells count="2">
    <mergeCell ref="A1:D1"/>
    <mergeCell ref="I1:K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movies</vt:lpstr>
      <vt:lpstr>financials</vt:lpstr>
      <vt:lpstr>actors</vt:lpstr>
      <vt:lpstr>movie_actor</vt:lpstr>
      <vt:lpstr>languages</vt:lpstr>
      <vt:lpstr>Marvel Financials</vt:lpstr>
      <vt:lpstr>Stats 1</vt:lpstr>
      <vt:lpstr>Stats 2</vt:lpstr>
      <vt:lpstr>France_Income_mean</vt:lpstr>
      <vt:lpstr>Uganda_income_mean</vt:lpstr>
      <vt:lpstr>Uganda_mean_income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Shaib</cp:lastModifiedBy>
  <dcterms:created xsi:type="dcterms:W3CDTF">2015-06-05T18:17:20Z</dcterms:created>
  <dcterms:modified xsi:type="dcterms:W3CDTF">2025-03-15T19:08:17Z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