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Data" sheetId="1" r:id="rId4"/>
    <sheet state="visible" name="Sales_Data_Format" sheetId="2" r:id="rId5"/>
    <sheet state="visible" name="Regional Details" sheetId="3" r:id="rId6"/>
    <sheet state="visible" name="MonthMapping" sheetId="4" r:id="rId7"/>
    <sheet state="visible" name="Data_Cleaning" sheetId="5" r:id="rId8"/>
    <sheet state="visible" name="CleanedData" sheetId="6" r:id="rId9"/>
    <sheet state="visible" name="Reports" sheetId="7" r:id="rId10"/>
    <sheet state="visible" name="Assumptions" sheetId="8" r:id="rId11"/>
    <sheet state="visible" name="Sales Quantity" sheetId="9" r:id="rId12"/>
    <sheet state="visible" name="RM_Consumed_ZestVita" sheetId="10" r:id="rId13"/>
    <sheet state="visible" name="RM_Consumed_NutriKid" sheetId="11" r:id="rId14"/>
    <sheet state="visible" name="Cost-RM" sheetId="12" r:id="rId15"/>
    <sheet state="visible" name="Contribution_Old" sheetId="13" r:id="rId16"/>
    <sheet state="visible" name="Contribution_New" sheetId="14" r:id="rId17"/>
    <sheet state="visible" name="CBA" sheetId="15" r:id="rId18"/>
    <sheet state="visible" name="CBA Dashboard" sheetId="16" r:id="rId19"/>
    <sheet state="visible" name="Performance Analysis Dashboard" sheetId="17" r:id="rId20"/>
  </sheets>
  <definedNames/>
  <calcPr/>
</workbook>
</file>

<file path=xl/sharedStrings.xml><?xml version="1.0" encoding="utf-8"?>
<sst xmlns="http://schemas.openxmlformats.org/spreadsheetml/2006/main" count="656" uniqueCount="360">
  <si>
    <t>Data</t>
  </si>
  <si>
    <t>//Month1 //City_Delhi//PRD-ZestVita//OPQ  21497/NPQ[IPLMARKETTING]26871</t>
  </si>
  <si>
    <t>//Month1 //City_Delhi//PRD-NutriKid//OPQ  16650/NPQ[IPLMARKETTING]20147</t>
  </si>
  <si>
    <t>//Month1 //City_Kolkata//PRD-ZestVita//OPQ  11470/NPQ[IPLMARKETTING]12617</t>
  </si>
  <si>
    <t>//Month1 //City_Kolkata//PRD-NutriKid//OPQ  22348/NPQ[IPLMARKETTING]27488</t>
  </si>
  <si>
    <t>//Month1 //City_Pune//PRD-ZestVita//OPQ  13727/NPQ[IPLMARKETTING]15649</t>
  </si>
  <si>
    <t>//Month1 //City_Pune//PRD-NutriKid//OPQ  15799/NPQ[IPLMARKETTING]19275</t>
  </si>
  <si>
    <t>//Month1 //City_Bengaluru//PRD-ZestVita//OPQ  24827/NPQ[IPLMARKETTING]30537</t>
  </si>
  <si>
    <t>//Month1 //City_Bengaluru//PRD-NutriKid//OPQ  13468/NPQ[IPLMARKETTING]14949</t>
  </si>
  <si>
    <t>//Month1 //City_Chandigarh//PRD-ZestVita//OPQ  22237/NPQ[IPLMARKETTING]24683</t>
  </si>
  <si>
    <t>//Month1 //City_Chandigarh//PRD-NutriKid//OPQ  23421/NPQ[IPLMARKETTING]29042</t>
  </si>
  <si>
    <t>//Month1 //City_Bhubaneswar//PRD-ZestVita//OPQ  13092/NPQ[IPLMARKETTING]13878</t>
  </si>
  <si>
    <t>//Month1 //City_Bhubaneswar//PRD-NutriKid//OPQ  17172/NPQ[IPLMARKETTING]18546</t>
  </si>
  <si>
    <t>//Month1 //City_Ahmedabad //PRD-ZestVita//OPQ  19536/NPQ[IPLMARKETTING]23248</t>
  </si>
  <si>
    <t>//Month1 //City_Ahmedabad //PRD-NutriKid//OPQ  11359/NPQ[IPLMARKETTING]13176</t>
  </si>
  <si>
    <t>//Month1 //City_Chennai//PRD-ZestVita//OPQ  12062/NPQ[IPLMARKETTING]13268</t>
  </si>
  <si>
    <t>//Month1 //City_Chennai//PRD-NutriKid//OPQ  13579/NPQ[IPLMARKETTING]16702</t>
  </si>
  <si>
    <t>//Month1 //City_Lucknow//PRD-ZestVita//OPQ  22339/NPQ[IPLMARKETTING]25913</t>
  </si>
  <si>
    <t>//Month1 //City_Lucknow//PRD-NutriKid//OPQ  19542/NPQ[IPLMARKETTING]22082</t>
  </si>
  <si>
    <t>//Month1 //City_Ranchi//PRD-ZestVita//OPQ  25253/NPQ[IPLMARKETTING]27273</t>
  </si>
  <si>
    <t>//Month1 //City_Ranchi//PRD-NutriKid//OPQ  15890/NPQ[IPLMARKETTING]16208</t>
  </si>
  <si>
    <t>//Month1 //City_Surat//PRD-ZestVita//OPQ  17834/NPQ[IPLMARKETTING]18547</t>
  </si>
  <si>
    <t>//Month1 //City_Surat//PRD-NutriKid//OPQ  14097/NPQ[IPLMARKETTING]14943</t>
  </si>
  <si>
    <t>//Month1 //City_Hyderabad//PRD-ZestVita//OPQ  24642/NPQ[IPLMARKETTING]29078</t>
  </si>
  <si>
    <t>//Month1 //City_Hyderabad//PRD-NutriKid//OPQ  24864/NPQ[IPLMARKETTING]29588</t>
  </si>
  <si>
    <t>//Month1 //City_Dehradun//PRD-ZestVita//OPQ  20824/NPQ[IPLMARKETTING]22490</t>
  </si>
  <si>
    <t>//Month1 //City_Dehradun//PRD-NutriKid//OPQ  12937/NPQ[IPLMARKETTING]13584</t>
  </si>
  <si>
    <t>//Month1 //City_Kochi//PRD-ZestVita//OPQ  22650/NPQ[IPLMARKETTING]23556</t>
  </si>
  <si>
    <t>//Month1 //City_Kochi//PRD-NutriKid//OPQ  13986/NPQ[IPLMARKETTING]14545</t>
  </si>
  <si>
    <t>//Month1 //City_Jaipur//PRD-ZestVita//OPQ  20091/NPQ[IPLMARKETTING]23105</t>
  </si>
  <si>
    <t>//Month1 //City_Jaipur//PRD-NutriKid//OPQ  15244/NPQ[IPLMARKETTING]18598</t>
  </si>
  <si>
    <t>//Month1 //City_Patna//PRD-ZestVita//OPQ  17316/NPQ[IPLMARKETTING]19740</t>
  </si>
  <si>
    <t>//Month1 //City_Patna//PRD-NutriKid//OPQ  22866/NPQ[IPLMARKETTING]26982</t>
  </si>
  <si>
    <t>//Month2 //City_Delhi//PRD-ZestVita//OPQ  24722/NPQ[IPLMARKETTING]27441</t>
  </si>
  <si>
    <t>//Month2 //City_Delhi//PRD-NutriKid//OPQ  19148/NPQ[IPLMARKETTING]23361</t>
  </si>
  <si>
    <t>//Month2 //City_Kolkata//PRD-ZestVita//OPQ  13535/NPQ[IPLMARKETTING]15159</t>
  </si>
  <si>
    <t>//Month2 //City_Kolkata//PRD-NutriKid//OPQ  25924/NPQ[IPLMARKETTING]30072</t>
  </si>
  <si>
    <t>//Month2 //City_Pune//PRD-ZestVita//OPQ  15923/NPQ[IPLMARKETTING]19267</t>
  </si>
  <si>
    <t>//Month2 //City_Pune//PRD-NutriKid//OPQ  18643/NPQ[IPLMARKETTING]21626</t>
  </si>
  <si>
    <t>//Month2 //City_Bengaluru//PRD-ZestVita//OPQ  29296/NPQ[IPLMARKETTING]32812</t>
  </si>
  <si>
    <t>//Month2 //City_Bengaluru//PRD-NutriKid//OPQ  15623/NPQ[IPLMARKETTING]18748</t>
  </si>
  <si>
    <t>//Month2 //City_Chandigarh//PRD-ZestVita//OPQ  25573/NPQ[IPLMARKETTING]29409</t>
  </si>
  <si>
    <t>//Month2 //City_Chandigarh//PRD-NutriKid//OPQ  27637/NPQ[IPLMARKETTING]32059</t>
  </si>
  <si>
    <t>//Month2 //City_Bhubaneswar//PRD-ZestVita//OPQ  13878/NPQ[IPLMARKETTING]14433</t>
  </si>
  <si>
    <t>//Month2 //City_Bhubaneswar//PRD-NutriKid//OPQ  18202/NPQ[IPLMARKETTING]19476</t>
  </si>
  <si>
    <t>//Month2 //City_Ahmedabad //PRD-ZestVita//OPQ  22662/NPQ[IPLMARKETTING]28101</t>
  </si>
  <si>
    <t>//Month2 //City_Ahmedabad //PRD-NutriKid//OPQ  13063/NPQ[IPLMARKETTING]16329</t>
  </si>
  <si>
    <t>//Month2 //City_Chennai//PRD-ZestVita//OPQ  14233/NPQ[IPLMARKETTING]17364</t>
  </si>
  <si>
    <t>//Month2 //City_Chennai//PRD-NutriKid//OPQ  15616/NPQ[IPLMARKETTING]18115</t>
  </si>
  <si>
    <t>//Month2 //City_Lucknow//PRD-ZestVita//OPQ  23233/NPQ[IPLMARKETTING]26718</t>
  </si>
  <si>
    <t>//Month2 //City_Lucknow//PRD-NutriKid//OPQ  20324/NPQ[IPLMARKETTING]22763</t>
  </si>
  <si>
    <t>//Month2 //City_Ranchi//PRD-ZestVita//OPQ  26263/NPQ[IPLMARKETTING]27839</t>
  </si>
  <si>
    <t>//Month2 //City_Ranchi//PRD-NutriKid//OPQ  16526/NPQ[IPLMARKETTING]17022</t>
  </si>
  <si>
    <t>//Month2 //City_Surat//PRD-ZestVita//OPQ  20866/NPQ[IPLMARKETTING]21283</t>
  </si>
  <si>
    <t>//Month2 //City_Surat//PRD-NutriKid//OPQ  16493/NPQ[IPLMARKETTING]16988</t>
  </si>
  <si>
    <t>//Month2 //City_Hyderabad//PRD-ZestVita//OPQ  29078/NPQ[IPLMARKETTING]33730</t>
  </si>
  <si>
    <t>//Month2 //City_Hyderabad//PRD-NutriKid//OPQ  28842/NPQ[IPLMARKETTING]31726</t>
  </si>
  <si>
    <t>//Month2 //City_Dehradun//PRD-ZestVita//OPQ  21865/NPQ[IPLMARKETTING]23614</t>
  </si>
  <si>
    <t>//Month2 //City_Dehradun//PRD-NutriKid//OPQ  13454/NPQ[IPLMARKETTING]14530</t>
  </si>
  <si>
    <t>//Month2 //City_Kochi//PRD-ZestVita//OPQ  24236/NPQ[IPLMARKETTING]24721</t>
  </si>
  <si>
    <t>//Month2 //City_Kochi//PRD-NutriKid//OPQ  14406/NPQ[IPLMARKETTING]15270</t>
  </si>
  <si>
    <t>//Month2 //City_Jaipur//PRD-ZestVita//OPQ  23105/NPQ[IPLMARKETTING]28188</t>
  </si>
  <si>
    <t>//Month2 //City_Jaipur//PRD-NutriKid//OPQ  17683/NPQ[IPLMARKETTING]21573</t>
  </si>
  <si>
    <t>//Month2 //City_Patna//PRD-ZestVita//OPQ  20260/NPQ[IPLMARKETTING]23907</t>
  </si>
  <si>
    <t>//Month2 //City_Patna//PRD-NutriKid//OPQ  26296/NPQ[IPLMARKETTING]32607</t>
  </si>
  <si>
    <t>//Month3 //City_Delhi//PRD-ZestVita//OPQ  28430/NPQ[IPLMARKETTING]33832</t>
  </si>
  <si>
    <t>//Month3 //City_Delhi//PRD-NutriKid//OPQ  22212/NPQ[IPLMARKETTING]25988</t>
  </si>
  <si>
    <t>//Month3 //City_Kolkata//PRD-ZestVita//OPQ  15565/NPQ[IPLMARKETTING]17900</t>
  </si>
  <si>
    <t>//Month3 //City_Kolkata//PRD-NutriKid//OPQ  29813/NPQ[IPLMARKETTING]34285</t>
  </si>
  <si>
    <t>//Month3 //City_Pune//PRD-ZestVita//OPQ  18789/NPQ[IPLMARKETTING]23110</t>
  </si>
  <si>
    <t>//Month3 //City_Pune//PRD-NutriKid//OPQ  21999/NPQ[IPLMARKETTING]24199</t>
  </si>
  <si>
    <t>//Month3 //City_Bengaluru//PRD-ZestVita//OPQ  34569/NPQ[IPLMARKETTING]41483</t>
  </si>
  <si>
    <t>//Month3 //City_Bengaluru//PRD-NutriKid//OPQ  18435/NPQ[IPLMARKETTING]22306</t>
  </si>
  <si>
    <t>//Month3 //City_Chandigarh//PRD-ZestVita//OPQ  29920/NPQ[IPLMARKETTING]37101</t>
  </si>
  <si>
    <t>//Month3 //City_Chandigarh//PRD-NutriKid//OPQ  31783/NPQ[IPLMARKETTING]37504</t>
  </si>
  <si>
    <t>//Month3 //City_Bhubaneswar//PRD-ZestVita//OPQ  14433/NPQ[IPLMARKETTING]14866</t>
  </si>
  <si>
    <t>//Month3 //City_Bhubaneswar//PRD-NutriKid//OPQ  19294/NPQ[IPLMARKETTING]19680</t>
  </si>
  <si>
    <t>//Month3 //City_Ahmedabad //PRD-ZestVita//OPQ  26741/NPQ[IPLMARKETTING]32624</t>
  </si>
  <si>
    <t>//Month3 //City_Ahmedabad //PRD-NutriKid//OPQ  15153/NPQ[IPLMARKETTING]18941</t>
  </si>
  <si>
    <t>//Month3 //City_Chennai//PRD-ZestVita//OPQ  16653/NPQ[IPLMARKETTING]19484</t>
  </si>
  <si>
    <t>//Month3 //City_Chennai//PRD-NutriKid//OPQ  17958/NPQ[IPLMARKETTING]20472</t>
  </si>
  <si>
    <t>//Month3 //City_Lucknow//PRD-ZestVita//OPQ  23930/NPQ[IPLMARKETTING]29673</t>
  </si>
  <si>
    <t>//Month3 //City_Lucknow//PRD-NutriKid//OPQ  21340/NPQ[IPLMARKETTING]25181</t>
  </si>
  <si>
    <t>//Month3 //City_Ranchi//PRD-ZestVita//OPQ  28364/NPQ[IPLMARKETTING]30349</t>
  </si>
  <si>
    <t>//Month3 //City_Ranchi//PRD-NutriKid//OPQ  17848/NPQ[IPLMARKETTING]18919</t>
  </si>
  <si>
    <t>//Month3 //City_Surat//PRD-ZestVita//OPQ  24205/NPQ[IPLMARKETTING]25657</t>
  </si>
  <si>
    <t>//Month3 //City_Surat//PRD-NutriKid//OPQ  19132/NPQ[IPLMARKETTING]20280</t>
  </si>
  <si>
    <t>//Month3 //City_Hyderabad//PRD-ZestVita//OPQ  34021/NPQ[IPLMARKETTING]40825</t>
  </si>
  <si>
    <t>//Month3 //City_Hyderabad//PRD-NutriKid//OPQ  33168/NPQ[IPLMARKETTING]41460</t>
  </si>
  <si>
    <t>//Month3 //City_Dehradun//PRD-ZestVita//OPQ  22958/NPQ[IPLMARKETTING]23647</t>
  </si>
  <si>
    <t>//Month3 //City_Dehradun//PRD-NutriKid//OPQ  14396/NPQ[IPLMARKETTING]15548</t>
  </si>
  <si>
    <t>//Month3 //City_Kochi//PRD-ZestVita//OPQ  24721/NPQ[IPLMARKETTING]25463</t>
  </si>
  <si>
    <t>//Month3 //City_Kochi//PRD-NutriKid//OPQ  15270/NPQ[IPLMARKETTING]16186</t>
  </si>
  <si>
    <t>//Month3 //City_Jaipur//PRD-ZestVita//OPQ  27264/NPQ[IPLMARKETTING]30263</t>
  </si>
  <si>
    <t>//Month3 //City_Jaipur//PRD-NutriKid//OPQ  20689/NPQ[IPLMARKETTING]23379</t>
  </si>
  <si>
    <t>//Month3 //City_Patna//PRD-ZestVita//OPQ  23299/NPQ[IPLMARKETTING]29124</t>
  </si>
  <si>
    <t>//Month3 //City_Patna//PRD-NutriKid//OPQ  30503/NPQ[IPLMARKETTING]36909</t>
  </si>
  <si>
    <t>//Month4 //City_Delhi//PRD-ZestVita//OPQ  32979/NPQ[IPLMARKETTING]40234</t>
  </si>
  <si>
    <t>//Month4 //City_Delhi//PRD-NutriKid//OPQ  25544/NPQ[IPLMARKETTING]31930</t>
  </si>
  <si>
    <t>//Month4 //City_Kolkata//PRD-ZestVita//OPQ  17900/NPQ[IPLMARKETTING]20585</t>
  </si>
  <si>
    <t>//Month4 //City_Kolkata//PRD-NutriKid//OPQ  35179/NPQ[IPLMARKETTING]43622</t>
  </si>
  <si>
    <t>//Month4 //City_Pune//PRD-ZestVita//OPQ  21795/NPQ[IPLMARKETTING]26590</t>
  </si>
  <si>
    <t>//Month4 //City_Pune//PRD-NutriKid//OPQ  25739/NPQ[IPLMARKETTING]28570</t>
  </si>
  <si>
    <t>//Month4 //City_Bengaluru//PRD-ZestVita//OPQ  40791/NPQ[IPLMARKETTING]49765</t>
  </si>
  <si>
    <t>//Month4 //City_Bengaluru//PRD-NutriKid//OPQ  21753/NPQ[IPLMARKETTING]26321</t>
  </si>
  <si>
    <t>//Month4 //City_Chandigarh//PRD-ZestVita//OPQ  35006/NPQ[IPLMARKETTING]42007</t>
  </si>
  <si>
    <t>//Month4 //City_Chandigarh//PRD-NutriKid//OPQ  37186/NPQ[IPLMARKETTING]44995</t>
  </si>
  <si>
    <t>//Month4 //City_Bhubaneswar//PRD-ZestVita//OPQ  14722/NPQ[IPLMARKETTING]15164</t>
  </si>
  <si>
    <t>//Month4 //City_Bhubaneswar//PRD-NutriKid//OPQ  19873/NPQ[IPLMARKETTING]20469</t>
  </si>
  <si>
    <t>//Month4 //City_Ahmedabad //PRD-ZestVita//OPQ  30752/NPQ[IPLMARKETTING]36902</t>
  </si>
  <si>
    <t>//Month4 //City_Ahmedabad //PRD-NutriKid//OPQ  17729/NPQ[IPLMARKETTING]19502</t>
  </si>
  <si>
    <t>//Month4 //City_Chennai//PRD-ZestVita//OPQ  19317/NPQ[IPLMARKETTING]22021</t>
  </si>
  <si>
    <t>//Month4 //City_Chennai//PRD-NutriKid//OPQ  21190/NPQ[IPLMARKETTING]26276</t>
  </si>
  <si>
    <t>//Month4 //City_Lucknow//PRD-ZestVita//OPQ  24409/NPQ[IPLMARKETTING]27826</t>
  </si>
  <si>
    <t>//Month4 //City_Lucknow//PRD-NutriKid//OPQ  22620/NPQ[IPLMARKETTING]25108</t>
  </si>
  <si>
    <t>//Month4 //City_Ranchi//PRD-ZestVita//OPQ  29782/NPQ[IPLMARKETTING]30378</t>
  </si>
  <si>
    <t>//Month4 //City_Ranchi//PRD-NutriKid//OPQ  19097/NPQ[IPLMARKETTING]20052</t>
  </si>
  <si>
    <t>//Month4 //City_Surat//PRD-ZestVita//OPQ  28078/NPQ[IPLMARKETTING]30043</t>
  </si>
  <si>
    <t>//Month4 //City_Surat//PRD-NutriKid//OPQ  22384/NPQ[IPLMARKETTING]22832</t>
  </si>
  <si>
    <t>//Month4 //City_Hyderabad//PRD-ZestVita//OPQ  39124/NPQ[IPLMARKETTING]48123</t>
  </si>
  <si>
    <t>//Month4 //City_Hyderabad//PRD-NutriKid//OPQ  38143/NPQ[IPLMARKETTING]45772</t>
  </si>
  <si>
    <t>//Month4 //City_Dehradun//PRD-ZestVita//OPQ  23876/NPQ[IPLMARKETTING]24592</t>
  </si>
  <si>
    <t>//Month4 //City_Dehradun//PRD-NutriKid//OPQ  14828/NPQ[IPLMARKETTING]16014</t>
  </si>
  <si>
    <t>//Month4 //City_Kochi//PRD-ZestVita//OPQ  25957/NPQ[IPLMARKETTING]26995</t>
  </si>
  <si>
    <t>//Month4 //City_Kochi//PRD-NutriKid//OPQ  16492/NPQ[IPLMARKETTING]17646</t>
  </si>
  <si>
    <t>//Month4 //City_Jaipur//PRD-ZestVita//OPQ  31626/NPQ[IPLMARKETTING]38267</t>
  </si>
  <si>
    <t>//Month4 //City_Jaipur//PRD-NutriKid//OPQ  24413/NPQ[IPLMARKETTING]30516</t>
  </si>
  <si>
    <t>//Month4 //City_Patna//PRD-ZestVita//OPQ  26794/NPQ[IPLMARKETTING]30545</t>
  </si>
  <si>
    <t>//Month4 //City_Patna//PRD-NutriKid//OPQ  35383/NPQ[IPLMARKETTING]42460</t>
  </si>
  <si>
    <t>//Month5 //City_Delhi//PRD-ZestVita//OPQ  38585/NPQ[IPLMARKETTING]45916</t>
  </si>
  <si>
    <t>//Month5 //City_Delhi//PRD-NutriKid//OPQ  29886/NPQ[IPLMARKETTING]34668</t>
  </si>
  <si>
    <t>//Month5 //City_Kolkata//PRD-ZestVita//OPQ  20585/NPQ[IPLMARKETTING]23879</t>
  </si>
  <si>
    <t>//Month5 //City_Kolkata//PRD-NutriKid//OPQ  41511/NPQ[IPLMARKETTING]48983</t>
  </si>
  <si>
    <t>//Month5 //City_Pune//PRD-ZestVita//OPQ  25282/NPQ[IPLMARKETTING]31097</t>
  </si>
  <si>
    <t>//Month5 //City_Pune//PRD-NutriKid//OPQ  29857/NPQ[IPLMARKETTING]34933</t>
  </si>
  <si>
    <t>//Month5 //City_Bengaluru//PRD-ZestVita//OPQ  47725/NPQ[IPLMARKETTING]52975</t>
  </si>
  <si>
    <t>//Month5 //City_Bengaluru//PRD-NutriKid//OPQ  25451/NPQ[IPLMARKETTING]28505</t>
  </si>
  <si>
    <t>//Month5 //City_Chandigarh//PRD-ZestVita//OPQ  41307/NPQ[IPLMARKETTING]46677</t>
  </si>
  <si>
    <t>//Month5 //City_Chandigarh//PRD-NutriKid//OPQ  42764/NPQ[IPLMARKETTING]50889</t>
  </si>
  <si>
    <t>//Month5 //City_Bhubaneswar//PRD-ZestVita//OPQ  15016/NPQ[IPLMARKETTING]15917</t>
  </si>
  <si>
    <t>//Month5 //City_Bhubaneswar//PRD-NutriKid//OPQ  21463/NPQ[IPLMARKETTING]22107</t>
  </si>
  <si>
    <t>//Month5 //City_Ahmedabad //PRD-ZestVita//OPQ  35672/NPQ[IPLMARKETTING]44233</t>
  </si>
  <si>
    <t>//Month5 //City_Ahmedabad //PRD-NutriKid//OPQ  20920/NPQ[IPLMARKETTING]23849</t>
  </si>
  <si>
    <t>//Month5 //City_Chennai//PRD-ZestVita//OPQ  22601/NPQ[IPLMARKETTING]25313</t>
  </si>
  <si>
    <t>//Month5 //City_Chennai//PRD-NutriKid//OPQ  24580/NPQ[IPLMARKETTING]30233</t>
  </si>
  <si>
    <t>//Month5 //City_Lucknow//PRD-ZestVita//OPQ  26118/NPQ[IPLMARKETTING]32125</t>
  </si>
  <si>
    <t>//Month5 //City_Lucknow//PRD-NutriKid//OPQ  23751/NPQ[IPLMARKETTING]27551</t>
  </si>
  <si>
    <t>//Month5 //City_Ranchi//PRD-ZestVita//OPQ  30378/NPQ[IPLMARKETTING]32808</t>
  </si>
  <si>
    <t>//Month5 //City_Ranchi//PRD-NutriKid//OPQ  20625/NPQ[IPLMARKETTING]21450</t>
  </si>
  <si>
    <t>//Month5 //City_Surat//PRD-ZestVita//OPQ  32290/NPQ[IPLMARKETTING]33582</t>
  </si>
  <si>
    <t>//Month5 //City_Surat//PRD-NutriKid//OPQ  26189/NPQ[IPLMARKETTING]27498</t>
  </si>
  <si>
    <t>//Month5 //City_Hyderabad//PRD-ZestVita//OPQ  44993/NPQ[IPLMARKETTING]53542</t>
  </si>
  <si>
    <t>//Month5 //City_Hyderabad//PRD-NutriKid//OPQ  44627/NPQ[IPLMARKETTING]52214</t>
  </si>
  <si>
    <t>//Month5 //City_Dehradun//PRD-ZestVita//OPQ  24831/NPQ[IPLMARKETTING]25328</t>
  </si>
  <si>
    <t>//Month5 //City_Dehradun//PRD-NutriKid//OPQ  15421/NPQ[IPLMARKETTING]16346</t>
  </si>
  <si>
    <t>//Month5 //City_Kochi//PRD-ZestVita//OPQ  26736/NPQ[IPLMARKETTING]28340</t>
  </si>
  <si>
    <t>//Month5 //City_Kochi//PRD-NutriKid//OPQ  17646/NPQ[IPLMARKETTING]18528</t>
  </si>
  <si>
    <t>//Month5 //City_Jaipur//PRD-ZestVita//OPQ  36686/NPQ[IPLMARKETTING]45858</t>
  </si>
  <si>
    <t>//Month5 //City_Jaipur//PRD-NutriKid//OPQ  28563/NPQ[IPLMARKETTING]35132</t>
  </si>
  <si>
    <t>//Month5 //City_Patna//PRD-ZestVita//OPQ  31617/NPQ[IPLMARKETTING]38257</t>
  </si>
  <si>
    <t>//Month5 //City_Patna//PRD-NutriKid//OPQ  40690/NPQ[IPLMARKETTING]46387</t>
  </si>
  <si>
    <t>//Month6 //City_Delhi//PRD-ZestVita//OPQ  45144/NPQ[IPLMARKETTING]54173</t>
  </si>
  <si>
    <t>//Month6 //City_Delhi//PRD-NutriKid//OPQ  34369/NPQ[IPLMARKETTING]38493</t>
  </si>
  <si>
    <t>//Month6 //City_Kolkata//PRD-ZestVita//OPQ  23879/NPQ[IPLMARKETTING]29610</t>
  </si>
  <si>
    <t>//Month6 //City_Kolkata//PRD-NutriKid//OPQ  48568/NPQ[IPLMARKETTING]58767</t>
  </si>
  <si>
    <t>//Month6 //City_Pune//PRD-ZestVita//OPQ  29074/NPQ[IPLMARKETTING]36052</t>
  </si>
  <si>
    <t>//Month6 //City_Pune//PRD-NutriKid//OPQ  34634/NPQ[IPLMARKETTING]41907</t>
  </si>
  <si>
    <t>//Month6 //City_Bengaluru//PRD-ZestVita//OPQ  54884/NPQ[IPLMARKETTING]60921</t>
  </si>
  <si>
    <t>//Month6 //City_Bengaluru//PRD-NutriKid//OPQ  29269/NPQ[IPLMARKETTING]35708</t>
  </si>
  <si>
    <t>//Month6 //City_Chandigarh//PRD-ZestVita//OPQ  48329/NPQ[IPLMARKETTING]59928</t>
  </si>
  <si>
    <t>//Month6 //City_Chandigarh//PRD-NutriKid//OPQ  49606/NPQ[IPLMARKETTING]62008</t>
  </si>
  <si>
    <t>//Month6 //City_Bhubaneswar//PRD-ZestVita//OPQ  15617/NPQ[IPLMARKETTING]16242</t>
  </si>
  <si>
    <t>//Month6 //City_Bhubaneswar//PRD-NutriKid//OPQ  22965/NPQ[IPLMARKETTING]23884</t>
  </si>
  <si>
    <t>//Month6 //City_Ahmedabad //PRD-ZestVita//OPQ  41023/NPQ[IPLMARKETTING]46766</t>
  </si>
  <si>
    <t>//Month6 //City_Ahmedabad //PRD-NutriKid//OPQ  24476/NPQ[IPLMARKETTING]29126</t>
  </si>
  <si>
    <t>//Month6 //City_Chennai//PRD-ZestVita//OPQ  26217/NPQ[IPLMARKETTING]32509</t>
  </si>
  <si>
    <t>//Month6 //City_Chennai//PRD-NutriKid//OPQ  28267/NPQ[IPLMARKETTING]33638</t>
  </si>
  <si>
    <t>//Month6 //City_Lucknow//PRD-ZestVita//OPQ  26640/NPQ[IPLMARKETTING]31702</t>
  </si>
  <si>
    <t>//Month6 //City_Lucknow//PRD-NutriKid//OPQ  25414/NPQ[IPLMARKETTING]28210</t>
  </si>
  <si>
    <t>//Month6 //City_Ranchi//PRD-ZestVita//OPQ  30986/NPQ[IPLMARKETTING]32535</t>
  </si>
  <si>
    <t>//Month6 //City_Ranchi//PRD-NutriKid//OPQ  22275/NPQ[IPLMARKETTING]23389</t>
  </si>
  <si>
    <t>//Month6 //City_Surat//PRD-ZestVita//OPQ  37779/NPQ[IPLMARKETTING]40801</t>
  </si>
  <si>
    <t>//Month6 //City_Surat//PRD-NutriKid//OPQ  30903/NPQ[IPLMARKETTING]32757</t>
  </si>
  <si>
    <t>//Month6 //City_Hyderabad//PRD-ZestVita//OPQ  52642/NPQ[IPLMARKETTING]62644</t>
  </si>
  <si>
    <t>//Month6 //City_Hyderabad//PRD-NutriKid//OPQ  52660/NPQ[IPLMARKETTING]60032</t>
  </si>
  <si>
    <t>//Month6 //City_Dehradun//PRD-ZestVita//OPQ  25328/NPQ[IPLMARKETTING]25835</t>
  </si>
  <si>
    <t>//Month6 //City_Dehradun//PRD-NutriKid//OPQ  15729/NPQ[IPLMARKETTING]16044</t>
  </si>
  <si>
    <t>//Month6 //City_Kochi//PRD-ZestVita//OPQ  27805/NPQ[IPLMARKETTING]28917</t>
  </si>
  <si>
    <t>//Month6 //City_Kochi//PRD-NutriKid//OPQ  18175/NPQ[IPLMARKETTING]19266</t>
  </si>
  <si>
    <t>//Month6 //City_Jaipur//PRD-ZestVita//OPQ  43289/NPQ[IPLMARKETTING]51514</t>
  </si>
  <si>
    <t>//Month6 //City_Jaipur//PRD-NutriKid//OPQ  33419/NPQ[IPLMARKETTING]41105</t>
  </si>
  <si>
    <t>//Month6 //City_Patna//PRD-ZestVita//OPQ  36992/NPQ[IPLMARKETTING]45130</t>
  </si>
  <si>
    <t>//Month6 //City_Patna//PRD-NutriKid//OPQ  47607/NPQ[IPLMARKETTING]53320</t>
  </si>
  <si>
    <t>Data Format</t>
  </si>
  <si>
    <t>//Month1 //City_City Name//PRD-ProductName//OPQ  Quantity/NPQ[IPLMARKETTING]Quantity</t>
  </si>
  <si>
    <t>Example</t>
  </si>
  <si>
    <t>//Month1 //City_Delhi//PRD-PowerSip//OPQ  21497/NPQ[IPLMARKETTING]26871</t>
  </si>
  <si>
    <t>Month1</t>
  </si>
  <si>
    <t>Month</t>
  </si>
  <si>
    <t>Delhi</t>
  </si>
  <si>
    <t>City</t>
  </si>
  <si>
    <t>PowerSip</t>
  </si>
  <si>
    <t>Product Name</t>
  </si>
  <si>
    <t>Sale quantity as per Old Plan</t>
  </si>
  <si>
    <t>Sale quantity as per New Plan</t>
  </si>
  <si>
    <t>Other Abbreviations used in Data</t>
  </si>
  <si>
    <t>Abbreviation</t>
  </si>
  <si>
    <t>Meaning</t>
  </si>
  <si>
    <t>PRD</t>
  </si>
  <si>
    <t>Product</t>
  </si>
  <si>
    <t>OPQ</t>
  </si>
  <si>
    <t>Old plan Quantity</t>
  </si>
  <si>
    <t>NPQ</t>
  </si>
  <si>
    <t>New plan Quantity</t>
  </si>
  <si>
    <t>Region</t>
  </si>
  <si>
    <t>North</t>
  </si>
  <si>
    <t>East</t>
  </si>
  <si>
    <t>West</t>
  </si>
  <si>
    <t>South</t>
  </si>
  <si>
    <t>Regional Manager</t>
  </si>
  <si>
    <t>Ajay Kumar</t>
  </si>
  <si>
    <t>Tanvi Sharma</t>
  </si>
  <si>
    <t>Ajay Ghosh</t>
  </si>
  <si>
    <t>Anjali Krishna Murthy</t>
  </si>
  <si>
    <t>Discount</t>
  </si>
  <si>
    <t>Kolkata</t>
  </si>
  <si>
    <t>Pune</t>
  </si>
  <si>
    <t>Bengaluru</t>
  </si>
  <si>
    <t>Chandigarh</t>
  </si>
  <si>
    <t>Bhubaneswar</t>
  </si>
  <si>
    <t>Ahmedabad</t>
  </si>
  <si>
    <t>Chennai</t>
  </si>
  <si>
    <t>Lucknow</t>
  </si>
  <si>
    <t>Ranchi</t>
  </si>
  <si>
    <t>Surat</t>
  </si>
  <si>
    <t>Hyderabad</t>
  </si>
  <si>
    <t>Dehradun</t>
  </si>
  <si>
    <t>Patna</t>
  </si>
  <si>
    <t>Jaipur</t>
  </si>
  <si>
    <t>Kochi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</si>
  <si>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</si>
  <si>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</si>
  <si>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</si>
  <si>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</si>
  <si>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</si>
  <si>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</si>
  <si>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</si>
  <si>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</si>
  <si>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</si>
  <si>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</si>
  <si>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</si>
  <si>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</si>
  <si>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</si>
  <si>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A_Month</t>
  </si>
  <si>
    <t>A_City</t>
  </si>
  <si>
    <t>A_PRD</t>
  </si>
  <si>
    <t>A_OPQ</t>
  </si>
  <si>
    <t>A_NPQ+Marketing</t>
  </si>
  <si>
    <t>Marketing+NPQ</t>
  </si>
  <si>
    <t>A_Marketing</t>
  </si>
  <si>
    <t>A_NPQ</t>
  </si>
  <si>
    <t>MonthNumber</t>
  </si>
  <si>
    <t>OldProductQty</t>
  </si>
  <si>
    <t>NewProductQty</t>
  </si>
  <si>
    <t>Marketing</t>
  </si>
  <si>
    <t>OldPlan_Sales</t>
  </si>
  <si>
    <t>NewPlan_Sales</t>
  </si>
  <si>
    <t>Old_Variable Cost per Unit</t>
  </si>
  <si>
    <t>New_Variable Cost per Unit</t>
  </si>
  <si>
    <t>Old_Total_Variable_Cost</t>
  </si>
  <si>
    <t>New_Total_Variable_Cost</t>
  </si>
  <si>
    <t>Contribution_Old</t>
  </si>
  <si>
    <t>Contribution_New</t>
  </si>
  <si>
    <t>Region-wise Sales</t>
  </si>
  <si>
    <t>NutriKid</t>
  </si>
  <si>
    <t xml:space="preserve">City
</t>
  </si>
  <si>
    <t>Old Plan</t>
  </si>
  <si>
    <t>New Plan</t>
  </si>
  <si>
    <t>Sales (in Units)</t>
  </si>
  <si>
    <t>Sales (in Rs.)</t>
  </si>
  <si>
    <t>Total</t>
  </si>
  <si>
    <t>City-wise Monthly Sales (in Units) for [Region in the above Report] Region</t>
  </si>
  <si>
    <t xml:space="preserve">Month
</t>
  </si>
  <si>
    <t>Expected Change in Quantity</t>
  </si>
  <si>
    <t>Quantity</t>
  </si>
  <si>
    <t>Pack (in ml)</t>
  </si>
  <si>
    <t>Price (in Rs. per pack)</t>
  </si>
  <si>
    <t>ZestVita</t>
  </si>
  <si>
    <t>Material Details of each Pack</t>
  </si>
  <si>
    <t>Items</t>
  </si>
  <si>
    <t>Price (per liter in Rs.)</t>
  </si>
  <si>
    <t>Ingredient %</t>
  </si>
  <si>
    <t>Water</t>
  </si>
  <si>
    <t>Milk</t>
  </si>
  <si>
    <t>Pea Protein Extract</t>
  </si>
  <si>
    <t>Coffee Bean Extract</t>
  </si>
  <si>
    <t>Dates Extract</t>
  </si>
  <si>
    <t>Monk Fruit Extract</t>
  </si>
  <si>
    <t>Other Ingredients</t>
  </si>
  <si>
    <t>Oats Extract</t>
  </si>
  <si>
    <t>Ragi Extract</t>
  </si>
  <si>
    <t>Jowar Extract</t>
  </si>
  <si>
    <t>Bajra Extract</t>
  </si>
  <si>
    <t>Existing Pack</t>
  </si>
  <si>
    <t>New Pack</t>
  </si>
  <si>
    <t>Packing  Cost (in Rs.)</t>
  </si>
  <si>
    <t>Processing Cost (in Rs.)</t>
  </si>
  <si>
    <t>Factory Expenses (in Rs.)</t>
  </si>
  <si>
    <t>Factory Rent</t>
  </si>
  <si>
    <t>Cold Storage Cost</t>
  </si>
  <si>
    <t>Marketing Expenses (in Rs.)</t>
  </si>
  <si>
    <t>First Month Budget</t>
  </si>
  <si>
    <t>Month on Month Growth%</t>
  </si>
  <si>
    <t>Old marketing Budget</t>
  </si>
  <si>
    <t>From Each subsequent month</t>
  </si>
  <si>
    <t>Other Marketing Cost (in Rs.)</t>
  </si>
  <si>
    <t>1st Month</t>
  </si>
  <si>
    <t xml:space="preserve">Ads Preparation </t>
  </si>
  <si>
    <t>New Design</t>
  </si>
  <si>
    <t>IPL Marketing</t>
  </si>
  <si>
    <t>For each Month</t>
  </si>
  <si>
    <t>Sales (in units)</t>
  </si>
  <si>
    <t>Per Unit Material Consumption (in ml)</t>
  </si>
  <si>
    <t>Sales Units</t>
  </si>
  <si>
    <t>Raw Material Consumed (in ltr)</t>
  </si>
  <si>
    <t>Cost (in Rs.)</t>
  </si>
  <si>
    <t>Cost per Unit (in Rs.)</t>
  </si>
  <si>
    <t>Amount (in Rs.)</t>
  </si>
  <si>
    <t>Sales</t>
  </si>
  <si>
    <t>Variable Cost</t>
  </si>
  <si>
    <t>Material Cost</t>
  </si>
  <si>
    <t>Packing Cost</t>
  </si>
  <si>
    <t>Processing Cost</t>
  </si>
  <si>
    <t>Variable Cost Per Unit</t>
  </si>
  <si>
    <t>Total Variable Cost</t>
  </si>
  <si>
    <t>Contribution (Sales - Variable Cost)</t>
  </si>
  <si>
    <t>Contribution per Unit (in Rs.)</t>
  </si>
  <si>
    <t>Contribution</t>
  </si>
  <si>
    <t>Incremental Contibution</t>
  </si>
  <si>
    <t>Advertisement Expenses</t>
  </si>
  <si>
    <t>Incremental Expense</t>
  </si>
  <si>
    <t>Incremental Expenses</t>
  </si>
  <si>
    <t>Incremental Advertising</t>
  </si>
  <si>
    <t>Incremental Profits</t>
  </si>
  <si>
    <t>Cost Benefit Analysis</t>
  </si>
  <si>
    <t>Incremental Units Sold(in %)</t>
  </si>
  <si>
    <t>Incremental Contribution</t>
  </si>
  <si>
    <t>Incremental Profit</t>
  </si>
  <si>
    <t>Incremental Unit Calculation</t>
  </si>
  <si>
    <t>Units Sold in Old Plan</t>
  </si>
  <si>
    <t>Units Sold in New Plan</t>
  </si>
  <si>
    <t>Incremetal Units Sold (%)</t>
  </si>
  <si>
    <t xml:space="preserve"> </t>
  </si>
  <si>
    <t>Performance Analysis Dashboard</t>
  </si>
  <si>
    <t>Overall</t>
  </si>
  <si>
    <t>Product:</t>
  </si>
  <si>
    <t>Region:</t>
  </si>
  <si>
    <t>Revenue</t>
  </si>
  <si>
    <t>City:</t>
  </si>
  <si>
    <t>Consolidated: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</si>
</sst>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12">
    <font>
      <sz val="10.0"/>
      <color rgb="FF000000"/>
      <name val="Arial"/>
      <scheme val="minor"/>
    </font>
    <font>
      <color theme="1"/>
      <name val="Noto Serif Georgian"/>
    </font>
    <font>
      <b/>
      <color theme="1"/>
      <name val="Noto Serif Georgian"/>
    </font>
    <font>
      <b/>
      <sz val="16.0"/>
      <color theme="1"/>
      <name val="Noto Serif Georgian"/>
    </font>
    <font/>
    <font>
      <b/>
      <sz val="14.0"/>
      <color theme="1"/>
      <name val="Noto Serif Georgian"/>
    </font>
    <font>
      <b/>
      <sz val="10.0"/>
      <color theme="1"/>
      <name val="Noto Serif Georgian"/>
    </font>
    <font>
      <sz val="10.0"/>
      <color theme="1"/>
      <name val="Noto Serif Georgian"/>
    </font>
    <font>
      <color theme="1"/>
      <name val="Arial"/>
      <scheme val="minor"/>
    </font>
    <font>
      <color theme="1"/>
      <name val="Arial"/>
    </font>
    <font>
      <sz val="12.0"/>
      <color theme="1"/>
      <name val="Noto Serif Georgian"/>
    </font>
    <font>
      <b/>
      <sz val="12.0"/>
      <color theme="1"/>
      <name val="Noto Serif Georgian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10" xfId="0" applyAlignment="1" applyFont="1" applyNumberFormat="1">
      <alignment readingOrder="0"/>
    </xf>
    <xf borderId="0" fillId="0" fontId="1" numFmtId="10" xfId="0" applyFont="1" applyNumberFormat="1"/>
    <xf borderId="0" fillId="0" fontId="1" numFmtId="4" xfId="0" applyFont="1" applyNumberFormat="1"/>
    <xf borderId="1" fillId="2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5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6" fillId="0" fontId="4" numFmtId="0" xfId="0" applyBorder="1" applyFont="1"/>
    <xf borderId="4" fillId="2" fontId="1" numFmtId="0" xfId="0" applyAlignment="1" applyBorder="1" applyFont="1">
      <alignment readingOrder="0"/>
    </xf>
    <xf borderId="4" fillId="0" fontId="1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Border="1" applyFont="1"/>
    <xf borderId="1" fillId="2" fontId="5" numFmtId="0" xfId="0" applyAlignment="1" applyBorder="1" applyFont="1">
      <alignment horizontal="center" readingOrder="0"/>
    </xf>
    <xf borderId="5" fillId="2" fontId="1" numFmtId="0" xfId="0" applyAlignment="1" applyBorder="1" applyFont="1">
      <alignment readingOrder="0" shrinkToFit="0" wrapText="1"/>
    </xf>
    <xf borderId="4" fillId="0" fontId="1" numFmtId="10" xfId="0" applyBorder="1" applyFont="1" applyNumberForma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Fon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7" numFmtId="9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7" numFmtId="9" xfId="0" applyAlignment="1" applyFont="1" applyNumberFormat="1">
      <alignment readingOrder="0"/>
    </xf>
    <xf borderId="0" fillId="0" fontId="7" numFmtId="9" xfId="0" applyFont="1" applyNumberFormat="1"/>
    <xf borderId="0" fillId="0" fontId="8" numFmtId="9" xfId="0" applyFont="1" applyNumberFormat="1"/>
    <xf borderId="0" fillId="0" fontId="6" numFmtId="9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7" numFmtId="10" xfId="0" applyFont="1" applyNumberFormat="1"/>
    <xf borderId="0" fillId="0" fontId="1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horizontal="right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3" fontId="9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0" fontId="9" numFmtId="4" xfId="0" applyAlignment="1" applyFont="1" applyNumberFormat="1">
      <alignment vertical="bottom"/>
    </xf>
    <xf borderId="0" fillId="0" fontId="1" numFmtId="4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1" numFmtId="4" xfId="0" applyAlignment="1" applyFont="1" applyNumberFormat="1">
      <alignment readingOrder="0" vertical="bottom"/>
    </xf>
    <xf borderId="0" fillId="0" fontId="1" numFmtId="4" xfId="0" applyAlignment="1" applyFont="1" applyNumberFormat="1">
      <alignment horizontal="right" readingOrder="0" vertical="bottom"/>
    </xf>
    <xf borderId="0" fillId="2" fontId="3" numFmtId="0" xfId="0" applyAlignment="1" applyFont="1">
      <alignment horizontal="center" readingOrder="0"/>
    </xf>
    <xf borderId="1" fillId="2" fontId="3" numFmtId="0" xfId="0" applyAlignment="1" applyBorder="1" applyFont="1">
      <alignment horizontal="center" vertical="bottom"/>
    </xf>
    <xf borderId="1" fillId="0" fontId="10" numFmtId="0" xfId="0" applyAlignment="1" applyBorder="1" applyFont="1">
      <alignment readingOrder="0"/>
    </xf>
    <xf borderId="2" fillId="0" fontId="10" numFmtId="10" xfId="0" applyBorder="1" applyFont="1" applyNumberFormat="1"/>
    <xf borderId="1" fillId="2" fontId="11" numFmtId="0" xfId="0" applyAlignment="1" applyBorder="1" applyFont="1">
      <alignment horizontal="left" vertical="bottom"/>
    </xf>
    <xf borderId="1" fillId="0" fontId="10" numFmtId="0" xfId="0" applyBorder="1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7" fillId="0" fontId="4" numFmtId="0" xfId="0" applyBorder="1" applyFont="1"/>
    <xf borderId="0" fillId="2" fontId="5" numFmtId="0" xfId="0" applyAlignment="1" applyFont="1">
      <alignment horizontal="right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  <a:r>
              <a:rPr b="1">
                <a:solidFill>
                  <a:srgbClr val="000000"/>
                </a:solidFill>
                <a:latin typeface="serif"/>
              </a:rPr>
              <a:t>Cost Benefit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CBA!$A$20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CBA!$B$1:$G$1</c:f>
            </c:strRef>
          </c:cat>
          <c:val>
            <c:numRef>
              <c:f>CBA!$B$20:$G$20</c:f>
              <c:numCache/>
            </c:numRef>
          </c:val>
        </c:ser>
        <c:axId val="219209751"/>
        <c:axId val="1299605166"/>
      </c:barChart>
      <c:catAx>
        <c:axId val="219209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605166"/>
      </c:catAx>
      <c:valAx>
        <c:axId val="1299605166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Cost Benefits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9209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serif"/>
              </a:defRPr>
            </a:pPr>
            <a:r>
              <a:rPr b="1" sz="2400">
                <a:solidFill>
                  <a:srgbClr val="000000"/>
                </a:solidFill>
                <a:latin typeface="serif"/>
              </a:rPr>
              <a:t>Revenue: Old Plan vs New Plan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9FC5E8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0B5394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'Performance Analysis Dashboard'!$A$46:$A$47</c:f>
            </c:strRef>
          </c:cat>
          <c:val>
            <c:numRef>
              <c:f>'Performance Analysis Dashboard'!$B$46:$B$47</c:f>
              <c:numCache/>
            </c:numRef>
          </c:val>
        </c:ser>
        <c:axId val="941845548"/>
        <c:axId val="486438409"/>
      </c:barChart>
      <c:catAx>
        <c:axId val="941845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438409"/>
      </c:catAx>
      <c:valAx>
        <c:axId val="48643840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845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serif"/>
              </a:defRPr>
            </a:pPr>
            <a:r>
              <a:rPr b="1" sz="2400">
                <a:solidFill>
                  <a:srgbClr val="000000"/>
                </a:solidFill>
                <a:latin typeface="serif"/>
              </a:rPr>
              <a:t>Monthly Sales (in Unit)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'Performance Analysis Dashboard'!$A$51</c:f>
            </c:strRef>
          </c:tx>
          <c:spPr>
            <a:ln cmpd="sng">
              <a:solidFill>
                <a:srgbClr val="9FC5E8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FC5E8">
                  <a:alpha val="100000"/>
                </a:srgbClr>
              </a:solidFill>
              <a:ln cmpd="sng">
                <a:solidFill>
                  <a:srgbClr val="9FC5E8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'Performance Analysis Dashboard'!$B$50:$G$50</c:f>
            </c:strRef>
          </c:cat>
          <c:val>
            <c:numRef>
              <c:f>'Performance Analysis Dashboard'!$B$51:$G$51</c:f>
              <c:numCache/>
            </c:numRef>
          </c:val>
          <c:smooth val="0"/>
        </c:ser>
        <c:ser>
          <c:idx val="1"/>
          <c:order val="1"/>
          <c:tx>
            <c:strRef>
              <c:f>'Performance Analysis Dashboard'!$A$52</c:f>
            </c:strRef>
          </c:tx>
          <c:spPr>
            <a:ln cmpd="sng">
              <a:solidFill>
                <a:srgbClr val="0B5394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0B5394">
                  <a:alpha val="100000"/>
                </a:srgbClr>
              </a:solidFill>
              <a:ln cmpd="sng">
                <a:solidFill>
                  <a:srgbClr val="0B5394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'Performance Analysis Dashboard'!$B$50:$G$50</c:f>
            </c:strRef>
          </c:cat>
          <c:val>
            <c:numRef>
              <c:f>'Performance Analysis Dashboard'!$B$52:$G$52</c:f>
              <c:numCache/>
            </c:numRef>
          </c:val>
          <c:smooth val="0"/>
        </c:ser>
        <c:axId val="99702082"/>
        <c:axId val="697760217"/>
      </c:lineChart>
      <c:catAx>
        <c:axId val="99702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7760217"/>
      </c:catAx>
      <c:valAx>
        <c:axId val="69776021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7020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400">
                <a:solidFill>
                  <a:srgbClr val="000000"/>
                </a:solidFill>
                <a:latin typeface="serif"/>
              </a:defRPr>
            </a:pPr>
            <a:r>
              <a:rPr b="1" sz="2400">
                <a:solidFill>
                  <a:srgbClr val="000000"/>
                </a:solidFill>
                <a:latin typeface="serif"/>
              </a:rPr>
              <a:t>Monthly Contribution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'Performance Analysis Dashboard'!$A$56</c:f>
            </c:strRef>
          </c:tx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0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'Performance Analysis Dashboard'!$B$55:$G$55</c:f>
            </c:strRef>
          </c:cat>
          <c:val>
            <c:numRef>
              <c:f>'Performance Analysis Dashboard'!$B$56:$G$56</c:f>
              <c:numCache/>
            </c:numRef>
          </c:val>
        </c:ser>
        <c:ser>
          <c:idx val="1"/>
          <c:order val="1"/>
          <c:tx>
            <c:strRef>
              <c:f>'Performance Analysis Dashboard'!$A$57</c:f>
            </c:strRef>
          </c:tx>
          <c:spPr>
            <a:solidFill>
              <a:srgbClr val="0B539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000">
                    <a:latin typeface="Arial Narro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'Performance Analysis Dashboard'!$B$55:$G$55</c:f>
            </c:strRef>
          </c:cat>
          <c:val>
            <c:numRef>
              <c:f>'Performance Analysis Dashboard'!$B$57:$G$57</c:f>
              <c:numCache/>
            </c:numRef>
          </c:val>
        </c:ser>
        <c:axId val="1940554141"/>
        <c:axId val="1626957847"/>
      </c:barChart>
      <c:catAx>
        <c:axId val="1940554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957847"/>
      </c:catAx>
      <c:valAx>
        <c:axId val="162695784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5541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180975</xdr:rowOff>
    </xdr:from>
    <xdr:ext cx="10582275" cy="3962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257175</xdr:rowOff>
    </xdr:from>
    <xdr:ext cx="59531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1466850</xdr:colOff>
      <xdr:row>2</xdr:row>
      <xdr:rowOff>257175</xdr:rowOff>
    </xdr:from>
    <xdr:ext cx="59912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161925</xdr:rowOff>
    </xdr:from>
    <xdr:ext cx="119348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</v>
      </c>
      <c r="B1" s="1" t="s">
        <v>194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195</v>
      </c>
      <c r="B3" s="1" t="s">
        <v>196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197</v>
      </c>
      <c r="B5" s="1" t="s">
        <v>198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199</v>
      </c>
      <c r="B6" s="1" t="s">
        <v>200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201</v>
      </c>
      <c r="B7" s="1" t="s">
        <v>202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21497.0</v>
      </c>
      <c r="B8" s="1" t="s">
        <v>203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26871.0</v>
      </c>
      <c r="B9" s="1" t="s">
        <v>204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206</v>
      </c>
      <c r="B12" s="1" t="s">
        <v>207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208</v>
      </c>
      <c r="B13" s="1" t="s">
        <v>209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210</v>
      </c>
      <c r="B14" s="1" t="s">
        <v>211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212</v>
      </c>
      <c r="B15" s="1" t="s">
        <v>213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8.25"/>
    <col customWidth="1" min="4" max="4" width="14.63"/>
    <col customWidth="1" min="6" max="6" width="7.63"/>
    <col customWidth="1" min="7" max="7" width="14.63"/>
    <col customWidth="1" min="9" max="9" width="7.5"/>
    <col customWidth="1" min="10" max="10" width="14.6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214</v>
      </c>
      <c r="B2" s="1" t="s">
        <v>215</v>
      </c>
      <c r="C2" s="2"/>
      <c r="D2" s="1" t="s">
        <v>214</v>
      </c>
      <c r="E2" s="1" t="s">
        <v>216</v>
      </c>
      <c r="F2" s="2"/>
      <c r="G2" s="1" t="s">
        <v>214</v>
      </c>
      <c r="H2" s="1" t="s">
        <v>217</v>
      </c>
      <c r="I2" s="2"/>
      <c r="J2" s="1" t="s">
        <v>214</v>
      </c>
      <c r="K2" s="1" t="s">
        <v>218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219</v>
      </c>
      <c r="B3" s="1" t="s">
        <v>220</v>
      </c>
      <c r="C3" s="2"/>
      <c r="D3" s="1" t="s">
        <v>219</v>
      </c>
      <c r="E3" s="1" t="s">
        <v>221</v>
      </c>
      <c r="F3" s="2"/>
      <c r="G3" s="1" t="s">
        <v>219</v>
      </c>
      <c r="H3" s="1" t="s">
        <v>222</v>
      </c>
      <c r="I3" s="2"/>
      <c r="J3" s="1" t="s">
        <v>219</v>
      </c>
      <c r="K3" s="1" t="s">
        <v>223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200</v>
      </c>
      <c r="B4" s="1" t="s">
        <v>224</v>
      </c>
      <c r="C4" s="2"/>
      <c r="D4" s="1" t="s">
        <v>200</v>
      </c>
      <c r="E4" s="1" t="s">
        <v>224</v>
      </c>
      <c r="F4" s="2"/>
      <c r="G4" s="1" t="s">
        <v>200</v>
      </c>
      <c r="H4" s="1" t="s">
        <v>224</v>
      </c>
      <c r="I4" s="2"/>
      <c r="J4" s="1" t="s">
        <v>200</v>
      </c>
      <c r="K4" s="1" t="s">
        <v>224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199</v>
      </c>
      <c r="B5" s="3">
        <v>0.0</v>
      </c>
      <c r="C5" s="2"/>
      <c r="D5" s="1" t="s">
        <v>225</v>
      </c>
      <c r="E5" s="3">
        <v>0.0</v>
      </c>
      <c r="F5" s="2"/>
      <c r="G5" s="1" t="s">
        <v>226</v>
      </c>
      <c r="H5" s="3">
        <v>0.0</v>
      </c>
      <c r="I5" s="2"/>
      <c r="J5" s="1" t="s">
        <v>227</v>
      </c>
      <c r="K5" s="3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228</v>
      </c>
      <c r="B6" s="3">
        <v>0.0</v>
      </c>
      <c r="C6" s="2"/>
      <c r="D6" s="1" t="s">
        <v>229</v>
      </c>
      <c r="E6" s="4">
        <v>0.125</v>
      </c>
      <c r="F6" s="2"/>
      <c r="G6" s="1" t="s">
        <v>230</v>
      </c>
      <c r="H6" s="3">
        <v>0.0</v>
      </c>
      <c r="I6" s="2"/>
      <c r="J6" s="1" t="s">
        <v>231</v>
      </c>
      <c r="K6" s="3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232</v>
      </c>
      <c r="B7" s="3">
        <v>0.1</v>
      </c>
      <c r="C7" s="2"/>
      <c r="D7" s="1" t="s">
        <v>233</v>
      </c>
      <c r="E7" s="3">
        <v>0.05</v>
      </c>
      <c r="F7" s="2"/>
      <c r="G7" s="1" t="s">
        <v>234</v>
      </c>
      <c r="H7" s="3">
        <v>0.05</v>
      </c>
      <c r="I7" s="2"/>
      <c r="J7" s="1" t="s">
        <v>235</v>
      </c>
      <c r="K7" s="3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236</v>
      </c>
      <c r="B8" s="4">
        <v>0.125</v>
      </c>
      <c r="C8" s="2"/>
      <c r="D8" s="1" t="s">
        <v>237</v>
      </c>
      <c r="E8" s="3">
        <v>0.05</v>
      </c>
      <c r="F8" s="2"/>
      <c r="G8" s="1" t="s">
        <v>238</v>
      </c>
      <c r="H8" s="3">
        <v>0.0</v>
      </c>
      <c r="I8" s="2"/>
      <c r="J8" s="1" t="s">
        <v>239</v>
      </c>
      <c r="K8" s="3">
        <v>0.1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198</v>
      </c>
      <c r="B1" s="5" t="s">
        <v>240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242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243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244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245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246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247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248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249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250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251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252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5.88"/>
    <col customWidth="1" min="3" max="3" width="14.0"/>
    <col customWidth="1" min="4" max="4" width="12.13"/>
    <col customWidth="1" min="5" max="5" width="25.75"/>
    <col customWidth="1" min="6" max="6" width="21.88"/>
    <col customWidth="1" min="7" max="7" width="21.63"/>
    <col customWidth="1" min="9" max="9" width="13.5"/>
    <col customWidth="1" min="10" max="10" width="12.0"/>
    <col customWidth="1" min="11" max="11" width="8.0"/>
    <col customWidth="1" min="12" max="12" width="13.63"/>
    <col customWidth="1" min="13" max="13" width="14.38"/>
    <col customWidth="1" min="14" max="14" width="14.75"/>
  </cols>
  <sheetData>
    <row r="1">
      <c r="A1" s="5" t="s">
        <v>253</v>
      </c>
      <c r="B1" s="5" t="s">
        <v>254</v>
      </c>
      <c r="C1" s="5" t="s">
        <v>255</v>
      </c>
      <c r="D1" s="5" t="s">
        <v>256</v>
      </c>
      <c r="E1" s="5" t="s">
        <v>257</v>
      </c>
      <c r="F1" s="5" t="s">
        <v>258</v>
      </c>
      <c r="G1" s="5" t="s">
        <v>259</v>
      </c>
      <c r="H1" s="5" t="s">
        <v>260</v>
      </c>
      <c r="I1" s="5" t="s">
        <v>261</v>
      </c>
      <c r="J1" s="5" t="s">
        <v>200</v>
      </c>
      <c r="K1" s="5" t="s">
        <v>209</v>
      </c>
      <c r="L1" s="5" t="s">
        <v>262</v>
      </c>
      <c r="M1" s="5" t="s">
        <v>263</v>
      </c>
      <c r="N1" s="5" t="s">
        <v>264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tr">
        <f>IFERROR(__xludf.DUMMYFUNCTION("SPLIT(SalesData!A2,""//"")"),"Month1 ")</f>
        <v>Month1 </v>
      </c>
      <c r="B2" s="2" t="str">
        <f>IFERROR(__xludf.DUMMYFUNCTION("""COMPUTED_VALUE"""),"City_Delhi")</f>
        <v>City_Delhi</v>
      </c>
      <c r="C2" s="2" t="str">
        <f>IFERROR(__xludf.DUMMYFUNCTION("""COMPUTED_VALUE"""),"PRD-ZestVita")</f>
        <v>PRD-ZestVita</v>
      </c>
      <c r="D2" s="2" t="str">
        <f>IFERROR(__xludf.DUMMYFUNCTION("""COMPUTED_VALUE"""),"OPQ  21497")</f>
        <v>OPQ  21497</v>
      </c>
      <c r="E2" s="2" t="str">
        <f>IFERROR(__xludf.DUMMYFUNCTION("""COMPUTED_VALUE"""),"NPQ[IPLMARKETTING]26871")</f>
        <v>NPQ[IPLMARKETTING]26871</v>
      </c>
      <c r="F2" s="2" t="str">
        <f t="shared" ref="F2:F193" si="1">substitute(SUBSTITUTE(E2,"NPQ",""),"[","")</f>
        <v>IPLMARKETTING]26871</v>
      </c>
      <c r="G2" s="2" t="str">
        <f>IFERROR(__xludf.DUMMYFUNCTION("SPLIT(F2,""]"")"),"IPLMARKETTING")</f>
        <v>IPLMARKETTING</v>
      </c>
      <c r="H2" s="2">
        <f>IFERROR(__xludf.DUMMYFUNCTION("""COMPUTED_VALUE"""),26871.0)</f>
        <v>26871</v>
      </c>
      <c r="I2" s="2">
        <f t="shared" ref="I2:I193" si="2">value(trim(SUBSTITUTE(A2,"Month","")))</f>
        <v>1</v>
      </c>
      <c r="J2" s="2" t="str">
        <f t="shared" ref="J2:J193" si="3">trim(SUBSTITUTE(B2,"City_",""))</f>
        <v>Delhi</v>
      </c>
      <c r="K2" s="2" t="str">
        <f t="shared" ref="K2:K193" si="4">trim(SUBSTITUTE(C2,"PRD-",""))</f>
        <v>ZestVita</v>
      </c>
      <c r="L2" s="2">
        <f t="shared" ref="L2:L193" si="5">value(TRIM(SUBSTITUTE(D2,"OPQ ","")))</f>
        <v>21497</v>
      </c>
      <c r="M2" s="2">
        <f t="shared" ref="M2:M193" si="6">VALUE(TRIM(H2))</f>
        <v>26871</v>
      </c>
      <c r="N2" s="2" t="str">
        <f t="shared" ref="N2:N193" si="7">TRIM(G2)</f>
        <v>IPLMARKETTING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tr">
        <f>IFERROR(__xludf.DUMMYFUNCTION("SPLIT(SalesData!A3,""//"")"),"Month1 ")</f>
        <v>Month1 </v>
      </c>
      <c r="B3" s="2" t="str">
        <f>IFERROR(__xludf.DUMMYFUNCTION("""COMPUTED_VALUE"""),"City_Delhi")</f>
        <v>City_Delhi</v>
      </c>
      <c r="C3" s="2" t="str">
        <f>IFERROR(__xludf.DUMMYFUNCTION("""COMPUTED_VALUE"""),"PRD-NutriKid")</f>
        <v>PRD-NutriKid</v>
      </c>
      <c r="D3" s="2" t="str">
        <f>IFERROR(__xludf.DUMMYFUNCTION("""COMPUTED_VALUE"""),"OPQ  16650")</f>
        <v>OPQ  16650</v>
      </c>
      <c r="E3" s="2" t="str">
        <f>IFERROR(__xludf.DUMMYFUNCTION("""COMPUTED_VALUE"""),"NPQ[IPLMARKETTING]20147")</f>
        <v>NPQ[IPLMARKETTING]20147</v>
      </c>
      <c r="F3" s="2" t="str">
        <f t="shared" si="1"/>
        <v>IPLMARKETTING]20147</v>
      </c>
      <c r="G3" s="2" t="str">
        <f>IFERROR(__xludf.DUMMYFUNCTION("SPLIT(F3,""]"")"),"IPLMARKETTING")</f>
        <v>IPLMARKETTING</v>
      </c>
      <c r="H3" s="2">
        <f>IFERROR(__xludf.DUMMYFUNCTION("""COMPUTED_VALUE"""),20147.0)</f>
        <v>20147</v>
      </c>
      <c r="I3" s="2">
        <f t="shared" si="2"/>
        <v>1</v>
      </c>
      <c r="J3" s="2" t="str">
        <f t="shared" si="3"/>
        <v>Delhi</v>
      </c>
      <c r="K3" s="2" t="str">
        <f t="shared" si="4"/>
        <v>NutriKid</v>
      </c>
      <c r="L3" s="2">
        <f t="shared" si="5"/>
        <v>16650</v>
      </c>
      <c r="M3" s="2">
        <f t="shared" si="6"/>
        <v>20147</v>
      </c>
      <c r="N3" s="2" t="str">
        <f t="shared" si="7"/>
        <v>IPLMARKETTING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tr">
        <f>IFERROR(__xludf.DUMMYFUNCTION("SPLIT(SalesData!A4,""//"")"),"Month1 ")</f>
        <v>Month1 </v>
      </c>
      <c r="B4" s="2" t="str">
        <f>IFERROR(__xludf.DUMMYFUNCTION("""COMPUTED_VALUE"""),"City_Kolkata")</f>
        <v>City_Kolkata</v>
      </c>
      <c r="C4" s="2" t="str">
        <f>IFERROR(__xludf.DUMMYFUNCTION("""COMPUTED_VALUE"""),"PRD-ZestVita")</f>
        <v>PRD-ZestVita</v>
      </c>
      <c r="D4" s="2" t="str">
        <f>IFERROR(__xludf.DUMMYFUNCTION("""COMPUTED_VALUE"""),"OPQ  11470")</f>
        <v>OPQ  11470</v>
      </c>
      <c r="E4" s="2" t="str">
        <f>IFERROR(__xludf.DUMMYFUNCTION("""COMPUTED_VALUE"""),"NPQ[IPLMARKETTING]12617")</f>
        <v>NPQ[IPLMARKETTING]12617</v>
      </c>
      <c r="F4" s="2" t="str">
        <f t="shared" si="1"/>
        <v>IPLMARKETTING]12617</v>
      </c>
      <c r="G4" s="2" t="str">
        <f>IFERROR(__xludf.DUMMYFUNCTION("SPLIT(F4,""]"")"),"IPLMARKETTING")</f>
        <v>IPLMARKETTING</v>
      </c>
      <c r="H4" s="2">
        <f>IFERROR(__xludf.DUMMYFUNCTION("""COMPUTED_VALUE"""),12617.0)</f>
        <v>12617</v>
      </c>
      <c r="I4" s="2">
        <f t="shared" si="2"/>
        <v>1</v>
      </c>
      <c r="J4" s="2" t="str">
        <f t="shared" si="3"/>
        <v>Kolkata</v>
      </c>
      <c r="K4" s="2" t="str">
        <f t="shared" si="4"/>
        <v>ZestVita</v>
      </c>
      <c r="L4" s="2">
        <f t="shared" si="5"/>
        <v>11470</v>
      </c>
      <c r="M4" s="2">
        <f t="shared" si="6"/>
        <v>12617</v>
      </c>
      <c r="N4" s="2" t="str">
        <f t="shared" si="7"/>
        <v>IPLMARKETTING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tr">
        <f>IFERROR(__xludf.DUMMYFUNCTION("SPLIT(SalesData!A5,""//"")"),"Month1 ")</f>
        <v>Month1 </v>
      </c>
      <c r="B5" s="2" t="str">
        <f>IFERROR(__xludf.DUMMYFUNCTION("""COMPUTED_VALUE"""),"City_Kolkata")</f>
        <v>City_Kolkata</v>
      </c>
      <c r="C5" s="2" t="str">
        <f>IFERROR(__xludf.DUMMYFUNCTION("""COMPUTED_VALUE"""),"PRD-NutriKid")</f>
        <v>PRD-NutriKid</v>
      </c>
      <c r="D5" s="2" t="str">
        <f>IFERROR(__xludf.DUMMYFUNCTION("""COMPUTED_VALUE"""),"OPQ  22348")</f>
        <v>OPQ  22348</v>
      </c>
      <c r="E5" s="2" t="str">
        <f>IFERROR(__xludf.DUMMYFUNCTION("""COMPUTED_VALUE"""),"NPQ[IPLMARKETTING]27488")</f>
        <v>NPQ[IPLMARKETTING]27488</v>
      </c>
      <c r="F5" s="2" t="str">
        <f t="shared" si="1"/>
        <v>IPLMARKETTING]27488</v>
      </c>
      <c r="G5" s="2" t="str">
        <f>IFERROR(__xludf.DUMMYFUNCTION("SPLIT(F5,""]"")"),"IPLMARKETTING")</f>
        <v>IPLMARKETTING</v>
      </c>
      <c r="H5" s="2">
        <f>IFERROR(__xludf.DUMMYFUNCTION("""COMPUTED_VALUE"""),27488.0)</f>
        <v>27488</v>
      </c>
      <c r="I5" s="2">
        <f t="shared" si="2"/>
        <v>1</v>
      </c>
      <c r="J5" s="2" t="str">
        <f t="shared" si="3"/>
        <v>Kolkata</v>
      </c>
      <c r="K5" s="2" t="str">
        <f t="shared" si="4"/>
        <v>NutriKid</v>
      </c>
      <c r="L5" s="2">
        <f t="shared" si="5"/>
        <v>22348</v>
      </c>
      <c r="M5" s="2">
        <f t="shared" si="6"/>
        <v>27488</v>
      </c>
      <c r="N5" s="2" t="str">
        <f t="shared" si="7"/>
        <v>IPLMARKETTING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tr">
        <f>IFERROR(__xludf.DUMMYFUNCTION("SPLIT(SalesData!A6,""//"")"),"Month1 ")</f>
        <v>Month1 </v>
      </c>
      <c r="B6" s="2" t="str">
        <f>IFERROR(__xludf.DUMMYFUNCTION("""COMPUTED_VALUE"""),"City_Pune")</f>
        <v>City_Pune</v>
      </c>
      <c r="C6" s="2" t="str">
        <f>IFERROR(__xludf.DUMMYFUNCTION("""COMPUTED_VALUE"""),"PRD-ZestVita")</f>
        <v>PRD-ZestVita</v>
      </c>
      <c r="D6" s="2" t="str">
        <f>IFERROR(__xludf.DUMMYFUNCTION("""COMPUTED_VALUE"""),"OPQ  13727")</f>
        <v>OPQ  13727</v>
      </c>
      <c r="E6" s="2" t="str">
        <f>IFERROR(__xludf.DUMMYFUNCTION("""COMPUTED_VALUE"""),"NPQ[IPLMARKETTING]15649")</f>
        <v>NPQ[IPLMARKETTING]15649</v>
      </c>
      <c r="F6" s="2" t="str">
        <f t="shared" si="1"/>
        <v>IPLMARKETTING]15649</v>
      </c>
      <c r="G6" s="2" t="str">
        <f>IFERROR(__xludf.DUMMYFUNCTION("SPLIT(F6,""]"")"),"IPLMARKETTING")</f>
        <v>IPLMARKETTING</v>
      </c>
      <c r="H6" s="2">
        <f>IFERROR(__xludf.DUMMYFUNCTION("""COMPUTED_VALUE"""),15649.0)</f>
        <v>15649</v>
      </c>
      <c r="I6" s="2">
        <f t="shared" si="2"/>
        <v>1</v>
      </c>
      <c r="J6" s="2" t="str">
        <f t="shared" si="3"/>
        <v>Pune</v>
      </c>
      <c r="K6" s="2" t="str">
        <f t="shared" si="4"/>
        <v>ZestVita</v>
      </c>
      <c r="L6" s="2">
        <f t="shared" si="5"/>
        <v>13727</v>
      </c>
      <c r="M6" s="2">
        <f t="shared" si="6"/>
        <v>15649</v>
      </c>
      <c r="N6" s="2" t="str">
        <f t="shared" si="7"/>
        <v>IPLMARKETTING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tr">
        <f>IFERROR(__xludf.DUMMYFUNCTION("SPLIT(SalesData!A7,""//"")"),"Month1 ")</f>
        <v>Month1 </v>
      </c>
      <c r="B7" s="2" t="str">
        <f>IFERROR(__xludf.DUMMYFUNCTION("""COMPUTED_VALUE"""),"City_Pune")</f>
        <v>City_Pune</v>
      </c>
      <c r="C7" s="2" t="str">
        <f>IFERROR(__xludf.DUMMYFUNCTION("""COMPUTED_VALUE"""),"PRD-NutriKid")</f>
        <v>PRD-NutriKid</v>
      </c>
      <c r="D7" s="2" t="str">
        <f>IFERROR(__xludf.DUMMYFUNCTION("""COMPUTED_VALUE"""),"OPQ  15799")</f>
        <v>OPQ  15799</v>
      </c>
      <c r="E7" s="2" t="str">
        <f>IFERROR(__xludf.DUMMYFUNCTION("""COMPUTED_VALUE"""),"NPQ[IPLMARKETTING]19275")</f>
        <v>NPQ[IPLMARKETTING]19275</v>
      </c>
      <c r="F7" s="2" t="str">
        <f t="shared" si="1"/>
        <v>IPLMARKETTING]19275</v>
      </c>
      <c r="G7" s="2" t="str">
        <f>IFERROR(__xludf.DUMMYFUNCTION("SPLIT(F7,""]"")"),"IPLMARKETTING")</f>
        <v>IPLMARKETTING</v>
      </c>
      <c r="H7" s="2">
        <f>IFERROR(__xludf.DUMMYFUNCTION("""COMPUTED_VALUE"""),19275.0)</f>
        <v>19275</v>
      </c>
      <c r="I7" s="2">
        <f t="shared" si="2"/>
        <v>1</v>
      </c>
      <c r="J7" s="2" t="str">
        <f t="shared" si="3"/>
        <v>Pune</v>
      </c>
      <c r="K7" s="2" t="str">
        <f t="shared" si="4"/>
        <v>NutriKid</v>
      </c>
      <c r="L7" s="2">
        <f t="shared" si="5"/>
        <v>15799</v>
      </c>
      <c r="M7" s="2">
        <f t="shared" si="6"/>
        <v>19275</v>
      </c>
      <c r="N7" s="2" t="str">
        <f t="shared" si="7"/>
        <v>IPLMARKETTING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tr">
        <f>IFERROR(__xludf.DUMMYFUNCTION("SPLIT(SalesData!A8,""//"")"),"Month1 ")</f>
        <v>Month1 </v>
      </c>
      <c r="B8" s="2" t="str">
        <f>IFERROR(__xludf.DUMMYFUNCTION("""COMPUTED_VALUE"""),"City_Bengaluru")</f>
        <v>City_Bengaluru</v>
      </c>
      <c r="C8" s="2" t="str">
        <f>IFERROR(__xludf.DUMMYFUNCTION("""COMPUTED_VALUE"""),"PRD-ZestVita")</f>
        <v>PRD-ZestVita</v>
      </c>
      <c r="D8" s="2" t="str">
        <f>IFERROR(__xludf.DUMMYFUNCTION("""COMPUTED_VALUE"""),"OPQ  24827")</f>
        <v>OPQ  24827</v>
      </c>
      <c r="E8" s="2" t="str">
        <f>IFERROR(__xludf.DUMMYFUNCTION("""COMPUTED_VALUE"""),"NPQ[IPLMARKETTING]30537")</f>
        <v>NPQ[IPLMARKETTING]30537</v>
      </c>
      <c r="F8" s="2" t="str">
        <f t="shared" si="1"/>
        <v>IPLMARKETTING]30537</v>
      </c>
      <c r="G8" s="2" t="str">
        <f>IFERROR(__xludf.DUMMYFUNCTION("SPLIT(F8,""]"")"),"IPLMARKETTING")</f>
        <v>IPLMARKETTING</v>
      </c>
      <c r="H8" s="2">
        <f>IFERROR(__xludf.DUMMYFUNCTION("""COMPUTED_VALUE"""),30537.0)</f>
        <v>30537</v>
      </c>
      <c r="I8" s="2">
        <f t="shared" si="2"/>
        <v>1</v>
      </c>
      <c r="J8" s="2" t="str">
        <f t="shared" si="3"/>
        <v>Bengaluru</v>
      </c>
      <c r="K8" s="2" t="str">
        <f t="shared" si="4"/>
        <v>ZestVita</v>
      </c>
      <c r="L8" s="2">
        <f t="shared" si="5"/>
        <v>24827</v>
      </c>
      <c r="M8" s="2">
        <f t="shared" si="6"/>
        <v>30537</v>
      </c>
      <c r="N8" s="2" t="str">
        <f t="shared" si="7"/>
        <v>IPLMARKETTING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tr">
        <f>IFERROR(__xludf.DUMMYFUNCTION("SPLIT(SalesData!A9,""//"")"),"Month1 ")</f>
        <v>Month1 </v>
      </c>
      <c r="B9" s="2" t="str">
        <f>IFERROR(__xludf.DUMMYFUNCTION("""COMPUTED_VALUE"""),"City_Bengaluru")</f>
        <v>City_Bengaluru</v>
      </c>
      <c r="C9" s="2" t="str">
        <f>IFERROR(__xludf.DUMMYFUNCTION("""COMPUTED_VALUE"""),"PRD-NutriKid")</f>
        <v>PRD-NutriKid</v>
      </c>
      <c r="D9" s="2" t="str">
        <f>IFERROR(__xludf.DUMMYFUNCTION("""COMPUTED_VALUE"""),"OPQ  13468")</f>
        <v>OPQ  13468</v>
      </c>
      <c r="E9" s="2" t="str">
        <f>IFERROR(__xludf.DUMMYFUNCTION("""COMPUTED_VALUE"""),"NPQ[IPLMARKETTING]14949")</f>
        <v>NPQ[IPLMARKETTING]14949</v>
      </c>
      <c r="F9" s="2" t="str">
        <f t="shared" si="1"/>
        <v>IPLMARKETTING]14949</v>
      </c>
      <c r="G9" s="2" t="str">
        <f>IFERROR(__xludf.DUMMYFUNCTION("SPLIT(F9,""]"")"),"IPLMARKETTING")</f>
        <v>IPLMARKETTING</v>
      </c>
      <c r="H9" s="2">
        <f>IFERROR(__xludf.DUMMYFUNCTION("""COMPUTED_VALUE"""),14949.0)</f>
        <v>14949</v>
      </c>
      <c r="I9" s="2">
        <f t="shared" si="2"/>
        <v>1</v>
      </c>
      <c r="J9" s="2" t="str">
        <f t="shared" si="3"/>
        <v>Bengaluru</v>
      </c>
      <c r="K9" s="2" t="str">
        <f t="shared" si="4"/>
        <v>NutriKid</v>
      </c>
      <c r="L9" s="2">
        <f t="shared" si="5"/>
        <v>13468</v>
      </c>
      <c r="M9" s="2">
        <f t="shared" si="6"/>
        <v>14949</v>
      </c>
      <c r="N9" s="2" t="str">
        <f t="shared" si="7"/>
        <v>IPLMARKETTING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tr">
        <f>IFERROR(__xludf.DUMMYFUNCTION("SPLIT(SalesData!A10,""//"")"),"Month1 ")</f>
        <v>Month1 </v>
      </c>
      <c r="B10" s="2" t="str">
        <f>IFERROR(__xludf.DUMMYFUNCTION("""COMPUTED_VALUE"""),"City_Chandigarh")</f>
        <v>City_Chandigarh</v>
      </c>
      <c r="C10" s="2" t="str">
        <f>IFERROR(__xludf.DUMMYFUNCTION("""COMPUTED_VALUE"""),"PRD-ZestVita")</f>
        <v>PRD-ZestVita</v>
      </c>
      <c r="D10" s="2" t="str">
        <f>IFERROR(__xludf.DUMMYFUNCTION("""COMPUTED_VALUE"""),"OPQ  22237")</f>
        <v>OPQ  22237</v>
      </c>
      <c r="E10" s="2" t="str">
        <f>IFERROR(__xludf.DUMMYFUNCTION("""COMPUTED_VALUE"""),"NPQ[IPLMARKETTING]24683")</f>
        <v>NPQ[IPLMARKETTING]24683</v>
      </c>
      <c r="F10" s="2" t="str">
        <f t="shared" si="1"/>
        <v>IPLMARKETTING]24683</v>
      </c>
      <c r="G10" s="2" t="str">
        <f>IFERROR(__xludf.DUMMYFUNCTION("SPLIT(F10,""]"")"),"IPLMARKETTING")</f>
        <v>IPLMARKETTING</v>
      </c>
      <c r="H10" s="2">
        <f>IFERROR(__xludf.DUMMYFUNCTION("""COMPUTED_VALUE"""),24683.0)</f>
        <v>24683</v>
      </c>
      <c r="I10" s="2">
        <f t="shared" si="2"/>
        <v>1</v>
      </c>
      <c r="J10" s="2" t="str">
        <f t="shared" si="3"/>
        <v>Chandigarh</v>
      </c>
      <c r="K10" s="2" t="str">
        <f t="shared" si="4"/>
        <v>ZestVita</v>
      </c>
      <c r="L10" s="2">
        <f t="shared" si="5"/>
        <v>22237</v>
      </c>
      <c r="M10" s="2">
        <f t="shared" si="6"/>
        <v>24683</v>
      </c>
      <c r="N10" s="2" t="str">
        <f t="shared" si="7"/>
        <v>IPLMARKETTING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tr">
        <f>IFERROR(__xludf.DUMMYFUNCTION("SPLIT(SalesData!A11,""//"")"),"Month1 ")</f>
        <v>Month1 </v>
      </c>
      <c r="B11" s="2" t="str">
        <f>IFERROR(__xludf.DUMMYFUNCTION("""COMPUTED_VALUE"""),"City_Chandigarh")</f>
        <v>City_Chandigarh</v>
      </c>
      <c r="C11" s="2" t="str">
        <f>IFERROR(__xludf.DUMMYFUNCTION("""COMPUTED_VALUE"""),"PRD-NutriKid")</f>
        <v>PRD-NutriKid</v>
      </c>
      <c r="D11" s="2" t="str">
        <f>IFERROR(__xludf.DUMMYFUNCTION("""COMPUTED_VALUE"""),"OPQ  23421")</f>
        <v>OPQ  23421</v>
      </c>
      <c r="E11" s="2" t="str">
        <f>IFERROR(__xludf.DUMMYFUNCTION("""COMPUTED_VALUE"""),"NPQ[IPLMARKETTING]29042")</f>
        <v>NPQ[IPLMARKETTING]29042</v>
      </c>
      <c r="F11" s="2" t="str">
        <f t="shared" si="1"/>
        <v>IPLMARKETTING]29042</v>
      </c>
      <c r="G11" s="2" t="str">
        <f>IFERROR(__xludf.DUMMYFUNCTION("SPLIT(F11,""]"")"),"IPLMARKETTING")</f>
        <v>IPLMARKETTING</v>
      </c>
      <c r="H11" s="2">
        <f>IFERROR(__xludf.DUMMYFUNCTION("""COMPUTED_VALUE"""),29042.0)</f>
        <v>29042</v>
      </c>
      <c r="I11" s="2">
        <f t="shared" si="2"/>
        <v>1</v>
      </c>
      <c r="J11" s="2" t="str">
        <f t="shared" si="3"/>
        <v>Chandigarh</v>
      </c>
      <c r="K11" s="2" t="str">
        <f t="shared" si="4"/>
        <v>NutriKid</v>
      </c>
      <c r="L11" s="2">
        <f t="shared" si="5"/>
        <v>23421</v>
      </c>
      <c r="M11" s="2">
        <f t="shared" si="6"/>
        <v>29042</v>
      </c>
      <c r="N11" s="2" t="str">
        <f t="shared" si="7"/>
        <v>IPLMARKETTING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tr">
        <f>IFERROR(__xludf.DUMMYFUNCTION("SPLIT(SalesData!A12,""//"")"),"Month1 ")</f>
        <v>Month1 </v>
      </c>
      <c r="B12" s="2" t="str">
        <f>IFERROR(__xludf.DUMMYFUNCTION("""COMPUTED_VALUE"""),"City_Bhubaneswar")</f>
        <v>City_Bhubaneswar</v>
      </c>
      <c r="C12" s="2" t="str">
        <f>IFERROR(__xludf.DUMMYFUNCTION("""COMPUTED_VALUE"""),"PRD-ZestVita")</f>
        <v>PRD-ZestVita</v>
      </c>
      <c r="D12" s="2" t="str">
        <f>IFERROR(__xludf.DUMMYFUNCTION("""COMPUTED_VALUE"""),"OPQ  13092")</f>
        <v>OPQ  13092</v>
      </c>
      <c r="E12" s="2" t="str">
        <f>IFERROR(__xludf.DUMMYFUNCTION("""COMPUTED_VALUE"""),"NPQ[IPLMARKETTING]13878")</f>
        <v>NPQ[IPLMARKETTING]13878</v>
      </c>
      <c r="F12" s="2" t="str">
        <f t="shared" si="1"/>
        <v>IPLMARKETTING]13878</v>
      </c>
      <c r="G12" s="2" t="str">
        <f>IFERROR(__xludf.DUMMYFUNCTION("SPLIT(F12,""]"")"),"IPLMARKETTING")</f>
        <v>IPLMARKETTING</v>
      </c>
      <c r="H12" s="2">
        <f>IFERROR(__xludf.DUMMYFUNCTION("""COMPUTED_VALUE"""),13878.0)</f>
        <v>13878</v>
      </c>
      <c r="I12" s="2">
        <f t="shared" si="2"/>
        <v>1</v>
      </c>
      <c r="J12" s="2" t="str">
        <f t="shared" si="3"/>
        <v>Bhubaneswar</v>
      </c>
      <c r="K12" s="2" t="str">
        <f t="shared" si="4"/>
        <v>ZestVita</v>
      </c>
      <c r="L12" s="2">
        <f t="shared" si="5"/>
        <v>13092</v>
      </c>
      <c r="M12" s="2">
        <f t="shared" si="6"/>
        <v>13878</v>
      </c>
      <c r="N12" s="2" t="str">
        <f t="shared" si="7"/>
        <v>IPLMARKETTING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tr">
        <f>IFERROR(__xludf.DUMMYFUNCTION("SPLIT(SalesData!A13,""//"")"),"Month1 ")</f>
        <v>Month1 </v>
      </c>
      <c r="B13" s="2" t="str">
        <f>IFERROR(__xludf.DUMMYFUNCTION("""COMPUTED_VALUE"""),"City_Bhubaneswar")</f>
        <v>City_Bhubaneswar</v>
      </c>
      <c r="C13" s="2" t="str">
        <f>IFERROR(__xludf.DUMMYFUNCTION("""COMPUTED_VALUE"""),"PRD-NutriKid")</f>
        <v>PRD-NutriKid</v>
      </c>
      <c r="D13" s="2" t="str">
        <f>IFERROR(__xludf.DUMMYFUNCTION("""COMPUTED_VALUE"""),"OPQ  17172")</f>
        <v>OPQ  17172</v>
      </c>
      <c r="E13" s="2" t="str">
        <f>IFERROR(__xludf.DUMMYFUNCTION("""COMPUTED_VALUE"""),"NPQ[IPLMARKETTING]18546")</f>
        <v>NPQ[IPLMARKETTING]18546</v>
      </c>
      <c r="F13" s="2" t="str">
        <f t="shared" si="1"/>
        <v>IPLMARKETTING]18546</v>
      </c>
      <c r="G13" s="2" t="str">
        <f>IFERROR(__xludf.DUMMYFUNCTION("SPLIT(F13,""]"")"),"IPLMARKETTING")</f>
        <v>IPLMARKETTING</v>
      </c>
      <c r="H13" s="2">
        <f>IFERROR(__xludf.DUMMYFUNCTION("""COMPUTED_VALUE"""),18546.0)</f>
        <v>18546</v>
      </c>
      <c r="I13" s="2">
        <f t="shared" si="2"/>
        <v>1</v>
      </c>
      <c r="J13" s="2" t="str">
        <f t="shared" si="3"/>
        <v>Bhubaneswar</v>
      </c>
      <c r="K13" s="2" t="str">
        <f t="shared" si="4"/>
        <v>NutriKid</v>
      </c>
      <c r="L13" s="2">
        <f t="shared" si="5"/>
        <v>17172</v>
      </c>
      <c r="M13" s="2">
        <f t="shared" si="6"/>
        <v>18546</v>
      </c>
      <c r="N13" s="2" t="str">
        <f t="shared" si="7"/>
        <v>IPLMARKETTING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tr">
        <f>IFERROR(__xludf.DUMMYFUNCTION("SPLIT(SalesData!A14,""//"")"),"Month1 ")</f>
        <v>Month1 </v>
      </c>
      <c r="B14" s="2" t="str">
        <f>IFERROR(__xludf.DUMMYFUNCTION("""COMPUTED_VALUE"""),"City_Ahmedabad ")</f>
        <v>City_Ahmedabad </v>
      </c>
      <c r="C14" s="2" t="str">
        <f>IFERROR(__xludf.DUMMYFUNCTION("""COMPUTED_VALUE"""),"PRD-ZestVita")</f>
        <v>PRD-ZestVita</v>
      </c>
      <c r="D14" s="2" t="str">
        <f>IFERROR(__xludf.DUMMYFUNCTION("""COMPUTED_VALUE"""),"OPQ  19536")</f>
        <v>OPQ  19536</v>
      </c>
      <c r="E14" s="2" t="str">
        <f>IFERROR(__xludf.DUMMYFUNCTION("""COMPUTED_VALUE"""),"NPQ[IPLMARKETTING]23248")</f>
        <v>NPQ[IPLMARKETTING]23248</v>
      </c>
      <c r="F14" s="2" t="str">
        <f t="shared" si="1"/>
        <v>IPLMARKETTING]23248</v>
      </c>
      <c r="G14" s="2" t="str">
        <f>IFERROR(__xludf.DUMMYFUNCTION("SPLIT(F14,""]"")"),"IPLMARKETTING")</f>
        <v>IPLMARKETTING</v>
      </c>
      <c r="H14" s="2">
        <f>IFERROR(__xludf.DUMMYFUNCTION("""COMPUTED_VALUE"""),23248.0)</f>
        <v>23248</v>
      </c>
      <c r="I14" s="2">
        <f t="shared" si="2"/>
        <v>1</v>
      </c>
      <c r="J14" s="2" t="str">
        <f t="shared" si="3"/>
        <v>Ahmedabad</v>
      </c>
      <c r="K14" s="2" t="str">
        <f t="shared" si="4"/>
        <v>ZestVita</v>
      </c>
      <c r="L14" s="2">
        <f t="shared" si="5"/>
        <v>19536</v>
      </c>
      <c r="M14" s="2">
        <f t="shared" si="6"/>
        <v>23248</v>
      </c>
      <c r="N14" s="2" t="str">
        <f t="shared" si="7"/>
        <v>IPLMARKETTING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tr">
        <f>IFERROR(__xludf.DUMMYFUNCTION("SPLIT(SalesData!A15,""//"")"),"Month1 ")</f>
        <v>Month1 </v>
      </c>
      <c r="B15" s="2" t="str">
        <f>IFERROR(__xludf.DUMMYFUNCTION("""COMPUTED_VALUE"""),"City_Ahmedabad ")</f>
        <v>City_Ahmedabad </v>
      </c>
      <c r="C15" s="2" t="str">
        <f>IFERROR(__xludf.DUMMYFUNCTION("""COMPUTED_VALUE"""),"PRD-NutriKid")</f>
        <v>PRD-NutriKid</v>
      </c>
      <c r="D15" s="2" t="str">
        <f>IFERROR(__xludf.DUMMYFUNCTION("""COMPUTED_VALUE"""),"OPQ  11359")</f>
        <v>OPQ  11359</v>
      </c>
      <c r="E15" s="2" t="str">
        <f>IFERROR(__xludf.DUMMYFUNCTION("""COMPUTED_VALUE"""),"NPQ[IPLMARKETTING]13176")</f>
        <v>NPQ[IPLMARKETTING]13176</v>
      </c>
      <c r="F15" s="2" t="str">
        <f t="shared" si="1"/>
        <v>IPLMARKETTING]13176</v>
      </c>
      <c r="G15" s="2" t="str">
        <f>IFERROR(__xludf.DUMMYFUNCTION("SPLIT(F15,""]"")"),"IPLMARKETTING")</f>
        <v>IPLMARKETTING</v>
      </c>
      <c r="H15" s="2">
        <f>IFERROR(__xludf.DUMMYFUNCTION("""COMPUTED_VALUE"""),13176.0)</f>
        <v>13176</v>
      </c>
      <c r="I15" s="2">
        <f t="shared" si="2"/>
        <v>1</v>
      </c>
      <c r="J15" s="2" t="str">
        <f t="shared" si="3"/>
        <v>Ahmedabad</v>
      </c>
      <c r="K15" s="2" t="str">
        <f t="shared" si="4"/>
        <v>NutriKid</v>
      </c>
      <c r="L15" s="2">
        <f t="shared" si="5"/>
        <v>11359</v>
      </c>
      <c r="M15" s="2">
        <f t="shared" si="6"/>
        <v>13176</v>
      </c>
      <c r="N15" s="2" t="str">
        <f t="shared" si="7"/>
        <v>IPLMARKETTING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tr">
        <f>IFERROR(__xludf.DUMMYFUNCTION("SPLIT(SalesData!A16,""//"")"),"Month1 ")</f>
        <v>Month1 </v>
      </c>
      <c r="B16" s="2" t="str">
        <f>IFERROR(__xludf.DUMMYFUNCTION("""COMPUTED_VALUE"""),"City_Chennai")</f>
        <v>City_Chennai</v>
      </c>
      <c r="C16" s="2" t="str">
        <f>IFERROR(__xludf.DUMMYFUNCTION("""COMPUTED_VALUE"""),"PRD-ZestVita")</f>
        <v>PRD-ZestVita</v>
      </c>
      <c r="D16" s="2" t="str">
        <f>IFERROR(__xludf.DUMMYFUNCTION("""COMPUTED_VALUE"""),"OPQ  12062")</f>
        <v>OPQ  12062</v>
      </c>
      <c r="E16" s="2" t="str">
        <f>IFERROR(__xludf.DUMMYFUNCTION("""COMPUTED_VALUE"""),"NPQ[IPLMARKETTING]13268")</f>
        <v>NPQ[IPLMARKETTING]13268</v>
      </c>
      <c r="F16" s="2" t="str">
        <f t="shared" si="1"/>
        <v>IPLMARKETTING]13268</v>
      </c>
      <c r="G16" s="2" t="str">
        <f>IFERROR(__xludf.DUMMYFUNCTION("SPLIT(F16,""]"")"),"IPLMARKETTING")</f>
        <v>IPLMARKETTING</v>
      </c>
      <c r="H16" s="2">
        <f>IFERROR(__xludf.DUMMYFUNCTION("""COMPUTED_VALUE"""),13268.0)</f>
        <v>13268</v>
      </c>
      <c r="I16" s="2">
        <f t="shared" si="2"/>
        <v>1</v>
      </c>
      <c r="J16" s="2" t="str">
        <f t="shared" si="3"/>
        <v>Chennai</v>
      </c>
      <c r="K16" s="2" t="str">
        <f t="shared" si="4"/>
        <v>ZestVita</v>
      </c>
      <c r="L16" s="2">
        <f t="shared" si="5"/>
        <v>12062</v>
      </c>
      <c r="M16" s="2">
        <f t="shared" si="6"/>
        <v>13268</v>
      </c>
      <c r="N16" s="2" t="str">
        <f t="shared" si="7"/>
        <v>IPLMARKETTING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tr">
        <f>IFERROR(__xludf.DUMMYFUNCTION("SPLIT(SalesData!A17,""//"")"),"Month1 ")</f>
        <v>Month1 </v>
      </c>
      <c r="B17" s="2" t="str">
        <f>IFERROR(__xludf.DUMMYFUNCTION("""COMPUTED_VALUE"""),"City_Chennai")</f>
        <v>City_Chennai</v>
      </c>
      <c r="C17" s="2" t="str">
        <f>IFERROR(__xludf.DUMMYFUNCTION("""COMPUTED_VALUE"""),"PRD-NutriKid")</f>
        <v>PRD-NutriKid</v>
      </c>
      <c r="D17" s="2" t="str">
        <f>IFERROR(__xludf.DUMMYFUNCTION("""COMPUTED_VALUE"""),"OPQ  13579")</f>
        <v>OPQ  13579</v>
      </c>
      <c r="E17" s="2" t="str">
        <f>IFERROR(__xludf.DUMMYFUNCTION("""COMPUTED_VALUE"""),"NPQ[IPLMARKETTING]16702")</f>
        <v>NPQ[IPLMARKETTING]16702</v>
      </c>
      <c r="F17" s="2" t="str">
        <f t="shared" si="1"/>
        <v>IPLMARKETTING]16702</v>
      </c>
      <c r="G17" s="2" t="str">
        <f>IFERROR(__xludf.DUMMYFUNCTION("SPLIT(F17,""]"")"),"IPLMARKETTING")</f>
        <v>IPLMARKETTING</v>
      </c>
      <c r="H17" s="2">
        <f>IFERROR(__xludf.DUMMYFUNCTION("""COMPUTED_VALUE"""),16702.0)</f>
        <v>16702</v>
      </c>
      <c r="I17" s="2">
        <f t="shared" si="2"/>
        <v>1</v>
      </c>
      <c r="J17" s="2" t="str">
        <f t="shared" si="3"/>
        <v>Chennai</v>
      </c>
      <c r="K17" s="2" t="str">
        <f t="shared" si="4"/>
        <v>NutriKid</v>
      </c>
      <c r="L17" s="2">
        <f t="shared" si="5"/>
        <v>13579</v>
      </c>
      <c r="M17" s="2">
        <f t="shared" si="6"/>
        <v>16702</v>
      </c>
      <c r="N17" s="2" t="str">
        <f t="shared" si="7"/>
        <v>IPLMARKETTING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tr">
        <f>IFERROR(__xludf.DUMMYFUNCTION("SPLIT(SalesData!A18,""//"")"),"Month1 ")</f>
        <v>Month1 </v>
      </c>
      <c r="B18" s="2" t="str">
        <f>IFERROR(__xludf.DUMMYFUNCTION("""COMPUTED_VALUE"""),"City_Lucknow")</f>
        <v>City_Lucknow</v>
      </c>
      <c r="C18" s="2" t="str">
        <f>IFERROR(__xludf.DUMMYFUNCTION("""COMPUTED_VALUE"""),"PRD-ZestVita")</f>
        <v>PRD-ZestVita</v>
      </c>
      <c r="D18" s="2" t="str">
        <f>IFERROR(__xludf.DUMMYFUNCTION("""COMPUTED_VALUE"""),"OPQ  22339")</f>
        <v>OPQ  22339</v>
      </c>
      <c r="E18" s="2" t="str">
        <f>IFERROR(__xludf.DUMMYFUNCTION("""COMPUTED_VALUE"""),"NPQ[IPLMARKETTING]25913")</f>
        <v>NPQ[IPLMARKETTING]25913</v>
      </c>
      <c r="F18" s="2" t="str">
        <f t="shared" si="1"/>
        <v>IPLMARKETTING]25913</v>
      </c>
      <c r="G18" s="2" t="str">
        <f>IFERROR(__xludf.DUMMYFUNCTION("SPLIT(F18,""]"")"),"IPLMARKETTING")</f>
        <v>IPLMARKETTING</v>
      </c>
      <c r="H18" s="2">
        <f>IFERROR(__xludf.DUMMYFUNCTION("""COMPUTED_VALUE"""),25913.0)</f>
        <v>25913</v>
      </c>
      <c r="I18" s="2">
        <f t="shared" si="2"/>
        <v>1</v>
      </c>
      <c r="J18" s="2" t="str">
        <f t="shared" si="3"/>
        <v>Lucknow</v>
      </c>
      <c r="K18" s="2" t="str">
        <f t="shared" si="4"/>
        <v>ZestVita</v>
      </c>
      <c r="L18" s="2">
        <f t="shared" si="5"/>
        <v>22339</v>
      </c>
      <c r="M18" s="2">
        <f t="shared" si="6"/>
        <v>25913</v>
      </c>
      <c r="N18" s="2" t="str">
        <f t="shared" si="7"/>
        <v>IPLMARKETTING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tr">
        <f>IFERROR(__xludf.DUMMYFUNCTION("SPLIT(SalesData!A19,""//"")"),"Month1 ")</f>
        <v>Month1 </v>
      </c>
      <c r="B19" s="2" t="str">
        <f>IFERROR(__xludf.DUMMYFUNCTION("""COMPUTED_VALUE"""),"City_Lucknow")</f>
        <v>City_Lucknow</v>
      </c>
      <c r="C19" s="2" t="str">
        <f>IFERROR(__xludf.DUMMYFUNCTION("""COMPUTED_VALUE"""),"PRD-NutriKid")</f>
        <v>PRD-NutriKid</v>
      </c>
      <c r="D19" s="2" t="str">
        <f>IFERROR(__xludf.DUMMYFUNCTION("""COMPUTED_VALUE"""),"OPQ  19542")</f>
        <v>OPQ  19542</v>
      </c>
      <c r="E19" s="2" t="str">
        <f>IFERROR(__xludf.DUMMYFUNCTION("""COMPUTED_VALUE"""),"NPQ[IPLMARKETTING]22082")</f>
        <v>NPQ[IPLMARKETTING]22082</v>
      </c>
      <c r="F19" s="2" t="str">
        <f t="shared" si="1"/>
        <v>IPLMARKETTING]22082</v>
      </c>
      <c r="G19" s="2" t="str">
        <f>IFERROR(__xludf.DUMMYFUNCTION("SPLIT(F19,""]"")"),"IPLMARKETTING")</f>
        <v>IPLMARKETTING</v>
      </c>
      <c r="H19" s="2">
        <f>IFERROR(__xludf.DUMMYFUNCTION("""COMPUTED_VALUE"""),22082.0)</f>
        <v>22082</v>
      </c>
      <c r="I19" s="2">
        <f t="shared" si="2"/>
        <v>1</v>
      </c>
      <c r="J19" s="2" t="str">
        <f t="shared" si="3"/>
        <v>Lucknow</v>
      </c>
      <c r="K19" s="2" t="str">
        <f t="shared" si="4"/>
        <v>NutriKid</v>
      </c>
      <c r="L19" s="2">
        <f t="shared" si="5"/>
        <v>19542</v>
      </c>
      <c r="M19" s="2">
        <f t="shared" si="6"/>
        <v>22082</v>
      </c>
      <c r="N19" s="2" t="str">
        <f t="shared" si="7"/>
        <v>IPLMARKETTING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tr">
        <f>IFERROR(__xludf.DUMMYFUNCTION("SPLIT(SalesData!A20,""//"")"),"Month1 ")</f>
        <v>Month1 </v>
      </c>
      <c r="B20" s="2" t="str">
        <f>IFERROR(__xludf.DUMMYFUNCTION("""COMPUTED_VALUE"""),"City_Ranchi")</f>
        <v>City_Ranchi</v>
      </c>
      <c r="C20" s="2" t="str">
        <f>IFERROR(__xludf.DUMMYFUNCTION("""COMPUTED_VALUE"""),"PRD-ZestVita")</f>
        <v>PRD-ZestVita</v>
      </c>
      <c r="D20" s="2" t="str">
        <f>IFERROR(__xludf.DUMMYFUNCTION("""COMPUTED_VALUE"""),"OPQ  25253")</f>
        <v>OPQ  25253</v>
      </c>
      <c r="E20" s="2" t="str">
        <f>IFERROR(__xludf.DUMMYFUNCTION("""COMPUTED_VALUE"""),"NPQ[IPLMARKETTING]27273")</f>
        <v>NPQ[IPLMARKETTING]27273</v>
      </c>
      <c r="F20" s="2" t="str">
        <f t="shared" si="1"/>
        <v>IPLMARKETTING]27273</v>
      </c>
      <c r="G20" s="2" t="str">
        <f>IFERROR(__xludf.DUMMYFUNCTION("SPLIT(F20,""]"")"),"IPLMARKETTING")</f>
        <v>IPLMARKETTING</v>
      </c>
      <c r="H20" s="2">
        <f>IFERROR(__xludf.DUMMYFUNCTION("""COMPUTED_VALUE"""),27273.0)</f>
        <v>27273</v>
      </c>
      <c r="I20" s="2">
        <f t="shared" si="2"/>
        <v>1</v>
      </c>
      <c r="J20" s="2" t="str">
        <f t="shared" si="3"/>
        <v>Ranchi</v>
      </c>
      <c r="K20" s="2" t="str">
        <f t="shared" si="4"/>
        <v>ZestVita</v>
      </c>
      <c r="L20" s="2">
        <f t="shared" si="5"/>
        <v>25253</v>
      </c>
      <c r="M20" s="2">
        <f t="shared" si="6"/>
        <v>27273</v>
      </c>
      <c r="N20" s="2" t="str">
        <f t="shared" si="7"/>
        <v>IPLMARKETTING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tr">
        <f>IFERROR(__xludf.DUMMYFUNCTION("SPLIT(SalesData!A21,""//"")"),"Month1 ")</f>
        <v>Month1 </v>
      </c>
      <c r="B21" s="2" t="str">
        <f>IFERROR(__xludf.DUMMYFUNCTION("""COMPUTED_VALUE"""),"City_Ranchi")</f>
        <v>City_Ranchi</v>
      </c>
      <c r="C21" s="2" t="str">
        <f>IFERROR(__xludf.DUMMYFUNCTION("""COMPUTED_VALUE"""),"PRD-NutriKid")</f>
        <v>PRD-NutriKid</v>
      </c>
      <c r="D21" s="2" t="str">
        <f>IFERROR(__xludf.DUMMYFUNCTION("""COMPUTED_VALUE"""),"OPQ  15890")</f>
        <v>OPQ  15890</v>
      </c>
      <c r="E21" s="2" t="str">
        <f>IFERROR(__xludf.DUMMYFUNCTION("""COMPUTED_VALUE"""),"NPQ[IPLMARKETTING]16208")</f>
        <v>NPQ[IPLMARKETTING]16208</v>
      </c>
      <c r="F21" s="2" t="str">
        <f t="shared" si="1"/>
        <v>IPLMARKETTING]16208</v>
      </c>
      <c r="G21" s="2" t="str">
        <f>IFERROR(__xludf.DUMMYFUNCTION("SPLIT(F21,""]"")"),"IPLMARKETTING")</f>
        <v>IPLMARKETTING</v>
      </c>
      <c r="H21" s="2">
        <f>IFERROR(__xludf.DUMMYFUNCTION("""COMPUTED_VALUE"""),16208.0)</f>
        <v>16208</v>
      </c>
      <c r="I21" s="2">
        <f t="shared" si="2"/>
        <v>1</v>
      </c>
      <c r="J21" s="2" t="str">
        <f t="shared" si="3"/>
        <v>Ranchi</v>
      </c>
      <c r="K21" s="2" t="str">
        <f t="shared" si="4"/>
        <v>NutriKid</v>
      </c>
      <c r="L21" s="2">
        <f t="shared" si="5"/>
        <v>15890</v>
      </c>
      <c r="M21" s="2">
        <f t="shared" si="6"/>
        <v>16208</v>
      </c>
      <c r="N21" s="2" t="str">
        <f t="shared" si="7"/>
        <v>IPLMARKETTING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tr">
        <f>IFERROR(__xludf.DUMMYFUNCTION("SPLIT(SalesData!A22,""//"")"),"Month1 ")</f>
        <v>Month1 </v>
      </c>
      <c r="B22" s="2" t="str">
        <f>IFERROR(__xludf.DUMMYFUNCTION("""COMPUTED_VALUE"""),"City_Surat")</f>
        <v>City_Surat</v>
      </c>
      <c r="C22" s="2" t="str">
        <f>IFERROR(__xludf.DUMMYFUNCTION("""COMPUTED_VALUE"""),"PRD-ZestVita")</f>
        <v>PRD-ZestVita</v>
      </c>
      <c r="D22" s="2" t="str">
        <f>IFERROR(__xludf.DUMMYFUNCTION("""COMPUTED_VALUE"""),"OPQ  17834")</f>
        <v>OPQ  17834</v>
      </c>
      <c r="E22" s="2" t="str">
        <f>IFERROR(__xludf.DUMMYFUNCTION("""COMPUTED_VALUE"""),"NPQ[IPLMARKETTING]18547")</f>
        <v>NPQ[IPLMARKETTING]18547</v>
      </c>
      <c r="F22" s="2" t="str">
        <f t="shared" si="1"/>
        <v>IPLMARKETTING]18547</v>
      </c>
      <c r="G22" s="2" t="str">
        <f>IFERROR(__xludf.DUMMYFUNCTION("SPLIT(F22,""]"")"),"IPLMARKETTING")</f>
        <v>IPLMARKETTING</v>
      </c>
      <c r="H22" s="2">
        <f>IFERROR(__xludf.DUMMYFUNCTION("""COMPUTED_VALUE"""),18547.0)</f>
        <v>18547</v>
      </c>
      <c r="I22" s="2">
        <f t="shared" si="2"/>
        <v>1</v>
      </c>
      <c r="J22" s="2" t="str">
        <f t="shared" si="3"/>
        <v>Surat</v>
      </c>
      <c r="K22" s="2" t="str">
        <f t="shared" si="4"/>
        <v>ZestVita</v>
      </c>
      <c r="L22" s="2">
        <f t="shared" si="5"/>
        <v>17834</v>
      </c>
      <c r="M22" s="2">
        <f t="shared" si="6"/>
        <v>18547</v>
      </c>
      <c r="N22" s="2" t="str">
        <f t="shared" si="7"/>
        <v>IPLMARKETTING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tr">
        <f>IFERROR(__xludf.DUMMYFUNCTION("SPLIT(SalesData!A23,""//"")"),"Month1 ")</f>
        <v>Month1 </v>
      </c>
      <c r="B23" s="2" t="str">
        <f>IFERROR(__xludf.DUMMYFUNCTION("""COMPUTED_VALUE"""),"City_Surat")</f>
        <v>City_Surat</v>
      </c>
      <c r="C23" s="2" t="str">
        <f>IFERROR(__xludf.DUMMYFUNCTION("""COMPUTED_VALUE"""),"PRD-NutriKid")</f>
        <v>PRD-NutriKid</v>
      </c>
      <c r="D23" s="2" t="str">
        <f>IFERROR(__xludf.DUMMYFUNCTION("""COMPUTED_VALUE"""),"OPQ  14097")</f>
        <v>OPQ  14097</v>
      </c>
      <c r="E23" s="2" t="str">
        <f>IFERROR(__xludf.DUMMYFUNCTION("""COMPUTED_VALUE"""),"NPQ[IPLMARKETTING]14943")</f>
        <v>NPQ[IPLMARKETTING]14943</v>
      </c>
      <c r="F23" s="2" t="str">
        <f t="shared" si="1"/>
        <v>IPLMARKETTING]14943</v>
      </c>
      <c r="G23" s="2" t="str">
        <f>IFERROR(__xludf.DUMMYFUNCTION("SPLIT(F23,""]"")"),"IPLMARKETTING")</f>
        <v>IPLMARKETTING</v>
      </c>
      <c r="H23" s="2">
        <f>IFERROR(__xludf.DUMMYFUNCTION("""COMPUTED_VALUE"""),14943.0)</f>
        <v>14943</v>
      </c>
      <c r="I23" s="2">
        <f t="shared" si="2"/>
        <v>1</v>
      </c>
      <c r="J23" s="2" t="str">
        <f t="shared" si="3"/>
        <v>Surat</v>
      </c>
      <c r="K23" s="2" t="str">
        <f t="shared" si="4"/>
        <v>NutriKid</v>
      </c>
      <c r="L23" s="2">
        <f t="shared" si="5"/>
        <v>14097</v>
      </c>
      <c r="M23" s="2">
        <f t="shared" si="6"/>
        <v>14943</v>
      </c>
      <c r="N23" s="2" t="str">
        <f t="shared" si="7"/>
        <v>IPLMARKETTING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tr">
        <f>IFERROR(__xludf.DUMMYFUNCTION("SPLIT(SalesData!A24,""//"")"),"Month1 ")</f>
        <v>Month1 </v>
      </c>
      <c r="B24" s="2" t="str">
        <f>IFERROR(__xludf.DUMMYFUNCTION("""COMPUTED_VALUE"""),"City_Hyderabad")</f>
        <v>City_Hyderabad</v>
      </c>
      <c r="C24" s="2" t="str">
        <f>IFERROR(__xludf.DUMMYFUNCTION("""COMPUTED_VALUE"""),"PRD-ZestVita")</f>
        <v>PRD-ZestVita</v>
      </c>
      <c r="D24" s="2" t="str">
        <f>IFERROR(__xludf.DUMMYFUNCTION("""COMPUTED_VALUE"""),"OPQ  24642")</f>
        <v>OPQ  24642</v>
      </c>
      <c r="E24" s="2" t="str">
        <f>IFERROR(__xludf.DUMMYFUNCTION("""COMPUTED_VALUE"""),"NPQ[IPLMARKETTING]29078")</f>
        <v>NPQ[IPLMARKETTING]29078</v>
      </c>
      <c r="F24" s="2" t="str">
        <f t="shared" si="1"/>
        <v>IPLMARKETTING]29078</v>
      </c>
      <c r="G24" s="2" t="str">
        <f>IFERROR(__xludf.DUMMYFUNCTION("SPLIT(F24,""]"")"),"IPLMARKETTING")</f>
        <v>IPLMARKETTING</v>
      </c>
      <c r="H24" s="2">
        <f>IFERROR(__xludf.DUMMYFUNCTION("""COMPUTED_VALUE"""),29078.0)</f>
        <v>29078</v>
      </c>
      <c r="I24" s="2">
        <f t="shared" si="2"/>
        <v>1</v>
      </c>
      <c r="J24" s="2" t="str">
        <f t="shared" si="3"/>
        <v>Hyderabad</v>
      </c>
      <c r="K24" s="2" t="str">
        <f t="shared" si="4"/>
        <v>ZestVita</v>
      </c>
      <c r="L24" s="2">
        <f t="shared" si="5"/>
        <v>24642</v>
      </c>
      <c r="M24" s="2">
        <f t="shared" si="6"/>
        <v>29078</v>
      </c>
      <c r="N24" s="2" t="str">
        <f t="shared" si="7"/>
        <v>IPLMARKETTING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tr">
        <f>IFERROR(__xludf.DUMMYFUNCTION("SPLIT(SalesData!A25,""//"")"),"Month1 ")</f>
        <v>Month1 </v>
      </c>
      <c r="B25" s="2" t="str">
        <f>IFERROR(__xludf.DUMMYFUNCTION("""COMPUTED_VALUE"""),"City_Hyderabad")</f>
        <v>City_Hyderabad</v>
      </c>
      <c r="C25" s="2" t="str">
        <f>IFERROR(__xludf.DUMMYFUNCTION("""COMPUTED_VALUE"""),"PRD-NutriKid")</f>
        <v>PRD-NutriKid</v>
      </c>
      <c r="D25" s="2" t="str">
        <f>IFERROR(__xludf.DUMMYFUNCTION("""COMPUTED_VALUE"""),"OPQ  24864")</f>
        <v>OPQ  24864</v>
      </c>
      <c r="E25" s="2" t="str">
        <f>IFERROR(__xludf.DUMMYFUNCTION("""COMPUTED_VALUE"""),"NPQ[IPLMARKETTING]29588")</f>
        <v>NPQ[IPLMARKETTING]29588</v>
      </c>
      <c r="F25" s="2" t="str">
        <f t="shared" si="1"/>
        <v>IPLMARKETTING]29588</v>
      </c>
      <c r="G25" s="2" t="str">
        <f>IFERROR(__xludf.DUMMYFUNCTION("SPLIT(F25,""]"")"),"IPLMARKETTING")</f>
        <v>IPLMARKETTING</v>
      </c>
      <c r="H25" s="2">
        <f>IFERROR(__xludf.DUMMYFUNCTION("""COMPUTED_VALUE"""),29588.0)</f>
        <v>29588</v>
      </c>
      <c r="I25" s="2">
        <f t="shared" si="2"/>
        <v>1</v>
      </c>
      <c r="J25" s="2" t="str">
        <f t="shared" si="3"/>
        <v>Hyderabad</v>
      </c>
      <c r="K25" s="2" t="str">
        <f t="shared" si="4"/>
        <v>NutriKid</v>
      </c>
      <c r="L25" s="2">
        <f t="shared" si="5"/>
        <v>24864</v>
      </c>
      <c r="M25" s="2">
        <f t="shared" si="6"/>
        <v>29588</v>
      </c>
      <c r="N25" s="2" t="str">
        <f t="shared" si="7"/>
        <v>IPLMARKETTING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tr">
        <f>IFERROR(__xludf.DUMMYFUNCTION("SPLIT(SalesData!A26,""//"")"),"Month1 ")</f>
        <v>Month1 </v>
      </c>
      <c r="B26" s="2" t="str">
        <f>IFERROR(__xludf.DUMMYFUNCTION("""COMPUTED_VALUE"""),"City_Dehradun")</f>
        <v>City_Dehradun</v>
      </c>
      <c r="C26" s="2" t="str">
        <f>IFERROR(__xludf.DUMMYFUNCTION("""COMPUTED_VALUE"""),"PRD-ZestVita")</f>
        <v>PRD-ZestVita</v>
      </c>
      <c r="D26" s="2" t="str">
        <f>IFERROR(__xludf.DUMMYFUNCTION("""COMPUTED_VALUE"""),"OPQ  20824")</f>
        <v>OPQ  20824</v>
      </c>
      <c r="E26" s="2" t="str">
        <f>IFERROR(__xludf.DUMMYFUNCTION("""COMPUTED_VALUE"""),"NPQ[IPLMARKETTING]22490")</f>
        <v>NPQ[IPLMARKETTING]22490</v>
      </c>
      <c r="F26" s="2" t="str">
        <f t="shared" si="1"/>
        <v>IPLMARKETTING]22490</v>
      </c>
      <c r="G26" s="2" t="str">
        <f>IFERROR(__xludf.DUMMYFUNCTION("SPLIT(F26,""]"")"),"IPLMARKETTING")</f>
        <v>IPLMARKETTING</v>
      </c>
      <c r="H26" s="2">
        <f>IFERROR(__xludf.DUMMYFUNCTION("""COMPUTED_VALUE"""),22490.0)</f>
        <v>22490</v>
      </c>
      <c r="I26" s="2">
        <f t="shared" si="2"/>
        <v>1</v>
      </c>
      <c r="J26" s="2" t="str">
        <f t="shared" si="3"/>
        <v>Dehradun</v>
      </c>
      <c r="K26" s="2" t="str">
        <f t="shared" si="4"/>
        <v>ZestVita</v>
      </c>
      <c r="L26" s="2">
        <f t="shared" si="5"/>
        <v>20824</v>
      </c>
      <c r="M26" s="2">
        <f t="shared" si="6"/>
        <v>22490</v>
      </c>
      <c r="N26" s="2" t="str">
        <f t="shared" si="7"/>
        <v>IPLMARKETTING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tr">
        <f>IFERROR(__xludf.DUMMYFUNCTION("SPLIT(SalesData!A27,""//"")"),"Month1 ")</f>
        <v>Month1 </v>
      </c>
      <c r="B27" s="2" t="str">
        <f>IFERROR(__xludf.DUMMYFUNCTION("""COMPUTED_VALUE"""),"City_Dehradun")</f>
        <v>City_Dehradun</v>
      </c>
      <c r="C27" s="2" t="str">
        <f>IFERROR(__xludf.DUMMYFUNCTION("""COMPUTED_VALUE"""),"PRD-NutriKid")</f>
        <v>PRD-NutriKid</v>
      </c>
      <c r="D27" s="2" t="str">
        <f>IFERROR(__xludf.DUMMYFUNCTION("""COMPUTED_VALUE"""),"OPQ  12937")</f>
        <v>OPQ  12937</v>
      </c>
      <c r="E27" s="2" t="str">
        <f>IFERROR(__xludf.DUMMYFUNCTION("""COMPUTED_VALUE"""),"NPQ[IPLMARKETTING]13584")</f>
        <v>NPQ[IPLMARKETTING]13584</v>
      </c>
      <c r="F27" s="2" t="str">
        <f t="shared" si="1"/>
        <v>IPLMARKETTING]13584</v>
      </c>
      <c r="G27" s="2" t="str">
        <f>IFERROR(__xludf.DUMMYFUNCTION("SPLIT(F27,""]"")"),"IPLMARKETTING")</f>
        <v>IPLMARKETTING</v>
      </c>
      <c r="H27" s="2">
        <f>IFERROR(__xludf.DUMMYFUNCTION("""COMPUTED_VALUE"""),13584.0)</f>
        <v>13584</v>
      </c>
      <c r="I27" s="2">
        <f t="shared" si="2"/>
        <v>1</v>
      </c>
      <c r="J27" s="2" t="str">
        <f t="shared" si="3"/>
        <v>Dehradun</v>
      </c>
      <c r="K27" s="2" t="str">
        <f t="shared" si="4"/>
        <v>NutriKid</v>
      </c>
      <c r="L27" s="2">
        <f t="shared" si="5"/>
        <v>12937</v>
      </c>
      <c r="M27" s="2">
        <f t="shared" si="6"/>
        <v>13584</v>
      </c>
      <c r="N27" s="2" t="str">
        <f t="shared" si="7"/>
        <v>IPLMARKETTING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tr">
        <f>IFERROR(__xludf.DUMMYFUNCTION("SPLIT(SalesData!A28,""//"")"),"Month1 ")</f>
        <v>Month1 </v>
      </c>
      <c r="B28" s="2" t="str">
        <f>IFERROR(__xludf.DUMMYFUNCTION("""COMPUTED_VALUE"""),"City_Kochi")</f>
        <v>City_Kochi</v>
      </c>
      <c r="C28" s="2" t="str">
        <f>IFERROR(__xludf.DUMMYFUNCTION("""COMPUTED_VALUE"""),"PRD-ZestVita")</f>
        <v>PRD-ZestVita</v>
      </c>
      <c r="D28" s="2" t="str">
        <f>IFERROR(__xludf.DUMMYFUNCTION("""COMPUTED_VALUE"""),"OPQ  22650")</f>
        <v>OPQ  22650</v>
      </c>
      <c r="E28" s="2" t="str">
        <f>IFERROR(__xludf.DUMMYFUNCTION("""COMPUTED_VALUE"""),"NPQ[IPLMARKETTING]23556")</f>
        <v>NPQ[IPLMARKETTING]23556</v>
      </c>
      <c r="F28" s="2" t="str">
        <f t="shared" si="1"/>
        <v>IPLMARKETTING]23556</v>
      </c>
      <c r="G28" s="2" t="str">
        <f>IFERROR(__xludf.DUMMYFUNCTION("SPLIT(F28,""]"")"),"IPLMARKETTING")</f>
        <v>IPLMARKETTING</v>
      </c>
      <c r="H28" s="2">
        <f>IFERROR(__xludf.DUMMYFUNCTION("""COMPUTED_VALUE"""),23556.0)</f>
        <v>23556</v>
      </c>
      <c r="I28" s="2">
        <f t="shared" si="2"/>
        <v>1</v>
      </c>
      <c r="J28" s="2" t="str">
        <f t="shared" si="3"/>
        <v>Kochi</v>
      </c>
      <c r="K28" s="2" t="str">
        <f t="shared" si="4"/>
        <v>ZestVita</v>
      </c>
      <c r="L28" s="2">
        <f t="shared" si="5"/>
        <v>22650</v>
      </c>
      <c r="M28" s="2">
        <f t="shared" si="6"/>
        <v>23556</v>
      </c>
      <c r="N28" s="2" t="str">
        <f t="shared" si="7"/>
        <v>IPLMARKETTING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tr">
        <f>IFERROR(__xludf.DUMMYFUNCTION("SPLIT(SalesData!A29,""//"")"),"Month1 ")</f>
        <v>Month1 </v>
      </c>
      <c r="B29" s="2" t="str">
        <f>IFERROR(__xludf.DUMMYFUNCTION("""COMPUTED_VALUE"""),"City_Kochi")</f>
        <v>City_Kochi</v>
      </c>
      <c r="C29" s="2" t="str">
        <f>IFERROR(__xludf.DUMMYFUNCTION("""COMPUTED_VALUE"""),"PRD-NutriKid")</f>
        <v>PRD-NutriKid</v>
      </c>
      <c r="D29" s="2" t="str">
        <f>IFERROR(__xludf.DUMMYFUNCTION("""COMPUTED_VALUE"""),"OPQ  13986")</f>
        <v>OPQ  13986</v>
      </c>
      <c r="E29" s="2" t="str">
        <f>IFERROR(__xludf.DUMMYFUNCTION("""COMPUTED_VALUE"""),"NPQ[IPLMARKETTING]14545")</f>
        <v>NPQ[IPLMARKETTING]14545</v>
      </c>
      <c r="F29" s="2" t="str">
        <f t="shared" si="1"/>
        <v>IPLMARKETTING]14545</v>
      </c>
      <c r="G29" s="2" t="str">
        <f>IFERROR(__xludf.DUMMYFUNCTION("SPLIT(F29,""]"")"),"IPLMARKETTING")</f>
        <v>IPLMARKETTING</v>
      </c>
      <c r="H29" s="2">
        <f>IFERROR(__xludf.DUMMYFUNCTION("""COMPUTED_VALUE"""),14545.0)</f>
        <v>14545</v>
      </c>
      <c r="I29" s="2">
        <f t="shared" si="2"/>
        <v>1</v>
      </c>
      <c r="J29" s="2" t="str">
        <f t="shared" si="3"/>
        <v>Kochi</v>
      </c>
      <c r="K29" s="2" t="str">
        <f t="shared" si="4"/>
        <v>NutriKid</v>
      </c>
      <c r="L29" s="2">
        <f t="shared" si="5"/>
        <v>13986</v>
      </c>
      <c r="M29" s="2">
        <f t="shared" si="6"/>
        <v>14545</v>
      </c>
      <c r="N29" s="2" t="str">
        <f t="shared" si="7"/>
        <v>IPLMARKETTING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tr">
        <f>IFERROR(__xludf.DUMMYFUNCTION("SPLIT(SalesData!A30,""//"")"),"Month1 ")</f>
        <v>Month1 </v>
      </c>
      <c r="B30" s="2" t="str">
        <f>IFERROR(__xludf.DUMMYFUNCTION("""COMPUTED_VALUE"""),"City_Jaipur")</f>
        <v>City_Jaipur</v>
      </c>
      <c r="C30" s="2" t="str">
        <f>IFERROR(__xludf.DUMMYFUNCTION("""COMPUTED_VALUE"""),"PRD-ZestVita")</f>
        <v>PRD-ZestVita</v>
      </c>
      <c r="D30" s="2" t="str">
        <f>IFERROR(__xludf.DUMMYFUNCTION("""COMPUTED_VALUE"""),"OPQ  20091")</f>
        <v>OPQ  20091</v>
      </c>
      <c r="E30" s="2" t="str">
        <f>IFERROR(__xludf.DUMMYFUNCTION("""COMPUTED_VALUE"""),"NPQ[IPLMARKETTING]23105")</f>
        <v>NPQ[IPLMARKETTING]23105</v>
      </c>
      <c r="F30" s="2" t="str">
        <f t="shared" si="1"/>
        <v>IPLMARKETTING]23105</v>
      </c>
      <c r="G30" s="2" t="str">
        <f>IFERROR(__xludf.DUMMYFUNCTION("SPLIT(F30,""]"")"),"IPLMARKETTING")</f>
        <v>IPLMARKETTING</v>
      </c>
      <c r="H30" s="2">
        <f>IFERROR(__xludf.DUMMYFUNCTION("""COMPUTED_VALUE"""),23105.0)</f>
        <v>23105</v>
      </c>
      <c r="I30" s="2">
        <f t="shared" si="2"/>
        <v>1</v>
      </c>
      <c r="J30" s="2" t="str">
        <f t="shared" si="3"/>
        <v>Jaipur</v>
      </c>
      <c r="K30" s="2" t="str">
        <f t="shared" si="4"/>
        <v>ZestVita</v>
      </c>
      <c r="L30" s="2">
        <f t="shared" si="5"/>
        <v>20091</v>
      </c>
      <c r="M30" s="2">
        <f t="shared" si="6"/>
        <v>23105</v>
      </c>
      <c r="N30" s="2" t="str">
        <f t="shared" si="7"/>
        <v>IPLMARKETTING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tr">
        <f>IFERROR(__xludf.DUMMYFUNCTION("SPLIT(SalesData!A31,""//"")"),"Month1 ")</f>
        <v>Month1 </v>
      </c>
      <c r="B31" s="2" t="str">
        <f>IFERROR(__xludf.DUMMYFUNCTION("""COMPUTED_VALUE"""),"City_Jaipur")</f>
        <v>City_Jaipur</v>
      </c>
      <c r="C31" s="2" t="str">
        <f>IFERROR(__xludf.DUMMYFUNCTION("""COMPUTED_VALUE"""),"PRD-NutriKid")</f>
        <v>PRD-NutriKid</v>
      </c>
      <c r="D31" s="2" t="str">
        <f>IFERROR(__xludf.DUMMYFUNCTION("""COMPUTED_VALUE"""),"OPQ  15244")</f>
        <v>OPQ  15244</v>
      </c>
      <c r="E31" s="2" t="str">
        <f>IFERROR(__xludf.DUMMYFUNCTION("""COMPUTED_VALUE"""),"NPQ[IPLMARKETTING]18598")</f>
        <v>NPQ[IPLMARKETTING]18598</v>
      </c>
      <c r="F31" s="2" t="str">
        <f t="shared" si="1"/>
        <v>IPLMARKETTING]18598</v>
      </c>
      <c r="G31" s="2" t="str">
        <f>IFERROR(__xludf.DUMMYFUNCTION("SPLIT(F31,""]"")"),"IPLMARKETTING")</f>
        <v>IPLMARKETTING</v>
      </c>
      <c r="H31" s="2">
        <f>IFERROR(__xludf.DUMMYFUNCTION("""COMPUTED_VALUE"""),18598.0)</f>
        <v>18598</v>
      </c>
      <c r="I31" s="2">
        <f t="shared" si="2"/>
        <v>1</v>
      </c>
      <c r="J31" s="2" t="str">
        <f t="shared" si="3"/>
        <v>Jaipur</v>
      </c>
      <c r="K31" s="2" t="str">
        <f t="shared" si="4"/>
        <v>NutriKid</v>
      </c>
      <c r="L31" s="2">
        <f t="shared" si="5"/>
        <v>15244</v>
      </c>
      <c r="M31" s="2">
        <f t="shared" si="6"/>
        <v>18598</v>
      </c>
      <c r="N31" s="2" t="str">
        <f t="shared" si="7"/>
        <v>IPLMARKETTING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tr">
        <f>IFERROR(__xludf.DUMMYFUNCTION("SPLIT(SalesData!A32,""//"")"),"Month1 ")</f>
        <v>Month1 </v>
      </c>
      <c r="B32" s="2" t="str">
        <f>IFERROR(__xludf.DUMMYFUNCTION("""COMPUTED_VALUE"""),"City_Patna")</f>
        <v>City_Patna</v>
      </c>
      <c r="C32" s="2" t="str">
        <f>IFERROR(__xludf.DUMMYFUNCTION("""COMPUTED_VALUE"""),"PRD-ZestVita")</f>
        <v>PRD-ZestVita</v>
      </c>
      <c r="D32" s="2" t="str">
        <f>IFERROR(__xludf.DUMMYFUNCTION("""COMPUTED_VALUE"""),"OPQ  17316")</f>
        <v>OPQ  17316</v>
      </c>
      <c r="E32" s="2" t="str">
        <f>IFERROR(__xludf.DUMMYFUNCTION("""COMPUTED_VALUE"""),"NPQ[IPLMARKETTING]19740")</f>
        <v>NPQ[IPLMARKETTING]19740</v>
      </c>
      <c r="F32" s="2" t="str">
        <f t="shared" si="1"/>
        <v>IPLMARKETTING]19740</v>
      </c>
      <c r="G32" s="2" t="str">
        <f>IFERROR(__xludf.DUMMYFUNCTION("SPLIT(F32,""]"")"),"IPLMARKETTING")</f>
        <v>IPLMARKETTING</v>
      </c>
      <c r="H32" s="2">
        <f>IFERROR(__xludf.DUMMYFUNCTION("""COMPUTED_VALUE"""),19740.0)</f>
        <v>19740</v>
      </c>
      <c r="I32" s="2">
        <f t="shared" si="2"/>
        <v>1</v>
      </c>
      <c r="J32" s="2" t="str">
        <f t="shared" si="3"/>
        <v>Patna</v>
      </c>
      <c r="K32" s="2" t="str">
        <f t="shared" si="4"/>
        <v>ZestVita</v>
      </c>
      <c r="L32" s="2">
        <f t="shared" si="5"/>
        <v>17316</v>
      </c>
      <c r="M32" s="2">
        <f t="shared" si="6"/>
        <v>19740</v>
      </c>
      <c r="N32" s="2" t="str">
        <f t="shared" si="7"/>
        <v>IPLMARKETTING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tr">
        <f>IFERROR(__xludf.DUMMYFUNCTION("SPLIT(SalesData!A33,""//"")"),"Month1 ")</f>
        <v>Month1 </v>
      </c>
      <c r="B33" s="2" t="str">
        <f>IFERROR(__xludf.DUMMYFUNCTION("""COMPUTED_VALUE"""),"City_Patna")</f>
        <v>City_Patna</v>
      </c>
      <c r="C33" s="2" t="str">
        <f>IFERROR(__xludf.DUMMYFUNCTION("""COMPUTED_VALUE"""),"PRD-NutriKid")</f>
        <v>PRD-NutriKid</v>
      </c>
      <c r="D33" s="2" t="str">
        <f>IFERROR(__xludf.DUMMYFUNCTION("""COMPUTED_VALUE"""),"OPQ  22866")</f>
        <v>OPQ  22866</v>
      </c>
      <c r="E33" s="2" t="str">
        <f>IFERROR(__xludf.DUMMYFUNCTION("""COMPUTED_VALUE"""),"NPQ[IPLMARKETTING]26982")</f>
        <v>NPQ[IPLMARKETTING]26982</v>
      </c>
      <c r="F33" s="2" t="str">
        <f t="shared" si="1"/>
        <v>IPLMARKETTING]26982</v>
      </c>
      <c r="G33" s="2" t="str">
        <f>IFERROR(__xludf.DUMMYFUNCTION("SPLIT(F33,""]"")"),"IPLMARKETTING")</f>
        <v>IPLMARKETTING</v>
      </c>
      <c r="H33" s="2">
        <f>IFERROR(__xludf.DUMMYFUNCTION("""COMPUTED_VALUE"""),26982.0)</f>
        <v>26982</v>
      </c>
      <c r="I33" s="2">
        <f t="shared" si="2"/>
        <v>1</v>
      </c>
      <c r="J33" s="2" t="str">
        <f t="shared" si="3"/>
        <v>Patna</v>
      </c>
      <c r="K33" s="2" t="str">
        <f t="shared" si="4"/>
        <v>NutriKid</v>
      </c>
      <c r="L33" s="2">
        <f t="shared" si="5"/>
        <v>22866</v>
      </c>
      <c r="M33" s="2">
        <f t="shared" si="6"/>
        <v>26982</v>
      </c>
      <c r="N33" s="2" t="str">
        <f t="shared" si="7"/>
        <v>IPLMARKETTING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tr">
        <f>IFERROR(__xludf.DUMMYFUNCTION("SPLIT(SalesData!A34,""//"")"),"Month2 ")</f>
        <v>Month2 </v>
      </c>
      <c r="B34" s="2" t="str">
        <f>IFERROR(__xludf.DUMMYFUNCTION("""COMPUTED_VALUE"""),"City_Delhi")</f>
        <v>City_Delhi</v>
      </c>
      <c r="C34" s="2" t="str">
        <f>IFERROR(__xludf.DUMMYFUNCTION("""COMPUTED_VALUE"""),"PRD-ZestVita")</f>
        <v>PRD-ZestVita</v>
      </c>
      <c r="D34" s="2" t="str">
        <f>IFERROR(__xludf.DUMMYFUNCTION("""COMPUTED_VALUE"""),"OPQ  24722")</f>
        <v>OPQ  24722</v>
      </c>
      <c r="E34" s="2" t="str">
        <f>IFERROR(__xludf.DUMMYFUNCTION("""COMPUTED_VALUE"""),"NPQ[IPLMARKETTING]27441")</f>
        <v>NPQ[IPLMARKETTING]27441</v>
      </c>
      <c r="F34" s="2" t="str">
        <f t="shared" si="1"/>
        <v>IPLMARKETTING]27441</v>
      </c>
      <c r="G34" s="2" t="str">
        <f>IFERROR(__xludf.DUMMYFUNCTION("SPLIT(F34,""]"")"),"IPLMARKETTING")</f>
        <v>IPLMARKETTING</v>
      </c>
      <c r="H34" s="2">
        <f>IFERROR(__xludf.DUMMYFUNCTION("""COMPUTED_VALUE"""),27441.0)</f>
        <v>27441</v>
      </c>
      <c r="I34" s="2">
        <f t="shared" si="2"/>
        <v>2</v>
      </c>
      <c r="J34" s="2" t="str">
        <f t="shared" si="3"/>
        <v>Delhi</v>
      </c>
      <c r="K34" s="2" t="str">
        <f t="shared" si="4"/>
        <v>ZestVita</v>
      </c>
      <c r="L34" s="2">
        <f t="shared" si="5"/>
        <v>24722</v>
      </c>
      <c r="M34" s="2">
        <f t="shared" si="6"/>
        <v>27441</v>
      </c>
      <c r="N34" s="2" t="str">
        <f t="shared" si="7"/>
        <v>IPLMARKETTING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tr">
        <f>IFERROR(__xludf.DUMMYFUNCTION("SPLIT(SalesData!A35,""//"")"),"Month2 ")</f>
        <v>Month2 </v>
      </c>
      <c r="B35" s="2" t="str">
        <f>IFERROR(__xludf.DUMMYFUNCTION("""COMPUTED_VALUE"""),"City_Delhi")</f>
        <v>City_Delhi</v>
      </c>
      <c r="C35" s="2" t="str">
        <f>IFERROR(__xludf.DUMMYFUNCTION("""COMPUTED_VALUE"""),"PRD-NutriKid")</f>
        <v>PRD-NutriKid</v>
      </c>
      <c r="D35" s="2" t="str">
        <f>IFERROR(__xludf.DUMMYFUNCTION("""COMPUTED_VALUE"""),"OPQ  19148")</f>
        <v>OPQ  19148</v>
      </c>
      <c r="E35" s="2" t="str">
        <f>IFERROR(__xludf.DUMMYFUNCTION("""COMPUTED_VALUE"""),"NPQ[IPLMARKETTING]23361")</f>
        <v>NPQ[IPLMARKETTING]23361</v>
      </c>
      <c r="F35" s="2" t="str">
        <f t="shared" si="1"/>
        <v>IPLMARKETTING]23361</v>
      </c>
      <c r="G35" s="2" t="str">
        <f>IFERROR(__xludf.DUMMYFUNCTION("SPLIT(F35,""]"")"),"IPLMARKETTING")</f>
        <v>IPLMARKETTING</v>
      </c>
      <c r="H35" s="2">
        <f>IFERROR(__xludf.DUMMYFUNCTION("""COMPUTED_VALUE"""),23361.0)</f>
        <v>23361</v>
      </c>
      <c r="I35" s="2">
        <f t="shared" si="2"/>
        <v>2</v>
      </c>
      <c r="J35" s="2" t="str">
        <f t="shared" si="3"/>
        <v>Delhi</v>
      </c>
      <c r="K35" s="2" t="str">
        <f t="shared" si="4"/>
        <v>NutriKid</v>
      </c>
      <c r="L35" s="2">
        <f t="shared" si="5"/>
        <v>19148</v>
      </c>
      <c r="M35" s="2">
        <f t="shared" si="6"/>
        <v>23361</v>
      </c>
      <c r="N35" s="2" t="str">
        <f t="shared" si="7"/>
        <v>IPLMARKETTING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tr">
        <f>IFERROR(__xludf.DUMMYFUNCTION("SPLIT(SalesData!A36,""//"")"),"Month2 ")</f>
        <v>Month2 </v>
      </c>
      <c r="B36" s="2" t="str">
        <f>IFERROR(__xludf.DUMMYFUNCTION("""COMPUTED_VALUE"""),"City_Kolkata")</f>
        <v>City_Kolkata</v>
      </c>
      <c r="C36" s="2" t="str">
        <f>IFERROR(__xludf.DUMMYFUNCTION("""COMPUTED_VALUE"""),"PRD-ZestVita")</f>
        <v>PRD-ZestVita</v>
      </c>
      <c r="D36" s="2" t="str">
        <f>IFERROR(__xludf.DUMMYFUNCTION("""COMPUTED_VALUE"""),"OPQ  13535")</f>
        <v>OPQ  13535</v>
      </c>
      <c r="E36" s="2" t="str">
        <f>IFERROR(__xludf.DUMMYFUNCTION("""COMPUTED_VALUE"""),"NPQ[IPLMARKETTING]15159")</f>
        <v>NPQ[IPLMARKETTING]15159</v>
      </c>
      <c r="F36" s="2" t="str">
        <f t="shared" si="1"/>
        <v>IPLMARKETTING]15159</v>
      </c>
      <c r="G36" s="2" t="str">
        <f>IFERROR(__xludf.DUMMYFUNCTION("SPLIT(F36,""]"")"),"IPLMARKETTING")</f>
        <v>IPLMARKETTING</v>
      </c>
      <c r="H36" s="2">
        <f>IFERROR(__xludf.DUMMYFUNCTION("""COMPUTED_VALUE"""),15159.0)</f>
        <v>15159</v>
      </c>
      <c r="I36" s="2">
        <f t="shared" si="2"/>
        <v>2</v>
      </c>
      <c r="J36" s="2" t="str">
        <f t="shared" si="3"/>
        <v>Kolkata</v>
      </c>
      <c r="K36" s="2" t="str">
        <f t="shared" si="4"/>
        <v>ZestVita</v>
      </c>
      <c r="L36" s="2">
        <f t="shared" si="5"/>
        <v>13535</v>
      </c>
      <c r="M36" s="2">
        <f t="shared" si="6"/>
        <v>15159</v>
      </c>
      <c r="N36" s="2" t="str">
        <f t="shared" si="7"/>
        <v>IPLMARKETTING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tr">
        <f>IFERROR(__xludf.DUMMYFUNCTION("SPLIT(SalesData!A37,""//"")"),"Month2 ")</f>
        <v>Month2 </v>
      </c>
      <c r="B37" s="2" t="str">
        <f>IFERROR(__xludf.DUMMYFUNCTION("""COMPUTED_VALUE"""),"City_Kolkata")</f>
        <v>City_Kolkata</v>
      </c>
      <c r="C37" s="2" t="str">
        <f>IFERROR(__xludf.DUMMYFUNCTION("""COMPUTED_VALUE"""),"PRD-NutriKid")</f>
        <v>PRD-NutriKid</v>
      </c>
      <c r="D37" s="2" t="str">
        <f>IFERROR(__xludf.DUMMYFUNCTION("""COMPUTED_VALUE"""),"OPQ  25924")</f>
        <v>OPQ  25924</v>
      </c>
      <c r="E37" s="2" t="str">
        <f>IFERROR(__xludf.DUMMYFUNCTION("""COMPUTED_VALUE"""),"NPQ[IPLMARKETTING]30072")</f>
        <v>NPQ[IPLMARKETTING]30072</v>
      </c>
      <c r="F37" s="2" t="str">
        <f t="shared" si="1"/>
        <v>IPLMARKETTING]30072</v>
      </c>
      <c r="G37" s="2" t="str">
        <f>IFERROR(__xludf.DUMMYFUNCTION("SPLIT(F37,""]"")"),"IPLMARKETTING")</f>
        <v>IPLMARKETTING</v>
      </c>
      <c r="H37" s="2">
        <f>IFERROR(__xludf.DUMMYFUNCTION("""COMPUTED_VALUE"""),30072.0)</f>
        <v>30072</v>
      </c>
      <c r="I37" s="2">
        <f t="shared" si="2"/>
        <v>2</v>
      </c>
      <c r="J37" s="2" t="str">
        <f t="shared" si="3"/>
        <v>Kolkata</v>
      </c>
      <c r="K37" s="2" t="str">
        <f t="shared" si="4"/>
        <v>NutriKid</v>
      </c>
      <c r="L37" s="2">
        <f t="shared" si="5"/>
        <v>25924</v>
      </c>
      <c r="M37" s="2">
        <f t="shared" si="6"/>
        <v>30072</v>
      </c>
      <c r="N37" s="2" t="str">
        <f t="shared" si="7"/>
        <v>IPLMARKETTING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tr">
        <f>IFERROR(__xludf.DUMMYFUNCTION("SPLIT(SalesData!A38,""//"")"),"Month2 ")</f>
        <v>Month2 </v>
      </c>
      <c r="B38" s="2" t="str">
        <f>IFERROR(__xludf.DUMMYFUNCTION("""COMPUTED_VALUE"""),"City_Pune")</f>
        <v>City_Pune</v>
      </c>
      <c r="C38" s="2" t="str">
        <f>IFERROR(__xludf.DUMMYFUNCTION("""COMPUTED_VALUE"""),"PRD-ZestVita")</f>
        <v>PRD-ZestVita</v>
      </c>
      <c r="D38" s="2" t="str">
        <f>IFERROR(__xludf.DUMMYFUNCTION("""COMPUTED_VALUE"""),"OPQ  15923")</f>
        <v>OPQ  15923</v>
      </c>
      <c r="E38" s="2" t="str">
        <f>IFERROR(__xludf.DUMMYFUNCTION("""COMPUTED_VALUE"""),"NPQ[IPLMARKETTING]19267")</f>
        <v>NPQ[IPLMARKETTING]19267</v>
      </c>
      <c r="F38" s="2" t="str">
        <f t="shared" si="1"/>
        <v>IPLMARKETTING]19267</v>
      </c>
      <c r="G38" s="2" t="str">
        <f>IFERROR(__xludf.DUMMYFUNCTION("SPLIT(F38,""]"")"),"IPLMARKETTING")</f>
        <v>IPLMARKETTING</v>
      </c>
      <c r="H38" s="2">
        <f>IFERROR(__xludf.DUMMYFUNCTION("""COMPUTED_VALUE"""),19267.0)</f>
        <v>19267</v>
      </c>
      <c r="I38" s="2">
        <f t="shared" si="2"/>
        <v>2</v>
      </c>
      <c r="J38" s="2" t="str">
        <f t="shared" si="3"/>
        <v>Pune</v>
      </c>
      <c r="K38" s="2" t="str">
        <f t="shared" si="4"/>
        <v>ZestVita</v>
      </c>
      <c r="L38" s="2">
        <f t="shared" si="5"/>
        <v>15923</v>
      </c>
      <c r="M38" s="2">
        <f t="shared" si="6"/>
        <v>19267</v>
      </c>
      <c r="N38" s="2" t="str">
        <f t="shared" si="7"/>
        <v>IPLMARKETTING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tr">
        <f>IFERROR(__xludf.DUMMYFUNCTION("SPLIT(SalesData!A39,""//"")"),"Month2 ")</f>
        <v>Month2 </v>
      </c>
      <c r="B39" s="2" t="str">
        <f>IFERROR(__xludf.DUMMYFUNCTION("""COMPUTED_VALUE"""),"City_Pune")</f>
        <v>City_Pune</v>
      </c>
      <c r="C39" s="2" t="str">
        <f>IFERROR(__xludf.DUMMYFUNCTION("""COMPUTED_VALUE"""),"PRD-NutriKid")</f>
        <v>PRD-NutriKid</v>
      </c>
      <c r="D39" s="2" t="str">
        <f>IFERROR(__xludf.DUMMYFUNCTION("""COMPUTED_VALUE"""),"OPQ  18643")</f>
        <v>OPQ  18643</v>
      </c>
      <c r="E39" s="2" t="str">
        <f>IFERROR(__xludf.DUMMYFUNCTION("""COMPUTED_VALUE"""),"NPQ[IPLMARKETTING]21626")</f>
        <v>NPQ[IPLMARKETTING]21626</v>
      </c>
      <c r="F39" s="2" t="str">
        <f t="shared" si="1"/>
        <v>IPLMARKETTING]21626</v>
      </c>
      <c r="G39" s="2" t="str">
        <f>IFERROR(__xludf.DUMMYFUNCTION("SPLIT(F39,""]"")"),"IPLMARKETTING")</f>
        <v>IPLMARKETTING</v>
      </c>
      <c r="H39" s="2">
        <f>IFERROR(__xludf.DUMMYFUNCTION("""COMPUTED_VALUE"""),21626.0)</f>
        <v>21626</v>
      </c>
      <c r="I39" s="2">
        <f t="shared" si="2"/>
        <v>2</v>
      </c>
      <c r="J39" s="2" t="str">
        <f t="shared" si="3"/>
        <v>Pune</v>
      </c>
      <c r="K39" s="2" t="str">
        <f t="shared" si="4"/>
        <v>NutriKid</v>
      </c>
      <c r="L39" s="2">
        <f t="shared" si="5"/>
        <v>18643</v>
      </c>
      <c r="M39" s="2">
        <f t="shared" si="6"/>
        <v>21626</v>
      </c>
      <c r="N39" s="2" t="str">
        <f t="shared" si="7"/>
        <v>IPLMARKETTING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tr">
        <f>IFERROR(__xludf.DUMMYFUNCTION("SPLIT(SalesData!A40,""//"")"),"Month2 ")</f>
        <v>Month2 </v>
      </c>
      <c r="B40" s="2" t="str">
        <f>IFERROR(__xludf.DUMMYFUNCTION("""COMPUTED_VALUE"""),"City_Bengaluru")</f>
        <v>City_Bengaluru</v>
      </c>
      <c r="C40" s="2" t="str">
        <f>IFERROR(__xludf.DUMMYFUNCTION("""COMPUTED_VALUE"""),"PRD-ZestVita")</f>
        <v>PRD-ZestVita</v>
      </c>
      <c r="D40" s="2" t="str">
        <f>IFERROR(__xludf.DUMMYFUNCTION("""COMPUTED_VALUE"""),"OPQ  29296")</f>
        <v>OPQ  29296</v>
      </c>
      <c r="E40" s="2" t="str">
        <f>IFERROR(__xludf.DUMMYFUNCTION("""COMPUTED_VALUE"""),"NPQ[IPLMARKETTING]32812")</f>
        <v>NPQ[IPLMARKETTING]32812</v>
      </c>
      <c r="F40" s="2" t="str">
        <f t="shared" si="1"/>
        <v>IPLMARKETTING]32812</v>
      </c>
      <c r="G40" s="2" t="str">
        <f>IFERROR(__xludf.DUMMYFUNCTION("SPLIT(F40,""]"")"),"IPLMARKETTING")</f>
        <v>IPLMARKETTING</v>
      </c>
      <c r="H40" s="2">
        <f>IFERROR(__xludf.DUMMYFUNCTION("""COMPUTED_VALUE"""),32812.0)</f>
        <v>32812</v>
      </c>
      <c r="I40" s="2">
        <f t="shared" si="2"/>
        <v>2</v>
      </c>
      <c r="J40" s="2" t="str">
        <f t="shared" si="3"/>
        <v>Bengaluru</v>
      </c>
      <c r="K40" s="2" t="str">
        <f t="shared" si="4"/>
        <v>ZestVita</v>
      </c>
      <c r="L40" s="2">
        <f t="shared" si="5"/>
        <v>29296</v>
      </c>
      <c r="M40" s="2">
        <f t="shared" si="6"/>
        <v>32812</v>
      </c>
      <c r="N40" s="2" t="str">
        <f t="shared" si="7"/>
        <v>IPLMARKETTING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tr">
        <f>IFERROR(__xludf.DUMMYFUNCTION("SPLIT(SalesData!A41,""//"")"),"Month2 ")</f>
        <v>Month2 </v>
      </c>
      <c r="B41" s="2" t="str">
        <f>IFERROR(__xludf.DUMMYFUNCTION("""COMPUTED_VALUE"""),"City_Bengaluru")</f>
        <v>City_Bengaluru</v>
      </c>
      <c r="C41" s="2" t="str">
        <f>IFERROR(__xludf.DUMMYFUNCTION("""COMPUTED_VALUE"""),"PRD-NutriKid")</f>
        <v>PRD-NutriKid</v>
      </c>
      <c r="D41" s="2" t="str">
        <f>IFERROR(__xludf.DUMMYFUNCTION("""COMPUTED_VALUE"""),"OPQ  15623")</f>
        <v>OPQ  15623</v>
      </c>
      <c r="E41" s="2" t="str">
        <f>IFERROR(__xludf.DUMMYFUNCTION("""COMPUTED_VALUE"""),"NPQ[IPLMARKETTING]18748")</f>
        <v>NPQ[IPLMARKETTING]18748</v>
      </c>
      <c r="F41" s="2" t="str">
        <f t="shared" si="1"/>
        <v>IPLMARKETTING]18748</v>
      </c>
      <c r="G41" s="2" t="str">
        <f>IFERROR(__xludf.DUMMYFUNCTION("SPLIT(F41,""]"")"),"IPLMARKETTING")</f>
        <v>IPLMARKETTING</v>
      </c>
      <c r="H41" s="2">
        <f>IFERROR(__xludf.DUMMYFUNCTION("""COMPUTED_VALUE"""),18748.0)</f>
        <v>18748</v>
      </c>
      <c r="I41" s="2">
        <f t="shared" si="2"/>
        <v>2</v>
      </c>
      <c r="J41" s="2" t="str">
        <f t="shared" si="3"/>
        <v>Bengaluru</v>
      </c>
      <c r="K41" s="2" t="str">
        <f t="shared" si="4"/>
        <v>NutriKid</v>
      </c>
      <c r="L41" s="2">
        <f t="shared" si="5"/>
        <v>15623</v>
      </c>
      <c r="M41" s="2">
        <f t="shared" si="6"/>
        <v>18748</v>
      </c>
      <c r="N41" s="2" t="str">
        <f t="shared" si="7"/>
        <v>IPLMARKETTING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tr">
        <f>IFERROR(__xludf.DUMMYFUNCTION("SPLIT(SalesData!A42,""//"")"),"Month2 ")</f>
        <v>Month2 </v>
      </c>
      <c r="B42" s="2" t="str">
        <f>IFERROR(__xludf.DUMMYFUNCTION("""COMPUTED_VALUE"""),"City_Chandigarh")</f>
        <v>City_Chandigarh</v>
      </c>
      <c r="C42" s="2" t="str">
        <f>IFERROR(__xludf.DUMMYFUNCTION("""COMPUTED_VALUE"""),"PRD-ZestVita")</f>
        <v>PRD-ZestVita</v>
      </c>
      <c r="D42" s="2" t="str">
        <f>IFERROR(__xludf.DUMMYFUNCTION("""COMPUTED_VALUE"""),"OPQ  25573")</f>
        <v>OPQ  25573</v>
      </c>
      <c r="E42" s="2" t="str">
        <f>IFERROR(__xludf.DUMMYFUNCTION("""COMPUTED_VALUE"""),"NPQ[IPLMARKETTING]29409")</f>
        <v>NPQ[IPLMARKETTING]29409</v>
      </c>
      <c r="F42" s="2" t="str">
        <f t="shared" si="1"/>
        <v>IPLMARKETTING]29409</v>
      </c>
      <c r="G42" s="2" t="str">
        <f>IFERROR(__xludf.DUMMYFUNCTION("SPLIT(F42,""]"")"),"IPLMARKETTING")</f>
        <v>IPLMARKETTING</v>
      </c>
      <c r="H42" s="2">
        <f>IFERROR(__xludf.DUMMYFUNCTION("""COMPUTED_VALUE"""),29409.0)</f>
        <v>29409</v>
      </c>
      <c r="I42" s="2">
        <f t="shared" si="2"/>
        <v>2</v>
      </c>
      <c r="J42" s="2" t="str">
        <f t="shared" si="3"/>
        <v>Chandigarh</v>
      </c>
      <c r="K42" s="2" t="str">
        <f t="shared" si="4"/>
        <v>ZestVita</v>
      </c>
      <c r="L42" s="2">
        <f t="shared" si="5"/>
        <v>25573</v>
      </c>
      <c r="M42" s="2">
        <f t="shared" si="6"/>
        <v>29409</v>
      </c>
      <c r="N42" s="2" t="str">
        <f t="shared" si="7"/>
        <v>IPLMARKETTING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tr">
        <f>IFERROR(__xludf.DUMMYFUNCTION("SPLIT(SalesData!A43,""//"")"),"Month2 ")</f>
        <v>Month2 </v>
      </c>
      <c r="B43" s="2" t="str">
        <f>IFERROR(__xludf.DUMMYFUNCTION("""COMPUTED_VALUE"""),"City_Chandigarh")</f>
        <v>City_Chandigarh</v>
      </c>
      <c r="C43" s="2" t="str">
        <f>IFERROR(__xludf.DUMMYFUNCTION("""COMPUTED_VALUE"""),"PRD-NutriKid")</f>
        <v>PRD-NutriKid</v>
      </c>
      <c r="D43" s="2" t="str">
        <f>IFERROR(__xludf.DUMMYFUNCTION("""COMPUTED_VALUE"""),"OPQ  27637")</f>
        <v>OPQ  27637</v>
      </c>
      <c r="E43" s="2" t="str">
        <f>IFERROR(__xludf.DUMMYFUNCTION("""COMPUTED_VALUE"""),"NPQ[IPLMARKETTING]32059")</f>
        <v>NPQ[IPLMARKETTING]32059</v>
      </c>
      <c r="F43" s="2" t="str">
        <f t="shared" si="1"/>
        <v>IPLMARKETTING]32059</v>
      </c>
      <c r="G43" s="2" t="str">
        <f>IFERROR(__xludf.DUMMYFUNCTION("SPLIT(F43,""]"")"),"IPLMARKETTING")</f>
        <v>IPLMARKETTING</v>
      </c>
      <c r="H43" s="2">
        <f>IFERROR(__xludf.DUMMYFUNCTION("""COMPUTED_VALUE"""),32059.0)</f>
        <v>32059</v>
      </c>
      <c r="I43" s="2">
        <f t="shared" si="2"/>
        <v>2</v>
      </c>
      <c r="J43" s="2" t="str">
        <f t="shared" si="3"/>
        <v>Chandigarh</v>
      </c>
      <c r="K43" s="2" t="str">
        <f t="shared" si="4"/>
        <v>NutriKid</v>
      </c>
      <c r="L43" s="2">
        <f t="shared" si="5"/>
        <v>27637</v>
      </c>
      <c r="M43" s="2">
        <f t="shared" si="6"/>
        <v>32059</v>
      </c>
      <c r="N43" s="2" t="str">
        <f t="shared" si="7"/>
        <v>IPLMARKETTING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tr">
        <f>IFERROR(__xludf.DUMMYFUNCTION("SPLIT(SalesData!A44,""//"")"),"Month2 ")</f>
        <v>Month2 </v>
      </c>
      <c r="B44" s="2" t="str">
        <f>IFERROR(__xludf.DUMMYFUNCTION("""COMPUTED_VALUE"""),"City_Bhubaneswar")</f>
        <v>City_Bhubaneswar</v>
      </c>
      <c r="C44" s="2" t="str">
        <f>IFERROR(__xludf.DUMMYFUNCTION("""COMPUTED_VALUE"""),"PRD-ZestVita")</f>
        <v>PRD-ZestVita</v>
      </c>
      <c r="D44" s="2" t="str">
        <f>IFERROR(__xludf.DUMMYFUNCTION("""COMPUTED_VALUE"""),"OPQ  13878")</f>
        <v>OPQ  13878</v>
      </c>
      <c r="E44" s="2" t="str">
        <f>IFERROR(__xludf.DUMMYFUNCTION("""COMPUTED_VALUE"""),"NPQ[IPLMARKETTING]14433")</f>
        <v>NPQ[IPLMARKETTING]14433</v>
      </c>
      <c r="F44" s="2" t="str">
        <f t="shared" si="1"/>
        <v>IPLMARKETTING]14433</v>
      </c>
      <c r="G44" s="2" t="str">
        <f>IFERROR(__xludf.DUMMYFUNCTION("SPLIT(F44,""]"")"),"IPLMARKETTING")</f>
        <v>IPLMARKETTING</v>
      </c>
      <c r="H44" s="2">
        <f>IFERROR(__xludf.DUMMYFUNCTION("""COMPUTED_VALUE"""),14433.0)</f>
        <v>14433</v>
      </c>
      <c r="I44" s="2">
        <f t="shared" si="2"/>
        <v>2</v>
      </c>
      <c r="J44" s="2" t="str">
        <f t="shared" si="3"/>
        <v>Bhubaneswar</v>
      </c>
      <c r="K44" s="2" t="str">
        <f t="shared" si="4"/>
        <v>ZestVita</v>
      </c>
      <c r="L44" s="2">
        <f t="shared" si="5"/>
        <v>13878</v>
      </c>
      <c r="M44" s="2">
        <f t="shared" si="6"/>
        <v>14433</v>
      </c>
      <c r="N44" s="2" t="str">
        <f t="shared" si="7"/>
        <v>IPLMARKETTING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tr">
        <f>IFERROR(__xludf.DUMMYFUNCTION("SPLIT(SalesData!A45,""//"")"),"Month2 ")</f>
        <v>Month2 </v>
      </c>
      <c r="B45" s="2" t="str">
        <f>IFERROR(__xludf.DUMMYFUNCTION("""COMPUTED_VALUE"""),"City_Bhubaneswar")</f>
        <v>City_Bhubaneswar</v>
      </c>
      <c r="C45" s="2" t="str">
        <f>IFERROR(__xludf.DUMMYFUNCTION("""COMPUTED_VALUE"""),"PRD-NutriKid")</f>
        <v>PRD-NutriKid</v>
      </c>
      <c r="D45" s="2" t="str">
        <f>IFERROR(__xludf.DUMMYFUNCTION("""COMPUTED_VALUE"""),"OPQ  18202")</f>
        <v>OPQ  18202</v>
      </c>
      <c r="E45" s="2" t="str">
        <f>IFERROR(__xludf.DUMMYFUNCTION("""COMPUTED_VALUE"""),"NPQ[IPLMARKETTING]19476")</f>
        <v>NPQ[IPLMARKETTING]19476</v>
      </c>
      <c r="F45" s="2" t="str">
        <f t="shared" si="1"/>
        <v>IPLMARKETTING]19476</v>
      </c>
      <c r="G45" s="2" t="str">
        <f>IFERROR(__xludf.DUMMYFUNCTION("SPLIT(F45,""]"")"),"IPLMARKETTING")</f>
        <v>IPLMARKETTING</v>
      </c>
      <c r="H45" s="2">
        <f>IFERROR(__xludf.DUMMYFUNCTION("""COMPUTED_VALUE"""),19476.0)</f>
        <v>19476</v>
      </c>
      <c r="I45" s="2">
        <f t="shared" si="2"/>
        <v>2</v>
      </c>
      <c r="J45" s="2" t="str">
        <f t="shared" si="3"/>
        <v>Bhubaneswar</v>
      </c>
      <c r="K45" s="2" t="str">
        <f t="shared" si="4"/>
        <v>NutriKid</v>
      </c>
      <c r="L45" s="2">
        <f t="shared" si="5"/>
        <v>18202</v>
      </c>
      <c r="M45" s="2">
        <f t="shared" si="6"/>
        <v>19476</v>
      </c>
      <c r="N45" s="2" t="str">
        <f t="shared" si="7"/>
        <v>IPLMARKETTING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tr">
        <f>IFERROR(__xludf.DUMMYFUNCTION("SPLIT(SalesData!A46,""//"")"),"Month2 ")</f>
        <v>Month2 </v>
      </c>
      <c r="B46" s="2" t="str">
        <f>IFERROR(__xludf.DUMMYFUNCTION("""COMPUTED_VALUE"""),"City_Ahmedabad ")</f>
        <v>City_Ahmedabad </v>
      </c>
      <c r="C46" s="2" t="str">
        <f>IFERROR(__xludf.DUMMYFUNCTION("""COMPUTED_VALUE"""),"PRD-ZestVita")</f>
        <v>PRD-ZestVita</v>
      </c>
      <c r="D46" s="2" t="str">
        <f>IFERROR(__xludf.DUMMYFUNCTION("""COMPUTED_VALUE"""),"OPQ  22662")</f>
        <v>OPQ  22662</v>
      </c>
      <c r="E46" s="2" t="str">
        <f>IFERROR(__xludf.DUMMYFUNCTION("""COMPUTED_VALUE"""),"NPQ[IPLMARKETTING]28101")</f>
        <v>NPQ[IPLMARKETTING]28101</v>
      </c>
      <c r="F46" s="2" t="str">
        <f t="shared" si="1"/>
        <v>IPLMARKETTING]28101</v>
      </c>
      <c r="G46" s="2" t="str">
        <f>IFERROR(__xludf.DUMMYFUNCTION("SPLIT(F46,""]"")"),"IPLMARKETTING")</f>
        <v>IPLMARKETTING</v>
      </c>
      <c r="H46" s="2">
        <f>IFERROR(__xludf.DUMMYFUNCTION("""COMPUTED_VALUE"""),28101.0)</f>
        <v>28101</v>
      </c>
      <c r="I46" s="2">
        <f t="shared" si="2"/>
        <v>2</v>
      </c>
      <c r="J46" s="2" t="str">
        <f t="shared" si="3"/>
        <v>Ahmedabad</v>
      </c>
      <c r="K46" s="2" t="str">
        <f t="shared" si="4"/>
        <v>ZestVita</v>
      </c>
      <c r="L46" s="2">
        <f t="shared" si="5"/>
        <v>22662</v>
      </c>
      <c r="M46" s="2">
        <f t="shared" si="6"/>
        <v>28101</v>
      </c>
      <c r="N46" s="2" t="str">
        <f t="shared" si="7"/>
        <v>IPLMARKETTING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tr">
        <f>IFERROR(__xludf.DUMMYFUNCTION("SPLIT(SalesData!A47,""//"")"),"Month2 ")</f>
        <v>Month2 </v>
      </c>
      <c r="B47" s="2" t="str">
        <f>IFERROR(__xludf.DUMMYFUNCTION("""COMPUTED_VALUE"""),"City_Ahmedabad ")</f>
        <v>City_Ahmedabad </v>
      </c>
      <c r="C47" s="2" t="str">
        <f>IFERROR(__xludf.DUMMYFUNCTION("""COMPUTED_VALUE"""),"PRD-NutriKid")</f>
        <v>PRD-NutriKid</v>
      </c>
      <c r="D47" s="2" t="str">
        <f>IFERROR(__xludf.DUMMYFUNCTION("""COMPUTED_VALUE"""),"OPQ  13063")</f>
        <v>OPQ  13063</v>
      </c>
      <c r="E47" s="2" t="str">
        <f>IFERROR(__xludf.DUMMYFUNCTION("""COMPUTED_VALUE"""),"NPQ[IPLMARKETTING]16329")</f>
        <v>NPQ[IPLMARKETTING]16329</v>
      </c>
      <c r="F47" s="2" t="str">
        <f t="shared" si="1"/>
        <v>IPLMARKETTING]16329</v>
      </c>
      <c r="G47" s="2" t="str">
        <f>IFERROR(__xludf.DUMMYFUNCTION("SPLIT(F47,""]"")"),"IPLMARKETTING")</f>
        <v>IPLMARKETTING</v>
      </c>
      <c r="H47" s="2">
        <f>IFERROR(__xludf.DUMMYFUNCTION("""COMPUTED_VALUE"""),16329.0)</f>
        <v>16329</v>
      </c>
      <c r="I47" s="2">
        <f t="shared" si="2"/>
        <v>2</v>
      </c>
      <c r="J47" s="2" t="str">
        <f t="shared" si="3"/>
        <v>Ahmedabad</v>
      </c>
      <c r="K47" s="2" t="str">
        <f t="shared" si="4"/>
        <v>NutriKid</v>
      </c>
      <c r="L47" s="2">
        <f t="shared" si="5"/>
        <v>13063</v>
      </c>
      <c r="M47" s="2">
        <f t="shared" si="6"/>
        <v>16329</v>
      </c>
      <c r="N47" s="2" t="str">
        <f t="shared" si="7"/>
        <v>IPLMARKETTING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tr">
        <f>IFERROR(__xludf.DUMMYFUNCTION("SPLIT(SalesData!A48,""//"")"),"Month2 ")</f>
        <v>Month2 </v>
      </c>
      <c r="B48" s="2" t="str">
        <f>IFERROR(__xludf.DUMMYFUNCTION("""COMPUTED_VALUE"""),"City_Chennai")</f>
        <v>City_Chennai</v>
      </c>
      <c r="C48" s="2" t="str">
        <f>IFERROR(__xludf.DUMMYFUNCTION("""COMPUTED_VALUE"""),"PRD-ZestVita")</f>
        <v>PRD-ZestVita</v>
      </c>
      <c r="D48" s="2" t="str">
        <f>IFERROR(__xludf.DUMMYFUNCTION("""COMPUTED_VALUE"""),"OPQ  14233")</f>
        <v>OPQ  14233</v>
      </c>
      <c r="E48" s="2" t="str">
        <f>IFERROR(__xludf.DUMMYFUNCTION("""COMPUTED_VALUE"""),"NPQ[IPLMARKETTING]17364")</f>
        <v>NPQ[IPLMARKETTING]17364</v>
      </c>
      <c r="F48" s="2" t="str">
        <f t="shared" si="1"/>
        <v>IPLMARKETTING]17364</v>
      </c>
      <c r="G48" s="2" t="str">
        <f>IFERROR(__xludf.DUMMYFUNCTION("SPLIT(F48,""]"")"),"IPLMARKETTING")</f>
        <v>IPLMARKETTING</v>
      </c>
      <c r="H48" s="2">
        <f>IFERROR(__xludf.DUMMYFUNCTION("""COMPUTED_VALUE"""),17364.0)</f>
        <v>17364</v>
      </c>
      <c r="I48" s="2">
        <f t="shared" si="2"/>
        <v>2</v>
      </c>
      <c r="J48" s="2" t="str">
        <f t="shared" si="3"/>
        <v>Chennai</v>
      </c>
      <c r="K48" s="2" t="str">
        <f t="shared" si="4"/>
        <v>ZestVita</v>
      </c>
      <c r="L48" s="2">
        <f t="shared" si="5"/>
        <v>14233</v>
      </c>
      <c r="M48" s="2">
        <f t="shared" si="6"/>
        <v>17364</v>
      </c>
      <c r="N48" s="2" t="str">
        <f t="shared" si="7"/>
        <v>IPLMARKETTING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tr">
        <f>IFERROR(__xludf.DUMMYFUNCTION("SPLIT(SalesData!A49,""//"")"),"Month2 ")</f>
        <v>Month2 </v>
      </c>
      <c r="B49" s="2" t="str">
        <f>IFERROR(__xludf.DUMMYFUNCTION("""COMPUTED_VALUE"""),"City_Chennai")</f>
        <v>City_Chennai</v>
      </c>
      <c r="C49" s="2" t="str">
        <f>IFERROR(__xludf.DUMMYFUNCTION("""COMPUTED_VALUE"""),"PRD-NutriKid")</f>
        <v>PRD-NutriKid</v>
      </c>
      <c r="D49" s="2" t="str">
        <f>IFERROR(__xludf.DUMMYFUNCTION("""COMPUTED_VALUE"""),"OPQ  15616")</f>
        <v>OPQ  15616</v>
      </c>
      <c r="E49" s="2" t="str">
        <f>IFERROR(__xludf.DUMMYFUNCTION("""COMPUTED_VALUE"""),"NPQ[IPLMARKETTING]18115")</f>
        <v>NPQ[IPLMARKETTING]18115</v>
      </c>
      <c r="F49" s="2" t="str">
        <f t="shared" si="1"/>
        <v>IPLMARKETTING]18115</v>
      </c>
      <c r="G49" s="2" t="str">
        <f>IFERROR(__xludf.DUMMYFUNCTION("SPLIT(F49,""]"")"),"IPLMARKETTING")</f>
        <v>IPLMARKETTING</v>
      </c>
      <c r="H49" s="2">
        <f>IFERROR(__xludf.DUMMYFUNCTION("""COMPUTED_VALUE"""),18115.0)</f>
        <v>18115</v>
      </c>
      <c r="I49" s="2">
        <f t="shared" si="2"/>
        <v>2</v>
      </c>
      <c r="J49" s="2" t="str">
        <f t="shared" si="3"/>
        <v>Chennai</v>
      </c>
      <c r="K49" s="2" t="str">
        <f t="shared" si="4"/>
        <v>NutriKid</v>
      </c>
      <c r="L49" s="2">
        <f t="shared" si="5"/>
        <v>15616</v>
      </c>
      <c r="M49" s="2">
        <f t="shared" si="6"/>
        <v>18115</v>
      </c>
      <c r="N49" s="2" t="str">
        <f t="shared" si="7"/>
        <v>IPLMARKETTING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tr">
        <f>IFERROR(__xludf.DUMMYFUNCTION("SPLIT(SalesData!A50,""//"")"),"Month2 ")</f>
        <v>Month2 </v>
      </c>
      <c r="B50" s="2" t="str">
        <f>IFERROR(__xludf.DUMMYFUNCTION("""COMPUTED_VALUE"""),"City_Lucknow")</f>
        <v>City_Lucknow</v>
      </c>
      <c r="C50" s="2" t="str">
        <f>IFERROR(__xludf.DUMMYFUNCTION("""COMPUTED_VALUE"""),"PRD-ZestVita")</f>
        <v>PRD-ZestVita</v>
      </c>
      <c r="D50" s="2" t="str">
        <f>IFERROR(__xludf.DUMMYFUNCTION("""COMPUTED_VALUE"""),"OPQ  23233")</f>
        <v>OPQ  23233</v>
      </c>
      <c r="E50" s="2" t="str">
        <f>IFERROR(__xludf.DUMMYFUNCTION("""COMPUTED_VALUE"""),"NPQ[IPLMARKETTING]26718")</f>
        <v>NPQ[IPLMARKETTING]26718</v>
      </c>
      <c r="F50" s="2" t="str">
        <f t="shared" si="1"/>
        <v>IPLMARKETTING]26718</v>
      </c>
      <c r="G50" s="2" t="str">
        <f>IFERROR(__xludf.DUMMYFUNCTION("SPLIT(F50,""]"")"),"IPLMARKETTING")</f>
        <v>IPLMARKETTING</v>
      </c>
      <c r="H50" s="2">
        <f>IFERROR(__xludf.DUMMYFUNCTION("""COMPUTED_VALUE"""),26718.0)</f>
        <v>26718</v>
      </c>
      <c r="I50" s="2">
        <f t="shared" si="2"/>
        <v>2</v>
      </c>
      <c r="J50" s="2" t="str">
        <f t="shared" si="3"/>
        <v>Lucknow</v>
      </c>
      <c r="K50" s="2" t="str">
        <f t="shared" si="4"/>
        <v>ZestVita</v>
      </c>
      <c r="L50" s="2">
        <f t="shared" si="5"/>
        <v>23233</v>
      </c>
      <c r="M50" s="2">
        <f t="shared" si="6"/>
        <v>26718</v>
      </c>
      <c r="N50" s="2" t="str">
        <f t="shared" si="7"/>
        <v>IPLMARKETTING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tr">
        <f>IFERROR(__xludf.DUMMYFUNCTION("SPLIT(SalesData!A51,""//"")"),"Month2 ")</f>
        <v>Month2 </v>
      </c>
      <c r="B51" s="2" t="str">
        <f>IFERROR(__xludf.DUMMYFUNCTION("""COMPUTED_VALUE"""),"City_Lucknow")</f>
        <v>City_Lucknow</v>
      </c>
      <c r="C51" s="2" t="str">
        <f>IFERROR(__xludf.DUMMYFUNCTION("""COMPUTED_VALUE"""),"PRD-NutriKid")</f>
        <v>PRD-NutriKid</v>
      </c>
      <c r="D51" s="2" t="str">
        <f>IFERROR(__xludf.DUMMYFUNCTION("""COMPUTED_VALUE"""),"OPQ  20324")</f>
        <v>OPQ  20324</v>
      </c>
      <c r="E51" s="2" t="str">
        <f>IFERROR(__xludf.DUMMYFUNCTION("""COMPUTED_VALUE"""),"NPQ[IPLMARKETTING]22763")</f>
        <v>NPQ[IPLMARKETTING]22763</v>
      </c>
      <c r="F51" s="2" t="str">
        <f t="shared" si="1"/>
        <v>IPLMARKETTING]22763</v>
      </c>
      <c r="G51" s="2" t="str">
        <f>IFERROR(__xludf.DUMMYFUNCTION("SPLIT(F51,""]"")"),"IPLMARKETTING")</f>
        <v>IPLMARKETTING</v>
      </c>
      <c r="H51" s="2">
        <f>IFERROR(__xludf.DUMMYFUNCTION("""COMPUTED_VALUE"""),22763.0)</f>
        <v>22763</v>
      </c>
      <c r="I51" s="2">
        <f t="shared" si="2"/>
        <v>2</v>
      </c>
      <c r="J51" s="2" t="str">
        <f t="shared" si="3"/>
        <v>Lucknow</v>
      </c>
      <c r="K51" s="2" t="str">
        <f t="shared" si="4"/>
        <v>NutriKid</v>
      </c>
      <c r="L51" s="2">
        <f t="shared" si="5"/>
        <v>20324</v>
      </c>
      <c r="M51" s="2">
        <f t="shared" si="6"/>
        <v>22763</v>
      </c>
      <c r="N51" s="2" t="str">
        <f t="shared" si="7"/>
        <v>IPLMARKETTING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tr">
        <f>IFERROR(__xludf.DUMMYFUNCTION("SPLIT(SalesData!A52,""//"")"),"Month2 ")</f>
        <v>Month2 </v>
      </c>
      <c r="B52" s="2" t="str">
        <f>IFERROR(__xludf.DUMMYFUNCTION("""COMPUTED_VALUE"""),"City_Ranchi")</f>
        <v>City_Ranchi</v>
      </c>
      <c r="C52" s="2" t="str">
        <f>IFERROR(__xludf.DUMMYFUNCTION("""COMPUTED_VALUE"""),"PRD-ZestVita")</f>
        <v>PRD-ZestVita</v>
      </c>
      <c r="D52" s="2" t="str">
        <f>IFERROR(__xludf.DUMMYFUNCTION("""COMPUTED_VALUE"""),"OPQ  26263")</f>
        <v>OPQ  26263</v>
      </c>
      <c r="E52" s="2" t="str">
        <f>IFERROR(__xludf.DUMMYFUNCTION("""COMPUTED_VALUE"""),"NPQ[IPLMARKETTING]27839")</f>
        <v>NPQ[IPLMARKETTING]27839</v>
      </c>
      <c r="F52" s="2" t="str">
        <f t="shared" si="1"/>
        <v>IPLMARKETTING]27839</v>
      </c>
      <c r="G52" s="2" t="str">
        <f>IFERROR(__xludf.DUMMYFUNCTION("SPLIT(F52,""]"")"),"IPLMARKETTING")</f>
        <v>IPLMARKETTING</v>
      </c>
      <c r="H52" s="2">
        <f>IFERROR(__xludf.DUMMYFUNCTION("""COMPUTED_VALUE"""),27839.0)</f>
        <v>27839</v>
      </c>
      <c r="I52" s="2">
        <f t="shared" si="2"/>
        <v>2</v>
      </c>
      <c r="J52" s="2" t="str">
        <f t="shared" si="3"/>
        <v>Ranchi</v>
      </c>
      <c r="K52" s="2" t="str">
        <f t="shared" si="4"/>
        <v>ZestVita</v>
      </c>
      <c r="L52" s="2">
        <f t="shared" si="5"/>
        <v>26263</v>
      </c>
      <c r="M52" s="2">
        <f t="shared" si="6"/>
        <v>27839</v>
      </c>
      <c r="N52" s="2" t="str">
        <f t="shared" si="7"/>
        <v>IPLMARKETTING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tr">
        <f>IFERROR(__xludf.DUMMYFUNCTION("SPLIT(SalesData!A53,""//"")"),"Month2 ")</f>
        <v>Month2 </v>
      </c>
      <c r="B53" s="2" t="str">
        <f>IFERROR(__xludf.DUMMYFUNCTION("""COMPUTED_VALUE"""),"City_Ranchi")</f>
        <v>City_Ranchi</v>
      </c>
      <c r="C53" s="2" t="str">
        <f>IFERROR(__xludf.DUMMYFUNCTION("""COMPUTED_VALUE"""),"PRD-NutriKid")</f>
        <v>PRD-NutriKid</v>
      </c>
      <c r="D53" s="2" t="str">
        <f>IFERROR(__xludf.DUMMYFUNCTION("""COMPUTED_VALUE"""),"OPQ  16526")</f>
        <v>OPQ  16526</v>
      </c>
      <c r="E53" s="2" t="str">
        <f>IFERROR(__xludf.DUMMYFUNCTION("""COMPUTED_VALUE"""),"NPQ[IPLMARKETTING]17022")</f>
        <v>NPQ[IPLMARKETTING]17022</v>
      </c>
      <c r="F53" s="2" t="str">
        <f t="shared" si="1"/>
        <v>IPLMARKETTING]17022</v>
      </c>
      <c r="G53" s="2" t="str">
        <f>IFERROR(__xludf.DUMMYFUNCTION("SPLIT(F53,""]"")"),"IPLMARKETTING")</f>
        <v>IPLMARKETTING</v>
      </c>
      <c r="H53" s="2">
        <f>IFERROR(__xludf.DUMMYFUNCTION("""COMPUTED_VALUE"""),17022.0)</f>
        <v>17022</v>
      </c>
      <c r="I53" s="2">
        <f t="shared" si="2"/>
        <v>2</v>
      </c>
      <c r="J53" s="2" t="str">
        <f t="shared" si="3"/>
        <v>Ranchi</v>
      </c>
      <c r="K53" s="2" t="str">
        <f t="shared" si="4"/>
        <v>NutriKid</v>
      </c>
      <c r="L53" s="2">
        <f t="shared" si="5"/>
        <v>16526</v>
      </c>
      <c r="M53" s="2">
        <f t="shared" si="6"/>
        <v>17022</v>
      </c>
      <c r="N53" s="2" t="str">
        <f t="shared" si="7"/>
        <v>IPLMARKETTING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tr">
        <f>IFERROR(__xludf.DUMMYFUNCTION("SPLIT(SalesData!A54,""//"")"),"Month2 ")</f>
        <v>Month2 </v>
      </c>
      <c r="B54" s="2" t="str">
        <f>IFERROR(__xludf.DUMMYFUNCTION("""COMPUTED_VALUE"""),"City_Surat")</f>
        <v>City_Surat</v>
      </c>
      <c r="C54" s="2" t="str">
        <f>IFERROR(__xludf.DUMMYFUNCTION("""COMPUTED_VALUE"""),"PRD-ZestVita")</f>
        <v>PRD-ZestVita</v>
      </c>
      <c r="D54" s="2" t="str">
        <f>IFERROR(__xludf.DUMMYFUNCTION("""COMPUTED_VALUE"""),"OPQ  20866")</f>
        <v>OPQ  20866</v>
      </c>
      <c r="E54" s="2" t="str">
        <f>IFERROR(__xludf.DUMMYFUNCTION("""COMPUTED_VALUE"""),"NPQ[IPLMARKETTING]21283")</f>
        <v>NPQ[IPLMARKETTING]21283</v>
      </c>
      <c r="F54" s="2" t="str">
        <f t="shared" si="1"/>
        <v>IPLMARKETTING]21283</v>
      </c>
      <c r="G54" s="2" t="str">
        <f>IFERROR(__xludf.DUMMYFUNCTION("SPLIT(F54,""]"")"),"IPLMARKETTING")</f>
        <v>IPLMARKETTING</v>
      </c>
      <c r="H54" s="2">
        <f>IFERROR(__xludf.DUMMYFUNCTION("""COMPUTED_VALUE"""),21283.0)</f>
        <v>21283</v>
      </c>
      <c r="I54" s="2">
        <f t="shared" si="2"/>
        <v>2</v>
      </c>
      <c r="J54" s="2" t="str">
        <f t="shared" si="3"/>
        <v>Surat</v>
      </c>
      <c r="K54" s="2" t="str">
        <f t="shared" si="4"/>
        <v>ZestVita</v>
      </c>
      <c r="L54" s="2">
        <f t="shared" si="5"/>
        <v>20866</v>
      </c>
      <c r="M54" s="2">
        <f t="shared" si="6"/>
        <v>21283</v>
      </c>
      <c r="N54" s="2" t="str">
        <f t="shared" si="7"/>
        <v>IPLMARKETTING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tr">
        <f>IFERROR(__xludf.DUMMYFUNCTION("SPLIT(SalesData!A55,""//"")"),"Month2 ")</f>
        <v>Month2 </v>
      </c>
      <c r="B55" s="2" t="str">
        <f>IFERROR(__xludf.DUMMYFUNCTION("""COMPUTED_VALUE"""),"City_Surat")</f>
        <v>City_Surat</v>
      </c>
      <c r="C55" s="2" t="str">
        <f>IFERROR(__xludf.DUMMYFUNCTION("""COMPUTED_VALUE"""),"PRD-NutriKid")</f>
        <v>PRD-NutriKid</v>
      </c>
      <c r="D55" s="2" t="str">
        <f>IFERROR(__xludf.DUMMYFUNCTION("""COMPUTED_VALUE"""),"OPQ  16493")</f>
        <v>OPQ  16493</v>
      </c>
      <c r="E55" s="2" t="str">
        <f>IFERROR(__xludf.DUMMYFUNCTION("""COMPUTED_VALUE"""),"NPQ[IPLMARKETTING]16988")</f>
        <v>NPQ[IPLMARKETTING]16988</v>
      </c>
      <c r="F55" s="2" t="str">
        <f t="shared" si="1"/>
        <v>IPLMARKETTING]16988</v>
      </c>
      <c r="G55" s="2" t="str">
        <f>IFERROR(__xludf.DUMMYFUNCTION("SPLIT(F55,""]"")"),"IPLMARKETTING")</f>
        <v>IPLMARKETTING</v>
      </c>
      <c r="H55" s="2">
        <f>IFERROR(__xludf.DUMMYFUNCTION("""COMPUTED_VALUE"""),16988.0)</f>
        <v>16988</v>
      </c>
      <c r="I55" s="2">
        <f t="shared" si="2"/>
        <v>2</v>
      </c>
      <c r="J55" s="2" t="str">
        <f t="shared" si="3"/>
        <v>Surat</v>
      </c>
      <c r="K55" s="2" t="str">
        <f t="shared" si="4"/>
        <v>NutriKid</v>
      </c>
      <c r="L55" s="2">
        <f t="shared" si="5"/>
        <v>16493</v>
      </c>
      <c r="M55" s="2">
        <f t="shared" si="6"/>
        <v>16988</v>
      </c>
      <c r="N55" s="2" t="str">
        <f t="shared" si="7"/>
        <v>IPLMARKETTING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tr">
        <f>IFERROR(__xludf.DUMMYFUNCTION("SPLIT(SalesData!A56,""//"")"),"Month2 ")</f>
        <v>Month2 </v>
      </c>
      <c r="B56" s="2" t="str">
        <f>IFERROR(__xludf.DUMMYFUNCTION("""COMPUTED_VALUE"""),"City_Hyderabad")</f>
        <v>City_Hyderabad</v>
      </c>
      <c r="C56" s="2" t="str">
        <f>IFERROR(__xludf.DUMMYFUNCTION("""COMPUTED_VALUE"""),"PRD-ZestVita")</f>
        <v>PRD-ZestVita</v>
      </c>
      <c r="D56" s="2" t="str">
        <f>IFERROR(__xludf.DUMMYFUNCTION("""COMPUTED_VALUE"""),"OPQ  29078")</f>
        <v>OPQ  29078</v>
      </c>
      <c r="E56" s="2" t="str">
        <f>IFERROR(__xludf.DUMMYFUNCTION("""COMPUTED_VALUE"""),"NPQ[IPLMARKETTING]33730")</f>
        <v>NPQ[IPLMARKETTING]33730</v>
      </c>
      <c r="F56" s="2" t="str">
        <f t="shared" si="1"/>
        <v>IPLMARKETTING]33730</v>
      </c>
      <c r="G56" s="2" t="str">
        <f>IFERROR(__xludf.DUMMYFUNCTION("SPLIT(F56,""]"")"),"IPLMARKETTING")</f>
        <v>IPLMARKETTING</v>
      </c>
      <c r="H56" s="2">
        <f>IFERROR(__xludf.DUMMYFUNCTION("""COMPUTED_VALUE"""),33730.0)</f>
        <v>33730</v>
      </c>
      <c r="I56" s="2">
        <f t="shared" si="2"/>
        <v>2</v>
      </c>
      <c r="J56" s="2" t="str">
        <f t="shared" si="3"/>
        <v>Hyderabad</v>
      </c>
      <c r="K56" s="2" t="str">
        <f t="shared" si="4"/>
        <v>ZestVita</v>
      </c>
      <c r="L56" s="2">
        <f t="shared" si="5"/>
        <v>29078</v>
      </c>
      <c r="M56" s="2">
        <f t="shared" si="6"/>
        <v>33730</v>
      </c>
      <c r="N56" s="2" t="str">
        <f t="shared" si="7"/>
        <v>IPLMARKETTING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tr">
        <f>IFERROR(__xludf.DUMMYFUNCTION("SPLIT(SalesData!A57,""//"")"),"Month2 ")</f>
        <v>Month2 </v>
      </c>
      <c r="B57" s="2" t="str">
        <f>IFERROR(__xludf.DUMMYFUNCTION("""COMPUTED_VALUE"""),"City_Hyderabad")</f>
        <v>City_Hyderabad</v>
      </c>
      <c r="C57" s="2" t="str">
        <f>IFERROR(__xludf.DUMMYFUNCTION("""COMPUTED_VALUE"""),"PRD-NutriKid")</f>
        <v>PRD-NutriKid</v>
      </c>
      <c r="D57" s="2" t="str">
        <f>IFERROR(__xludf.DUMMYFUNCTION("""COMPUTED_VALUE"""),"OPQ  28842")</f>
        <v>OPQ  28842</v>
      </c>
      <c r="E57" s="2" t="str">
        <f>IFERROR(__xludf.DUMMYFUNCTION("""COMPUTED_VALUE"""),"NPQ[IPLMARKETTING]31726")</f>
        <v>NPQ[IPLMARKETTING]31726</v>
      </c>
      <c r="F57" s="2" t="str">
        <f t="shared" si="1"/>
        <v>IPLMARKETTING]31726</v>
      </c>
      <c r="G57" s="2" t="str">
        <f>IFERROR(__xludf.DUMMYFUNCTION("SPLIT(F57,""]"")"),"IPLMARKETTING")</f>
        <v>IPLMARKETTING</v>
      </c>
      <c r="H57" s="2">
        <f>IFERROR(__xludf.DUMMYFUNCTION("""COMPUTED_VALUE"""),31726.0)</f>
        <v>31726</v>
      </c>
      <c r="I57" s="2">
        <f t="shared" si="2"/>
        <v>2</v>
      </c>
      <c r="J57" s="2" t="str">
        <f t="shared" si="3"/>
        <v>Hyderabad</v>
      </c>
      <c r="K57" s="2" t="str">
        <f t="shared" si="4"/>
        <v>NutriKid</v>
      </c>
      <c r="L57" s="2">
        <f t="shared" si="5"/>
        <v>28842</v>
      </c>
      <c r="M57" s="2">
        <f t="shared" si="6"/>
        <v>31726</v>
      </c>
      <c r="N57" s="2" t="str">
        <f t="shared" si="7"/>
        <v>IPLMARKETTING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tr">
        <f>IFERROR(__xludf.DUMMYFUNCTION("SPLIT(SalesData!A58,""//"")"),"Month2 ")</f>
        <v>Month2 </v>
      </c>
      <c r="B58" s="2" t="str">
        <f>IFERROR(__xludf.DUMMYFUNCTION("""COMPUTED_VALUE"""),"City_Dehradun")</f>
        <v>City_Dehradun</v>
      </c>
      <c r="C58" s="2" t="str">
        <f>IFERROR(__xludf.DUMMYFUNCTION("""COMPUTED_VALUE"""),"PRD-ZestVita")</f>
        <v>PRD-ZestVita</v>
      </c>
      <c r="D58" s="2" t="str">
        <f>IFERROR(__xludf.DUMMYFUNCTION("""COMPUTED_VALUE"""),"OPQ  21865")</f>
        <v>OPQ  21865</v>
      </c>
      <c r="E58" s="2" t="str">
        <f>IFERROR(__xludf.DUMMYFUNCTION("""COMPUTED_VALUE"""),"NPQ[IPLMARKETTING]23614")</f>
        <v>NPQ[IPLMARKETTING]23614</v>
      </c>
      <c r="F58" s="2" t="str">
        <f t="shared" si="1"/>
        <v>IPLMARKETTING]23614</v>
      </c>
      <c r="G58" s="2" t="str">
        <f>IFERROR(__xludf.DUMMYFUNCTION("SPLIT(F58,""]"")"),"IPLMARKETTING")</f>
        <v>IPLMARKETTING</v>
      </c>
      <c r="H58" s="2">
        <f>IFERROR(__xludf.DUMMYFUNCTION("""COMPUTED_VALUE"""),23614.0)</f>
        <v>23614</v>
      </c>
      <c r="I58" s="2">
        <f t="shared" si="2"/>
        <v>2</v>
      </c>
      <c r="J58" s="2" t="str">
        <f t="shared" si="3"/>
        <v>Dehradun</v>
      </c>
      <c r="K58" s="2" t="str">
        <f t="shared" si="4"/>
        <v>ZestVita</v>
      </c>
      <c r="L58" s="2">
        <f t="shared" si="5"/>
        <v>21865</v>
      </c>
      <c r="M58" s="2">
        <f t="shared" si="6"/>
        <v>23614</v>
      </c>
      <c r="N58" s="2" t="str">
        <f t="shared" si="7"/>
        <v>IPLMARKETTING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tr">
        <f>IFERROR(__xludf.DUMMYFUNCTION("SPLIT(SalesData!A59,""//"")"),"Month2 ")</f>
        <v>Month2 </v>
      </c>
      <c r="B59" s="2" t="str">
        <f>IFERROR(__xludf.DUMMYFUNCTION("""COMPUTED_VALUE"""),"City_Dehradun")</f>
        <v>City_Dehradun</v>
      </c>
      <c r="C59" s="2" t="str">
        <f>IFERROR(__xludf.DUMMYFUNCTION("""COMPUTED_VALUE"""),"PRD-NutriKid")</f>
        <v>PRD-NutriKid</v>
      </c>
      <c r="D59" s="2" t="str">
        <f>IFERROR(__xludf.DUMMYFUNCTION("""COMPUTED_VALUE"""),"OPQ  13454")</f>
        <v>OPQ  13454</v>
      </c>
      <c r="E59" s="2" t="str">
        <f>IFERROR(__xludf.DUMMYFUNCTION("""COMPUTED_VALUE"""),"NPQ[IPLMARKETTING]14530")</f>
        <v>NPQ[IPLMARKETTING]14530</v>
      </c>
      <c r="F59" s="2" t="str">
        <f t="shared" si="1"/>
        <v>IPLMARKETTING]14530</v>
      </c>
      <c r="G59" s="2" t="str">
        <f>IFERROR(__xludf.DUMMYFUNCTION("SPLIT(F59,""]"")"),"IPLMARKETTING")</f>
        <v>IPLMARKETTING</v>
      </c>
      <c r="H59" s="2">
        <f>IFERROR(__xludf.DUMMYFUNCTION("""COMPUTED_VALUE"""),14530.0)</f>
        <v>14530</v>
      </c>
      <c r="I59" s="2">
        <f t="shared" si="2"/>
        <v>2</v>
      </c>
      <c r="J59" s="2" t="str">
        <f t="shared" si="3"/>
        <v>Dehradun</v>
      </c>
      <c r="K59" s="2" t="str">
        <f t="shared" si="4"/>
        <v>NutriKid</v>
      </c>
      <c r="L59" s="2">
        <f t="shared" si="5"/>
        <v>13454</v>
      </c>
      <c r="M59" s="2">
        <f t="shared" si="6"/>
        <v>14530</v>
      </c>
      <c r="N59" s="2" t="str">
        <f t="shared" si="7"/>
        <v>IPLMARKETTING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tr">
        <f>IFERROR(__xludf.DUMMYFUNCTION("SPLIT(SalesData!A60,""//"")"),"Month2 ")</f>
        <v>Month2 </v>
      </c>
      <c r="B60" s="2" t="str">
        <f>IFERROR(__xludf.DUMMYFUNCTION("""COMPUTED_VALUE"""),"City_Kochi")</f>
        <v>City_Kochi</v>
      </c>
      <c r="C60" s="2" t="str">
        <f>IFERROR(__xludf.DUMMYFUNCTION("""COMPUTED_VALUE"""),"PRD-ZestVita")</f>
        <v>PRD-ZestVita</v>
      </c>
      <c r="D60" s="2" t="str">
        <f>IFERROR(__xludf.DUMMYFUNCTION("""COMPUTED_VALUE"""),"OPQ  24236")</f>
        <v>OPQ  24236</v>
      </c>
      <c r="E60" s="2" t="str">
        <f>IFERROR(__xludf.DUMMYFUNCTION("""COMPUTED_VALUE"""),"NPQ[IPLMARKETTING]24721")</f>
        <v>NPQ[IPLMARKETTING]24721</v>
      </c>
      <c r="F60" s="2" t="str">
        <f t="shared" si="1"/>
        <v>IPLMARKETTING]24721</v>
      </c>
      <c r="G60" s="2" t="str">
        <f>IFERROR(__xludf.DUMMYFUNCTION("SPLIT(F60,""]"")"),"IPLMARKETTING")</f>
        <v>IPLMARKETTING</v>
      </c>
      <c r="H60" s="2">
        <f>IFERROR(__xludf.DUMMYFUNCTION("""COMPUTED_VALUE"""),24721.0)</f>
        <v>24721</v>
      </c>
      <c r="I60" s="2">
        <f t="shared" si="2"/>
        <v>2</v>
      </c>
      <c r="J60" s="2" t="str">
        <f t="shared" si="3"/>
        <v>Kochi</v>
      </c>
      <c r="K60" s="2" t="str">
        <f t="shared" si="4"/>
        <v>ZestVita</v>
      </c>
      <c r="L60" s="2">
        <f t="shared" si="5"/>
        <v>24236</v>
      </c>
      <c r="M60" s="2">
        <f t="shared" si="6"/>
        <v>24721</v>
      </c>
      <c r="N60" s="2" t="str">
        <f t="shared" si="7"/>
        <v>IPLMARKETTING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tr">
        <f>IFERROR(__xludf.DUMMYFUNCTION("SPLIT(SalesData!A61,""//"")"),"Month2 ")</f>
        <v>Month2 </v>
      </c>
      <c r="B61" s="2" t="str">
        <f>IFERROR(__xludf.DUMMYFUNCTION("""COMPUTED_VALUE"""),"City_Kochi")</f>
        <v>City_Kochi</v>
      </c>
      <c r="C61" s="2" t="str">
        <f>IFERROR(__xludf.DUMMYFUNCTION("""COMPUTED_VALUE"""),"PRD-NutriKid")</f>
        <v>PRD-NutriKid</v>
      </c>
      <c r="D61" s="2" t="str">
        <f>IFERROR(__xludf.DUMMYFUNCTION("""COMPUTED_VALUE"""),"OPQ  14406")</f>
        <v>OPQ  14406</v>
      </c>
      <c r="E61" s="2" t="str">
        <f>IFERROR(__xludf.DUMMYFUNCTION("""COMPUTED_VALUE"""),"NPQ[IPLMARKETTING]15270")</f>
        <v>NPQ[IPLMARKETTING]15270</v>
      </c>
      <c r="F61" s="2" t="str">
        <f t="shared" si="1"/>
        <v>IPLMARKETTING]15270</v>
      </c>
      <c r="G61" s="2" t="str">
        <f>IFERROR(__xludf.DUMMYFUNCTION("SPLIT(F61,""]"")"),"IPLMARKETTING")</f>
        <v>IPLMARKETTING</v>
      </c>
      <c r="H61" s="2">
        <f>IFERROR(__xludf.DUMMYFUNCTION("""COMPUTED_VALUE"""),15270.0)</f>
        <v>15270</v>
      </c>
      <c r="I61" s="2">
        <f t="shared" si="2"/>
        <v>2</v>
      </c>
      <c r="J61" s="2" t="str">
        <f t="shared" si="3"/>
        <v>Kochi</v>
      </c>
      <c r="K61" s="2" t="str">
        <f t="shared" si="4"/>
        <v>NutriKid</v>
      </c>
      <c r="L61" s="2">
        <f t="shared" si="5"/>
        <v>14406</v>
      </c>
      <c r="M61" s="2">
        <f t="shared" si="6"/>
        <v>15270</v>
      </c>
      <c r="N61" s="2" t="str">
        <f t="shared" si="7"/>
        <v>IPLMARKETTING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tr">
        <f>IFERROR(__xludf.DUMMYFUNCTION("SPLIT(SalesData!A62,""//"")"),"Month2 ")</f>
        <v>Month2 </v>
      </c>
      <c r="B62" s="2" t="str">
        <f>IFERROR(__xludf.DUMMYFUNCTION("""COMPUTED_VALUE"""),"City_Jaipur")</f>
        <v>City_Jaipur</v>
      </c>
      <c r="C62" s="2" t="str">
        <f>IFERROR(__xludf.DUMMYFUNCTION("""COMPUTED_VALUE"""),"PRD-ZestVita")</f>
        <v>PRD-ZestVita</v>
      </c>
      <c r="D62" s="2" t="str">
        <f>IFERROR(__xludf.DUMMYFUNCTION("""COMPUTED_VALUE"""),"OPQ  23105")</f>
        <v>OPQ  23105</v>
      </c>
      <c r="E62" s="2" t="str">
        <f>IFERROR(__xludf.DUMMYFUNCTION("""COMPUTED_VALUE"""),"NPQ[IPLMARKETTING]28188")</f>
        <v>NPQ[IPLMARKETTING]28188</v>
      </c>
      <c r="F62" s="2" t="str">
        <f t="shared" si="1"/>
        <v>IPLMARKETTING]28188</v>
      </c>
      <c r="G62" s="2" t="str">
        <f>IFERROR(__xludf.DUMMYFUNCTION("SPLIT(F62,""]"")"),"IPLMARKETTING")</f>
        <v>IPLMARKETTING</v>
      </c>
      <c r="H62" s="2">
        <f>IFERROR(__xludf.DUMMYFUNCTION("""COMPUTED_VALUE"""),28188.0)</f>
        <v>28188</v>
      </c>
      <c r="I62" s="2">
        <f t="shared" si="2"/>
        <v>2</v>
      </c>
      <c r="J62" s="2" t="str">
        <f t="shared" si="3"/>
        <v>Jaipur</v>
      </c>
      <c r="K62" s="2" t="str">
        <f t="shared" si="4"/>
        <v>ZestVita</v>
      </c>
      <c r="L62" s="2">
        <f t="shared" si="5"/>
        <v>23105</v>
      </c>
      <c r="M62" s="2">
        <f t="shared" si="6"/>
        <v>28188</v>
      </c>
      <c r="N62" s="2" t="str">
        <f t="shared" si="7"/>
        <v>IPLMARKETTING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tr">
        <f>IFERROR(__xludf.DUMMYFUNCTION("SPLIT(SalesData!A63,""//"")"),"Month2 ")</f>
        <v>Month2 </v>
      </c>
      <c r="B63" s="2" t="str">
        <f>IFERROR(__xludf.DUMMYFUNCTION("""COMPUTED_VALUE"""),"City_Jaipur")</f>
        <v>City_Jaipur</v>
      </c>
      <c r="C63" s="2" t="str">
        <f>IFERROR(__xludf.DUMMYFUNCTION("""COMPUTED_VALUE"""),"PRD-NutriKid")</f>
        <v>PRD-NutriKid</v>
      </c>
      <c r="D63" s="2" t="str">
        <f>IFERROR(__xludf.DUMMYFUNCTION("""COMPUTED_VALUE"""),"OPQ  17683")</f>
        <v>OPQ  17683</v>
      </c>
      <c r="E63" s="2" t="str">
        <f>IFERROR(__xludf.DUMMYFUNCTION("""COMPUTED_VALUE"""),"NPQ[IPLMARKETTING]21573")</f>
        <v>NPQ[IPLMARKETTING]21573</v>
      </c>
      <c r="F63" s="2" t="str">
        <f t="shared" si="1"/>
        <v>IPLMARKETTING]21573</v>
      </c>
      <c r="G63" s="2" t="str">
        <f>IFERROR(__xludf.DUMMYFUNCTION("SPLIT(F63,""]"")"),"IPLMARKETTING")</f>
        <v>IPLMARKETTING</v>
      </c>
      <c r="H63" s="2">
        <f>IFERROR(__xludf.DUMMYFUNCTION("""COMPUTED_VALUE"""),21573.0)</f>
        <v>21573</v>
      </c>
      <c r="I63" s="2">
        <f t="shared" si="2"/>
        <v>2</v>
      </c>
      <c r="J63" s="2" t="str">
        <f t="shared" si="3"/>
        <v>Jaipur</v>
      </c>
      <c r="K63" s="2" t="str">
        <f t="shared" si="4"/>
        <v>NutriKid</v>
      </c>
      <c r="L63" s="2">
        <f t="shared" si="5"/>
        <v>17683</v>
      </c>
      <c r="M63" s="2">
        <f t="shared" si="6"/>
        <v>21573</v>
      </c>
      <c r="N63" s="2" t="str">
        <f t="shared" si="7"/>
        <v>IPLMARKETTING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tr">
        <f>IFERROR(__xludf.DUMMYFUNCTION("SPLIT(SalesData!A64,""//"")"),"Month2 ")</f>
        <v>Month2 </v>
      </c>
      <c r="B64" s="2" t="str">
        <f>IFERROR(__xludf.DUMMYFUNCTION("""COMPUTED_VALUE"""),"City_Patna")</f>
        <v>City_Patna</v>
      </c>
      <c r="C64" s="2" t="str">
        <f>IFERROR(__xludf.DUMMYFUNCTION("""COMPUTED_VALUE"""),"PRD-ZestVita")</f>
        <v>PRD-ZestVita</v>
      </c>
      <c r="D64" s="2" t="str">
        <f>IFERROR(__xludf.DUMMYFUNCTION("""COMPUTED_VALUE"""),"OPQ  20260")</f>
        <v>OPQ  20260</v>
      </c>
      <c r="E64" s="2" t="str">
        <f>IFERROR(__xludf.DUMMYFUNCTION("""COMPUTED_VALUE"""),"NPQ[IPLMARKETTING]23907")</f>
        <v>NPQ[IPLMARKETTING]23907</v>
      </c>
      <c r="F64" s="2" t="str">
        <f t="shared" si="1"/>
        <v>IPLMARKETTING]23907</v>
      </c>
      <c r="G64" s="2" t="str">
        <f>IFERROR(__xludf.DUMMYFUNCTION("SPLIT(F64,""]"")"),"IPLMARKETTING")</f>
        <v>IPLMARKETTING</v>
      </c>
      <c r="H64" s="2">
        <f>IFERROR(__xludf.DUMMYFUNCTION("""COMPUTED_VALUE"""),23907.0)</f>
        <v>23907</v>
      </c>
      <c r="I64" s="2">
        <f t="shared" si="2"/>
        <v>2</v>
      </c>
      <c r="J64" s="2" t="str">
        <f t="shared" si="3"/>
        <v>Patna</v>
      </c>
      <c r="K64" s="2" t="str">
        <f t="shared" si="4"/>
        <v>ZestVita</v>
      </c>
      <c r="L64" s="2">
        <f t="shared" si="5"/>
        <v>20260</v>
      </c>
      <c r="M64" s="2">
        <f t="shared" si="6"/>
        <v>23907</v>
      </c>
      <c r="N64" s="2" t="str">
        <f t="shared" si="7"/>
        <v>IPLMARKETTING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tr">
        <f>IFERROR(__xludf.DUMMYFUNCTION("SPLIT(SalesData!A65,""//"")"),"Month2 ")</f>
        <v>Month2 </v>
      </c>
      <c r="B65" s="2" t="str">
        <f>IFERROR(__xludf.DUMMYFUNCTION("""COMPUTED_VALUE"""),"City_Patna")</f>
        <v>City_Patna</v>
      </c>
      <c r="C65" s="2" t="str">
        <f>IFERROR(__xludf.DUMMYFUNCTION("""COMPUTED_VALUE"""),"PRD-NutriKid")</f>
        <v>PRD-NutriKid</v>
      </c>
      <c r="D65" s="2" t="str">
        <f>IFERROR(__xludf.DUMMYFUNCTION("""COMPUTED_VALUE"""),"OPQ  26296")</f>
        <v>OPQ  26296</v>
      </c>
      <c r="E65" s="2" t="str">
        <f>IFERROR(__xludf.DUMMYFUNCTION("""COMPUTED_VALUE"""),"NPQ[IPLMARKETTING]32607")</f>
        <v>NPQ[IPLMARKETTING]32607</v>
      </c>
      <c r="F65" s="2" t="str">
        <f t="shared" si="1"/>
        <v>IPLMARKETTING]32607</v>
      </c>
      <c r="G65" s="2" t="str">
        <f>IFERROR(__xludf.DUMMYFUNCTION("SPLIT(F65,""]"")"),"IPLMARKETTING")</f>
        <v>IPLMARKETTING</v>
      </c>
      <c r="H65" s="2">
        <f>IFERROR(__xludf.DUMMYFUNCTION("""COMPUTED_VALUE"""),32607.0)</f>
        <v>32607</v>
      </c>
      <c r="I65" s="2">
        <f t="shared" si="2"/>
        <v>2</v>
      </c>
      <c r="J65" s="2" t="str">
        <f t="shared" si="3"/>
        <v>Patna</v>
      </c>
      <c r="K65" s="2" t="str">
        <f t="shared" si="4"/>
        <v>NutriKid</v>
      </c>
      <c r="L65" s="2">
        <f t="shared" si="5"/>
        <v>26296</v>
      </c>
      <c r="M65" s="2">
        <f t="shared" si="6"/>
        <v>32607</v>
      </c>
      <c r="N65" s="2" t="str">
        <f t="shared" si="7"/>
        <v>IPLMARKETTING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tr">
        <f>IFERROR(__xludf.DUMMYFUNCTION("SPLIT(SalesData!A66,""//"")"),"Month3 ")</f>
        <v>Month3 </v>
      </c>
      <c r="B66" s="2" t="str">
        <f>IFERROR(__xludf.DUMMYFUNCTION("""COMPUTED_VALUE"""),"City_Delhi")</f>
        <v>City_Delhi</v>
      </c>
      <c r="C66" s="2" t="str">
        <f>IFERROR(__xludf.DUMMYFUNCTION("""COMPUTED_VALUE"""),"PRD-ZestVita")</f>
        <v>PRD-ZestVita</v>
      </c>
      <c r="D66" s="2" t="str">
        <f>IFERROR(__xludf.DUMMYFUNCTION("""COMPUTED_VALUE"""),"OPQ  28430")</f>
        <v>OPQ  28430</v>
      </c>
      <c r="E66" s="2" t="str">
        <f>IFERROR(__xludf.DUMMYFUNCTION("""COMPUTED_VALUE"""),"NPQ[IPLMARKETTING]33832")</f>
        <v>NPQ[IPLMARKETTING]33832</v>
      </c>
      <c r="F66" s="2" t="str">
        <f t="shared" si="1"/>
        <v>IPLMARKETTING]33832</v>
      </c>
      <c r="G66" s="2" t="str">
        <f>IFERROR(__xludf.DUMMYFUNCTION("SPLIT(F66,""]"")"),"IPLMARKETTING")</f>
        <v>IPLMARKETTING</v>
      </c>
      <c r="H66" s="2">
        <f>IFERROR(__xludf.DUMMYFUNCTION("""COMPUTED_VALUE"""),33832.0)</f>
        <v>33832</v>
      </c>
      <c r="I66" s="2">
        <f t="shared" si="2"/>
        <v>3</v>
      </c>
      <c r="J66" s="2" t="str">
        <f t="shared" si="3"/>
        <v>Delhi</v>
      </c>
      <c r="K66" s="2" t="str">
        <f t="shared" si="4"/>
        <v>ZestVita</v>
      </c>
      <c r="L66" s="2">
        <f t="shared" si="5"/>
        <v>28430</v>
      </c>
      <c r="M66" s="2">
        <f t="shared" si="6"/>
        <v>33832</v>
      </c>
      <c r="N66" s="2" t="str">
        <f t="shared" si="7"/>
        <v>IPLMARKETTING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tr">
        <f>IFERROR(__xludf.DUMMYFUNCTION("SPLIT(SalesData!A67,""//"")"),"Month3 ")</f>
        <v>Month3 </v>
      </c>
      <c r="B67" s="2" t="str">
        <f>IFERROR(__xludf.DUMMYFUNCTION("""COMPUTED_VALUE"""),"City_Delhi")</f>
        <v>City_Delhi</v>
      </c>
      <c r="C67" s="2" t="str">
        <f>IFERROR(__xludf.DUMMYFUNCTION("""COMPUTED_VALUE"""),"PRD-NutriKid")</f>
        <v>PRD-NutriKid</v>
      </c>
      <c r="D67" s="2" t="str">
        <f>IFERROR(__xludf.DUMMYFUNCTION("""COMPUTED_VALUE"""),"OPQ  22212")</f>
        <v>OPQ  22212</v>
      </c>
      <c r="E67" s="2" t="str">
        <f>IFERROR(__xludf.DUMMYFUNCTION("""COMPUTED_VALUE"""),"NPQ[IPLMARKETTING]25988")</f>
        <v>NPQ[IPLMARKETTING]25988</v>
      </c>
      <c r="F67" s="2" t="str">
        <f t="shared" si="1"/>
        <v>IPLMARKETTING]25988</v>
      </c>
      <c r="G67" s="2" t="str">
        <f>IFERROR(__xludf.DUMMYFUNCTION("SPLIT(F67,""]"")"),"IPLMARKETTING")</f>
        <v>IPLMARKETTING</v>
      </c>
      <c r="H67" s="2">
        <f>IFERROR(__xludf.DUMMYFUNCTION("""COMPUTED_VALUE"""),25988.0)</f>
        <v>25988</v>
      </c>
      <c r="I67" s="2">
        <f t="shared" si="2"/>
        <v>3</v>
      </c>
      <c r="J67" s="2" t="str">
        <f t="shared" si="3"/>
        <v>Delhi</v>
      </c>
      <c r="K67" s="2" t="str">
        <f t="shared" si="4"/>
        <v>NutriKid</v>
      </c>
      <c r="L67" s="2">
        <f t="shared" si="5"/>
        <v>22212</v>
      </c>
      <c r="M67" s="2">
        <f t="shared" si="6"/>
        <v>25988</v>
      </c>
      <c r="N67" s="2" t="str">
        <f t="shared" si="7"/>
        <v>IPLMARKETTING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tr">
        <f>IFERROR(__xludf.DUMMYFUNCTION("SPLIT(SalesData!A68,""//"")"),"Month3 ")</f>
        <v>Month3 </v>
      </c>
      <c r="B68" s="2" t="str">
        <f>IFERROR(__xludf.DUMMYFUNCTION("""COMPUTED_VALUE"""),"City_Kolkata")</f>
        <v>City_Kolkata</v>
      </c>
      <c r="C68" s="2" t="str">
        <f>IFERROR(__xludf.DUMMYFUNCTION("""COMPUTED_VALUE"""),"PRD-ZestVita")</f>
        <v>PRD-ZestVita</v>
      </c>
      <c r="D68" s="2" t="str">
        <f>IFERROR(__xludf.DUMMYFUNCTION("""COMPUTED_VALUE"""),"OPQ  15565")</f>
        <v>OPQ  15565</v>
      </c>
      <c r="E68" s="2" t="str">
        <f>IFERROR(__xludf.DUMMYFUNCTION("""COMPUTED_VALUE"""),"NPQ[IPLMARKETTING]17900")</f>
        <v>NPQ[IPLMARKETTING]17900</v>
      </c>
      <c r="F68" s="2" t="str">
        <f t="shared" si="1"/>
        <v>IPLMARKETTING]17900</v>
      </c>
      <c r="G68" s="2" t="str">
        <f>IFERROR(__xludf.DUMMYFUNCTION("SPLIT(F68,""]"")"),"IPLMARKETTING")</f>
        <v>IPLMARKETTING</v>
      </c>
      <c r="H68" s="2">
        <f>IFERROR(__xludf.DUMMYFUNCTION("""COMPUTED_VALUE"""),17900.0)</f>
        <v>17900</v>
      </c>
      <c r="I68" s="2">
        <f t="shared" si="2"/>
        <v>3</v>
      </c>
      <c r="J68" s="2" t="str">
        <f t="shared" si="3"/>
        <v>Kolkata</v>
      </c>
      <c r="K68" s="2" t="str">
        <f t="shared" si="4"/>
        <v>ZestVita</v>
      </c>
      <c r="L68" s="2">
        <f t="shared" si="5"/>
        <v>15565</v>
      </c>
      <c r="M68" s="2">
        <f t="shared" si="6"/>
        <v>17900</v>
      </c>
      <c r="N68" s="2" t="str">
        <f t="shared" si="7"/>
        <v>IPLMARKETTING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tr">
        <f>IFERROR(__xludf.DUMMYFUNCTION("SPLIT(SalesData!A69,""//"")"),"Month3 ")</f>
        <v>Month3 </v>
      </c>
      <c r="B69" s="2" t="str">
        <f>IFERROR(__xludf.DUMMYFUNCTION("""COMPUTED_VALUE"""),"City_Kolkata")</f>
        <v>City_Kolkata</v>
      </c>
      <c r="C69" s="2" t="str">
        <f>IFERROR(__xludf.DUMMYFUNCTION("""COMPUTED_VALUE"""),"PRD-NutriKid")</f>
        <v>PRD-NutriKid</v>
      </c>
      <c r="D69" s="2" t="str">
        <f>IFERROR(__xludf.DUMMYFUNCTION("""COMPUTED_VALUE"""),"OPQ  29813")</f>
        <v>OPQ  29813</v>
      </c>
      <c r="E69" s="2" t="str">
        <f>IFERROR(__xludf.DUMMYFUNCTION("""COMPUTED_VALUE"""),"NPQ[IPLMARKETTING]34285")</f>
        <v>NPQ[IPLMARKETTING]34285</v>
      </c>
      <c r="F69" s="2" t="str">
        <f t="shared" si="1"/>
        <v>IPLMARKETTING]34285</v>
      </c>
      <c r="G69" s="2" t="str">
        <f>IFERROR(__xludf.DUMMYFUNCTION("SPLIT(F69,""]"")"),"IPLMARKETTING")</f>
        <v>IPLMARKETTING</v>
      </c>
      <c r="H69" s="2">
        <f>IFERROR(__xludf.DUMMYFUNCTION("""COMPUTED_VALUE"""),34285.0)</f>
        <v>34285</v>
      </c>
      <c r="I69" s="2">
        <f t="shared" si="2"/>
        <v>3</v>
      </c>
      <c r="J69" s="2" t="str">
        <f t="shared" si="3"/>
        <v>Kolkata</v>
      </c>
      <c r="K69" s="2" t="str">
        <f t="shared" si="4"/>
        <v>NutriKid</v>
      </c>
      <c r="L69" s="2">
        <f t="shared" si="5"/>
        <v>29813</v>
      </c>
      <c r="M69" s="2">
        <f t="shared" si="6"/>
        <v>34285</v>
      </c>
      <c r="N69" s="2" t="str">
        <f t="shared" si="7"/>
        <v>IPLMARKETTING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tr">
        <f>IFERROR(__xludf.DUMMYFUNCTION("SPLIT(SalesData!A70,""//"")"),"Month3 ")</f>
        <v>Month3 </v>
      </c>
      <c r="B70" s="2" t="str">
        <f>IFERROR(__xludf.DUMMYFUNCTION("""COMPUTED_VALUE"""),"City_Pune")</f>
        <v>City_Pune</v>
      </c>
      <c r="C70" s="2" t="str">
        <f>IFERROR(__xludf.DUMMYFUNCTION("""COMPUTED_VALUE"""),"PRD-ZestVita")</f>
        <v>PRD-ZestVita</v>
      </c>
      <c r="D70" s="2" t="str">
        <f>IFERROR(__xludf.DUMMYFUNCTION("""COMPUTED_VALUE"""),"OPQ  18789")</f>
        <v>OPQ  18789</v>
      </c>
      <c r="E70" s="2" t="str">
        <f>IFERROR(__xludf.DUMMYFUNCTION("""COMPUTED_VALUE"""),"NPQ[IPLMARKETTING]23110")</f>
        <v>NPQ[IPLMARKETTING]23110</v>
      </c>
      <c r="F70" s="2" t="str">
        <f t="shared" si="1"/>
        <v>IPLMARKETTING]23110</v>
      </c>
      <c r="G70" s="2" t="str">
        <f>IFERROR(__xludf.DUMMYFUNCTION("SPLIT(F70,""]"")"),"IPLMARKETTING")</f>
        <v>IPLMARKETTING</v>
      </c>
      <c r="H70" s="2">
        <f>IFERROR(__xludf.DUMMYFUNCTION("""COMPUTED_VALUE"""),23110.0)</f>
        <v>23110</v>
      </c>
      <c r="I70" s="2">
        <f t="shared" si="2"/>
        <v>3</v>
      </c>
      <c r="J70" s="2" t="str">
        <f t="shared" si="3"/>
        <v>Pune</v>
      </c>
      <c r="K70" s="2" t="str">
        <f t="shared" si="4"/>
        <v>ZestVita</v>
      </c>
      <c r="L70" s="2">
        <f t="shared" si="5"/>
        <v>18789</v>
      </c>
      <c r="M70" s="2">
        <f t="shared" si="6"/>
        <v>23110</v>
      </c>
      <c r="N70" s="2" t="str">
        <f t="shared" si="7"/>
        <v>IPLMARKETTING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tr">
        <f>IFERROR(__xludf.DUMMYFUNCTION("SPLIT(SalesData!A71,""//"")"),"Month3 ")</f>
        <v>Month3 </v>
      </c>
      <c r="B71" s="2" t="str">
        <f>IFERROR(__xludf.DUMMYFUNCTION("""COMPUTED_VALUE"""),"City_Pune")</f>
        <v>City_Pune</v>
      </c>
      <c r="C71" s="2" t="str">
        <f>IFERROR(__xludf.DUMMYFUNCTION("""COMPUTED_VALUE"""),"PRD-NutriKid")</f>
        <v>PRD-NutriKid</v>
      </c>
      <c r="D71" s="2" t="str">
        <f>IFERROR(__xludf.DUMMYFUNCTION("""COMPUTED_VALUE"""),"OPQ  21999")</f>
        <v>OPQ  21999</v>
      </c>
      <c r="E71" s="2" t="str">
        <f>IFERROR(__xludf.DUMMYFUNCTION("""COMPUTED_VALUE"""),"NPQ[IPLMARKETTING]24199")</f>
        <v>NPQ[IPLMARKETTING]24199</v>
      </c>
      <c r="F71" s="2" t="str">
        <f t="shared" si="1"/>
        <v>IPLMARKETTING]24199</v>
      </c>
      <c r="G71" s="2" t="str">
        <f>IFERROR(__xludf.DUMMYFUNCTION("SPLIT(F71,""]"")"),"IPLMARKETTING")</f>
        <v>IPLMARKETTING</v>
      </c>
      <c r="H71" s="2">
        <f>IFERROR(__xludf.DUMMYFUNCTION("""COMPUTED_VALUE"""),24199.0)</f>
        <v>24199</v>
      </c>
      <c r="I71" s="2">
        <f t="shared" si="2"/>
        <v>3</v>
      </c>
      <c r="J71" s="2" t="str">
        <f t="shared" si="3"/>
        <v>Pune</v>
      </c>
      <c r="K71" s="2" t="str">
        <f t="shared" si="4"/>
        <v>NutriKid</v>
      </c>
      <c r="L71" s="2">
        <f t="shared" si="5"/>
        <v>21999</v>
      </c>
      <c r="M71" s="2">
        <f t="shared" si="6"/>
        <v>24199</v>
      </c>
      <c r="N71" s="2" t="str">
        <f t="shared" si="7"/>
        <v>IPLMARKETTING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tr">
        <f>IFERROR(__xludf.DUMMYFUNCTION("SPLIT(SalesData!A72,""//"")"),"Month3 ")</f>
        <v>Month3 </v>
      </c>
      <c r="B72" s="2" t="str">
        <f>IFERROR(__xludf.DUMMYFUNCTION("""COMPUTED_VALUE"""),"City_Bengaluru")</f>
        <v>City_Bengaluru</v>
      </c>
      <c r="C72" s="2" t="str">
        <f>IFERROR(__xludf.DUMMYFUNCTION("""COMPUTED_VALUE"""),"PRD-ZestVita")</f>
        <v>PRD-ZestVita</v>
      </c>
      <c r="D72" s="2" t="str">
        <f>IFERROR(__xludf.DUMMYFUNCTION("""COMPUTED_VALUE"""),"OPQ  34569")</f>
        <v>OPQ  34569</v>
      </c>
      <c r="E72" s="2" t="str">
        <f>IFERROR(__xludf.DUMMYFUNCTION("""COMPUTED_VALUE"""),"NPQ[IPLMARKETTING]41483")</f>
        <v>NPQ[IPLMARKETTING]41483</v>
      </c>
      <c r="F72" s="2" t="str">
        <f t="shared" si="1"/>
        <v>IPLMARKETTING]41483</v>
      </c>
      <c r="G72" s="2" t="str">
        <f>IFERROR(__xludf.DUMMYFUNCTION("SPLIT(F72,""]"")"),"IPLMARKETTING")</f>
        <v>IPLMARKETTING</v>
      </c>
      <c r="H72" s="2">
        <f>IFERROR(__xludf.DUMMYFUNCTION("""COMPUTED_VALUE"""),41483.0)</f>
        <v>41483</v>
      </c>
      <c r="I72" s="2">
        <f t="shared" si="2"/>
        <v>3</v>
      </c>
      <c r="J72" s="2" t="str">
        <f t="shared" si="3"/>
        <v>Bengaluru</v>
      </c>
      <c r="K72" s="2" t="str">
        <f t="shared" si="4"/>
        <v>ZestVita</v>
      </c>
      <c r="L72" s="2">
        <f t="shared" si="5"/>
        <v>34569</v>
      </c>
      <c r="M72" s="2">
        <f t="shared" si="6"/>
        <v>41483</v>
      </c>
      <c r="N72" s="2" t="str">
        <f t="shared" si="7"/>
        <v>IPLMARKETTING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tr">
        <f>IFERROR(__xludf.DUMMYFUNCTION("SPLIT(SalesData!A73,""//"")"),"Month3 ")</f>
        <v>Month3 </v>
      </c>
      <c r="B73" s="2" t="str">
        <f>IFERROR(__xludf.DUMMYFUNCTION("""COMPUTED_VALUE"""),"City_Bengaluru")</f>
        <v>City_Bengaluru</v>
      </c>
      <c r="C73" s="2" t="str">
        <f>IFERROR(__xludf.DUMMYFUNCTION("""COMPUTED_VALUE"""),"PRD-NutriKid")</f>
        <v>PRD-NutriKid</v>
      </c>
      <c r="D73" s="2" t="str">
        <f>IFERROR(__xludf.DUMMYFUNCTION("""COMPUTED_VALUE"""),"OPQ  18435")</f>
        <v>OPQ  18435</v>
      </c>
      <c r="E73" s="2" t="str">
        <f>IFERROR(__xludf.DUMMYFUNCTION("""COMPUTED_VALUE"""),"NPQ[IPLMARKETTING]22306")</f>
        <v>NPQ[IPLMARKETTING]22306</v>
      </c>
      <c r="F73" s="2" t="str">
        <f t="shared" si="1"/>
        <v>IPLMARKETTING]22306</v>
      </c>
      <c r="G73" s="2" t="str">
        <f>IFERROR(__xludf.DUMMYFUNCTION("SPLIT(F73,""]"")"),"IPLMARKETTING")</f>
        <v>IPLMARKETTING</v>
      </c>
      <c r="H73" s="2">
        <f>IFERROR(__xludf.DUMMYFUNCTION("""COMPUTED_VALUE"""),22306.0)</f>
        <v>22306</v>
      </c>
      <c r="I73" s="2">
        <f t="shared" si="2"/>
        <v>3</v>
      </c>
      <c r="J73" s="2" t="str">
        <f t="shared" si="3"/>
        <v>Bengaluru</v>
      </c>
      <c r="K73" s="2" t="str">
        <f t="shared" si="4"/>
        <v>NutriKid</v>
      </c>
      <c r="L73" s="2">
        <f t="shared" si="5"/>
        <v>18435</v>
      </c>
      <c r="M73" s="2">
        <f t="shared" si="6"/>
        <v>22306</v>
      </c>
      <c r="N73" s="2" t="str">
        <f t="shared" si="7"/>
        <v>IPLMARKETTING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tr">
        <f>IFERROR(__xludf.DUMMYFUNCTION("SPLIT(SalesData!A74,""//"")"),"Month3 ")</f>
        <v>Month3 </v>
      </c>
      <c r="B74" s="2" t="str">
        <f>IFERROR(__xludf.DUMMYFUNCTION("""COMPUTED_VALUE"""),"City_Chandigarh")</f>
        <v>City_Chandigarh</v>
      </c>
      <c r="C74" s="2" t="str">
        <f>IFERROR(__xludf.DUMMYFUNCTION("""COMPUTED_VALUE"""),"PRD-ZestVita")</f>
        <v>PRD-ZestVita</v>
      </c>
      <c r="D74" s="2" t="str">
        <f>IFERROR(__xludf.DUMMYFUNCTION("""COMPUTED_VALUE"""),"OPQ  29920")</f>
        <v>OPQ  29920</v>
      </c>
      <c r="E74" s="2" t="str">
        <f>IFERROR(__xludf.DUMMYFUNCTION("""COMPUTED_VALUE"""),"NPQ[IPLMARKETTING]37101")</f>
        <v>NPQ[IPLMARKETTING]37101</v>
      </c>
      <c r="F74" s="2" t="str">
        <f t="shared" si="1"/>
        <v>IPLMARKETTING]37101</v>
      </c>
      <c r="G74" s="2" t="str">
        <f>IFERROR(__xludf.DUMMYFUNCTION("SPLIT(F74,""]"")"),"IPLMARKETTING")</f>
        <v>IPLMARKETTING</v>
      </c>
      <c r="H74" s="2">
        <f>IFERROR(__xludf.DUMMYFUNCTION("""COMPUTED_VALUE"""),37101.0)</f>
        <v>37101</v>
      </c>
      <c r="I74" s="2">
        <f t="shared" si="2"/>
        <v>3</v>
      </c>
      <c r="J74" s="2" t="str">
        <f t="shared" si="3"/>
        <v>Chandigarh</v>
      </c>
      <c r="K74" s="2" t="str">
        <f t="shared" si="4"/>
        <v>ZestVita</v>
      </c>
      <c r="L74" s="2">
        <f t="shared" si="5"/>
        <v>29920</v>
      </c>
      <c r="M74" s="2">
        <f t="shared" si="6"/>
        <v>37101</v>
      </c>
      <c r="N74" s="2" t="str">
        <f t="shared" si="7"/>
        <v>IPLMARKETTING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tr">
        <f>IFERROR(__xludf.DUMMYFUNCTION("SPLIT(SalesData!A75,""//"")"),"Month3 ")</f>
        <v>Month3 </v>
      </c>
      <c r="B75" s="2" t="str">
        <f>IFERROR(__xludf.DUMMYFUNCTION("""COMPUTED_VALUE"""),"City_Chandigarh")</f>
        <v>City_Chandigarh</v>
      </c>
      <c r="C75" s="2" t="str">
        <f>IFERROR(__xludf.DUMMYFUNCTION("""COMPUTED_VALUE"""),"PRD-NutriKid")</f>
        <v>PRD-NutriKid</v>
      </c>
      <c r="D75" s="2" t="str">
        <f>IFERROR(__xludf.DUMMYFUNCTION("""COMPUTED_VALUE"""),"OPQ  31783")</f>
        <v>OPQ  31783</v>
      </c>
      <c r="E75" s="2" t="str">
        <f>IFERROR(__xludf.DUMMYFUNCTION("""COMPUTED_VALUE"""),"NPQ[IPLMARKETTING]37504")</f>
        <v>NPQ[IPLMARKETTING]37504</v>
      </c>
      <c r="F75" s="2" t="str">
        <f t="shared" si="1"/>
        <v>IPLMARKETTING]37504</v>
      </c>
      <c r="G75" s="2" t="str">
        <f>IFERROR(__xludf.DUMMYFUNCTION("SPLIT(F75,""]"")"),"IPLMARKETTING")</f>
        <v>IPLMARKETTING</v>
      </c>
      <c r="H75" s="2">
        <f>IFERROR(__xludf.DUMMYFUNCTION("""COMPUTED_VALUE"""),37504.0)</f>
        <v>37504</v>
      </c>
      <c r="I75" s="2">
        <f t="shared" si="2"/>
        <v>3</v>
      </c>
      <c r="J75" s="2" t="str">
        <f t="shared" si="3"/>
        <v>Chandigarh</v>
      </c>
      <c r="K75" s="2" t="str">
        <f t="shared" si="4"/>
        <v>NutriKid</v>
      </c>
      <c r="L75" s="2">
        <f t="shared" si="5"/>
        <v>31783</v>
      </c>
      <c r="M75" s="2">
        <f t="shared" si="6"/>
        <v>37504</v>
      </c>
      <c r="N75" s="2" t="str">
        <f t="shared" si="7"/>
        <v>IPLMARKETTING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tr">
        <f>IFERROR(__xludf.DUMMYFUNCTION("SPLIT(SalesData!A76,""//"")"),"Month3 ")</f>
        <v>Month3 </v>
      </c>
      <c r="B76" s="2" t="str">
        <f>IFERROR(__xludf.DUMMYFUNCTION("""COMPUTED_VALUE"""),"City_Bhubaneswar")</f>
        <v>City_Bhubaneswar</v>
      </c>
      <c r="C76" s="2" t="str">
        <f>IFERROR(__xludf.DUMMYFUNCTION("""COMPUTED_VALUE"""),"PRD-ZestVita")</f>
        <v>PRD-ZestVita</v>
      </c>
      <c r="D76" s="2" t="str">
        <f>IFERROR(__xludf.DUMMYFUNCTION("""COMPUTED_VALUE"""),"OPQ  14433")</f>
        <v>OPQ  14433</v>
      </c>
      <c r="E76" s="2" t="str">
        <f>IFERROR(__xludf.DUMMYFUNCTION("""COMPUTED_VALUE"""),"NPQ[IPLMARKETTING]14866")</f>
        <v>NPQ[IPLMARKETTING]14866</v>
      </c>
      <c r="F76" s="2" t="str">
        <f t="shared" si="1"/>
        <v>IPLMARKETTING]14866</v>
      </c>
      <c r="G76" s="2" t="str">
        <f>IFERROR(__xludf.DUMMYFUNCTION("SPLIT(F76,""]"")"),"IPLMARKETTING")</f>
        <v>IPLMARKETTING</v>
      </c>
      <c r="H76" s="2">
        <f>IFERROR(__xludf.DUMMYFUNCTION("""COMPUTED_VALUE"""),14866.0)</f>
        <v>14866</v>
      </c>
      <c r="I76" s="2">
        <f t="shared" si="2"/>
        <v>3</v>
      </c>
      <c r="J76" s="2" t="str">
        <f t="shared" si="3"/>
        <v>Bhubaneswar</v>
      </c>
      <c r="K76" s="2" t="str">
        <f t="shared" si="4"/>
        <v>ZestVita</v>
      </c>
      <c r="L76" s="2">
        <f t="shared" si="5"/>
        <v>14433</v>
      </c>
      <c r="M76" s="2">
        <f t="shared" si="6"/>
        <v>14866</v>
      </c>
      <c r="N76" s="2" t="str">
        <f t="shared" si="7"/>
        <v>IPLMARKETTING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tr">
        <f>IFERROR(__xludf.DUMMYFUNCTION("SPLIT(SalesData!A77,""//"")"),"Month3 ")</f>
        <v>Month3 </v>
      </c>
      <c r="B77" s="2" t="str">
        <f>IFERROR(__xludf.DUMMYFUNCTION("""COMPUTED_VALUE"""),"City_Bhubaneswar")</f>
        <v>City_Bhubaneswar</v>
      </c>
      <c r="C77" s="2" t="str">
        <f>IFERROR(__xludf.DUMMYFUNCTION("""COMPUTED_VALUE"""),"PRD-NutriKid")</f>
        <v>PRD-NutriKid</v>
      </c>
      <c r="D77" s="2" t="str">
        <f>IFERROR(__xludf.DUMMYFUNCTION("""COMPUTED_VALUE"""),"OPQ  19294")</f>
        <v>OPQ  19294</v>
      </c>
      <c r="E77" s="2" t="str">
        <f>IFERROR(__xludf.DUMMYFUNCTION("""COMPUTED_VALUE"""),"NPQ[IPLMARKETTING]19680")</f>
        <v>NPQ[IPLMARKETTING]19680</v>
      </c>
      <c r="F77" s="2" t="str">
        <f t="shared" si="1"/>
        <v>IPLMARKETTING]19680</v>
      </c>
      <c r="G77" s="2" t="str">
        <f>IFERROR(__xludf.DUMMYFUNCTION("SPLIT(F77,""]"")"),"IPLMARKETTING")</f>
        <v>IPLMARKETTING</v>
      </c>
      <c r="H77" s="2">
        <f>IFERROR(__xludf.DUMMYFUNCTION("""COMPUTED_VALUE"""),19680.0)</f>
        <v>19680</v>
      </c>
      <c r="I77" s="2">
        <f t="shared" si="2"/>
        <v>3</v>
      </c>
      <c r="J77" s="2" t="str">
        <f t="shared" si="3"/>
        <v>Bhubaneswar</v>
      </c>
      <c r="K77" s="2" t="str">
        <f t="shared" si="4"/>
        <v>NutriKid</v>
      </c>
      <c r="L77" s="2">
        <f t="shared" si="5"/>
        <v>19294</v>
      </c>
      <c r="M77" s="2">
        <f t="shared" si="6"/>
        <v>19680</v>
      </c>
      <c r="N77" s="2" t="str">
        <f t="shared" si="7"/>
        <v>IPLMARKETTING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tr">
        <f>IFERROR(__xludf.DUMMYFUNCTION("SPLIT(SalesData!A78,""//"")"),"Month3 ")</f>
        <v>Month3 </v>
      </c>
      <c r="B78" s="2" t="str">
        <f>IFERROR(__xludf.DUMMYFUNCTION("""COMPUTED_VALUE"""),"City_Ahmedabad ")</f>
        <v>City_Ahmedabad </v>
      </c>
      <c r="C78" s="2" t="str">
        <f>IFERROR(__xludf.DUMMYFUNCTION("""COMPUTED_VALUE"""),"PRD-ZestVita")</f>
        <v>PRD-ZestVita</v>
      </c>
      <c r="D78" s="2" t="str">
        <f>IFERROR(__xludf.DUMMYFUNCTION("""COMPUTED_VALUE"""),"OPQ  26741")</f>
        <v>OPQ  26741</v>
      </c>
      <c r="E78" s="2" t="str">
        <f>IFERROR(__xludf.DUMMYFUNCTION("""COMPUTED_VALUE"""),"NPQ[IPLMARKETTING]32624")</f>
        <v>NPQ[IPLMARKETTING]32624</v>
      </c>
      <c r="F78" s="2" t="str">
        <f t="shared" si="1"/>
        <v>IPLMARKETTING]32624</v>
      </c>
      <c r="G78" s="2" t="str">
        <f>IFERROR(__xludf.DUMMYFUNCTION("SPLIT(F78,""]"")"),"IPLMARKETTING")</f>
        <v>IPLMARKETTING</v>
      </c>
      <c r="H78" s="2">
        <f>IFERROR(__xludf.DUMMYFUNCTION("""COMPUTED_VALUE"""),32624.0)</f>
        <v>32624</v>
      </c>
      <c r="I78" s="2">
        <f t="shared" si="2"/>
        <v>3</v>
      </c>
      <c r="J78" s="2" t="str">
        <f t="shared" si="3"/>
        <v>Ahmedabad</v>
      </c>
      <c r="K78" s="2" t="str">
        <f t="shared" si="4"/>
        <v>ZestVita</v>
      </c>
      <c r="L78" s="2">
        <f t="shared" si="5"/>
        <v>26741</v>
      </c>
      <c r="M78" s="2">
        <f t="shared" si="6"/>
        <v>32624</v>
      </c>
      <c r="N78" s="2" t="str">
        <f t="shared" si="7"/>
        <v>IPLMARKETTING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tr">
        <f>IFERROR(__xludf.DUMMYFUNCTION("SPLIT(SalesData!A79,""//"")"),"Month3 ")</f>
        <v>Month3 </v>
      </c>
      <c r="B79" s="2" t="str">
        <f>IFERROR(__xludf.DUMMYFUNCTION("""COMPUTED_VALUE"""),"City_Ahmedabad ")</f>
        <v>City_Ahmedabad </v>
      </c>
      <c r="C79" s="2" t="str">
        <f>IFERROR(__xludf.DUMMYFUNCTION("""COMPUTED_VALUE"""),"PRD-NutriKid")</f>
        <v>PRD-NutriKid</v>
      </c>
      <c r="D79" s="2" t="str">
        <f>IFERROR(__xludf.DUMMYFUNCTION("""COMPUTED_VALUE"""),"OPQ  15153")</f>
        <v>OPQ  15153</v>
      </c>
      <c r="E79" s="2" t="str">
        <f>IFERROR(__xludf.DUMMYFUNCTION("""COMPUTED_VALUE"""),"NPQ[IPLMARKETTING]18941")</f>
        <v>NPQ[IPLMARKETTING]18941</v>
      </c>
      <c r="F79" s="2" t="str">
        <f t="shared" si="1"/>
        <v>IPLMARKETTING]18941</v>
      </c>
      <c r="G79" s="2" t="str">
        <f>IFERROR(__xludf.DUMMYFUNCTION("SPLIT(F79,""]"")"),"IPLMARKETTING")</f>
        <v>IPLMARKETTING</v>
      </c>
      <c r="H79" s="2">
        <f>IFERROR(__xludf.DUMMYFUNCTION("""COMPUTED_VALUE"""),18941.0)</f>
        <v>18941</v>
      </c>
      <c r="I79" s="2">
        <f t="shared" si="2"/>
        <v>3</v>
      </c>
      <c r="J79" s="2" t="str">
        <f t="shared" si="3"/>
        <v>Ahmedabad</v>
      </c>
      <c r="K79" s="2" t="str">
        <f t="shared" si="4"/>
        <v>NutriKid</v>
      </c>
      <c r="L79" s="2">
        <f t="shared" si="5"/>
        <v>15153</v>
      </c>
      <c r="M79" s="2">
        <f t="shared" si="6"/>
        <v>18941</v>
      </c>
      <c r="N79" s="2" t="str">
        <f t="shared" si="7"/>
        <v>IPLMARKETTING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tr">
        <f>IFERROR(__xludf.DUMMYFUNCTION("SPLIT(SalesData!A80,""//"")"),"Month3 ")</f>
        <v>Month3 </v>
      </c>
      <c r="B80" s="2" t="str">
        <f>IFERROR(__xludf.DUMMYFUNCTION("""COMPUTED_VALUE"""),"City_Chennai")</f>
        <v>City_Chennai</v>
      </c>
      <c r="C80" s="2" t="str">
        <f>IFERROR(__xludf.DUMMYFUNCTION("""COMPUTED_VALUE"""),"PRD-ZestVita")</f>
        <v>PRD-ZestVita</v>
      </c>
      <c r="D80" s="2" t="str">
        <f>IFERROR(__xludf.DUMMYFUNCTION("""COMPUTED_VALUE"""),"OPQ  16653")</f>
        <v>OPQ  16653</v>
      </c>
      <c r="E80" s="2" t="str">
        <f>IFERROR(__xludf.DUMMYFUNCTION("""COMPUTED_VALUE"""),"NPQ[IPLMARKETTING]19484")</f>
        <v>NPQ[IPLMARKETTING]19484</v>
      </c>
      <c r="F80" s="2" t="str">
        <f t="shared" si="1"/>
        <v>IPLMARKETTING]19484</v>
      </c>
      <c r="G80" s="2" t="str">
        <f>IFERROR(__xludf.DUMMYFUNCTION("SPLIT(F80,""]"")"),"IPLMARKETTING")</f>
        <v>IPLMARKETTING</v>
      </c>
      <c r="H80" s="2">
        <f>IFERROR(__xludf.DUMMYFUNCTION("""COMPUTED_VALUE"""),19484.0)</f>
        <v>19484</v>
      </c>
      <c r="I80" s="2">
        <f t="shared" si="2"/>
        <v>3</v>
      </c>
      <c r="J80" s="2" t="str">
        <f t="shared" si="3"/>
        <v>Chennai</v>
      </c>
      <c r="K80" s="2" t="str">
        <f t="shared" si="4"/>
        <v>ZestVita</v>
      </c>
      <c r="L80" s="2">
        <f t="shared" si="5"/>
        <v>16653</v>
      </c>
      <c r="M80" s="2">
        <f t="shared" si="6"/>
        <v>19484</v>
      </c>
      <c r="N80" s="2" t="str">
        <f t="shared" si="7"/>
        <v>IPLMARKETTING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tr">
        <f>IFERROR(__xludf.DUMMYFUNCTION("SPLIT(SalesData!A81,""//"")"),"Month3 ")</f>
        <v>Month3 </v>
      </c>
      <c r="B81" s="2" t="str">
        <f>IFERROR(__xludf.DUMMYFUNCTION("""COMPUTED_VALUE"""),"City_Chennai")</f>
        <v>City_Chennai</v>
      </c>
      <c r="C81" s="2" t="str">
        <f>IFERROR(__xludf.DUMMYFUNCTION("""COMPUTED_VALUE"""),"PRD-NutriKid")</f>
        <v>PRD-NutriKid</v>
      </c>
      <c r="D81" s="2" t="str">
        <f>IFERROR(__xludf.DUMMYFUNCTION("""COMPUTED_VALUE"""),"OPQ  17958")</f>
        <v>OPQ  17958</v>
      </c>
      <c r="E81" s="2" t="str">
        <f>IFERROR(__xludf.DUMMYFUNCTION("""COMPUTED_VALUE"""),"NPQ[IPLMARKETTING]20472")</f>
        <v>NPQ[IPLMARKETTING]20472</v>
      </c>
      <c r="F81" s="2" t="str">
        <f t="shared" si="1"/>
        <v>IPLMARKETTING]20472</v>
      </c>
      <c r="G81" s="2" t="str">
        <f>IFERROR(__xludf.DUMMYFUNCTION("SPLIT(F81,""]"")"),"IPLMARKETTING")</f>
        <v>IPLMARKETTING</v>
      </c>
      <c r="H81" s="2">
        <f>IFERROR(__xludf.DUMMYFUNCTION("""COMPUTED_VALUE"""),20472.0)</f>
        <v>20472</v>
      </c>
      <c r="I81" s="2">
        <f t="shared" si="2"/>
        <v>3</v>
      </c>
      <c r="J81" s="2" t="str">
        <f t="shared" si="3"/>
        <v>Chennai</v>
      </c>
      <c r="K81" s="2" t="str">
        <f t="shared" si="4"/>
        <v>NutriKid</v>
      </c>
      <c r="L81" s="2">
        <f t="shared" si="5"/>
        <v>17958</v>
      </c>
      <c r="M81" s="2">
        <f t="shared" si="6"/>
        <v>20472</v>
      </c>
      <c r="N81" s="2" t="str">
        <f t="shared" si="7"/>
        <v>IPLMARKETTING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tr">
        <f>IFERROR(__xludf.DUMMYFUNCTION("SPLIT(SalesData!A82,""//"")"),"Month3 ")</f>
        <v>Month3 </v>
      </c>
      <c r="B82" s="2" t="str">
        <f>IFERROR(__xludf.DUMMYFUNCTION("""COMPUTED_VALUE"""),"City_Lucknow")</f>
        <v>City_Lucknow</v>
      </c>
      <c r="C82" s="2" t="str">
        <f>IFERROR(__xludf.DUMMYFUNCTION("""COMPUTED_VALUE"""),"PRD-ZestVita")</f>
        <v>PRD-ZestVita</v>
      </c>
      <c r="D82" s="2" t="str">
        <f>IFERROR(__xludf.DUMMYFUNCTION("""COMPUTED_VALUE"""),"OPQ  23930")</f>
        <v>OPQ  23930</v>
      </c>
      <c r="E82" s="2" t="str">
        <f>IFERROR(__xludf.DUMMYFUNCTION("""COMPUTED_VALUE"""),"NPQ[IPLMARKETTING]29673")</f>
        <v>NPQ[IPLMARKETTING]29673</v>
      </c>
      <c r="F82" s="2" t="str">
        <f t="shared" si="1"/>
        <v>IPLMARKETTING]29673</v>
      </c>
      <c r="G82" s="2" t="str">
        <f>IFERROR(__xludf.DUMMYFUNCTION("SPLIT(F82,""]"")"),"IPLMARKETTING")</f>
        <v>IPLMARKETTING</v>
      </c>
      <c r="H82" s="2">
        <f>IFERROR(__xludf.DUMMYFUNCTION("""COMPUTED_VALUE"""),29673.0)</f>
        <v>29673</v>
      </c>
      <c r="I82" s="2">
        <f t="shared" si="2"/>
        <v>3</v>
      </c>
      <c r="J82" s="2" t="str">
        <f t="shared" si="3"/>
        <v>Lucknow</v>
      </c>
      <c r="K82" s="2" t="str">
        <f t="shared" si="4"/>
        <v>ZestVita</v>
      </c>
      <c r="L82" s="2">
        <f t="shared" si="5"/>
        <v>23930</v>
      </c>
      <c r="M82" s="2">
        <f t="shared" si="6"/>
        <v>29673</v>
      </c>
      <c r="N82" s="2" t="str">
        <f t="shared" si="7"/>
        <v>IPLMARKETTING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tr">
        <f>IFERROR(__xludf.DUMMYFUNCTION("SPLIT(SalesData!A83,""//"")"),"Month3 ")</f>
        <v>Month3 </v>
      </c>
      <c r="B83" s="2" t="str">
        <f>IFERROR(__xludf.DUMMYFUNCTION("""COMPUTED_VALUE"""),"City_Lucknow")</f>
        <v>City_Lucknow</v>
      </c>
      <c r="C83" s="2" t="str">
        <f>IFERROR(__xludf.DUMMYFUNCTION("""COMPUTED_VALUE"""),"PRD-NutriKid")</f>
        <v>PRD-NutriKid</v>
      </c>
      <c r="D83" s="2" t="str">
        <f>IFERROR(__xludf.DUMMYFUNCTION("""COMPUTED_VALUE"""),"OPQ  21340")</f>
        <v>OPQ  21340</v>
      </c>
      <c r="E83" s="2" t="str">
        <f>IFERROR(__xludf.DUMMYFUNCTION("""COMPUTED_VALUE"""),"NPQ[IPLMARKETTING]25181")</f>
        <v>NPQ[IPLMARKETTING]25181</v>
      </c>
      <c r="F83" s="2" t="str">
        <f t="shared" si="1"/>
        <v>IPLMARKETTING]25181</v>
      </c>
      <c r="G83" s="2" t="str">
        <f>IFERROR(__xludf.DUMMYFUNCTION("SPLIT(F83,""]"")"),"IPLMARKETTING")</f>
        <v>IPLMARKETTING</v>
      </c>
      <c r="H83" s="2">
        <f>IFERROR(__xludf.DUMMYFUNCTION("""COMPUTED_VALUE"""),25181.0)</f>
        <v>25181</v>
      </c>
      <c r="I83" s="2">
        <f t="shared" si="2"/>
        <v>3</v>
      </c>
      <c r="J83" s="2" t="str">
        <f t="shared" si="3"/>
        <v>Lucknow</v>
      </c>
      <c r="K83" s="2" t="str">
        <f t="shared" si="4"/>
        <v>NutriKid</v>
      </c>
      <c r="L83" s="2">
        <f t="shared" si="5"/>
        <v>21340</v>
      </c>
      <c r="M83" s="2">
        <f t="shared" si="6"/>
        <v>25181</v>
      </c>
      <c r="N83" s="2" t="str">
        <f t="shared" si="7"/>
        <v>IPLMARKETTING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tr">
        <f>IFERROR(__xludf.DUMMYFUNCTION("SPLIT(SalesData!A84,""//"")"),"Month3 ")</f>
        <v>Month3 </v>
      </c>
      <c r="B84" s="2" t="str">
        <f>IFERROR(__xludf.DUMMYFUNCTION("""COMPUTED_VALUE"""),"City_Ranchi")</f>
        <v>City_Ranchi</v>
      </c>
      <c r="C84" s="2" t="str">
        <f>IFERROR(__xludf.DUMMYFUNCTION("""COMPUTED_VALUE"""),"PRD-ZestVita")</f>
        <v>PRD-ZestVita</v>
      </c>
      <c r="D84" s="2" t="str">
        <f>IFERROR(__xludf.DUMMYFUNCTION("""COMPUTED_VALUE"""),"OPQ  28364")</f>
        <v>OPQ  28364</v>
      </c>
      <c r="E84" s="2" t="str">
        <f>IFERROR(__xludf.DUMMYFUNCTION("""COMPUTED_VALUE"""),"NPQ[IPLMARKETTING]30349")</f>
        <v>NPQ[IPLMARKETTING]30349</v>
      </c>
      <c r="F84" s="2" t="str">
        <f t="shared" si="1"/>
        <v>IPLMARKETTING]30349</v>
      </c>
      <c r="G84" s="2" t="str">
        <f>IFERROR(__xludf.DUMMYFUNCTION("SPLIT(F84,""]"")"),"IPLMARKETTING")</f>
        <v>IPLMARKETTING</v>
      </c>
      <c r="H84" s="2">
        <f>IFERROR(__xludf.DUMMYFUNCTION("""COMPUTED_VALUE"""),30349.0)</f>
        <v>30349</v>
      </c>
      <c r="I84" s="2">
        <f t="shared" si="2"/>
        <v>3</v>
      </c>
      <c r="J84" s="2" t="str">
        <f t="shared" si="3"/>
        <v>Ranchi</v>
      </c>
      <c r="K84" s="2" t="str">
        <f t="shared" si="4"/>
        <v>ZestVita</v>
      </c>
      <c r="L84" s="2">
        <f t="shared" si="5"/>
        <v>28364</v>
      </c>
      <c r="M84" s="2">
        <f t="shared" si="6"/>
        <v>30349</v>
      </c>
      <c r="N84" s="2" t="str">
        <f t="shared" si="7"/>
        <v>IPLMARKETTING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tr">
        <f>IFERROR(__xludf.DUMMYFUNCTION("SPLIT(SalesData!A85,""//"")"),"Month3 ")</f>
        <v>Month3 </v>
      </c>
      <c r="B85" s="2" t="str">
        <f>IFERROR(__xludf.DUMMYFUNCTION("""COMPUTED_VALUE"""),"City_Ranchi")</f>
        <v>City_Ranchi</v>
      </c>
      <c r="C85" s="2" t="str">
        <f>IFERROR(__xludf.DUMMYFUNCTION("""COMPUTED_VALUE"""),"PRD-NutriKid")</f>
        <v>PRD-NutriKid</v>
      </c>
      <c r="D85" s="2" t="str">
        <f>IFERROR(__xludf.DUMMYFUNCTION("""COMPUTED_VALUE"""),"OPQ  17848")</f>
        <v>OPQ  17848</v>
      </c>
      <c r="E85" s="2" t="str">
        <f>IFERROR(__xludf.DUMMYFUNCTION("""COMPUTED_VALUE"""),"NPQ[IPLMARKETTING]18919")</f>
        <v>NPQ[IPLMARKETTING]18919</v>
      </c>
      <c r="F85" s="2" t="str">
        <f t="shared" si="1"/>
        <v>IPLMARKETTING]18919</v>
      </c>
      <c r="G85" s="2" t="str">
        <f>IFERROR(__xludf.DUMMYFUNCTION("SPLIT(F85,""]"")"),"IPLMARKETTING")</f>
        <v>IPLMARKETTING</v>
      </c>
      <c r="H85" s="2">
        <f>IFERROR(__xludf.DUMMYFUNCTION("""COMPUTED_VALUE"""),18919.0)</f>
        <v>18919</v>
      </c>
      <c r="I85" s="2">
        <f t="shared" si="2"/>
        <v>3</v>
      </c>
      <c r="J85" s="2" t="str">
        <f t="shared" si="3"/>
        <v>Ranchi</v>
      </c>
      <c r="K85" s="2" t="str">
        <f t="shared" si="4"/>
        <v>NutriKid</v>
      </c>
      <c r="L85" s="2">
        <f t="shared" si="5"/>
        <v>17848</v>
      </c>
      <c r="M85" s="2">
        <f t="shared" si="6"/>
        <v>18919</v>
      </c>
      <c r="N85" s="2" t="str">
        <f t="shared" si="7"/>
        <v>IPLMARKETTING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tr">
        <f>IFERROR(__xludf.DUMMYFUNCTION("SPLIT(SalesData!A86,""//"")"),"Month3 ")</f>
        <v>Month3 </v>
      </c>
      <c r="B86" s="2" t="str">
        <f>IFERROR(__xludf.DUMMYFUNCTION("""COMPUTED_VALUE"""),"City_Surat")</f>
        <v>City_Surat</v>
      </c>
      <c r="C86" s="2" t="str">
        <f>IFERROR(__xludf.DUMMYFUNCTION("""COMPUTED_VALUE"""),"PRD-ZestVita")</f>
        <v>PRD-ZestVita</v>
      </c>
      <c r="D86" s="2" t="str">
        <f>IFERROR(__xludf.DUMMYFUNCTION("""COMPUTED_VALUE"""),"OPQ  24205")</f>
        <v>OPQ  24205</v>
      </c>
      <c r="E86" s="2" t="str">
        <f>IFERROR(__xludf.DUMMYFUNCTION("""COMPUTED_VALUE"""),"NPQ[IPLMARKETTING]25657")</f>
        <v>NPQ[IPLMARKETTING]25657</v>
      </c>
      <c r="F86" s="2" t="str">
        <f t="shared" si="1"/>
        <v>IPLMARKETTING]25657</v>
      </c>
      <c r="G86" s="2" t="str">
        <f>IFERROR(__xludf.DUMMYFUNCTION("SPLIT(F86,""]"")"),"IPLMARKETTING")</f>
        <v>IPLMARKETTING</v>
      </c>
      <c r="H86" s="2">
        <f>IFERROR(__xludf.DUMMYFUNCTION("""COMPUTED_VALUE"""),25657.0)</f>
        <v>25657</v>
      </c>
      <c r="I86" s="2">
        <f t="shared" si="2"/>
        <v>3</v>
      </c>
      <c r="J86" s="2" t="str">
        <f t="shared" si="3"/>
        <v>Surat</v>
      </c>
      <c r="K86" s="2" t="str">
        <f t="shared" si="4"/>
        <v>ZestVita</v>
      </c>
      <c r="L86" s="2">
        <f t="shared" si="5"/>
        <v>24205</v>
      </c>
      <c r="M86" s="2">
        <f t="shared" si="6"/>
        <v>25657</v>
      </c>
      <c r="N86" s="2" t="str">
        <f t="shared" si="7"/>
        <v>IPLMARKETTING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tr">
        <f>IFERROR(__xludf.DUMMYFUNCTION("SPLIT(SalesData!A87,""//"")"),"Month3 ")</f>
        <v>Month3 </v>
      </c>
      <c r="B87" s="2" t="str">
        <f>IFERROR(__xludf.DUMMYFUNCTION("""COMPUTED_VALUE"""),"City_Surat")</f>
        <v>City_Surat</v>
      </c>
      <c r="C87" s="2" t="str">
        <f>IFERROR(__xludf.DUMMYFUNCTION("""COMPUTED_VALUE"""),"PRD-NutriKid")</f>
        <v>PRD-NutriKid</v>
      </c>
      <c r="D87" s="2" t="str">
        <f>IFERROR(__xludf.DUMMYFUNCTION("""COMPUTED_VALUE"""),"OPQ  19132")</f>
        <v>OPQ  19132</v>
      </c>
      <c r="E87" s="2" t="str">
        <f>IFERROR(__xludf.DUMMYFUNCTION("""COMPUTED_VALUE"""),"NPQ[IPLMARKETTING]20280")</f>
        <v>NPQ[IPLMARKETTING]20280</v>
      </c>
      <c r="F87" s="2" t="str">
        <f t="shared" si="1"/>
        <v>IPLMARKETTING]20280</v>
      </c>
      <c r="G87" s="2" t="str">
        <f>IFERROR(__xludf.DUMMYFUNCTION("SPLIT(F87,""]"")"),"IPLMARKETTING")</f>
        <v>IPLMARKETTING</v>
      </c>
      <c r="H87" s="2">
        <f>IFERROR(__xludf.DUMMYFUNCTION("""COMPUTED_VALUE"""),20280.0)</f>
        <v>20280</v>
      </c>
      <c r="I87" s="2">
        <f t="shared" si="2"/>
        <v>3</v>
      </c>
      <c r="J87" s="2" t="str">
        <f t="shared" si="3"/>
        <v>Surat</v>
      </c>
      <c r="K87" s="2" t="str">
        <f t="shared" si="4"/>
        <v>NutriKid</v>
      </c>
      <c r="L87" s="2">
        <f t="shared" si="5"/>
        <v>19132</v>
      </c>
      <c r="M87" s="2">
        <f t="shared" si="6"/>
        <v>20280</v>
      </c>
      <c r="N87" s="2" t="str">
        <f t="shared" si="7"/>
        <v>IPLMARKETTING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tr">
        <f>IFERROR(__xludf.DUMMYFUNCTION("SPLIT(SalesData!A88,""//"")"),"Month3 ")</f>
        <v>Month3 </v>
      </c>
      <c r="B88" s="2" t="str">
        <f>IFERROR(__xludf.DUMMYFUNCTION("""COMPUTED_VALUE"""),"City_Hyderabad")</f>
        <v>City_Hyderabad</v>
      </c>
      <c r="C88" s="2" t="str">
        <f>IFERROR(__xludf.DUMMYFUNCTION("""COMPUTED_VALUE"""),"PRD-ZestVita")</f>
        <v>PRD-ZestVita</v>
      </c>
      <c r="D88" s="2" t="str">
        <f>IFERROR(__xludf.DUMMYFUNCTION("""COMPUTED_VALUE"""),"OPQ  34021")</f>
        <v>OPQ  34021</v>
      </c>
      <c r="E88" s="2" t="str">
        <f>IFERROR(__xludf.DUMMYFUNCTION("""COMPUTED_VALUE"""),"NPQ[IPLMARKETTING]40825")</f>
        <v>NPQ[IPLMARKETTING]40825</v>
      </c>
      <c r="F88" s="2" t="str">
        <f t="shared" si="1"/>
        <v>IPLMARKETTING]40825</v>
      </c>
      <c r="G88" s="2" t="str">
        <f>IFERROR(__xludf.DUMMYFUNCTION("SPLIT(F88,""]"")"),"IPLMARKETTING")</f>
        <v>IPLMARKETTING</v>
      </c>
      <c r="H88" s="2">
        <f>IFERROR(__xludf.DUMMYFUNCTION("""COMPUTED_VALUE"""),40825.0)</f>
        <v>40825</v>
      </c>
      <c r="I88" s="2">
        <f t="shared" si="2"/>
        <v>3</v>
      </c>
      <c r="J88" s="2" t="str">
        <f t="shared" si="3"/>
        <v>Hyderabad</v>
      </c>
      <c r="K88" s="2" t="str">
        <f t="shared" si="4"/>
        <v>ZestVita</v>
      </c>
      <c r="L88" s="2">
        <f t="shared" si="5"/>
        <v>34021</v>
      </c>
      <c r="M88" s="2">
        <f t="shared" si="6"/>
        <v>40825</v>
      </c>
      <c r="N88" s="2" t="str">
        <f t="shared" si="7"/>
        <v>IPLMARKETTING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tr">
        <f>IFERROR(__xludf.DUMMYFUNCTION("SPLIT(SalesData!A89,""//"")"),"Month3 ")</f>
        <v>Month3 </v>
      </c>
      <c r="B89" s="2" t="str">
        <f>IFERROR(__xludf.DUMMYFUNCTION("""COMPUTED_VALUE"""),"City_Hyderabad")</f>
        <v>City_Hyderabad</v>
      </c>
      <c r="C89" s="2" t="str">
        <f>IFERROR(__xludf.DUMMYFUNCTION("""COMPUTED_VALUE"""),"PRD-NutriKid")</f>
        <v>PRD-NutriKid</v>
      </c>
      <c r="D89" s="2" t="str">
        <f>IFERROR(__xludf.DUMMYFUNCTION("""COMPUTED_VALUE"""),"OPQ  33168")</f>
        <v>OPQ  33168</v>
      </c>
      <c r="E89" s="2" t="str">
        <f>IFERROR(__xludf.DUMMYFUNCTION("""COMPUTED_VALUE"""),"NPQ[IPLMARKETTING]41460")</f>
        <v>NPQ[IPLMARKETTING]41460</v>
      </c>
      <c r="F89" s="2" t="str">
        <f t="shared" si="1"/>
        <v>IPLMARKETTING]41460</v>
      </c>
      <c r="G89" s="2" t="str">
        <f>IFERROR(__xludf.DUMMYFUNCTION("SPLIT(F89,""]"")"),"IPLMARKETTING")</f>
        <v>IPLMARKETTING</v>
      </c>
      <c r="H89" s="2">
        <f>IFERROR(__xludf.DUMMYFUNCTION("""COMPUTED_VALUE"""),41460.0)</f>
        <v>41460</v>
      </c>
      <c r="I89" s="2">
        <f t="shared" si="2"/>
        <v>3</v>
      </c>
      <c r="J89" s="2" t="str">
        <f t="shared" si="3"/>
        <v>Hyderabad</v>
      </c>
      <c r="K89" s="2" t="str">
        <f t="shared" si="4"/>
        <v>NutriKid</v>
      </c>
      <c r="L89" s="2">
        <f t="shared" si="5"/>
        <v>33168</v>
      </c>
      <c r="M89" s="2">
        <f t="shared" si="6"/>
        <v>41460</v>
      </c>
      <c r="N89" s="2" t="str">
        <f t="shared" si="7"/>
        <v>IPLMARKETTING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tr">
        <f>IFERROR(__xludf.DUMMYFUNCTION("SPLIT(SalesData!A90,""//"")"),"Month3 ")</f>
        <v>Month3 </v>
      </c>
      <c r="B90" s="2" t="str">
        <f>IFERROR(__xludf.DUMMYFUNCTION("""COMPUTED_VALUE"""),"City_Dehradun")</f>
        <v>City_Dehradun</v>
      </c>
      <c r="C90" s="2" t="str">
        <f>IFERROR(__xludf.DUMMYFUNCTION("""COMPUTED_VALUE"""),"PRD-ZestVita")</f>
        <v>PRD-ZestVita</v>
      </c>
      <c r="D90" s="2" t="str">
        <f>IFERROR(__xludf.DUMMYFUNCTION("""COMPUTED_VALUE"""),"OPQ  22958")</f>
        <v>OPQ  22958</v>
      </c>
      <c r="E90" s="2" t="str">
        <f>IFERROR(__xludf.DUMMYFUNCTION("""COMPUTED_VALUE"""),"NPQ[IPLMARKETTING]23647")</f>
        <v>NPQ[IPLMARKETTING]23647</v>
      </c>
      <c r="F90" s="2" t="str">
        <f t="shared" si="1"/>
        <v>IPLMARKETTING]23647</v>
      </c>
      <c r="G90" s="2" t="str">
        <f>IFERROR(__xludf.DUMMYFUNCTION("SPLIT(F90,""]"")"),"IPLMARKETTING")</f>
        <v>IPLMARKETTING</v>
      </c>
      <c r="H90" s="2">
        <f>IFERROR(__xludf.DUMMYFUNCTION("""COMPUTED_VALUE"""),23647.0)</f>
        <v>23647</v>
      </c>
      <c r="I90" s="2">
        <f t="shared" si="2"/>
        <v>3</v>
      </c>
      <c r="J90" s="2" t="str">
        <f t="shared" si="3"/>
        <v>Dehradun</v>
      </c>
      <c r="K90" s="2" t="str">
        <f t="shared" si="4"/>
        <v>ZestVita</v>
      </c>
      <c r="L90" s="2">
        <f t="shared" si="5"/>
        <v>22958</v>
      </c>
      <c r="M90" s="2">
        <f t="shared" si="6"/>
        <v>23647</v>
      </c>
      <c r="N90" s="2" t="str">
        <f t="shared" si="7"/>
        <v>IPLMARKETTING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tr">
        <f>IFERROR(__xludf.DUMMYFUNCTION("SPLIT(SalesData!A91,""//"")"),"Month3 ")</f>
        <v>Month3 </v>
      </c>
      <c r="B91" s="2" t="str">
        <f>IFERROR(__xludf.DUMMYFUNCTION("""COMPUTED_VALUE"""),"City_Dehradun")</f>
        <v>City_Dehradun</v>
      </c>
      <c r="C91" s="2" t="str">
        <f>IFERROR(__xludf.DUMMYFUNCTION("""COMPUTED_VALUE"""),"PRD-NutriKid")</f>
        <v>PRD-NutriKid</v>
      </c>
      <c r="D91" s="2" t="str">
        <f>IFERROR(__xludf.DUMMYFUNCTION("""COMPUTED_VALUE"""),"OPQ  14396")</f>
        <v>OPQ  14396</v>
      </c>
      <c r="E91" s="2" t="str">
        <f>IFERROR(__xludf.DUMMYFUNCTION("""COMPUTED_VALUE"""),"NPQ[IPLMARKETTING]15548")</f>
        <v>NPQ[IPLMARKETTING]15548</v>
      </c>
      <c r="F91" s="2" t="str">
        <f t="shared" si="1"/>
        <v>IPLMARKETTING]15548</v>
      </c>
      <c r="G91" s="2" t="str">
        <f>IFERROR(__xludf.DUMMYFUNCTION("SPLIT(F91,""]"")"),"IPLMARKETTING")</f>
        <v>IPLMARKETTING</v>
      </c>
      <c r="H91" s="2">
        <f>IFERROR(__xludf.DUMMYFUNCTION("""COMPUTED_VALUE"""),15548.0)</f>
        <v>15548</v>
      </c>
      <c r="I91" s="2">
        <f t="shared" si="2"/>
        <v>3</v>
      </c>
      <c r="J91" s="2" t="str">
        <f t="shared" si="3"/>
        <v>Dehradun</v>
      </c>
      <c r="K91" s="2" t="str">
        <f t="shared" si="4"/>
        <v>NutriKid</v>
      </c>
      <c r="L91" s="2">
        <f t="shared" si="5"/>
        <v>14396</v>
      </c>
      <c r="M91" s="2">
        <f t="shared" si="6"/>
        <v>15548</v>
      </c>
      <c r="N91" s="2" t="str">
        <f t="shared" si="7"/>
        <v>IPLMARKETTING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tr">
        <f>IFERROR(__xludf.DUMMYFUNCTION("SPLIT(SalesData!A92,""//"")"),"Month3 ")</f>
        <v>Month3 </v>
      </c>
      <c r="B92" s="2" t="str">
        <f>IFERROR(__xludf.DUMMYFUNCTION("""COMPUTED_VALUE"""),"City_Kochi")</f>
        <v>City_Kochi</v>
      </c>
      <c r="C92" s="2" t="str">
        <f>IFERROR(__xludf.DUMMYFUNCTION("""COMPUTED_VALUE"""),"PRD-ZestVita")</f>
        <v>PRD-ZestVita</v>
      </c>
      <c r="D92" s="2" t="str">
        <f>IFERROR(__xludf.DUMMYFUNCTION("""COMPUTED_VALUE"""),"OPQ  24721")</f>
        <v>OPQ  24721</v>
      </c>
      <c r="E92" s="2" t="str">
        <f>IFERROR(__xludf.DUMMYFUNCTION("""COMPUTED_VALUE"""),"NPQ[IPLMARKETTING]25463")</f>
        <v>NPQ[IPLMARKETTING]25463</v>
      </c>
      <c r="F92" s="2" t="str">
        <f t="shared" si="1"/>
        <v>IPLMARKETTING]25463</v>
      </c>
      <c r="G92" s="2" t="str">
        <f>IFERROR(__xludf.DUMMYFUNCTION("SPLIT(F92,""]"")"),"IPLMARKETTING")</f>
        <v>IPLMARKETTING</v>
      </c>
      <c r="H92" s="2">
        <f>IFERROR(__xludf.DUMMYFUNCTION("""COMPUTED_VALUE"""),25463.0)</f>
        <v>25463</v>
      </c>
      <c r="I92" s="2">
        <f t="shared" si="2"/>
        <v>3</v>
      </c>
      <c r="J92" s="2" t="str">
        <f t="shared" si="3"/>
        <v>Kochi</v>
      </c>
      <c r="K92" s="2" t="str">
        <f t="shared" si="4"/>
        <v>ZestVita</v>
      </c>
      <c r="L92" s="2">
        <f t="shared" si="5"/>
        <v>24721</v>
      </c>
      <c r="M92" s="2">
        <f t="shared" si="6"/>
        <v>25463</v>
      </c>
      <c r="N92" s="2" t="str">
        <f t="shared" si="7"/>
        <v>IPLMARKETTING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tr">
        <f>IFERROR(__xludf.DUMMYFUNCTION("SPLIT(SalesData!A93,""//"")"),"Month3 ")</f>
        <v>Month3 </v>
      </c>
      <c r="B93" s="2" t="str">
        <f>IFERROR(__xludf.DUMMYFUNCTION("""COMPUTED_VALUE"""),"City_Kochi")</f>
        <v>City_Kochi</v>
      </c>
      <c r="C93" s="2" t="str">
        <f>IFERROR(__xludf.DUMMYFUNCTION("""COMPUTED_VALUE"""),"PRD-NutriKid")</f>
        <v>PRD-NutriKid</v>
      </c>
      <c r="D93" s="2" t="str">
        <f>IFERROR(__xludf.DUMMYFUNCTION("""COMPUTED_VALUE"""),"OPQ  15270")</f>
        <v>OPQ  15270</v>
      </c>
      <c r="E93" s="2" t="str">
        <f>IFERROR(__xludf.DUMMYFUNCTION("""COMPUTED_VALUE"""),"NPQ[IPLMARKETTING]16186")</f>
        <v>NPQ[IPLMARKETTING]16186</v>
      </c>
      <c r="F93" s="2" t="str">
        <f t="shared" si="1"/>
        <v>IPLMARKETTING]16186</v>
      </c>
      <c r="G93" s="2" t="str">
        <f>IFERROR(__xludf.DUMMYFUNCTION("SPLIT(F93,""]"")"),"IPLMARKETTING")</f>
        <v>IPLMARKETTING</v>
      </c>
      <c r="H93" s="2">
        <f>IFERROR(__xludf.DUMMYFUNCTION("""COMPUTED_VALUE"""),16186.0)</f>
        <v>16186</v>
      </c>
      <c r="I93" s="2">
        <f t="shared" si="2"/>
        <v>3</v>
      </c>
      <c r="J93" s="2" t="str">
        <f t="shared" si="3"/>
        <v>Kochi</v>
      </c>
      <c r="K93" s="2" t="str">
        <f t="shared" si="4"/>
        <v>NutriKid</v>
      </c>
      <c r="L93" s="2">
        <f t="shared" si="5"/>
        <v>15270</v>
      </c>
      <c r="M93" s="2">
        <f t="shared" si="6"/>
        <v>16186</v>
      </c>
      <c r="N93" s="2" t="str">
        <f t="shared" si="7"/>
        <v>IPLMARKETTING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tr">
        <f>IFERROR(__xludf.DUMMYFUNCTION("SPLIT(SalesData!A94,""//"")"),"Month3 ")</f>
        <v>Month3 </v>
      </c>
      <c r="B94" s="2" t="str">
        <f>IFERROR(__xludf.DUMMYFUNCTION("""COMPUTED_VALUE"""),"City_Jaipur")</f>
        <v>City_Jaipur</v>
      </c>
      <c r="C94" s="2" t="str">
        <f>IFERROR(__xludf.DUMMYFUNCTION("""COMPUTED_VALUE"""),"PRD-ZestVita")</f>
        <v>PRD-ZestVita</v>
      </c>
      <c r="D94" s="2" t="str">
        <f>IFERROR(__xludf.DUMMYFUNCTION("""COMPUTED_VALUE"""),"OPQ  27264")</f>
        <v>OPQ  27264</v>
      </c>
      <c r="E94" s="2" t="str">
        <f>IFERROR(__xludf.DUMMYFUNCTION("""COMPUTED_VALUE"""),"NPQ[IPLMARKETTING]30263")</f>
        <v>NPQ[IPLMARKETTING]30263</v>
      </c>
      <c r="F94" s="2" t="str">
        <f t="shared" si="1"/>
        <v>IPLMARKETTING]30263</v>
      </c>
      <c r="G94" s="2" t="str">
        <f>IFERROR(__xludf.DUMMYFUNCTION("SPLIT(F94,""]"")"),"IPLMARKETTING")</f>
        <v>IPLMARKETTING</v>
      </c>
      <c r="H94" s="2">
        <f>IFERROR(__xludf.DUMMYFUNCTION("""COMPUTED_VALUE"""),30263.0)</f>
        <v>30263</v>
      </c>
      <c r="I94" s="2">
        <f t="shared" si="2"/>
        <v>3</v>
      </c>
      <c r="J94" s="2" t="str">
        <f t="shared" si="3"/>
        <v>Jaipur</v>
      </c>
      <c r="K94" s="2" t="str">
        <f t="shared" si="4"/>
        <v>ZestVita</v>
      </c>
      <c r="L94" s="2">
        <f t="shared" si="5"/>
        <v>27264</v>
      </c>
      <c r="M94" s="2">
        <f t="shared" si="6"/>
        <v>30263</v>
      </c>
      <c r="N94" s="2" t="str">
        <f t="shared" si="7"/>
        <v>IPLMARKETTING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tr">
        <f>IFERROR(__xludf.DUMMYFUNCTION("SPLIT(SalesData!A95,""//"")"),"Month3 ")</f>
        <v>Month3 </v>
      </c>
      <c r="B95" s="2" t="str">
        <f>IFERROR(__xludf.DUMMYFUNCTION("""COMPUTED_VALUE"""),"City_Jaipur")</f>
        <v>City_Jaipur</v>
      </c>
      <c r="C95" s="2" t="str">
        <f>IFERROR(__xludf.DUMMYFUNCTION("""COMPUTED_VALUE"""),"PRD-NutriKid")</f>
        <v>PRD-NutriKid</v>
      </c>
      <c r="D95" s="2" t="str">
        <f>IFERROR(__xludf.DUMMYFUNCTION("""COMPUTED_VALUE"""),"OPQ  20689")</f>
        <v>OPQ  20689</v>
      </c>
      <c r="E95" s="2" t="str">
        <f>IFERROR(__xludf.DUMMYFUNCTION("""COMPUTED_VALUE"""),"NPQ[IPLMARKETTING]23379")</f>
        <v>NPQ[IPLMARKETTING]23379</v>
      </c>
      <c r="F95" s="2" t="str">
        <f t="shared" si="1"/>
        <v>IPLMARKETTING]23379</v>
      </c>
      <c r="G95" s="2" t="str">
        <f>IFERROR(__xludf.DUMMYFUNCTION("SPLIT(F95,""]"")"),"IPLMARKETTING")</f>
        <v>IPLMARKETTING</v>
      </c>
      <c r="H95" s="2">
        <f>IFERROR(__xludf.DUMMYFUNCTION("""COMPUTED_VALUE"""),23379.0)</f>
        <v>23379</v>
      </c>
      <c r="I95" s="2">
        <f t="shared" si="2"/>
        <v>3</v>
      </c>
      <c r="J95" s="2" t="str">
        <f t="shared" si="3"/>
        <v>Jaipur</v>
      </c>
      <c r="K95" s="2" t="str">
        <f t="shared" si="4"/>
        <v>NutriKid</v>
      </c>
      <c r="L95" s="2">
        <f t="shared" si="5"/>
        <v>20689</v>
      </c>
      <c r="M95" s="2">
        <f t="shared" si="6"/>
        <v>23379</v>
      </c>
      <c r="N95" s="2" t="str">
        <f t="shared" si="7"/>
        <v>IPLMARKETTING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tr">
        <f>IFERROR(__xludf.DUMMYFUNCTION("SPLIT(SalesData!A96,""//"")"),"Month3 ")</f>
        <v>Month3 </v>
      </c>
      <c r="B96" s="2" t="str">
        <f>IFERROR(__xludf.DUMMYFUNCTION("""COMPUTED_VALUE"""),"City_Patna")</f>
        <v>City_Patna</v>
      </c>
      <c r="C96" s="2" t="str">
        <f>IFERROR(__xludf.DUMMYFUNCTION("""COMPUTED_VALUE"""),"PRD-ZestVita")</f>
        <v>PRD-ZestVita</v>
      </c>
      <c r="D96" s="2" t="str">
        <f>IFERROR(__xludf.DUMMYFUNCTION("""COMPUTED_VALUE"""),"OPQ  23299")</f>
        <v>OPQ  23299</v>
      </c>
      <c r="E96" s="2" t="str">
        <f>IFERROR(__xludf.DUMMYFUNCTION("""COMPUTED_VALUE"""),"NPQ[IPLMARKETTING]29124")</f>
        <v>NPQ[IPLMARKETTING]29124</v>
      </c>
      <c r="F96" s="2" t="str">
        <f t="shared" si="1"/>
        <v>IPLMARKETTING]29124</v>
      </c>
      <c r="G96" s="2" t="str">
        <f>IFERROR(__xludf.DUMMYFUNCTION("SPLIT(F96,""]"")"),"IPLMARKETTING")</f>
        <v>IPLMARKETTING</v>
      </c>
      <c r="H96" s="2">
        <f>IFERROR(__xludf.DUMMYFUNCTION("""COMPUTED_VALUE"""),29124.0)</f>
        <v>29124</v>
      </c>
      <c r="I96" s="2">
        <f t="shared" si="2"/>
        <v>3</v>
      </c>
      <c r="J96" s="2" t="str">
        <f t="shared" si="3"/>
        <v>Patna</v>
      </c>
      <c r="K96" s="2" t="str">
        <f t="shared" si="4"/>
        <v>ZestVita</v>
      </c>
      <c r="L96" s="2">
        <f t="shared" si="5"/>
        <v>23299</v>
      </c>
      <c r="M96" s="2">
        <f t="shared" si="6"/>
        <v>29124</v>
      </c>
      <c r="N96" s="2" t="str">
        <f t="shared" si="7"/>
        <v>IPLMARKETTING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tr">
        <f>IFERROR(__xludf.DUMMYFUNCTION("SPLIT(SalesData!A97,""//"")"),"Month3 ")</f>
        <v>Month3 </v>
      </c>
      <c r="B97" s="2" t="str">
        <f>IFERROR(__xludf.DUMMYFUNCTION("""COMPUTED_VALUE"""),"City_Patna")</f>
        <v>City_Patna</v>
      </c>
      <c r="C97" s="2" t="str">
        <f>IFERROR(__xludf.DUMMYFUNCTION("""COMPUTED_VALUE"""),"PRD-NutriKid")</f>
        <v>PRD-NutriKid</v>
      </c>
      <c r="D97" s="2" t="str">
        <f>IFERROR(__xludf.DUMMYFUNCTION("""COMPUTED_VALUE"""),"OPQ  30503")</f>
        <v>OPQ  30503</v>
      </c>
      <c r="E97" s="2" t="str">
        <f>IFERROR(__xludf.DUMMYFUNCTION("""COMPUTED_VALUE"""),"NPQ[IPLMARKETTING]36909")</f>
        <v>NPQ[IPLMARKETTING]36909</v>
      </c>
      <c r="F97" s="2" t="str">
        <f t="shared" si="1"/>
        <v>IPLMARKETTING]36909</v>
      </c>
      <c r="G97" s="2" t="str">
        <f>IFERROR(__xludf.DUMMYFUNCTION("SPLIT(F97,""]"")"),"IPLMARKETTING")</f>
        <v>IPLMARKETTING</v>
      </c>
      <c r="H97" s="2">
        <f>IFERROR(__xludf.DUMMYFUNCTION("""COMPUTED_VALUE"""),36909.0)</f>
        <v>36909</v>
      </c>
      <c r="I97" s="2">
        <f t="shared" si="2"/>
        <v>3</v>
      </c>
      <c r="J97" s="2" t="str">
        <f t="shared" si="3"/>
        <v>Patna</v>
      </c>
      <c r="K97" s="2" t="str">
        <f t="shared" si="4"/>
        <v>NutriKid</v>
      </c>
      <c r="L97" s="2">
        <f t="shared" si="5"/>
        <v>30503</v>
      </c>
      <c r="M97" s="2">
        <f t="shared" si="6"/>
        <v>36909</v>
      </c>
      <c r="N97" s="2" t="str">
        <f t="shared" si="7"/>
        <v>IPLMARKETTING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tr">
        <f>IFERROR(__xludf.DUMMYFUNCTION("SPLIT(SalesData!A98,""//"")"),"Month4 ")</f>
        <v>Month4 </v>
      </c>
      <c r="B98" s="2" t="str">
        <f>IFERROR(__xludf.DUMMYFUNCTION("""COMPUTED_VALUE"""),"City_Delhi")</f>
        <v>City_Delhi</v>
      </c>
      <c r="C98" s="2" t="str">
        <f>IFERROR(__xludf.DUMMYFUNCTION("""COMPUTED_VALUE"""),"PRD-ZestVita")</f>
        <v>PRD-ZestVita</v>
      </c>
      <c r="D98" s="2" t="str">
        <f>IFERROR(__xludf.DUMMYFUNCTION("""COMPUTED_VALUE"""),"OPQ  32979")</f>
        <v>OPQ  32979</v>
      </c>
      <c r="E98" s="2" t="str">
        <f>IFERROR(__xludf.DUMMYFUNCTION("""COMPUTED_VALUE"""),"NPQ[IPLMARKETTING]40234")</f>
        <v>NPQ[IPLMARKETTING]40234</v>
      </c>
      <c r="F98" s="2" t="str">
        <f t="shared" si="1"/>
        <v>IPLMARKETTING]40234</v>
      </c>
      <c r="G98" s="2" t="str">
        <f>IFERROR(__xludf.DUMMYFUNCTION("SPLIT(F98,""]"")"),"IPLMARKETTING")</f>
        <v>IPLMARKETTING</v>
      </c>
      <c r="H98" s="2">
        <f>IFERROR(__xludf.DUMMYFUNCTION("""COMPUTED_VALUE"""),40234.0)</f>
        <v>40234</v>
      </c>
      <c r="I98" s="2">
        <f t="shared" si="2"/>
        <v>4</v>
      </c>
      <c r="J98" s="2" t="str">
        <f t="shared" si="3"/>
        <v>Delhi</v>
      </c>
      <c r="K98" s="2" t="str">
        <f t="shared" si="4"/>
        <v>ZestVita</v>
      </c>
      <c r="L98" s="2">
        <f t="shared" si="5"/>
        <v>32979</v>
      </c>
      <c r="M98" s="2">
        <f t="shared" si="6"/>
        <v>40234</v>
      </c>
      <c r="N98" s="2" t="str">
        <f t="shared" si="7"/>
        <v>IPLMARKETTING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tr">
        <f>IFERROR(__xludf.DUMMYFUNCTION("SPLIT(SalesData!A99,""//"")"),"Month4 ")</f>
        <v>Month4 </v>
      </c>
      <c r="B99" s="2" t="str">
        <f>IFERROR(__xludf.DUMMYFUNCTION("""COMPUTED_VALUE"""),"City_Delhi")</f>
        <v>City_Delhi</v>
      </c>
      <c r="C99" s="2" t="str">
        <f>IFERROR(__xludf.DUMMYFUNCTION("""COMPUTED_VALUE"""),"PRD-NutriKid")</f>
        <v>PRD-NutriKid</v>
      </c>
      <c r="D99" s="2" t="str">
        <f>IFERROR(__xludf.DUMMYFUNCTION("""COMPUTED_VALUE"""),"OPQ  25544")</f>
        <v>OPQ  25544</v>
      </c>
      <c r="E99" s="2" t="str">
        <f>IFERROR(__xludf.DUMMYFUNCTION("""COMPUTED_VALUE"""),"NPQ[IPLMARKETTING]31930")</f>
        <v>NPQ[IPLMARKETTING]31930</v>
      </c>
      <c r="F99" s="2" t="str">
        <f t="shared" si="1"/>
        <v>IPLMARKETTING]31930</v>
      </c>
      <c r="G99" s="2" t="str">
        <f>IFERROR(__xludf.DUMMYFUNCTION("SPLIT(F99,""]"")"),"IPLMARKETTING")</f>
        <v>IPLMARKETTING</v>
      </c>
      <c r="H99" s="2">
        <f>IFERROR(__xludf.DUMMYFUNCTION("""COMPUTED_VALUE"""),31930.0)</f>
        <v>31930</v>
      </c>
      <c r="I99" s="2">
        <f t="shared" si="2"/>
        <v>4</v>
      </c>
      <c r="J99" s="2" t="str">
        <f t="shared" si="3"/>
        <v>Delhi</v>
      </c>
      <c r="K99" s="2" t="str">
        <f t="shared" si="4"/>
        <v>NutriKid</v>
      </c>
      <c r="L99" s="2">
        <f t="shared" si="5"/>
        <v>25544</v>
      </c>
      <c r="M99" s="2">
        <f t="shared" si="6"/>
        <v>31930</v>
      </c>
      <c r="N99" s="2" t="str">
        <f t="shared" si="7"/>
        <v>IPLMARKETTING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tr">
        <f>IFERROR(__xludf.DUMMYFUNCTION("SPLIT(SalesData!A100,""//"")"),"Month4 ")</f>
        <v>Month4 </v>
      </c>
      <c r="B100" s="2" t="str">
        <f>IFERROR(__xludf.DUMMYFUNCTION("""COMPUTED_VALUE"""),"City_Kolkata")</f>
        <v>City_Kolkata</v>
      </c>
      <c r="C100" s="2" t="str">
        <f>IFERROR(__xludf.DUMMYFUNCTION("""COMPUTED_VALUE"""),"PRD-ZestVita")</f>
        <v>PRD-ZestVita</v>
      </c>
      <c r="D100" s="2" t="str">
        <f>IFERROR(__xludf.DUMMYFUNCTION("""COMPUTED_VALUE"""),"OPQ  17900")</f>
        <v>OPQ  17900</v>
      </c>
      <c r="E100" s="2" t="str">
        <f>IFERROR(__xludf.DUMMYFUNCTION("""COMPUTED_VALUE"""),"NPQ[IPLMARKETTING]20585")</f>
        <v>NPQ[IPLMARKETTING]20585</v>
      </c>
      <c r="F100" s="2" t="str">
        <f t="shared" si="1"/>
        <v>IPLMARKETTING]20585</v>
      </c>
      <c r="G100" s="2" t="str">
        <f>IFERROR(__xludf.DUMMYFUNCTION("SPLIT(F100,""]"")"),"IPLMARKETTING")</f>
        <v>IPLMARKETTING</v>
      </c>
      <c r="H100" s="2">
        <f>IFERROR(__xludf.DUMMYFUNCTION("""COMPUTED_VALUE"""),20585.0)</f>
        <v>20585</v>
      </c>
      <c r="I100" s="2">
        <f t="shared" si="2"/>
        <v>4</v>
      </c>
      <c r="J100" s="2" t="str">
        <f t="shared" si="3"/>
        <v>Kolkata</v>
      </c>
      <c r="K100" s="2" t="str">
        <f t="shared" si="4"/>
        <v>ZestVita</v>
      </c>
      <c r="L100" s="2">
        <f t="shared" si="5"/>
        <v>17900</v>
      </c>
      <c r="M100" s="2">
        <f t="shared" si="6"/>
        <v>20585</v>
      </c>
      <c r="N100" s="2" t="str">
        <f t="shared" si="7"/>
        <v>IPLMARKETTING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tr">
        <f>IFERROR(__xludf.DUMMYFUNCTION("SPLIT(SalesData!A101,""//"")"),"Month4 ")</f>
        <v>Month4 </v>
      </c>
      <c r="B101" s="2" t="str">
        <f>IFERROR(__xludf.DUMMYFUNCTION("""COMPUTED_VALUE"""),"City_Kolkata")</f>
        <v>City_Kolkata</v>
      </c>
      <c r="C101" s="2" t="str">
        <f>IFERROR(__xludf.DUMMYFUNCTION("""COMPUTED_VALUE"""),"PRD-NutriKid")</f>
        <v>PRD-NutriKid</v>
      </c>
      <c r="D101" s="2" t="str">
        <f>IFERROR(__xludf.DUMMYFUNCTION("""COMPUTED_VALUE"""),"OPQ  35179")</f>
        <v>OPQ  35179</v>
      </c>
      <c r="E101" s="2" t="str">
        <f>IFERROR(__xludf.DUMMYFUNCTION("""COMPUTED_VALUE"""),"NPQ[IPLMARKETTING]43622")</f>
        <v>NPQ[IPLMARKETTING]43622</v>
      </c>
      <c r="F101" s="2" t="str">
        <f t="shared" si="1"/>
        <v>IPLMARKETTING]43622</v>
      </c>
      <c r="G101" s="2" t="str">
        <f>IFERROR(__xludf.DUMMYFUNCTION("SPLIT(F101,""]"")"),"IPLMARKETTING")</f>
        <v>IPLMARKETTING</v>
      </c>
      <c r="H101" s="2">
        <f>IFERROR(__xludf.DUMMYFUNCTION("""COMPUTED_VALUE"""),43622.0)</f>
        <v>43622</v>
      </c>
      <c r="I101" s="2">
        <f t="shared" si="2"/>
        <v>4</v>
      </c>
      <c r="J101" s="2" t="str">
        <f t="shared" si="3"/>
        <v>Kolkata</v>
      </c>
      <c r="K101" s="2" t="str">
        <f t="shared" si="4"/>
        <v>NutriKid</v>
      </c>
      <c r="L101" s="2">
        <f t="shared" si="5"/>
        <v>35179</v>
      </c>
      <c r="M101" s="2">
        <f t="shared" si="6"/>
        <v>43622</v>
      </c>
      <c r="N101" s="2" t="str">
        <f t="shared" si="7"/>
        <v>IPLMARKETTING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tr">
        <f>IFERROR(__xludf.DUMMYFUNCTION("SPLIT(SalesData!A102,""//"")"),"Month4 ")</f>
        <v>Month4 </v>
      </c>
      <c r="B102" s="2" t="str">
        <f>IFERROR(__xludf.DUMMYFUNCTION("""COMPUTED_VALUE"""),"City_Pune")</f>
        <v>City_Pune</v>
      </c>
      <c r="C102" s="2" t="str">
        <f>IFERROR(__xludf.DUMMYFUNCTION("""COMPUTED_VALUE"""),"PRD-ZestVita")</f>
        <v>PRD-ZestVita</v>
      </c>
      <c r="D102" s="2" t="str">
        <f>IFERROR(__xludf.DUMMYFUNCTION("""COMPUTED_VALUE"""),"OPQ  21795")</f>
        <v>OPQ  21795</v>
      </c>
      <c r="E102" s="2" t="str">
        <f>IFERROR(__xludf.DUMMYFUNCTION("""COMPUTED_VALUE"""),"NPQ[IPLMARKETTING]26590")</f>
        <v>NPQ[IPLMARKETTING]26590</v>
      </c>
      <c r="F102" s="2" t="str">
        <f t="shared" si="1"/>
        <v>IPLMARKETTING]26590</v>
      </c>
      <c r="G102" s="2" t="str">
        <f>IFERROR(__xludf.DUMMYFUNCTION("SPLIT(F102,""]"")"),"IPLMARKETTING")</f>
        <v>IPLMARKETTING</v>
      </c>
      <c r="H102" s="2">
        <f>IFERROR(__xludf.DUMMYFUNCTION("""COMPUTED_VALUE"""),26590.0)</f>
        <v>26590</v>
      </c>
      <c r="I102" s="2">
        <f t="shared" si="2"/>
        <v>4</v>
      </c>
      <c r="J102" s="2" t="str">
        <f t="shared" si="3"/>
        <v>Pune</v>
      </c>
      <c r="K102" s="2" t="str">
        <f t="shared" si="4"/>
        <v>ZestVita</v>
      </c>
      <c r="L102" s="2">
        <f t="shared" si="5"/>
        <v>21795</v>
      </c>
      <c r="M102" s="2">
        <f t="shared" si="6"/>
        <v>26590</v>
      </c>
      <c r="N102" s="2" t="str">
        <f t="shared" si="7"/>
        <v>IPLMARKETTING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tr">
        <f>IFERROR(__xludf.DUMMYFUNCTION("SPLIT(SalesData!A103,""//"")"),"Month4 ")</f>
        <v>Month4 </v>
      </c>
      <c r="B103" s="2" t="str">
        <f>IFERROR(__xludf.DUMMYFUNCTION("""COMPUTED_VALUE"""),"City_Pune")</f>
        <v>City_Pune</v>
      </c>
      <c r="C103" s="2" t="str">
        <f>IFERROR(__xludf.DUMMYFUNCTION("""COMPUTED_VALUE"""),"PRD-NutriKid")</f>
        <v>PRD-NutriKid</v>
      </c>
      <c r="D103" s="2" t="str">
        <f>IFERROR(__xludf.DUMMYFUNCTION("""COMPUTED_VALUE"""),"OPQ  25739")</f>
        <v>OPQ  25739</v>
      </c>
      <c r="E103" s="2" t="str">
        <f>IFERROR(__xludf.DUMMYFUNCTION("""COMPUTED_VALUE"""),"NPQ[IPLMARKETTING]28570")</f>
        <v>NPQ[IPLMARKETTING]28570</v>
      </c>
      <c r="F103" s="2" t="str">
        <f t="shared" si="1"/>
        <v>IPLMARKETTING]28570</v>
      </c>
      <c r="G103" s="2" t="str">
        <f>IFERROR(__xludf.DUMMYFUNCTION("SPLIT(F103,""]"")"),"IPLMARKETTING")</f>
        <v>IPLMARKETTING</v>
      </c>
      <c r="H103" s="2">
        <f>IFERROR(__xludf.DUMMYFUNCTION("""COMPUTED_VALUE"""),28570.0)</f>
        <v>28570</v>
      </c>
      <c r="I103" s="2">
        <f t="shared" si="2"/>
        <v>4</v>
      </c>
      <c r="J103" s="2" t="str">
        <f t="shared" si="3"/>
        <v>Pune</v>
      </c>
      <c r="K103" s="2" t="str">
        <f t="shared" si="4"/>
        <v>NutriKid</v>
      </c>
      <c r="L103" s="2">
        <f t="shared" si="5"/>
        <v>25739</v>
      </c>
      <c r="M103" s="2">
        <f t="shared" si="6"/>
        <v>28570</v>
      </c>
      <c r="N103" s="2" t="str">
        <f t="shared" si="7"/>
        <v>IPLMARKETTING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tr">
        <f>IFERROR(__xludf.DUMMYFUNCTION("SPLIT(SalesData!A104,""//"")"),"Month4 ")</f>
        <v>Month4 </v>
      </c>
      <c r="B104" s="2" t="str">
        <f>IFERROR(__xludf.DUMMYFUNCTION("""COMPUTED_VALUE"""),"City_Bengaluru")</f>
        <v>City_Bengaluru</v>
      </c>
      <c r="C104" s="2" t="str">
        <f>IFERROR(__xludf.DUMMYFUNCTION("""COMPUTED_VALUE"""),"PRD-ZestVita")</f>
        <v>PRD-ZestVita</v>
      </c>
      <c r="D104" s="2" t="str">
        <f>IFERROR(__xludf.DUMMYFUNCTION("""COMPUTED_VALUE"""),"OPQ  40791")</f>
        <v>OPQ  40791</v>
      </c>
      <c r="E104" s="2" t="str">
        <f>IFERROR(__xludf.DUMMYFUNCTION("""COMPUTED_VALUE"""),"NPQ[IPLMARKETTING]49765")</f>
        <v>NPQ[IPLMARKETTING]49765</v>
      </c>
      <c r="F104" s="2" t="str">
        <f t="shared" si="1"/>
        <v>IPLMARKETTING]49765</v>
      </c>
      <c r="G104" s="2" t="str">
        <f>IFERROR(__xludf.DUMMYFUNCTION("SPLIT(F104,""]"")"),"IPLMARKETTING")</f>
        <v>IPLMARKETTING</v>
      </c>
      <c r="H104" s="2">
        <f>IFERROR(__xludf.DUMMYFUNCTION("""COMPUTED_VALUE"""),49765.0)</f>
        <v>49765</v>
      </c>
      <c r="I104" s="2">
        <f t="shared" si="2"/>
        <v>4</v>
      </c>
      <c r="J104" s="2" t="str">
        <f t="shared" si="3"/>
        <v>Bengaluru</v>
      </c>
      <c r="K104" s="2" t="str">
        <f t="shared" si="4"/>
        <v>ZestVita</v>
      </c>
      <c r="L104" s="2">
        <f t="shared" si="5"/>
        <v>40791</v>
      </c>
      <c r="M104" s="2">
        <f t="shared" si="6"/>
        <v>49765</v>
      </c>
      <c r="N104" s="2" t="str">
        <f t="shared" si="7"/>
        <v>IPLMARKETTING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tr">
        <f>IFERROR(__xludf.DUMMYFUNCTION("SPLIT(SalesData!A105,""//"")"),"Month4 ")</f>
        <v>Month4 </v>
      </c>
      <c r="B105" s="2" t="str">
        <f>IFERROR(__xludf.DUMMYFUNCTION("""COMPUTED_VALUE"""),"City_Bengaluru")</f>
        <v>City_Bengaluru</v>
      </c>
      <c r="C105" s="2" t="str">
        <f>IFERROR(__xludf.DUMMYFUNCTION("""COMPUTED_VALUE"""),"PRD-NutriKid")</f>
        <v>PRD-NutriKid</v>
      </c>
      <c r="D105" s="2" t="str">
        <f>IFERROR(__xludf.DUMMYFUNCTION("""COMPUTED_VALUE"""),"OPQ  21753")</f>
        <v>OPQ  21753</v>
      </c>
      <c r="E105" s="2" t="str">
        <f>IFERROR(__xludf.DUMMYFUNCTION("""COMPUTED_VALUE"""),"NPQ[IPLMARKETTING]26321")</f>
        <v>NPQ[IPLMARKETTING]26321</v>
      </c>
      <c r="F105" s="2" t="str">
        <f t="shared" si="1"/>
        <v>IPLMARKETTING]26321</v>
      </c>
      <c r="G105" s="2" t="str">
        <f>IFERROR(__xludf.DUMMYFUNCTION("SPLIT(F105,""]"")"),"IPLMARKETTING")</f>
        <v>IPLMARKETTING</v>
      </c>
      <c r="H105" s="2">
        <f>IFERROR(__xludf.DUMMYFUNCTION("""COMPUTED_VALUE"""),26321.0)</f>
        <v>26321</v>
      </c>
      <c r="I105" s="2">
        <f t="shared" si="2"/>
        <v>4</v>
      </c>
      <c r="J105" s="2" t="str">
        <f t="shared" si="3"/>
        <v>Bengaluru</v>
      </c>
      <c r="K105" s="2" t="str">
        <f t="shared" si="4"/>
        <v>NutriKid</v>
      </c>
      <c r="L105" s="2">
        <f t="shared" si="5"/>
        <v>21753</v>
      </c>
      <c r="M105" s="2">
        <f t="shared" si="6"/>
        <v>26321</v>
      </c>
      <c r="N105" s="2" t="str">
        <f t="shared" si="7"/>
        <v>IPLMARKETTING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tr">
        <f>IFERROR(__xludf.DUMMYFUNCTION("SPLIT(SalesData!A106,""//"")"),"Month4 ")</f>
        <v>Month4 </v>
      </c>
      <c r="B106" s="2" t="str">
        <f>IFERROR(__xludf.DUMMYFUNCTION("""COMPUTED_VALUE"""),"City_Chandigarh")</f>
        <v>City_Chandigarh</v>
      </c>
      <c r="C106" s="2" t="str">
        <f>IFERROR(__xludf.DUMMYFUNCTION("""COMPUTED_VALUE"""),"PRD-ZestVita")</f>
        <v>PRD-ZestVita</v>
      </c>
      <c r="D106" s="2" t="str">
        <f>IFERROR(__xludf.DUMMYFUNCTION("""COMPUTED_VALUE"""),"OPQ  35006")</f>
        <v>OPQ  35006</v>
      </c>
      <c r="E106" s="2" t="str">
        <f>IFERROR(__xludf.DUMMYFUNCTION("""COMPUTED_VALUE"""),"NPQ[IPLMARKETTING]42007")</f>
        <v>NPQ[IPLMARKETTING]42007</v>
      </c>
      <c r="F106" s="2" t="str">
        <f t="shared" si="1"/>
        <v>IPLMARKETTING]42007</v>
      </c>
      <c r="G106" s="2" t="str">
        <f>IFERROR(__xludf.DUMMYFUNCTION("SPLIT(F106,""]"")"),"IPLMARKETTING")</f>
        <v>IPLMARKETTING</v>
      </c>
      <c r="H106" s="2">
        <f>IFERROR(__xludf.DUMMYFUNCTION("""COMPUTED_VALUE"""),42007.0)</f>
        <v>42007</v>
      </c>
      <c r="I106" s="2">
        <f t="shared" si="2"/>
        <v>4</v>
      </c>
      <c r="J106" s="2" t="str">
        <f t="shared" si="3"/>
        <v>Chandigarh</v>
      </c>
      <c r="K106" s="2" t="str">
        <f t="shared" si="4"/>
        <v>ZestVita</v>
      </c>
      <c r="L106" s="2">
        <f t="shared" si="5"/>
        <v>35006</v>
      </c>
      <c r="M106" s="2">
        <f t="shared" si="6"/>
        <v>42007</v>
      </c>
      <c r="N106" s="2" t="str">
        <f t="shared" si="7"/>
        <v>IPLMARKETTING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tr">
        <f>IFERROR(__xludf.DUMMYFUNCTION("SPLIT(SalesData!A107,""//"")"),"Month4 ")</f>
        <v>Month4 </v>
      </c>
      <c r="B107" s="2" t="str">
        <f>IFERROR(__xludf.DUMMYFUNCTION("""COMPUTED_VALUE"""),"City_Chandigarh")</f>
        <v>City_Chandigarh</v>
      </c>
      <c r="C107" s="2" t="str">
        <f>IFERROR(__xludf.DUMMYFUNCTION("""COMPUTED_VALUE"""),"PRD-NutriKid")</f>
        <v>PRD-NutriKid</v>
      </c>
      <c r="D107" s="2" t="str">
        <f>IFERROR(__xludf.DUMMYFUNCTION("""COMPUTED_VALUE"""),"OPQ  37186")</f>
        <v>OPQ  37186</v>
      </c>
      <c r="E107" s="2" t="str">
        <f>IFERROR(__xludf.DUMMYFUNCTION("""COMPUTED_VALUE"""),"NPQ[IPLMARKETTING]44995")</f>
        <v>NPQ[IPLMARKETTING]44995</v>
      </c>
      <c r="F107" s="2" t="str">
        <f t="shared" si="1"/>
        <v>IPLMARKETTING]44995</v>
      </c>
      <c r="G107" s="2" t="str">
        <f>IFERROR(__xludf.DUMMYFUNCTION("SPLIT(F107,""]"")"),"IPLMARKETTING")</f>
        <v>IPLMARKETTING</v>
      </c>
      <c r="H107" s="2">
        <f>IFERROR(__xludf.DUMMYFUNCTION("""COMPUTED_VALUE"""),44995.0)</f>
        <v>44995</v>
      </c>
      <c r="I107" s="2">
        <f t="shared" si="2"/>
        <v>4</v>
      </c>
      <c r="J107" s="2" t="str">
        <f t="shared" si="3"/>
        <v>Chandigarh</v>
      </c>
      <c r="K107" s="2" t="str">
        <f t="shared" si="4"/>
        <v>NutriKid</v>
      </c>
      <c r="L107" s="2">
        <f t="shared" si="5"/>
        <v>37186</v>
      </c>
      <c r="M107" s="2">
        <f t="shared" si="6"/>
        <v>44995</v>
      </c>
      <c r="N107" s="2" t="str">
        <f t="shared" si="7"/>
        <v>IPLMARKETTING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tr">
        <f>IFERROR(__xludf.DUMMYFUNCTION("SPLIT(SalesData!A108,""//"")"),"Month4 ")</f>
        <v>Month4 </v>
      </c>
      <c r="B108" s="2" t="str">
        <f>IFERROR(__xludf.DUMMYFUNCTION("""COMPUTED_VALUE"""),"City_Bhubaneswar")</f>
        <v>City_Bhubaneswar</v>
      </c>
      <c r="C108" s="2" t="str">
        <f>IFERROR(__xludf.DUMMYFUNCTION("""COMPUTED_VALUE"""),"PRD-ZestVita")</f>
        <v>PRD-ZestVita</v>
      </c>
      <c r="D108" s="2" t="str">
        <f>IFERROR(__xludf.DUMMYFUNCTION("""COMPUTED_VALUE"""),"OPQ  14722")</f>
        <v>OPQ  14722</v>
      </c>
      <c r="E108" s="2" t="str">
        <f>IFERROR(__xludf.DUMMYFUNCTION("""COMPUTED_VALUE"""),"NPQ[IPLMARKETTING]15164")</f>
        <v>NPQ[IPLMARKETTING]15164</v>
      </c>
      <c r="F108" s="2" t="str">
        <f t="shared" si="1"/>
        <v>IPLMARKETTING]15164</v>
      </c>
      <c r="G108" s="2" t="str">
        <f>IFERROR(__xludf.DUMMYFUNCTION("SPLIT(F108,""]"")"),"IPLMARKETTING")</f>
        <v>IPLMARKETTING</v>
      </c>
      <c r="H108" s="2">
        <f>IFERROR(__xludf.DUMMYFUNCTION("""COMPUTED_VALUE"""),15164.0)</f>
        <v>15164</v>
      </c>
      <c r="I108" s="2">
        <f t="shared" si="2"/>
        <v>4</v>
      </c>
      <c r="J108" s="2" t="str">
        <f t="shared" si="3"/>
        <v>Bhubaneswar</v>
      </c>
      <c r="K108" s="2" t="str">
        <f t="shared" si="4"/>
        <v>ZestVita</v>
      </c>
      <c r="L108" s="2">
        <f t="shared" si="5"/>
        <v>14722</v>
      </c>
      <c r="M108" s="2">
        <f t="shared" si="6"/>
        <v>15164</v>
      </c>
      <c r="N108" s="2" t="str">
        <f t="shared" si="7"/>
        <v>IPLMARKETTING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tr">
        <f>IFERROR(__xludf.DUMMYFUNCTION("SPLIT(SalesData!A109,""//"")"),"Month4 ")</f>
        <v>Month4 </v>
      </c>
      <c r="B109" s="2" t="str">
        <f>IFERROR(__xludf.DUMMYFUNCTION("""COMPUTED_VALUE"""),"City_Bhubaneswar")</f>
        <v>City_Bhubaneswar</v>
      </c>
      <c r="C109" s="2" t="str">
        <f>IFERROR(__xludf.DUMMYFUNCTION("""COMPUTED_VALUE"""),"PRD-NutriKid")</f>
        <v>PRD-NutriKid</v>
      </c>
      <c r="D109" s="2" t="str">
        <f>IFERROR(__xludf.DUMMYFUNCTION("""COMPUTED_VALUE"""),"OPQ  19873")</f>
        <v>OPQ  19873</v>
      </c>
      <c r="E109" s="2" t="str">
        <f>IFERROR(__xludf.DUMMYFUNCTION("""COMPUTED_VALUE"""),"NPQ[IPLMARKETTING]20469")</f>
        <v>NPQ[IPLMARKETTING]20469</v>
      </c>
      <c r="F109" s="2" t="str">
        <f t="shared" si="1"/>
        <v>IPLMARKETTING]20469</v>
      </c>
      <c r="G109" s="2" t="str">
        <f>IFERROR(__xludf.DUMMYFUNCTION("SPLIT(F109,""]"")"),"IPLMARKETTING")</f>
        <v>IPLMARKETTING</v>
      </c>
      <c r="H109" s="2">
        <f>IFERROR(__xludf.DUMMYFUNCTION("""COMPUTED_VALUE"""),20469.0)</f>
        <v>20469</v>
      </c>
      <c r="I109" s="2">
        <f t="shared" si="2"/>
        <v>4</v>
      </c>
      <c r="J109" s="2" t="str">
        <f t="shared" si="3"/>
        <v>Bhubaneswar</v>
      </c>
      <c r="K109" s="2" t="str">
        <f t="shared" si="4"/>
        <v>NutriKid</v>
      </c>
      <c r="L109" s="2">
        <f t="shared" si="5"/>
        <v>19873</v>
      </c>
      <c r="M109" s="2">
        <f t="shared" si="6"/>
        <v>20469</v>
      </c>
      <c r="N109" s="2" t="str">
        <f t="shared" si="7"/>
        <v>IPLMARKETTING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tr">
        <f>IFERROR(__xludf.DUMMYFUNCTION("SPLIT(SalesData!A110,""//"")"),"Month4 ")</f>
        <v>Month4 </v>
      </c>
      <c r="B110" s="2" t="str">
        <f>IFERROR(__xludf.DUMMYFUNCTION("""COMPUTED_VALUE"""),"City_Ahmedabad ")</f>
        <v>City_Ahmedabad </v>
      </c>
      <c r="C110" s="2" t="str">
        <f>IFERROR(__xludf.DUMMYFUNCTION("""COMPUTED_VALUE"""),"PRD-ZestVita")</f>
        <v>PRD-ZestVita</v>
      </c>
      <c r="D110" s="2" t="str">
        <f>IFERROR(__xludf.DUMMYFUNCTION("""COMPUTED_VALUE"""),"OPQ  30752")</f>
        <v>OPQ  30752</v>
      </c>
      <c r="E110" s="2" t="str">
        <f>IFERROR(__xludf.DUMMYFUNCTION("""COMPUTED_VALUE"""),"NPQ[IPLMARKETTING]36902")</f>
        <v>NPQ[IPLMARKETTING]36902</v>
      </c>
      <c r="F110" s="2" t="str">
        <f t="shared" si="1"/>
        <v>IPLMARKETTING]36902</v>
      </c>
      <c r="G110" s="2" t="str">
        <f>IFERROR(__xludf.DUMMYFUNCTION("SPLIT(F110,""]"")"),"IPLMARKETTING")</f>
        <v>IPLMARKETTING</v>
      </c>
      <c r="H110" s="2">
        <f>IFERROR(__xludf.DUMMYFUNCTION("""COMPUTED_VALUE"""),36902.0)</f>
        <v>36902</v>
      </c>
      <c r="I110" s="2">
        <f t="shared" si="2"/>
        <v>4</v>
      </c>
      <c r="J110" s="2" t="str">
        <f t="shared" si="3"/>
        <v>Ahmedabad</v>
      </c>
      <c r="K110" s="2" t="str">
        <f t="shared" si="4"/>
        <v>ZestVita</v>
      </c>
      <c r="L110" s="2">
        <f t="shared" si="5"/>
        <v>30752</v>
      </c>
      <c r="M110" s="2">
        <f t="shared" si="6"/>
        <v>36902</v>
      </c>
      <c r="N110" s="2" t="str">
        <f t="shared" si="7"/>
        <v>IPLMARKETTING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tr">
        <f>IFERROR(__xludf.DUMMYFUNCTION("SPLIT(SalesData!A111,""//"")"),"Month4 ")</f>
        <v>Month4 </v>
      </c>
      <c r="B111" s="2" t="str">
        <f>IFERROR(__xludf.DUMMYFUNCTION("""COMPUTED_VALUE"""),"City_Ahmedabad ")</f>
        <v>City_Ahmedabad </v>
      </c>
      <c r="C111" s="2" t="str">
        <f>IFERROR(__xludf.DUMMYFUNCTION("""COMPUTED_VALUE"""),"PRD-NutriKid")</f>
        <v>PRD-NutriKid</v>
      </c>
      <c r="D111" s="2" t="str">
        <f>IFERROR(__xludf.DUMMYFUNCTION("""COMPUTED_VALUE"""),"OPQ  17729")</f>
        <v>OPQ  17729</v>
      </c>
      <c r="E111" s="2" t="str">
        <f>IFERROR(__xludf.DUMMYFUNCTION("""COMPUTED_VALUE"""),"NPQ[IPLMARKETTING]19502")</f>
        <v>NPQ[IPLMARKETTING]19502</v>
      </c>
      <c r="F111" s="2" t="str">
        <f t="shared" si="1"/>
        <v>IPLMARKETTING]19502</v>
      </c>
      <c r="G111" s="2" t="str">
        <f>IFERROR(__xludf.DUMMYFUNCTION("SPLIT(F111,""]"")"),"IPLMARKETTING")</f>
        <v>IPLMARKETTING</v>
      </c>
      <c r="H111" s="2">
        <f>IFERROR(__xludf.DUMMYFUNCTION("""COMPUTED_VALUE"""),19502.0)</f>
        <v>19502</v>
      </c>
      <c r="I111" s="2">
        <f t="shared" si="2"/>
        <v>4</v>
      </c>
      <c r="J111" s="2" t="str">
        <f t="shared" si="3"/>
        <v>Ahmedabad</v>
      </c>
      <c r="K111" s="2" t="str">
        <f t="shared" si="4"/>
        <v>NutriKid</v>
      </c>
      <c r="L111" s="2">
        <f t="shared" si="5"/>
        <v>17729</v>
      </c>
      <c r="M111" s="2">
        <f t="shared" si="6"/>
        <v>19502</v>
      </c>
      <c r="N111" s="2" t="str">
        <f t="shared" si="7"/>
        <v>IPLMARKETTING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tr">
        <f>IFERROR(__xludf.DUMMYFUNCTION("SPLIT(SalesData!A112,""//"")"),"Month4 ")</f>
        <v>Month4 </v>
      </c>
      <c r="B112" s="2" t="str">
        <f>IFERROR(__xludf.DUMMYFUNCTION("""COMPUTED_VALUE"""),"City_Chennai")</f>
        <v>City_Chennai</v>
      </c>
      <c r="C112" s="2" t="str">
        <f>IFERROR(__xludf.DUMMYFUNCTION("""COMPUTED_VALUE"""),"PRD-ZestVita")</f>
        <v>PRD-ZestVita</v>
      </c>
      <c r="D112" s="2" t="str">
        <f>IFERROR(__xludf.DUMMYFUNCTION("""COMPUTED_VALUE"""),"OPQ  19317")</f>
        <v>OPQ  19317</v>
      </c>
      <c r="E112" s="2" t="str">
        <f>IFERROR(__xludf.DUMMYFUNCTION("""COMPUTED_VALUE"""),"NPQ[IPLMARKETTING]22021")</f>
        <v>NPQ[IPLMARKETTING]22021</v>
      </c>
      <c r="F112" s="2" t="str">
        <f t="shared" si="1"/>
        <v>IPLMARKETTING]22021</v>
      </c>
      <c r="G112" s="2" t="str">
        <f>IFERROR(__xludf.DUMMYFUNCTION("SPLIT(F112,""]"")"),"IPLMARKETTING")</f>
        <v>IPLMARKETTING</v>
      </c>
      <c r="H112" s="2">
        <f>IFERROR(__xludf.DUMMYFUNCTION("""COMPUTED_VALUE"""),22021.0)</f>
        <v>22021</v>
      </c>
      <c r="I112" s="2">
        <f t="shared" si="2"/>
        <v>4</v>
      </c>
      <c r="J112" s="2" t="str">
        <f t="shared" si="3"/>
        <v>Chennai</v>
      </c>
      <c r="K112" s="2" t="str">
        <f t="shared" si="4"/>
        <v>ZestVita</v>
      </c>
      <c r="L112" s="2">
        <f t="shared" si="5"/>
        <v>19317</v>
      </c>
      <c r="M112" s="2">
        <f t="shared" si="6"/>
        <v>22021</v>
      </c>
      <c r="N112" s="2" t="str">
        <f t="shared" si="7"/>
        <v>IPLMARKETTING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tr">
        <f>IFERROR(__xludf.DUMMYFUNCTION("SPLIT(SalesData!A113,""//"")"),"Month4 ")</f>
        <v>Month4 </v>
      </c>
      <c r="B113" s="2" t="str">
        <f>IFERROR(__xludf.DUMMYFUNCTION("""COMPUTED_VALUE"""),"City_Chennai")</f>
        <v>City_Chennai</v>
      </c>
      <c r="C113" s="2" t="str">
        <f>IFERROR(__xludf.DUMMYFUNCTION("""COMPUTED_VALUE"""),"PRD-NutriKid")</f>
        <v>PRD-NutriKid</v>
      </c>
      <c r="D113" s="2" t="str">
        <f>IFERROR(__xludf.DUMMYFUNCTION("""COMPUTED_VALUE"""),"OPQ  21190")</f>
        <v>OPQ  21190</v>
      </c>
      <c r="E113" s="2" t="str">
        <f>IFERROR(__xludf.DUMMYFUNCTION("""COMPUTED_VALUE"""),"NPQ[IPLMARKETTING]26276")</f>
        <v>NPQ[IPLMARKETTING]26276</v>
      </c>
      <c r="F113" s="2" t="str">
        <f t="shared" si="1"/>
        <v>IPLMARKETTING]26276</v>
      </c>
      <c r="G113" s="2" t="str">
        <f>IFERROR(__xludf.DUMMYFUNCTION("SPLIT(F113,""]"")"),"IPLMARKETTING")</f>
        <v>IPLMARKETTING</v>
      </c>
      <c r="H113" s="2">
        <f>IFERROR(__xludf.DUMMYFUNCTION("""COMPUTED_VALUE"""),26276.0)</f>
        <v>26276</v>
      </c>
      <c r="I113" s="2">
        <f t="shared" si="2"/>
        <v>4</v>
      </c>
      <c r="J113" s="2" t="str">
        <f t="shared" si="3"/>
        <v>Chennai</v>
      </c>
      <c r="K113" s="2" t="str">
        <f t="shared" si="4"/>
        <v>NutriKid</v>
      </c>
      <c r="L113" s="2">
        <f t="shared" si="5"/>
        <v>21190</v>
      </c>
      <c r="M113" s="2">
        <f t="shared" si="6"/>
        <v>26276</v>
      </c>
      <c r="N113" s="2" t="str">
        <f t="shared" si="7"/>
        <v>IPLMARKETTING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tr">
        <f>IFERROR(__xludf.DUMMYFUNCTION("SPLIT(SalesData!A114,""//"")"),"Month4 ")</f>
        <v>Month4 </v>
      </c>
      <c r="B114" s="2" t="str">
        <f>IFERROR(__xludf.DUMMYFUNCTION("""COMPUTED_VALUE"""),"City_Lucknow")</f>
        <v>City_Lucknow</v>
      </c>
      <c r="C114" s="2" t="str">
        <f>IFERROR(__xludf.DUMMYFUNCTION("""COMPUTED_VALUE"""),"PRD-ZestVita")</f>
        <v>PRD-ZestVita</v>
      </c>
      <c r="D114" s="2" t="str">
        <f>IFERROR(__xludf.DUMMYFUNCTION("""COMPUTED_VALUE"""),"OPQ  24409")</f>
        <v>OPQ  24409</v>
      </c>
      <c r="E114" s="2" t="str">
        <f>IFERROR(__xludf.DUMMYFUNCTION("""COMPUTED_VALUE"""),"NPQ[IPLMARKETTING]27826")</f>
        <v>NPQ[IPLMARKETTING]27826</v>
      </c>
      <c r="F114" s="2" t="str">
        <f t="shared" si="1"/>
        <v>IPLMARKETTING]27826</v>
      </c>
      <c r="G114" s="2" t="str">
        <f>IFERROR(__xludf.DUMMYFUNCTION("SPLIT(F114,""]"")"),"IPLMARKETTING")</f>
        <v>IPLMARKETTING</v>
      </c>
      <c r="H114" s="2">
        <f>IFERROR(__xludf.DUMMYFUNCTION("""COMPUTED_VALUE"""),27826.0)</f>
        <v>27826</v>
      </c>
      <c r="I114" s="2">
        <f t="shared" si="2"/>
        <v>4</v>
      </c>
      <c r="J114" s="2" t="str">
        <f t="shared" si="3"/>
        <v>Lucknow</v>
      </c>
      <c r="K114" s="2" t="str">
        <f t="shared" si="4"/>
        <v>ZestVita</v>
      </c>
      <c r="L114" s="2">
        <f t="shared" si="5"/>
        <v>24409</v>
      </c>
      <c r="M114" s="2">
        <f t="shared" si="6"/>
        <v>27826</v>
      </c>
      <c r="N114" s="2" t="str">
        <f t="shared" si="7"/>
        <v>IPLMARKETTING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tr">
        <f>IFERROR(__xludf.DUMMYFUNCTION("SPLIT(SalesData!A115,""//"")"),"Month4 ")</f>
        <v>Month4 </v>
      </c>
      <c r="B115" s="2" t="str">
        <f>IFERROR(__xludf.DUMMYFUNCTION("""COMPUTED_VALUE"""),"City_Lucknow")</f>
        <v>City_Lucknow</v>
      </c>
      <c r="C115" s="2" t="str">
        <f>IFERROR(__xludf.DUMMYFUNCTION("""COMPUTED_VALUE"""),"PRD-NutriKid")</f>
        <v>PRD-NutriKid</v>
      </c>
      <c r="D115" s="2" t="str">
        <f>IFERROR(__xludf.DUMMYFUNCTION("""COMPUTED_VALUE"""),"OPQ  22620")</f>
        <v>OPQ  22620</v>
      </c>
      <c r="E115" s="2" t="str">
        <f>IFERROR(__xludf.DUMMYFUNCTION("""COMPUTED_VALUE"""),"NPQ[IPLMARKETTING]25108")</f>
        <v>NPQ[IPLMARKETTING]25108</v>
      </c>
      <c r="F115" s="2" t="str">
        <f t="shared" si="1"/>
        <v>IPLMARKETTING]25108</v>
      </c>
      <c r="G115" s="2" t="str">
        <f>IFERROR(__xludf.DUMMYFUNCTION("SPLIT(F115,""]"")"),"IPLMARKETTING")</f>
        <v>IPLMARKETTING</v>
      </c>
      <c r="H115" s="2">
        <f>IFERROR(__xludf.DUMMYFUNCTION("""COMPUTED_VALUE"""),25108.0)</f>
        <v>25108</v>
      </c>
      <c r="I115" s="2">
        <f t="shared" si="2"/>
        <v>4</v>
      </c>
      <c r="J115" s="2" t="str">
        <f t="shared" si="3"/>
        <v>Lucknow</v>
      </c>
      <c r="K115" s="2" t="str">
        <f t="shared" si="4"/>
        <v>NutriKid</v>
      </c>
      <c r="L115" s="2">
        <f t="shared" si="5"/>
        <v>22620</v>
      </c>
      <c r="M115" s="2">
        <f t="shared" si="6"/>
        <v>25108</v>
      </c>
      <c r="N115" s="2" t="str">
        <f t="shared" si="7"/>
        <v>IPLMARKETTING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tr">
        <f>IFERROR(__xludf.DUMMYFUNCTION("SPLIT(SalesData!A116,""//"")"),"Month4 ")</f>
        <v>Month4 </v>
      </c>
      <c r="B116" s="2" t="str">
        <f>IFERROR(__xludf.DUMMYFUNCTION("""COMPUTED_VALUE"""),"City_Ranchi")</f>
        <v>City_Ranchi</v>
      </c>
      <c r="C116" s="2" t="str">
        <f>IFERROR(__xludf.DUMMYFUNCTION("""COMPUTED_VALUE"""),"PRD-ZestVita")</f>
        <v>PRD-ZestVita</v>
      </c>
      <c r="D116" s="2" t="str">
        <f>IFERROR(__xludf.DUMMYFUNCTION("""COMPUTED_VALUE"""),"OPQ  29782")</f>
        <v>OPQ  29782</v>
      </c>
      <c r="E116" s="2" t="str">
        <f>IFERROR(__xludf.DUMMYFUNCTION("""COMPUTED_VALUE"""),"NPQ[IPLMARKETTING]30378")</f>
        <v>NPQ[IPLMARKETTING]30378</v>
      </c>
      <c r="F116" s="2" t="str">
        <f t="shared" si="1"/>
        <v>IPLMARKETTING]30378</v>
      </c>
      <c r="G116" s="2" t="str">
        <f>IFERROR(__xludf.DUMMYFUNCTION("SPLIT(F116,""]"")"),"IPLMARKETTING")</f>
        <v>IPLMARKETTING</v>
      </c>
      <c r="H116" s="2">
        <f>IFERROR(__xludf.DUMMYFUNCTION("""COMPUTED_VALUE"""),30378.0)</f>
        <v>30378</v>
      </c>
      <c r="I116" s="2">
        <f t="shared" si="2"/>
        <v>4</v>
      </c>
      <c r="J116" s="2" t="str">
        <f t="shared" si="3"/>
        <v>Ranchi</v>
      </c>
      <c r="K116" s="2" t="str">
        <f t="shared" si="4"/>
        <v>ZestVita</v>
      </c>
      <c r="L116" s="2">
        <f t="shared" si="5"/>
        <v>29782</v>
      </c>
      <c r="M116" s="2">
        <f t="shared" si="6"/>
        <v>30378</v>
      </c>
      <c r="N116" s="2" t="str">
        <f t="shared" si="7"/>
        <v>IPLMARKETTING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tr">
        <f>IFERROR(__xludf.DUMMYFUNCTION("SPLIT(SalesData!A117,""//"")"),"Month4 ")</f>
        <v>Month4 </v>
      </c>
      <c r="B117" s="2" t="str">
        <f>IFERROR(__xludf.DUMMYFUNCTION("""COMPUTED_VALUE"""),"City_Ranchi")</f>
        <v>City_Ranchi</v>
      </c>
      <c r="C117" s="2" t="str">
        <f>IFERROR(__xludf.DUMMYFUNCTION("""COMPUTED_VALUE"""),"PRD-NutriKid")</f>
        <v>PRD-NutriKid</v>
      </c>
      <c r="D117" s="2" t="str">
        <f>IFERROR(__xludf.DUMMYFUNCTION("""COMPUTED_VALUE"""),"OPQ  19097")</f>
        <v>OPQ  19097</v>
      </c>
      <c r="E117" s="2" t="str">
        <f>IFERROR(__xludf.DUMMYFUNCTION("""COMPUTED_VALUE"""),"NPQ[IPLMARKETTING]20052")</f>
        <v>NPQ[IPLMARKETTING]20052</v>
      </c>
      <c r="F117" s="2" t="str">
        <f t="shared" si="1"/>
        <v>IPLMARKETTING]20052</v>
      </c>
      <c r="G117" s="2" t="str">
        <f>IFERROR(__xludf.DUMMYFUNCTION("SPLIT(F117,""]"")"),"IPLMARKETTING")</f>
        <v>IPLMARKETTING</v>
      </c>
      <c r="H117" s="2">
        <f>IFERROR(__xludf.DUMMYFUNCTION("""COMPUTED_VALUE"""),20052.0)</f>
        <v>20052</v>
      </c>
      <c r="I117" s="2">
        <f t="shared" si="2"/>
        <v>4</v>
      </c>
      <c r="J117" s="2" t="str">
        <f t="shared" si="3"/>
        <v>Ranchi</v>
      </c>
      <c r="K117" s="2" t="str">
        <f t="shared" si="4"/>
        <v>NutriKid</v>
      </c>
      <c r="L117" s="2">
        <f t="shared" si="5"/>
        <v>19097</v>
      </c>
      <c r="M117" s="2">
        <f t="shared" si="6"/>
        <v>20052</v>
      </c>
      <c r="N117" s="2" t="str">
        <f t="shared" si="7"/>
        <v>IPLMARKETTING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tr">
        <f>IFERROR(__xludf.DUMMYFUNCTION("SPLIT(SalesData!A118,""//"")"),"Month4 ")</f>
        <v>Month4 </v>
      </c>
      <c r="B118" s="2" t="str">
        <f>IFERROR(__xludf.DUMMYFUNCTION("""COMPUTED_VALUE"""),"City_Surat")</f>
        <v>City_Surat</v>
      </c>
      <c r="C118" s="2" t="str">
        <f>IFERROR(__xludf.DUMMYFUNCTION("""COMPUTED_VALUE"""),"PRD-ZestVita")</f>
        <v>PRD-ZestVita</v>
      </c>
      <c r="D118" s="2" t="str">
        <f>IFERROR(__xludf.DUMMYFUNCTION("""COMPUTED_VALUE"""),"OPQ  28078")</f>
        <v>OPQ  28078</v>
      </c>
      <c r="E118" s="2" t="str">
        <f>IFERROR(__xludf.DUMMYFUNCTION("""COMPUTED_VALUE"""),"NPQ[IPLMARKETTING]30043")</f>
        <v>NPQ[IPLMARKETTING]30043</v>
      </c>
      <c r="F118" s="2" t="str">
        <f t="shared" si="1"/>
        <v>IPLMARKETTING]30043</v>
      </c>
      <c r="G118" s="2" t="str">
        <f>IFERROR(__xludf.DUMMYFUNCTION("SPLIT(F118,""]"")"),"IPLMARKETTING")</f>
        <v>IPLMARKETTING</v>
      </c>
      <c r="H118" s="2">
        <f>IFERROR(__xludf.DUMMYFUNCTION("""COMPUTED_VALUE"""),30043.0)</f>
        <v>30043</v>
      </c>
      <c r="I118" s="2">
        <f t="shared" si="2"/>
        <v>4</v>
      </c>
      <c r="J118" s="2" t="str">
        <f t="shared" si="3"/>
        <v>Surat</v>
      </c>
      <c r="K118" s="2" t="str">
        <f t="shared" si="4"/>
        <v>ZestVita</v>
      </c>
      <c r="L118" s="2">
        <f t="shared" si="5"/>
        <v>28078</v>
      </c>
      <c r="M118" s="2">
        <f t="shared" si="6"/>
        <v>30043</v>
      </c>
      <c r="N118" s="2" t="str">
        <f t="shared" si="7"/>
        <v>IPLMARKETTING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tr">
        <f>IFERROR(__xludf.DUMMYFUNCTION("SPLIT(SalesData!A119,""//"")"),"Month4 ")</f>
        <v>Month4 </v>
      </c>
      <c r="B119" s="2" t="str">
        <f>IFERROR(__xludf.DUMMYFUNCTION("""COMPUTED_VALUE"""),"City_Surat")</f>
        <v>City_Surat</v>
      </c>
      <c r="C119" s="2" t="str">
        <f>IFERROR(__xludf.DUMMYFUNCTION("""COMPUTED_VALUE"""),"PRD-NutriKid")</f>
        <v>PRD-NutriKid</v>
      </c>
      <c r="D119" s="2" t="str">
        <f>IFERROR(__xludf.DUMMYFUNCTION("""COMPUTED_VALUE"""),"OPQ  22384")</f>
        <v>OPQ  22384</v>
      </c>
      <c r="E119" s="2" t="str">
        <f>IFERROR(__xludf.DUMMYFUNCTION("""COMPUTED_VALUE"""),"NPQ[IPLMARKETTING]22832")</f>
        <v>NPQ[IPLMARKETTING]22832</v>
      </c>
      <c r="F119" s="2" t="str">
        <f t="shared" si="1"/>
        <v>IPLMARKETTING]22832</v>
      </c>
      <c r="G119" s="2" t="str">
        <f>IFERROR(__xludf.DUMMYFUNCTION("SPLIT(F119,""]"")"),"IPLMARKETTING")</f>
        <v>IPLMARKETTING</v>
      </c>
      <c r="H119" s="2">
        <f>IFERROR(__xludf.DUMMYFUNCTION("""COMPUTED_VALUE"""),22832.0)</f>
        <v>22832</v>
      </c>
      <c r="I119" s="2">
        <f t="shared" si="2"/>
        <v>4</v>
      </c>
      <c r="J119" s="2" t="str">
        <f t="shared" si="3"/>
        <v>Surat</v>
      </c>
      <c r="K119" s="2" t="str">
        <f t="shared" si="4"/>
        <v>NutriKid</v>
      </c>
      <c r="L119" s="2">
        <f t="shared" si="5"/>
        <v>22384</v>
      </c>
      <c r="M119" s="2">
        <f t="shared" si="6"/>
        <v>22832</v>
      </c>
      <c r="N119" s="2" t="str">
        <f t="shared" si="7"/>
        <v>IPLMARKETTING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tr">
        <f>IFERROR(__xludf.DUMMYFUNCTION("SPLIT(SalesData!A120,""//"")"),"Month4 ")</f>
        <v>Month4 </v>
      </c>
      <c r="B120" s="2" t="str">
        <f>IFERROR(__xludf.DUMMYFUNCTION("""COMPUTED_VALUE"""),"City_Hyderabad")</f>
        <v>City_Hyderabad</v>
      </c>
      <c r="C120" s="2" t="str">
        <f>IFERROR(__xludf.DUMMYFUNCTION("""COMPUTED_VALUE"""),"PRD-ZestVita")</f>
        <v>PRD-ZestVita</v>
      </c>
      <c r="D120" s="2" t="str">
        <f>IFERROR(__xludf.DUMMYFUNCTION("""COMPUTED_VALUE"""),"OPQ  39124")</f>
        <v>OPQ  39124</v>
      </c>
      <c r="E120" s="2" t="str">
        <f>IFERROR(__xludf.DUMMYFUNCTION("""COMPUTED_VALUE"""),"NPQ[IPLMARKETTING]48123")</f>
        <v>NPQ[IPLMARKETTING]48123</v>
      </c>
      <c r="F120" s="2" t="str">
        <f t="shared" si="1"/>
        <v>IPLMARKETTING]48123</v>
      </c>
      <c r="G120" s="2" t="str">
        <f>IFERROR(__xludf.DUMMYFUNCTION("SPLIT(F120,""]"")"),"IPLMARKETTING")</f>
        <v>IPLMARKETTING</v>
      </c>
      <c r="H120" s="2">
        <f>IFERROR(__xludf.DUMMYFUNCTION("""COMPUTED_VALUE"""),48123.0)</f>
        <v>48123</v>
      </c>
      <c r="I120" s="2">
        <f t="shared" si="2"/>
        <v>4</v>
      </c>
      <c r="J120" s="2" t="str">
        <f t="shared" si="3"/>
        <v>Hyderabad</v>
      </c>
      <c r="K120" s="2" t="str">
        <f t="shared" si="4"/>
        <v>ZestVita</v>
      </c>
      <c r="L120" s="2">
        <f t="shared" si="5"/>
        <v>39124</v>
      </c>
      <c r="M120" s="2">
        <f t="shared" si="6"/>
        <v>48123</v>
      </c>
      <c r="N120" s="2" t="str">
        <f t="shared" si="7"/>
        <v>IPLMARKETTING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tr">
        <f>IFERROR(__xludf.DUMMYFUNCTION("SPLIT(SalesData!A121,""//"")"),"Month4 ")</f>
        <v>Month4 </v>
      </c>
      <c r="B121" s="2" t="str">
        <f>IFERROR(__xludf.DUMMYFUNCTION("""COMPUTED_VALUE"""),"City_Hyderabad")</f>
        <v>City_Hyderabad</v>
      </c>
      <c r="C121" s="2" t="str">
        <f>IFERROR(__xludf.DUMMYFUNCTION("""COMPUTED_VALUE"""),"PRD-NutriKid")</f>
        <v>PRD-NutriKid</v>
      </c>
      <c r="D121" s="2" t="str">
        <f>IFERROR(__xludf.DUMMYFUNCTION("""COMPUTED_VALUE"""),"OPQ  38143")</f>
        <v>OPQ  38143</v>
      </c>
      <c r="E121" s="2" t="str">
        <f>IFERROR(__xludf.DUMMYFUNCTION("""COMPUTED_VALUE"""),"NPQ[IPLMARKETTING]45772")</f>
        <v>NPQ[IPLMARKETTING]45772</v>
      </c>
      <c r="F121" s="2" t="str">
        <f t="shared" si="1"/>
        <v>IPLMARKETTING]45772</v>
      </c>
      <c r="G121" s="2" t="str">
        <f>IFERROR(__xludf.DUMMYFUNCTION("SPLIT(F121,""]"")"),"IPLMARKETTING")</f>
        <v>IPLMARKETTING</v>
      </c>
      <c r="H121" s="2">
        <f>IFERROR(__xludf.DUMMYFUNCTION("""COMPUTED_VALUE"""),45772.0)</f>
        <v>45772</v>
      </c>
      <c r="I121" s="2">
        <f t="shared" si="2"/>
        <v>4</v>
      </c>
      <c r="J121" s="2" t="str">
        <f t="shared" si="3"/>
        <v>Hyderabad</v>
      </c>
      <c r="K121" s="2" t="str">
        <f t="shared" si="4"/>
        <v>NutriKid</v>
      </c>
      <c r="L121" s="2">
        <f t="shared" si="5"/>
        <v>38143</v>
      </c>
      <c r="M121" s="2">
        <f t="shared" si="6"/>
        <v>45772</v>
      </c>
      <c r="N121" s="2" t="str">
        <f t="shared" si="7"/>
        <v>IPLMARKETTING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tr">
        <f>IFERROR(__xludf.DUMMYFUNCTION("SPLIT(SalesData!A122,""//"")"),"Month4 ")</f>
        <v>Month4 </v>
      </c>
      <c r="B122" s="2" t="str">
        <f>IFERROR(__xludf.DUMMYFUNCTION("""COMPUTED_VALUE"""),"City_Dehradun")</f>
        <v>City_Dehradun</v>
      </c>
      <c r="C122" s="2" t="str">
        <f>IFERROR(__xludf.DUMMYFUNCTION("""COMPUTED_VALUE"""),"PRD-ZestVita")</f>
        <v>PRD-ZestVita</v>
      </c>
      <c r="D122" s="2" t="str">
        <f>IFERROR(__xludf.DUMMYFUNCTION("""COMPUTED_VALUE"""),"OPQ  23876")</f>
        <v>OPQ  23876</v>
      </c>
      <c r="E122" s="2" t="str">
        <f>IFERROR(__xludf.DUMMYFUNCTION("""COMPUTED_VALUE"""),"NPQ[IPLMARKETTING]24592")</f>
        <v>NPQ[IPLMARKETTING]24592</v>
      </c>
      <c r="F122" s="2" t="str">
        <f t="shared" si="1"/>
        <v>IPLMARKETTING]24592</v>
      </c>
      <c r="G122" s="2" t="str">
        <f>IFERROR(__xludf.DUMMYFUNCTION("SPLIT(F122,""]"")"),"IPLMARKETTING")</f>
        <v>IPLMARKETTING</v>
      </c>
      <c r="H122" s="2">
        <f>IFERROR(__xludf.DUMMYFUNCTION("""COMPUTED_VALUE"""),24592.0)</f>
        <v>24592</v>
      </c>
      <c r="I122" s="2">
        <f t="shared" si="2"/>
        <v>4</v>
      </c>
      <c r="J122" s="2" t="str">
        <f t="shared" si="3"/>
        <v>Dehradun</v>
      </c>
      <c r="K122" s="2" t="str">
        <f t="shared" si="4"/>
        <v>ZestVita</v>
      </c>
      <c r="L122" s="2">
        <f t="shared" si="5"/>
        <v>23876</v>
      </c>
      <c r="M122" s="2">
        <f t="shared" si="6"/>
        <v>24592</v>
      </c>
      <c r="N122" s="2" t="str">
        <f t="shared" si="7"/>
        <v>IPLMARKETTING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tr">
        <f>IFERROR(__xludf.DUMMYFUNCTION("SPLIT(SalesData!A123,""//"")"),"Month4 ")</f>
        <v>Month4 </v>
      </c>
      <c r="B123" s="2" t="str">
        <f>IFERROR(__xludf.DUMMYFUNCTION("""COMPUTED_VALUE"""),"City_Dehradun")</f>
        <v>City_Dehradun</v>
      </c>
      <c r="C123" s="2" t="str">
        <f>IFERROR(__xludf.DUMMYFUNCTION("""COMPUTED_VALUE"""),"PRD-NutriKid")</f>
        <v>PRD-NutriKid</v>
      </c>
      <c r="D123" s="2" t="str">
        <f>IFERROR(__xludf.DUMMYFUNCTION("""COMPUTED_VALUE"""),"OPQ  14828")</f>
        <v>OPQ  14828</v>
      </c>
      <c r="E123" s="2" t="str">
        <f>IFERROR(__xludf.DUMMYFUNCTION("""COMPUTED_VALUE"""),"NPQ[IPLMARKETTING]16014")</f>
        <v>NPQ[IPLMARKETTING]16014</v>
      </c>
      <c r="F123" s="2" t="str">
        <f t="shared" si="1"/>
        <v>IPLMARKETTING]16014</v>
      </c>
      <c r="G123" s="2" t="str">
        <f>IFERROR(__xludf.DUMMYFUNCTION("SPLIT(F123,""]"")"),"IPLMARKETTING")</f>
        <v>IPLMARKETTING</v>
      </c>
      <c r="H123" s="2">
        <f>IFERROR(__xludf.DUMMYFUNCTION("""COMPUTED_VALUE"""),16014.0)</f>
        <v>16014</v>
      </c>
      <c r="I123" s="2">
        <f t="shared" si="2"/>
        <v>4</v>
      </c>
      <c r="J123" s="2" t="str">
        <f t="shared" si="3"/>
        <v>Dehradun</v>
      </c>
      <c r="K123" s="2" t="str">
        <f t="shared" si="4"/>
        <v>NutriKid</v>
      </c>
      <c r="L123" s="2">
        <f t="shared" si="5"/>
        <v>14828</v>
      </c>
      <c r="M123" s="2">
        <f t="shared" si="6"/>
        <v>16014</v>
      </c>
      <c r="N123" s="2" t="str">
        <f t="shared" si="7"/>
        <v>IPLMARKETTING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tr">
        <f>IFERROR(__xludf.DUMMYFUNCTION("SPLIT(SalesData!A124,""//"")"),"Month4 ")</f>
        <v>Month4 </v>
      </c>
      <c r="B124" s="2" t="str">
        <f>IFERROR(__xludf.DUMMYFUNCTION("""COMPUTED_VALUE"""),"City_Kochi")</f>
        <v>City_Kochi</v>
      </c>
      <c r="C124" s="2" t="str">
        <f>IFERROR(__xludf.DUMMYFUNCTION("""COMPUTED_VALUE"""),"PRD-ZestVita")</f>
        <v>PRD-ZestVita</v>
      </c>
      <c r="D124" s="2" t="str">
        <f>IFERROR(__xludf.DUMMYFUNCTION("""COMPUTED_VALUE"""),"OPQ  25957")</f>
        <v>OPQ  25957</v>
      </c>
      <c r="E124" s="2" t="str">
        <f>IFERROR(__xludf.DUMMYFUNCTION("""COMPUTED_VALUE"""),"NPQ[IPLMARKETTING]26995")</f>
        <v>NPQ[IPLMARKETTING]26995</v>
      </c>
      <c r="F124" s="2" t="str">
        <f t="shared" si="1"/>
        <v>IPLMARKETTING]26995</v>
      </c>
      <c r="G124" s="2" t="str">
        <f>IFERROR(__xludf.DUMMYFUNCTION("SPLIT(F124,""]"")"),"IPLMARKETTING")</f>
        <v>IPLMARKETTING</v>
      </c>
      <c r="H124" s="2">
        <f>IFERROR(__xludf.DUMMYFUNCTION("""COMPUTED_VALUE"""),26995.0)</f>
        <v>26995</v>
      </c>
      <c r="I124" s="2">
        <f t="shared" si="2"/>
        <v>4</v>
      </c>
      <c r="J124" s="2" t="str">
        <f t="shared" si="3"/>
        <v>Kochi</v>
      </c>
      <c r="K124" s="2" t="str">
        <f t="shared" si="4"/>
        <v>ZestVita</v>
      </c>
      <c r="L124" s="2">
        <f t="shared" si="5"/>
        <v>25957</v>
      </c>
      <c r="M124" s="2">
        <f t="shared" si="6"/>
        <v>26995</v>
      </c>
      <c r="N124" s="2" t="str">
        <f t="shared" si="7"/>
        <v>IPLMARKETTING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tr">
        <f>IFERROR(__xludf.DUMMYFUNCTION("SPLIT(SalesData!A125,""//"")"),"Month4 ")</f>
        <v>Month4 </v>
      </c>
      <c r="B125" s="2" t="str">
        <f>IFERROR(__xludf.DUMMYFUNCTION("""COMPUTED_VALUE"""),"City_Kochi")</f>
        <v>City_Kochi</v>
      </c>
      <c r="C125" s="2" t="str">
        <f>IFERROR(__xludf.DUMMYFUNCTION("""COMPUTED_VALUE"""),"PRD-NutriKid")</f>
        <v>PRD-NutriKid</v>
      </c>
      <c r="D125" s="2" t="str">
        <f>IFERROR(__xludf.DUMMYFUNCTION("""COMPUTED_VALUE"""),"OPQ  16492")</f>
        <v>OPQ  16492</v>
      </c>
      <c r="E125" s="2" t="str">
        <f>IFERROR(__xludf.DUMMYFUNCTION("""COMPUTED_VALUE"""),"NPQ[IPLMARKETTING]17646")</f>
        <v>NPQ[IPLMARKETTING]17646</v>
      </c>
      <c r="F125" s="2" t="str">
        <f t="shared" si="1"/>
        <v>IPLMARKETTING]17646</v>
      </c>
      <c r="G125" s="2" t="str">
        <f>IFERROR(__xludf.DUMMYFUNCTION("SPLIT(F125,""]"")"),"IPLMARKETTING")</f>
        <v>IPLMARKETTING</v>
      </c>
      <c r="H125" s="2">
        <f>IFERROR(__xludf.DUMMYFUNCTION("""COMPUTED_VALUE"""),17646.0)</f>
        <v>17646</v>
      </c>
      <c r="I125" s="2">
        <f t="shared" si="2"/>
        <v>4</v>
      </c>
      <c r="J125" s="2" t="str">
        <f t="shared" si="3"/>
        <v>Kochi</v>
      </c>
      <c r="K125" s="2" t="str">
        <f t="shared" si="4"/>
        <v>NutriKid</v>
      </c>
      <c r="L125" s="2">
        <f t="shared" si="5"/>
        <v>16492</v>
      </c>
      <c r="M125" s="2">
        <f t="shared" si="6"/>
        <v>17646</v>
      </c>
      <c r="N125" s="2" t="str">
        <f t="shared" si="7"/>
        <v>IPLMARKETTING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tr">
        <f>IFERROR(__xludf.DUMMYFUNCTION("SPLIT(SalesData!A126,""//"")"),"Month4 ")</f>
        <v>Month4 </v>
      </c>
      <c r="B126" s="2" t="str">
        <f>IFERROR(__xludf.DUMMYFUNCTION("""COMPUTED_VALUE"""),"City_Jaipur")</f>
        <v>City_Jaipur</v>
      </c>
      <c r="C126" s="2" t="str">
        <f>IFERROR(__xludf.DUMMYFUNCTION("""COMPUTED_VALUE"""),"PRD-ZestVita")</f>
        <v>PRD-ZestVita</v>
      </c>
      <c r="D126" s="2" t="str">
        <f>IFERROR(__xludf.DUMMYFUNCTION("""COMPUTED_VALUE"""),"OPQ  31626")</f>
        <v>OPQ  31626</v>
      </c>
      <c r="E126" s="2" t="str">
        <f>IFERROR(__xludf.DUMMYFUNCTION("""COMPUTED_VALUE"""),"NPQ[IPLMARKETTING]38267")</f>
        <v>NPQ[IPLMARKETTING]38267</v>
      </c>
      <c r="F126" s="2" t="str">
        <f t="shared" si="1"/>
        <v>IPLMARKETTING]38267</v>
      </c>
      <c r="G126" s="2" t="str">
        <f>IFERROR(__xludf.DUMMYFUNCTION("SPLIT(F126,""]"")"),"IPLMARKETTING")</f>
        <v>IPLMARKETTING</v>
      </c>
      <c r="H126" s="2">
        <f>IFERROR(__xludf.DUMMYFUNCTION("""COMPUTED_VALUE"""),38267.0)</f>
        <v>38267</v>
      </c>
      <c r="I126" s="2">
        <f t="shared" si="2"/>
        <v>4</v>
      </c>
      <c r="J126" s="2" t="str">
        <f t="shared" si="3"/>
        <v>Jaipur</v>
      </c>
      <c r="K126" s="2" t="str">
        <f t="shared" si="4"/>
        <v>ZestVita</v>
      </c>
      <c r="L126" s="2">
        <f t="shared" si="5"/>
        <v>31626</v>
      </c>
      <c r="M126" s="2">
        <f t="shared" si="6"/>
        <v>38267</v>
      </c>
      <c r="N126" s="2" t="str">
        <f t="shared" si="7"/>
        <v>IPLMARKETTING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tr">
        <f>IFERROR(__xludf.DUMMYFUNCTION("SPLIT(SalesData!A127,""//"")"),"Month4 ")</f>
        <v>Month4 </v>
      </c>
      <c r="B127" s="2" t="str">
        <f>IFERROR(__xludf.DUMMYFUNCTION("""COMPUTED_VALUE"""),"City_Jaipur")</f>
        <v>City_Jaipur</v>
      </c>
      <c r="C127" s="2" t="str">
        <f>IFERROR(__xludf.DUMMYFUNCTION("""COMPUTED_VALUE"""),"PRD-NutriKid")</f>
        <v>PRD-NutriKid</v>
      </c>
      <c r="D127" s="2" t="str">
        <f>IFERROR(__xludf.DUMMYFUNCTION("""COMPUTED_VALUE"""),"OPQ  24413")</f>
        <v>OPQ  24413</v>
      </c>
      <c r="E127" s="2" t="str">
        <f>IFERROR(__xludf.DUMMYFUNCTION("""COMPUTED_VALUE"""),"NPQ[IPLMARKETTING]30516")</f>
        <v>NPQ[IPLMARKETTING]30516</v>
      </c>
      <c r="F127" s="2" t="str">
        <f t="shared" si="1"/>
        <v>IPLMARKETTING]30516</v>
      </c>
      <c r="G127" s="2" t="str">
        <f>IFERROR(__xludf.DUMMYFUNCTION("SPLIT(F127,""]"")"),"IPLMARKETTING")</f>
        <v>IPLMARKETTING</v>
      </c>
      <c r="H127" s="2">
        <f>IFERROR(__xludf.DUMMYFUNCTION("""COMPUTED_VALUE"""),30516.0)</f>
        <v>30516</v>
      </c>
      <c r="I127" s="2">
        <f t="shared" si="2"/>
        <v>4</v>
      </c>
      <c r="J127" s="2" t="str">
        <f t="shared" si="3"/>
        <v>Jaipur</v>
      </c>
      <c r="K127" s="2" t="str">
        <f t="shared" si="4"/>
        <v>NutriKid</v>
      </c>
      <c r="L127" s="2">
        <f t="shared" si="5"/>
        <v>24413</v>
      </c>
      <c r="M127" s="2">
        <f t="shared" si="6"/>
        <v>30516</v>
      </c>
      <c r="N127" s="2" t="str">
        <f t="shared" si="7"/>
        <v>IPLMARKETTING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tr">
        <f>IFERROR(__xludf.DUMMYFUNCTION("SPLIT(SalesData!A128,""//"")"),"Month4 ")</f>
        <v>Month4 </v>
      </c>
      <c r="B128" s="2" t="str">
        <f>IFERROR(__xludf.DUMMYFUNCTION("""COMPUTED_VALUE"""),"City_Patna")</f>
        <v>City_Patna</v>
      </c>
      <c r="C128" s="2" t="str">
        <f>IFERROR(__xludf.DUMMYFUNCTION("""COMPUTED_VALUE"""),"PRD-ZestVita")</f>
        <v>PRD-ZestVita</v>
      </c>
      <c r="D128" s="2" t="str">
        <f>IFERROR(__xludf.DUMMYFUNCTION("""COMPUTED_VALUE"""),"OPQ  26794")</f>
        <v>OPQ  26794</v>
      </c>
      <c r="E128" s="2" t="str">
        <f>IFERROR(__xludf.DUMMYFUNCTION("""COMPUTED_VALUE"""),"NPQ[IPLMARKETTING]30545")</f>
        <v>NPQ[IPLMARKETTING]30545</v>
      </c>
      <c r="F128" s="2" t="str">
        <f t="shared" si="1"/>
        <v>IPLMARKETTING]30545</v>
      </c>
      <c r="G128" s="2" t="str">
        <f>IFERROR(__xludf.DUMMYFUNCTION("SPLIT(F128,""]"")"),"IPLMARKETTING")</f>
        <v>IPLMARKETTING</v>
      </c>
      <c r="H128" s="2">
        <f>IFERROR(__xludf.DUMMYFUNCTION("""COMPUTED_VALUE"""),30545.0)</f>
        <v>30545</v>
      </c>
      <c r="I128" s="2">
        <f t="shared" si="2"/>
        <v>4</v>
      </c>
      <c r="J128" s="2" t="str">
        <f t="shared" si="3"/>
        <v>Patna</v>
      </c>
      <c r="K128" s="2" t="str">
        <f t="shared" si="4"/>
        <v>ZestVita</v>
      </c>
      <c r="L128" s="2">
        <f t="shared" si="5"/>
        <v>26794</v>
      </c>
      <c r="M128" s="2">
        <f t="shared" si="6"/>
        <v>30545</v>
      </c>
      <c r="N128" s="2" t="str">
        <f t="shared" si="7"/>
        <v>IPLMARKETTING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tr">
        <f>IFERROR(__xludf.DUMMYFUNCTION("SPLIT(SalesData!A129,""//"")"),"Month4 ")</f>
        <v>Month4 </v>
      </c>
      <c r="B129" s="2" t="str">
        <f>IFERROR(__xludf.DUMMYFUNCTION("""COMPUTED_VALUE"""),"City_Patna")</f>
        <v>City_Patna</v>
      </c>
      <c r="C129" s="2" t="str">
        <f>IFERROR(__xludf.DUMMYFUNCTION("""COMPUTED_VALUE"""),"PRD-NutriKid")</f>
        <v>PRD-NutriKid</v>
      </c>
      <c r="D129" s="2" t="str">
        <f>IFERROR(__xludf.DUMMYFUNCTION("""COMPUTED_VALUE"""),"OPQ  35383")</f>
        <v>OPQ  35383</v>
      </c>
      <c r="E129" s="2" t="str">
        <f>IFERROR(__xludf.DUMMYFUNCTION("""COMPUTED_VALUE"""),"NPQ[IPLMARKETTING]42460")</f>
        <v>NPQ[IPLMARKETTING]42460</v>
      </c>
      <c r="F129" s="2" t="str">
        <f t="shared" si="1"/>
        <v>IPLMARKETTING]42460</v>
      </c>
      <c r="G129" s="2" t="str">
        <f>IFERROR(__xludf.DUMMYFUNCTION("SPLIT(F129,""]"")"),"IPLMARKETTING")</f>
        <v>IPLMARKETTING</v>
      </c>
      <c r="H129" s="2">
        <f>IFERROR(__xludf.DUMMYFUNCTION("""COMPUTED_VALUE"""),42460.0)</f>
        <v>42460</v>
      </c>
      <c r="I129" s="2">
        <f t="shared" si="2"/>
        <v>4</v>
      </c>
      <c r="J129" s="2" t="str">
        <f t="shared" si="3"/>
        <v>Patna</v>
      </c>
      <c r="K129" s="2" t="str">
        <f t="shared" si="4"/>
        <v>NutriKid</v>
      </c>
      <c r="L129" s="2">
        <f t="shared" si="5"/>
        <v>35383</v>
      </c>
      <c r="M129" s="2">
        <f t="shared" si="6"/>
        <v>42460</v>
      </c>
      <c r="N129" s="2" t="str">
        <f t="shared" si="7"/>
        <v>IPLMARKETTING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tr">
        <f>IFERROR(__xludf.DUMMYFUNCTION("SPLIT(SalesData!A130,""//"")"),"Month5 ")</f>
        <v>Month5 </v>
      </c>
      <c r="B130" s="2" t="str">
        <f>IFERROR(__xludf.DUMMYFUNCTION("""COMPUTED_VALUE"""),"City_Delhi")</f>
        <v>City_Delhi</v>
      </c>
      <c r="C130" s="2" t="str">
        <f>IFERROR(__xludf.DUMMYFUNCTION("""COMPUTED_VALUE"""),"PRD-ZestVita")</f>
        <v>PRD-ZestVita</v>
      </c>
      <c r="D130" s="2" t="str">
        <f>IFERROR(__xludf.DUMMYFUNCTION("""COMPUTED_VALUE"""),"OPQ  38585")</f>
        <v>OPQ  38585</v>
      </c>
      <c r="E130" s="2" t="str">
        <f>IFERROR(__xludf.DUMMYFUNCTION("""COMPUTED_VALUE"""),"NPQ[IPLMARKETTING]45916")</f>
        <v>NPQ[IPLMARKETTING]45916</v>
      </c>
      <c r="F130" s="2" t="str">
        <f t="shared" si="1"/>
        <v>IPLMARKETTING]45916</v>
      </c>
      <c r="G130" s="2" t="str">
        <f>IFERROR(__xludf.DUMMYFUNCTION("SPLIT(F130,""]"")"),"IPLMARKETTING")</f>
        <v>IPLMARKETTING</v>
      </c>
      <c r="H130" s="2">
        <f>IFERROR(__xludf.DUMMYFUNCTION("""COMPUTED_VALUE"""),45916.0)</f>
        <v>45916</v>
      </c>
      <c r="I130" s="2">
        <f t="shared" si="2"/>
        <v>5</v>
      </c>
      <c r="J130" s="2" t="str">
        <f t="shared" si="3"/>
        <v>Delhi</v>
      </c>
      <c r="K130" s="2" t="str">
        <f t="shared" si="4"/>
        <v>ZestVita</v>
      </c>
      <c r="L130" s="2">
        <f t="shared" si="5"/>
        <v>38585</v>
      </c>
      <c r="M130" s="2">
        <f t="shared" si="6"/>
        <v>45916</v>
      </c>
      <c r="N130" s="2" t="str">
        <f t="shared" si="7"/>
        <v>IPLMARKETTING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tr">
        <f>IFERROR(__xludf.DUMMYFUNCTION("SPLIT(SalesData!A131,""//"")"),"Month5 ")</f>
        <v>Month5 </v>
      </c>
      <c r="B131" s="2" t="str">
        <f>IFERROR(__xludf.DUMMYFUNCTION("""COMPUTED_VALUE"""),"City_Delhi")</f>
        <v>City_Delhi</v>
      </c>
      <c r="C131" s="2" t="str">
        <f>IFERROR(__xludf.DUMMYFUNCTION("""COMPUTED_VALUE"""),"PRD-NutriKid")</f>
        <v>PRD-NutriKid</v>
      </c>
      <c r="D131" s="2" t="str">
        <f>IFERROR(__xludf.DUMMYFUNCTION("""COMPUTED_VALUE"""),"OPQ  29886")</f>
        <v>OPQ  29886</v>
      </c>
      <c r="E131" s="2" t="str">
        <f>IFERROR(__xludf.DUMMYFUNCTION("""COMPUTED_VALUE"""),"NPQ[IPLMARKETTING]34668")</f>
        <v>NPQ[IPLMARKETTING]34668</v>
      </c>
      <c r="F131" s="2" t="str">
        <f t="shared" si="1"/>
        <v>IPLMARKETTING]34668</v>
      </c>
      <c r="G131" s="2" t="str">
        <f>IFERROR(__xludf.DUMMYFUNCTION("SPLIT(F131,""]"")"),"IPLMARKETTING")</f>
        <v>IPLMARKETTING</v>
      </c>
      <c r="H131" s="2">
        <f>IFERROR(__xludf.DUMMYFUNCTION("""COMPUTED_VALUE"""),34668.0)</f>
        <v>34668</v>
      </c>
      <c r="I131" s="2">
        <f t="shared" si="2"/>
        <v>5</v>
      </c>
      <c r="J131" s="2" t="str">
        <f t="shared" si="3"/>
        <v>Delhi</v>
      </c>
      <c r="K131" s="2" t="str">
        <f t="shared" si="4"/>
        <v>NutriKid</v>
      </c>
      <c r="L131" s="2">
        <f t="shared" si="5"/>
        <v>29886</v>
      </c>
      <c r="M131" s="2">
        <f t="shared" si="6"/>
        <v>34668</v>
      </c>
      <c r="N131" s="2" t="str">
        <f t="shared" si="7"/>
        <v>IPLMARKETTING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tr">
        <f>IFERROR(__xludf.DUMMYFUNCTION("SPLIT(SalesData!A132,""//"")"),"Month5 ")</f>
        <v>Month5 </v>
      </c>
      <c r="B132" s="2" t="str">
        <f>IFERROR(__xludf.DUMMYFUNCTION("""COMPUTED_VALUE"""),"City_Kolkata")</f>
        <v>City_Kolkata</v>
      </c>
      <c r="C132" s="2" t="str">
        <f>IFERROR(__xludf.DUMMYFUNCTION("""COMPUTED_VALUE"""),"PRD-ZestVita")</f>
        <v>PRD-ZestVita</v>
      </c>
      <c r="D132" s="2" t="str">
        <f>IFERROR(__xludf.DUMMYFUNCTION("""COMPUTED_VALUE"""),"OPQ  20585")</f>
        <v>OPQ  20585</v>
      </c>
      <c r="E132" s="2" t="str">
        <f>IFERROR(__xludf.DUMMYFUNCTION("""COMPUTED_VALUE"""),"NPQ[IPLMARKETTING]23879")</f>
        <v>NPQ[IPLMARKETTING]23879</v>
      </c>
      <c r="F132" s="2" t="str">
        <f t="shared" si="1"/>
        <v>IPLMARKETTING]23879</v>
      </c>
      <c r="G132" s="2" t="str">
        <f>IFERROR(__xludf.DUMMYFUNCTION("SPLIT(F132,""]"")"),"IPLMARKETTING")</f>
        <v>IPLMARKETTING</v>
      </c>
      <c r="H132" s="2">
        <f>IFERROR(__xludf.DUMMYFUNCTION("""COMPUTED_VALUE"""),23879.0)</f>
        <v>23879</v>
      </c>
      <c r="I132" s="2">
        <f t="shared" si="2"/>
        <v>5</v>
      </c>
      <c r="J132" s="2" t="str">
        <f t="shared" si="3"/>
        <v>Kolkata</v>
      </c>
      <c r="K132" s="2" t="str">
        <f t="shared" si="4"/>
        <v>ZestVita</v>
      </c>
      <c r="L132" s="2">
        <f t="shared" si="5"/>
        <v>20585</v>
      </c>
      <c r="M132" s="2">
        <f t="shared" si="6"/>
        <v>23879</v>
      </c>
      <c r="N132" s="2" t="str">
        <f t="shared" si="7"/>
        <v>IPLMARKETTING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tr">
        <f>IFERROR(__xludf.DUMMYFUNCTION("SPLIT(SalesData!A133,""//"")"),"Month5 ")</f>
        <v>Month5 </v>
      </c>
      <c r="B133" s="2" t="str">
        <f>IFERROR(__xludf.DUMMYFUNCTION("""COMPUTED_VALUE"""),"City_Kolkata")</f>
        <v>City_Kolkata</v>
      </c>
      <c r="C133" s="2" t="str">
        <f>IFERROR(__xludf.DUMMYFUNCTION("""COMPUTED_VALUE"""),"PRD-NutriKid")</f>
        <v>PRD-NutriKid</v>
      </c>
      <c r="D133" s="2" t="str">
        <f>IFERROR(__xludf.DUMMYFUNCTION("""COMPUTED_VALUE"""),"OPQ  41511")</f>
        <v>OPQ  41511</v>
      </c>
      <c r="E133" s="2" t="str">
        <f>IFERROR(__xludf.DUMMYFUNCTION("""COMPUTED_VALUE"""),"NPQ[IPLMARKETTING]48983")</f>
        <v>NPQ[IPLMARKETTING]48983</v>
      </c>
      <c r="F133" s="2" t="str">
        <f t="shared" si="1"/>
        <v>IPLMARKETTING]48983</v>
      </c>
      <c r="G133" s="2" t="str">
        <f>IFERROR(__xludf.DUMMYFUNCTION("SPLIT(F133,""]"")"),"IPLMARKETTING")</f>
        <v>IPLMARKETTING</v>
      </c>
      <c r="H133" s="2">
        <f>IFERROR(__xludf.DUMMYFUNCTION("""COMPUTED_VALUE"""),48983.0)</f>
        <v>48983</v>
      </c>
      <c r="I133" s="2">
        <f t="shared" si="2"/>
        <v>5</v>
      </c>
      <c r="J133" s="2" t="str">
        <f t="shared" si="3"/>
        <v>Kolkata</v>
      </c>
      <c r="K133" s="2" t="str">
        <f t="shared" si="4"/>
        <v>NutriKid</v>
      </c>
      <c r="L133" s="2">
        <f t="shared" si="5"/>
        <v>41511</v>
      </c>
      <c r="M133" s="2">
        <f t="shared" si="6"/>
        <v>48983</v>
      </c>
      <c r="N133" s="2" t="str">
        <f t="shared" si="7"/>
        <v>IPLMARKETTING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tr">
        <f>IFERROR(__xludf.DUMMYFUNCTION("SPLIT(SalesData!A134,""//"")"),"Month5 ")</f>
        <v>Month5 </v>
      </c>
      <c r="B134" s="2" t="str">
        <f>IFERROR(__xludf.DUMMYFUNCTION("""COMPUTED_VALUE"""),"City_Pune")</f>
        <v>City_Pune</v>
      </c>
      <c r="C134" s="2" t="str">
        <f>IFERROR(__xludf.DUMMYFUNCTION("""COMPUTED_VALUE"""),"PRD-ZestVita")</f>
        <v>PRD-ZestVita</v>
      </c>
      <c r="D134" s="2" t="str">
        <f>IFERROR(__xludf.DUMMYFUNCTION("""COMPUTED_VALUE"""),"OPQ  25282")</f>
        <v>OPQ  25282</v>
      </c>
      <c r="E134" s="2" t="str">
        <f>IFERROR(__xludf.DUMMYFUNCTION("""COMPUTED_VALUE"""),"NPQ[IPLMARKETTING]31097")</f>
        <v>NPQ[IPLMARKETTING]31097</v>
      </c>
      <c r="F134" s="2" t="str">
        <f t="shared" si="1"/>
        <v>IPLMARKETTING]31097</v>
      </c>
      <c r="G134" s="2" t="str">
        <f>IFERROR(__xludf.DUMMYFUNCTION("SPLIT(F134,""]"")"),"IPLMARKETTING")</f>
        <v>IPLMARKETTING</v>
      </c>
      <c r="H134" s="2">
        <f>IFERROR(__xludf.DUMMYFUNCTION("""COMPUTED_VALUE"""),31097.0)</f>
        <v>31097</v>
      </c>
      <c r="I134" s="2">
        <f t="shared" si="2"/>
        <v>5</v>
      </c>
      <c r="J134" s="2" t="str">
        <f t="shared" si="3"/>
        <v>Pune</v>
      </c>
      <c r="K134" s="2" t="str">
        <f t="shared" si="4"/>
        <v>ZestVita</v>
      </c>
      <c r="L134" s="2">
        <f t="shared" si="5"/>
        <v>25282</v>
      </c>
      <c r="M134" s="2">
        <f t="shared" si="6"/>
        <v>31097</v>
      </c>
      <c r="N134" s="2" t="str">
        <f t="shared" si="7"/>
        <v>IPLMARKETTING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tr">
        <f>IFERROR(__xludf.DUMMYFUNCTION("SPLIT(SalesData!A135,""//"")"),"Month5 ")</f>
        <v>Month5 </v>
      </c>
      <c r="B135" s="2" t="str">
        <f>IFERROR(__xludf.DUMMYFUNCTION("""COMPUTED_VALUE"""),"City_Pune")</f>
        <v>City_Pune</v>
      </c>
      <c r="C135" s="2" t="str">
        <f>IFERROR(__xludf.DUMMYFUNCTION("""COMPUTED_VALUE"""),"PRD-NutriKid")</f>
        <v>PRD-NutriKid</v>
      </c>
      <c r="D135" s="2" t="str">
        <f>IFERROR(__xludf.DUMMYFUNCTION("""COMPUTED_VALUE"""),"OPQ  29857")</f>
        <v>OPQ  29857</v>
      </c>
      <c r="E135" s="2" t="str">
        <f>IFERROR(__xludf.DUMMYFUNCTION("""COMPUTED_VALUE"""),"NPQ[IPLMARKETTING]34933")</f>
        <v>NPQ[IPLMARKETTING]34933</v>
      </c>
      <c r="F135" s="2" t="str">
        <f t="shared" si="1"/>
        <v>IPLMARKETTING]34933</v>
      </c>
      <c r="G135" s="2" t="str">
        <f>IFERROR(__xludf.DUMMYFUNCTION("SPLIT(F135,""]"")"),"IPLMARKETTING")</f>
        <v>IPLMARKETTING</v>
      </c>
      <c r="H135" s="2">
        <f>IFERROR(__xludf.DUMMYFUNCTION("""COMPUTED_VALUE"""),34933.0)</f>
        <v>34933</v>
      </c>
      <c r="I135" s="2">
        <f t="shared" si="2"/>
        <v>5</v>
      </c>
      <c r="J135" s="2" t="str">
        <f t="shared" si="3"/>
        <v>Pune</v>
      </c>
      <c r="K135" s="2" t="str">
        <f t="shared" si="4"/>
        <v>NutriKid</v>
      </c>
      <c r="L135" s="2">
        <f t="shared" si="5"/>
        <v>29857</v>
      </c>
      <c r="M135" s="2">
        <f t="shared" si="6"/>
        <v>34933</v>
      </c>
      <c r="N135" s="2" t="str">
        <f t="shared" si="7"/>
        <v>IPLMARKETTING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tr">
        <f>IFERROR(__xludf.DUMMYFUNCTION("SPLIT(SalesData!A136,""//"")"),"Month5 ")</f>
        <v>Month5 </v>
      </c>
      <c r="B136" s="2" t="str">
        <f>IFERROR(__xludf.DUMMYFUNCTION("""COMPUTED_VALUE"""),"City_Bengaluru")</f>
        <v>City_Bengaluru</v>
      </c>
      <c r="C136" s="2" t="str">
        <f>IFERROR(__xludf.DUMMYFUNCTION("""COMPUTED_VALUE"""),"PRD-ZestVita")</f>
        <v>PRD-ZestVita</v>
      </c>
      <c r="D136" s="2" t="str">
        <f>IFERROR(__xludf.DUMMYFUNCTION("""COMPUTED_VALUE"""),"OPQ  47725")</f>
        <v>OPQ  47725</v>
      </c>
      <c r="E136" s="2" t="str">
        <f>IFERROR(__xludf.DUMMYFUNCTION("""COMPUTED_VALUE"""),"NPQ[IPLMARKETTING]52975")</f>
        <v>NPQ[IPLMARKETTING]52975</v>
      </c>
      <c r="F136" s="2" t="str">
        <f t="shared" si="1"/>
        <v>IPLMARKETTING]52975</v>
      </c>
      <c r="G136" s="2" t="str">
        <f>IFERROR(__xludf.DUMMYFUNCTION("SPLIT(F136,""]"")"),"IPLMARKETTING")</f>
        <v>IPLMARKETTING</v>
      </c>
      <c r="H136" s="2">
        <f>IFERROR(__xludf.DUMMYFUNCTION("""COMPUTED_VALUE"""),52975.0)</f>
        <v>52975</v>
      </c>
      <c r="I136" s="2">
        <f t="shared" si="2"/>
        <v>5</v>
      </c>
      <c r="J136" s="2" t="str">
        <f t="shared" si="3"/>
        <v>Bengaluru</v>
      </c>
      <c r="K136" s="2" t="str">
        <f t="shared" si="4"/>
        <v>ZestVita</v>
      </c>
      <c r="L136" s="2">
        <f t="shared" si="5"/>
        <v>47725</v>
      </c>
      <c r="M136" s="2">
        <f t="shared" si="6"/>
        <v>52975</v>
      </c>
      <c r="N136" s="2" t="str">
        <f t="shared" si="7"/>
        <v>IPLMARKETTING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tr">
        <f>IFERROR(__xludf.DUMMYFUNCTION("SPLIT(SalesData!A137,""//"")"),"Month5 ")</f>
        <v>Month5 </v>
      </c>
      <c r="B137" s="2" t="str">
        <f>IFERROR(__xludf.DUMMYFUNCTION("""COMPUTED_VALUE"""),"City_Bengaluru")</f>
        <v>City_Bengaluru</v>
      </c>
      <c r="C137" s="2" t="str">
        <f>IFERROR(__xludf.DUMMYFUNCTION("""COMPUTED_VALUE"""),"PRD-NutriKid")</f>
        <v>PRD-NutriKid</v>
      </c>
      <c r="D137" s="2" t="str">
        <f>IFERROR(__xludf.DUMMYFUNCTION("""COMPUTED_VALUE"""),"OPQ  25451")</f>
        <v>OPQ  25451</v>
      </c>
      <c r="E137" s="2" t="str">
        <f>IFERROR(__xludf.DUMMYFUNCTION("""COMPUTED_VALUE"""),"NPQ[IPLMARKETTING]28505")</f>
        <v>NPQ[IPLMARKETTING]28505</v>
      </c>
      <c r="F137" s="2" t="str">
        <f t="shared" si="1"/>
        <v>IPLMARKETTING]28505</v>
      </c>
      <c r="G137" s="2" t="str">
        <f>IFERROR(__xludf.DUMMYFUNCTION("SPLIT(F137,""]"")"),"IPLMARKETTING")</f>
        <v>IPLMARKETTING</v>
      </c>
      <c r="H137" s="2">
        <f>IFERROR(__xludf.DUMMYFUNCTION("""COMPUTED_VALUE"""),28505.0)</f>
        <v>28505</v>
      </c>
      <c r="I137" s="2">
        <f t="shared" si="2"/>
        <v>5</v>
      </c>
      <c r="J137" s="2" t="str">
        <f t="shared" si="3"/>
        <v>Bengaluru</v>
      </c>
      <c r="K137" s="2" t="str">
        <f t="shared" si="4"/>
        <v>NutriKid</v>
      </c>
      <c r="L137" s="2">
        <f t="shared" si="5"/>
        <v>25451</v>
      </c>
      <c r="M137" s="2">
        <f t="shared" si="6"/>
        <v>28505</v>
      </c>
      <c r="N137" s="2" t="str">
        <f t="shared" si="7"/>
        <v>IPLMARKETTING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tr">
        <f>IFERROR(__xludf.DUMMYFUNCTION("SPLIT(SalesData!A138,""//"")"),"Month5 ")</f>
        <v>Month5 </v>
      </c>
      <c r="B138" s="2" t="str">
        <f>IFERROR(__xludf.DUMMYFUNCTION("""COMPUTED_VALUE"""),"City_Chandigarh")</f>
        <v>City_Chandigarh</v>
      </c>
      <c r="C138" s="2" t="str">
        <f>IFERROR(__xludf.DUMMYFUNCTION("""COMPUTED_VALUE"""),"PRD-ZestVita")</f>
        <v>PRD-ZestVita</v>
      </c>
      <c r="D138" s="2" t="str">
        <f>IFERROR(__xludf.DUMMYFUNCTION("""COMPUTED_VALUE"""),"OPQ  41307")</f>
        <v>OPQ  41307</v>
      </c>
      <c r="E138" s="2" t="str">
        <f>IFERROR(__xludf.DUMMYFUNCTION("""COMPUTED_VALUE"""),"NPQ[IPLMARKETTING]46677")</f>
        <v>NPQ[IPLMARKETTING]46677</v>
      </c>
      <c r="F138" s="2" t="str">
        <f t="shared" si="1"/>
        <v>IPLMARKETTING]46677</v>
      </c>
      <c r="G138" s="2" t="str">
        <f>IFERROR(__xludf.DUMMYFUNCTION("SPLIT(F138,""]"")"),"IPLMARKETTING")</f>
        <v>IPLMARKETTING</v>
      </c>
      <c r="H138" s="2">
        <f>IFERROR(__xludf.DUMMYFUNCTION("""COMPUTED_VALUE"""),46677.0)</f>
        <v>46677</v>
      </c>
      <c r="I138" s="2">
        <f t="shared" si="2"/>
        <v>5</v>
      </c>
      <c r="J138" s="2" t="str">
        <f t="shared" si="3"/>
        <v>Chandigarh</v>
      </c>
      <c r="K138" s="2" t="str">
        <f t="shared" si="4"/>
        <v>ZestVita</v>
      </c>
      <c r="L138" s="2">
        <f t="shared" si="5"/>
        <v>41307</v>
      </c>
      <c r="M138" s="2">
        <f t="shared" si="6"/>
        <v>46677</v>
      </c>
      <c r="N138" s="2" t="str">
        <f t="shared" si="7"/>
        <v>IPLMARKETTING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tr">
        <f>IFERROR(__xludf.DUMMYFUNCTION("SPLIT(SalesData!A139,""//"")"),"Month5 ")</f>
        <v>Month5 </v>
      </c>
      <c r="B139" s="2" t="str">
        <f>IFERROR(__xludf.DUMMYFUNCTION("""COMPUTED_VALUE"""),"City_Chandigarh")</f>
        <v>City_Chandigarh</v>
      </c>
      <c r="C139" s="2" t="str">
        <f>IFERROR(__xludf.DUMMYFUNCTION("""COMPUTED_VALUE"""),"PRD-NutriKid")</f>
        <v>PRD-NutriKid</v>
      </c>
      <c r="D139" s="2" t="str">
        <f>IFERROR(__xludf.DUMMYFUNCTION("""COMPUTED_VALUE"""),"OPQ  42764")</f>
        <v>OPQ  42764</v>
      </c>
      <c r="E139" s="2" t="str">
        <f>IFERROR(__xludf.DUMMYFUNCTION("""COMPUTED_VALUE"""),"NPQ[IPLMARKETTING]50889")</f>
        <v>NPQ[IPLMARKETTING]50889</v>
      </c>
      <c r="F139" s="2" t="str">
        <f t="shared" si="1"/>
        <v>IPLMARKETTING]50889</v>
      </c>
      <c r="G139" s="2" t="str">
        <f>IFERROR(__xludf.DUMMYFUNCTION("SPLIT(F139,""]"")"),"IPLMARKETTING")</f>
        <v>IPLMARKETTING</v>
      </c>
      <c r="H139" s="2">
        <f>IFERROR(__xludf.DUMMYFUNCTION("""COMPUTED_VALUE"""),50889.0)</f>
        <v>50889</v>
      </c>
      <c r="I139" s="2">
        <f t="shared" si="2"/>
        <v>5</v>
      </c>
      <c r="J139" s="2" t="str">
        <f t="shared" si="3"/>
        <v>Chandigarh</v>
      </c>
      <c r="K139" s="2" t="str">
        <f t="shared" si="4"/>
        <v>NutriKid</v>
      </c>
      <c r="L139" s="2">
        <f t="shared" si="5"/>
        <v>42764</v>
      </c>
      <c r="M139" s="2">
        <f t="shared" si="6"/>
        <v>50889</v>
      </c>
      <c r="N139" s="2" t="str">
        <f t="shared" si="7"/>
        <v>IPLMARKETTING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tr">
        <f>IFERROR(__xludf.DUMMYFUNCTION("SPLIT(SalesData!A140,""//"")"),"Month5 ")</f>
        <v>Month5 </v>
      </c>
      <c r="B140" s="2" t="str">
        <f>IFERROR(__xludf.DUMMYFUNCTION("""COMPUTED_VALUE"""),"City_Bhubaneswar")</f>
        <v>City_Bhubaneswar</v>
      </c>
      <c r="C140" s="2" t="str">
        <f>IFERROR(__xludf.DUMMYFUNCTION("""COMPUTED_VALUE"""),"PRD-ZestVita")</f>
        <v>PRD-ZestVita</v>
      </c>
      <c r="D140" s="2" t="str">
        <f>IFERROR(__xludf.DUMMYFUNCTION("""COMPUTED_VALUE"""),"OPQ  15016")</f>
        <v>OPQ  15016</v>
      </c>
      <c r="E140" s="2" t="str">
        <f>IFERROR(__xludf.DUMMYFUNCTION("""COMPUTED_VALUE"""),"NPQ[IPLMARKETTING]15917")</f>
        <v>NPQ[IPLMARKETTING]15917</v>
      </c>
      <c r="F140" s="2" t="str">
        <f t="shared" si="1"/>
        <v>IPLMARKETTING]15917</v>
      </c>
      <c r="G140" s="2" t="str">
        <f>IFERROR(__xludf.DUMMYFUNCTION("SPLIT(F140,""]"")"),"IPLMARKETTING")</f>
        <v>IPLMARKETTING</v>
      </c>
      <c r="H140" s="2">
        <f>IFERROR(__xludf.DUMMYFUNCTION("""COMPUTED_VALUE"""),15917.0)</f>
        <v>15917</v>
      </c>
      <c r="I140" s="2">
        <f t="shared" si="2"/>
        <v>5</v>
      </c>
      <c r="J140" s="2" t="str">
        <f t="shared" si="3"/>
        <v>Bhubaneswar</v>
      </c>
      <c r="K140" s="2" t="str">
        <f t="shared" si="4"/>
        <v>ZestVita</v>
      </c>
      <c r="L140" s="2">
        <f t="shared" si="5"/>
        <v>15016</v>
      </c>
      <c r="M140" s="2">
        <f t="shared" si="6"/>
        <v>15917</v>
      </c>
      <c r="N140" s="2" t="str">
        <f t="shared" si="7"/>
        <v>IPLMARKETTING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tr">
        <f>IFERROR(__xludf.DUMMYFUNCTION("SPLIT(SalesData!A141,""//"")"),"Month5 ")</f>
        <v>Month5 </v>
      </c>
      <c r="B141" s="2" t="str">
        <f>IFERROR(__xludf.DUMMYFUNCTION("""COMPUTED_VALUE"""),"City_Bhubaneswar")</f>
        <v>City_Bhubaneswar</v>
      </c>
      <c r="C141" s="2" t="str">
        <f>IFERROR(__xludf.DUMMYFUNCTION("""COMPUTED_VALUE"""),"PRD-NutriKid")</f>
        <v>PRD-NutriKid</v>
      </c>
      <c r="D141" s="2" t="str">
        <f>IFERROR(__xludf.DUMMYFUNCTION("""COMPUTED_VALUE"""),"OPQ  21463")</f>
        <v>OPQ  21463</v>
      </c>
      <c r="E141" s="2" t="str">
        <f>IFERROR(__xludf.DUMMYFUNCTION("""COMPUTED_VALUE"""),"NPQ[IPLMARKETTING]22107")</f>
        <v>NPQ[IPLMARKETTING]22107</v>
      </c>
      <c r="F141" s="2" t="str">
        <f t="shared" si="1"/>
        <v>IPLMARKETTING]22107</v>
      </c>
      <c r="G141" s="2" t="str">
        <f>IFERROR(__xludf.DUMMYFUNCTION("SPLIT(F141,""]"")"),"IPLMARKETTING")</f>
        <v>IPLMARKETTING</v>
      </c>
      <c r="H141" s="2">
        <f>IFERROR(__xludf.DUMMYFUNCTION("""COMPUTED_VALUE"""),22107.0)</f>
        <v>22107</v>
      </c>
      <c r="I141" s="2">
        <f t="shared" si="2"/>
        <v>5</v>
      </c>
      <c r="J141" s="2" t="str">
        <f t="shared" si="3"/>
        <v>Bhubaneswar</v>
      </c>
      <c r="K141" s="2" t="str">
        <f t="shared" si="4"/>
        <v>NutriKid</v>
      </c>
      <c r="L141" s="2">
        <f t="shared" si="5"/>
        <v>21463</v>
      </c>
      <c r="M141" s="2">
        <f t="shared" si="6"/>
        <v>22107</v>
      </c>
      <c r="N141" s="2" t="str">
        <f t="shared" si="7"/>
        <v>IPLMARKETTING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tr">
        <f>IFERROR(__xludf.DUMMYFUNCTION("SPLIT(SalesData!A142,""//"")"),"Month5 ")</f>
        <v>Month5 </v>
      </c>
      <c r="B142" s="2" t="str">
        <f>IFERROR(__xludf.DUMMYFUNCTION("""COMPUTED_VALUE"""),"City_Ahmedabad ")</f>
        <v>City_Ahmedabad </v>
      </c>
      <c r="C142" s="2" t="str">
        <f>IFERROR(__xludf.DUMMYFUNCTION("""COMPUTED_VALUE"""),"PRD-ZestVita")</f>
        <v>PRD-ZestVita</v>
      </c>
      <c r="D142" s="2" t="str">
        <f>IFERROR(__xludf.DUMMYFUNCTION("""COMPUTED_VALUE"""),"OPQ  35672")</f>
        <v>OPQ  35672</v>
      </c>
      <c r="E142" s="2" t="str">
        <f>IFERROR(__xludf.DUMMYFUNCTION("""COMPUTED_VALUE"""),"NPQ[IPLMARKETTING]44233")</f>
        <v>NPQ[IPLMARKETTING]44233</v>
      </c>
      <c r="F142" s="2" t="str">
        <f t="shared" si="1"/>
        <v>IPLMARKETTING]44233</v>
      </c>
      <c r="G142" s="2" t="str">
        <f>IFERROR(__xludf.DUMMYFUNCTION("SPLIT(F142,""]"")"),"IPLMARKETTING")</f>
        <v>IPLMARKETTING</v>
      </c>
      <c r="H142" s="2">
        <f>IFERROR(__xludf.DUMMYFUNCTION("""COMPUTED_VALUE"""),44233.0)</f>
        <v>44233</v>
      </c>
      <c r="I142" s="2">
        <f t="shared" si="2"/>
        <v>5</v>
      </c>
      <c r="J142" s="2" t="str">
        <f t="shared" si="3"/>
        <v>Ahmedabad</v>
      </c>
      <c r="K142" s="2" t="str">
        <f t="shared" si="4"/>
        <v>ZestVita</v>
      </c>
      <c r="L142" s="2">
        <f t="shared" si="5"/>
        <v>35672</v>
      </c>
      <c r="M142" s="2">
        <f t="shared" si="6"/>
        <v>44233</v>
      </c>
      <c r="N142" s="2" t="str">
        <f t="shared" si="7"/>
        <v>IPLMARKETTING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tr">
        <f>IFERROR(__xludf.DUMMYFUNCTION("SPLIT(SalesData!A143,""//"")"),"Month5 ")</f>
        <v>Month5 </v>
      </c>
      <c r="B143" s="2" t="str">
        <f>IFERROR(__xludf.DUMMYFUNCTION("""COMPUTED_VALUE"""),"City_Ahmedabad ")</f>
        <v>City_Ahmedabad </v>
      </c>
      <c r="C143" s="2" t="str">
        <f>IFERROR(__xludf.DUMMYFUNCTION("""COMPUTED_VALUE"""),"PRD-NutriKid")</f>
        <v>PRD-NutriKid</v>
      </c>
      <c r="D143" s="2" t="str">
        <f>IFERROR(__xludf.DUMMYFUNCTION("""COMPUTED_VALUE"""),"OPQ  20920")</f>
        <v>OPQ  20920</v>
      </c>
      <c r="E143" s="2" t="str">
        <f>IFERROR(__xludf.DUMMYFUNCTION("""COMPUTED_VALUE"""),"NPQ[IPLMARKETTING]23849")</f>
        <v>NPQ[IPLMARKETTING]23849</v>
      </c>
      <c r="F143" s="2" t="str">
        <f t="shared" si="1"/>
        <v>IPLMARKETTING]23849</v>
      </c>
      <c r="G143" s="2" t="str">
        <f>IFERROR(__xludf.DUMMYFUNCTION("SPLIT(F143,""]"")"),"IPLMARKETTING")</f>
        <v>IPLMARKETTING</v>
      </c>
      <c r="H143" s="2">
        <f>IFERROR(__xludf.DUMMYFUNCTION("""COMPUTED_VALUE"""),23849.0)</f>
        <v>23849</v>
      </c>
      <c r="I143" s="2">
        <f t="shared" si="2"/>
        <v>5</v>
      </c>
      <c r="J143" s="2" t="str">
        <f t="shared" si="3"/>
        <v>Ahmedabad</v>
      </c>
      <c r="K143" s="2" t="str">
        <f t="shared" si="4"/>
        <v>NutriKid</v>
      </c>
      <c r="L143" s="2">
        <f t="shared" si="5"/>
        <v>20920</v>
      </c>
      <c r="M143" s="2">
        <f t="shared" si="6"/>
        <v>23849</v>
      </c>
      <c r="N143" s="2" t="str">
        <f t="shared" si="7"/>
        <v>IPLMARKETTING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tr">
        <f>IFERROR(__xludf.DUMMYFUNCTION("SPLIT(SalesData!A144,""//"")"),"Month5 ")</f>
        <v>Month5 </v>
      </c>
      <c r="B144" s="2" t="str">
        <f>IFERROR(__xludf.DUMMYFUNCTION("""COMPUTED_VALUE"""),"City_Chennai")</f>
        <v>City_Chennai</v>
      </c>
      <c r="C144" s="2" t="str">
        <f>IFERROR(__xludf.DUMMYFUNCTION("""COMPUTED_VALUE"""),"PRD-ZestVita")</f>
        <v>PRD-ZestVita</v>
      </c>
      <c r="D144" s="2" t="str">
        <f>IFERROR(__xludf.DUMMYFUNCTION("""COMPUTED_VALUE"""),"OPQ  22601")</f>
        <v>OPQ  22601</v>
      </c>
      <c r="E144" s="2" t="str">
        <f>IFERROR(__xludf.DUMMYFUNCTION("""COMPUTED_VALUE"""),"NPQ[IPLMARKETTING]25313")</f>
        <v>NPQ[IPLMARKETTING]25313</v>
      </c>
      <c r="F144" s="2" t="str">
        <f t="shared" si="1"/>
        <v>IPLMARKETTING]25313</v>
      </c>
      <c r="G144" s="2" t="str">
        <f>IFERROR(__xludf.DUMMYFUNCTION("SPLIT(F144,""]"")"),"IPLMARKETTING")</f>
        <v>IPLMARKETTING</v>
      </c>
      <c r="H144" s="2">
        <f>IFERROR(__xludf.DUMMYFUNCTION("""COMPUTED_VALUE"""),25313.0)</f>
        <v>25313</v>
      </c>
      <c r="I144" s="2">
        <f t="shared" si="2"/>
        <v>5</v>
      </c>
      <c r="J144" s="2" t="str">
        <f t="shared" si="3"/>
        <v>Chennai</v>
      </c>
      <c r="K144" s="2" t="str">
        <f t="shared" si="4"/>
        <v>ZestVita</v>
      </c>
      <c r="L144" s="2">
        <f t="shared" si="5"/>
        <v>22601</v>
      </c>
      <c r="M144" s="2">
        <f t="shared" si="6"/>
        <v>25313</v>
      </c>
      <c r="N144" s="2" t="str">
        <f t="shared" si="7"/>
        <v>IPLMARKETTING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tr">
        <f>IFERROR(__xludf.DUMMYFUNCTION("SPLIT(SalesData!A145,""//"")"),"Month5 ")</f>
        <v>Month5 </v>
      </c>
      <c r="B145" s="2" t="str">
        <f>IFERROR(__xludf.DUMMYFUNCTION("""COMPUTED_VALUE"""),"City_Chennai")</f>
        <v>City_Chennai</v>
      </c>
      <c r="C145" s="2" t="str">
        <f>IFERROR(__xludf.DUMMYFUNCTION("""COMPUTED_VALUE"""),"PRD-NutriKid")</f>
        <v>PRD-NutriKid</v>
      </c>
      <c r="D145" s="2" t="str">
        <f>IFERROR(__xludf.DUMMYFUNCTION("""COMPUTED_VALUE"""),"OPQ  24580")</f>
        <v>OPQ  24580</v>
      </c>
      <c r="E145" s="2" t="str">
        <f>IFERROR(__xludf.DUMMYFUNCTION("""COMPUTED_VALUE"""),"NPQ[IPLMARKETTING]30233")</f>
        <v>NPQ[IPLMARKETTING]30233</v>
      </c>
      <c r="F145" s="2" t="str">
        <f t="shared" si="1"/>
        <v>IPLMARKETTING]30233</v>
      </c>
      <c r="G145" s="2" t="str">
        <f>IFERROR(__xludf.DUMMYFUNCTION("SPLIT(F145,""]"")"),"IPLMARKETTING")</f>
        <v>IPLMARKETTING</v>
      </c>
      <c r="H145" s="2">
        <f>IFERROR(__xludf.DUMMYFUNCTION("""COMPUTED_VALUE"""),30233.0)</f>
        <v>30233</v>
      </c>
      <c r="I145" s="2">
        <f t="shared" si="2"/>
        <v>5</v>
      </c>
      <c r="J145" s="2" t="str">
        <f t="shared" si="3"/>
        <v>Chennai</v>
      </c>
      <c r="K145" s="2" t="str">
        <f t="shared" si="4"/>
        <v>NutriKid</v>
      </c>
      <c r="L145" s="2">
        <f t="shared" si="5"/>
        <v>24580</v>
      </c>
      <c r="M145" s="2">
        <f t="shared" si="6"/>
        <v>30233</v>
      </c>
      <c r="N145" s="2" t="str">
        <f t="shared" si="7"/>
        <v>IPLMARKETTING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tr">
        <f>IFERROR(__xludf.DUMMYFUNCTION("SPLIT(SalesData!A146,""//"")"),"Month5 ")</f>
        <v>Month5 </v>
      </c>
      <c r="B146" s="2" t="str">
        <f>IFERROR(__xludf.DUMMYFUNCTION("""COMPUTED_VALUE"""),"City_Lucknow")</f>
        <v>City_Lucknow</v>
      </c>
      <c r="C146" s="2" t="str">
        <f>IFERROR(__xludf.DUMMYFUNCTION("""COMPUTED_VALUE"""),"PRD-ZestVita")</f>
        <v>PRD-ZestVita</v>
      </c>
      <c r="D146" s="2" t="str">
        <f>IFERROR(__xludf.DUMMYFUNCTION("""COMPUTED_VALUE"""),"OPQ  26118")</f>
        <v>OPQ  26118</v>
      </c>
      <c r="E146" s="2" t="str">
        <f>IFERROR(__xludf.DUMMYFUNCTION("""COMPUTED_VALUE"""),"NPQ[IPLMARKETTING]32125")</f>
        <v>NPQ[IPLMARKETTING]32125</v>
      </c>
      <c r="F146" s="2" t="str">
        <f t="shared" si="1"/>
        <v>IPLMARKETTING]32125</v>
      </c>
      <c r="G146" s="2" t="str">
        <f>IFERROR(__xludf.DUMMYFUNCTION("SPLIT(F146,""]"")"),"IPLMARKETTING")</f>
        <v>IPLMARKETTING</v>
      </c>
      <c r="H146" s="2">
        <f>IFERROR(__xludf.DUMMYFUNCTION("""COMPUTED_VALUE"""),32125.0)</f>
        <v>32125</v>
      </c>
      <c r="I146" s="2">
        <f t="shared" si="2"/>
        <v>5</v>
      </c>
      <c r="J146" s="2" t="str">
        <f t="shared" si="3"/>
        <v>Lucknow</v>
      </c>
      <c r="K146" s="2" t="str">
        <f t="shared" si="4"/>
        <v>ZestVita</v>
      </c>
      <c r="L146" s="2">
        <f t="shared" si="5"/>
        <v>26118</v>
      </c>
      <c r="M146" s="2">
        <f t="shared" si="6"/>
        <v>32125</v>
      </c>
      <c r="N146" s="2" t="str">
        <f t="shared" si="7"/>
        <v>IPLMARKETTING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tr">
        <f>IFERROR(__xludf.DUMMYFUNCTION("SPLIT(SalesData!A147,""//"")"),"Month5 ")</f>
        <v>Month5 </v>
      </c>
      <c r="B147" s="2" t="str">
        <f>IFERROR(__xludf.DUMMYFUNCTION("""COMPUTED_VALUE"""),"City_Lucknow")</f>
        <v>City_Lucknow</v>
      </c>
      <c r="C147" s="2" t="str">
        <f>IFERROR(__xludf.DUMMYFUNCTION("""COMPUTED_VALUE"""),"PRD-NutriKid")</f>
        <v>PRD-NutriKid</v>
      </c>
      <c r="D147" s="2" t="str">
        <f>IFERROR(__xludf.DUMMYFUNCTION("""COMPUTED_VALUE"""),"OPQ  23751")</f>
        <v>OPQ  23751</v>
      </c>
      <c r="E147" s="2" t="str">
        <f>IFERROR(__xludf.DUMMYFUNCTION("""COMPUTED_VALUE"""),"NPQ[IPLMARKETTING]27551")</f>
        <v>NPQ[IPLMARKETTING]27551</v>
      </c>
      <c r="F147" s="2" t="str">
        <f t="shared" si="1"/>
        <v>IPLMARKETTING]27551</v>
      </c>
      <c r="G147" s="2" t="str">
        <f>IFERROR(__xludf.DUMMYFUNCTION("SPLIT(F147,""]"")"),"IPLMARKETTING")</f>
        <v>IPLMARKETTING</v>
      </c>
      <c r="H147" s="2">
        <f>IFERROR(__xludf.DUMMYFUNCTION("""COMPUTED_VALUE"""),27551.0)</f>
        <v>27551</v>
      </c>
      <c r="I147" s="2">
        <f t="shared" si="2"/>
        <v>5</v>
      </c>
      <c r="J147" s="2" t="str">
        <f t="shared" si="3"/>
        <v>Lucknow</v>
      </c>
      <c r="K147" s="2" t="str">
        <f t="shared" si="4"/>
        <v>NutriKid</v>
      </c>
      <c r="L147" s="2">
        <f t="shared" si="5"/>
        <v>23751</v>
      </c>
      <c r="M147" s="2">
        <f t="shared" si="6"/>
        <v>27551</v>
      </c>
      <c r="N147" s="2" t="str">
        <f t="shared" si="7"/>
        <v>IPLMARKETTING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tr">
        <f>IFERROR(__xludf.DUMMYFUNCTION("SPLIT(SalesData!A148,""//"")"),"Month5 ")</f>
        <v>Month5 </v>
      </c>
      <c r="B148" s="2" t="str">
        <f>IFERROR(__xludf.DUMMYFUNCTION("""COMPUTED_VALUE"""),"City_Ranchi")</f>
        <v>City_Ranchi</v>
      </c>
      <c r="C148" s="2" t="str">
        <f>IFERROR(__xludf.DUMMYFUNCTION("""COMPUTED_VALUE"""),"PRD-ZestVita")</f>
        <v>PRD-ZestVita</v>
      </c>
      <c r="D148" s="2" t="str">
        <f>IFERROR(__xludf.DUMMYFUNCTION("""COMPUTED_VALUE"""),"OPQ  30378")</f>
        <v>OPQ  30378</v>
      </c>
      <c r="E148" s="2" t="str">
        <f>IFERROR(__xludf.DUMMYFUNCTION("""COMPUTED_VALUE"""),"NPQ[IPLMARKETTING]32808")</f>
        <v>NPQ[IPLMARKETTING]32808</v>
      </c>
      <c r="F148" s="2" t="str">
        <f t="shared" si="1"/>
        <v>IPLMARKETTING]32808</v>
      </c>
      <c r="G148" s="2" t="str">
        <f>IFERROR(__xludf.DUMMYFUNCTION("SPLIT(F148,""]"")"),"IPLMARKETTING")</f>
        <v>IPLMARKETTING</v>
      </c>
      <c r="H148" s="2">
        <f>IFERROR(__xludf.DUMMYFUNCTION("""COMPUTED_VALUE"""),32808.0)</f>
        <v>32808</v>
      </c>
      <c r="I148" s="2">
        <f t="shared" si="2"/>
        <v>5</v>
      </c>
      <c r="J148" s="2" t="str">
        <f t="shared" si="3"/>
        <v>Ranchi</v>
      </c>
      <c r="K148" s="2" t="str">
        <f t="shared" si="4"/>
        <v>ZestVita</v>
      </c>
      <c r="L148" s="2">
        <f t="shared" si="5"/>
        <v>30378</v>
      </c>
      <c r="M148" s="2">
        <f t="shared" si="6"/>
        <v>32808</v>
      </c>
      <c r="N148" s="2" t="str">
        <f t="shared" si="7"/>
        <v>IPLMARKETTING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tr">
        <f>IFERROR(__xludf.DUMMYFUNCTION("SPLIT(SalesData!A149,""//"")"),"Month5 ")</f>
        <v>Month5 </v>
      </c>
      <c r="B149" s="2" t="str">
        <f>IFERROR(__xludf.DUMMYFUNCTION("""COMPUTED_VALUE"""),"City_Ranchi")</f>
        <v>City_Ranchi</v>
      </c>
      <c r="C149" s="2" t="str">
        <f>IFERROR(__xludf.DUMMYFUNCTION("""COMPUTED_VALUE"""),"PRD-NutriKid")</f>
        <v>PRD-NutriKid</v>
      </c>
      <c r="D149" s="2" t="str">
        <f>IFERROR(__xludf.DUMMYFUNCTION("""COMPUTED_VALUE"""),"OPQ  20625")</f>
        <v>OPQ  20625</v>
      </c>
      <c r="E149" s="2" t="str">
        <f>IFERROR(__xludf.DUMMYFUNCTION("""COMPUTED_VALUE"""),"NPQ[IPLMARKETTING]21450")</f>
        <v>NPQ[IPLMARKETTING]21450</v>
      </c>
      <c r="F149" s="2" t="str">
        <f t="shared" si="1"/>
        <v>IPLMARKETTING]21450</v>
      </c>
      <c r="G149" s="2" t="str">
        <f>IFERROR(__xludf.DUMMYFUNCTION("SPLIT(F149,""]"")"),"IPLMARKETTING")</f>
        <v>IPLMARKETTING</v>
      </c>
      <c r="H149" s="2">
        <f>IFERROR(__xludf.DUMMYFUNCTION("""COMPUTED_VALUE"""),21450.0)</f>
        <v>21450</v>
      </c>
      <c r="I149" s="2">
        <f t="shared" si="2"/>
        <v>5</v>
      </c>
      <c r="J149" s="2" t="str">
        <f t="shared" si="3"/>
        <v>Ranchi</v>
      </c>
      <c r="K149" s="2" t="str">
        <f t="shared" si="4"/>
        <v>NutriKid</v>
      </c>
      <c r="L149" s="2">
        <f t="shared" si="5"/>
        <v>20625</v>
      </c>
      <c r="M149" s="2">
        <f t="shared" si="6"/>
        <v>21450</v>
      </c>
      <c r="N149" s="2" t="str">
        <f t="shared" si="7"/>
        <v>IPLMARKETTING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tr">
        <f>IFERROR(__xludf.DUMMYFUNCTION("SPLIT(SalesData!A150,""//"")"),"Month5 ")</f>
        <v>Month5 </v>
      </c>
      <c r="B150" s="2" t="str">
        <f>IFERROR(__xludf.DUMMYFUNCTION("""COMPUTED_VALUE"""),"City_Surat")</f>
        <v>City_Surat</v>
      </c>
      <c r="C150" s="2" t="str">
        <f>IFERROR(__xludf.DUMMYFUNCTION("""COMPUTED_VALUE"""),"PRD-ZestVita")</f>
        <v>PRD-ZestVita</v>
      </c>
      <c r="D150" s="2" t="str">
        <f>IFERROR(__xludf.DUMMYFUNCTION("""COMPUTED_VALUE"""),"OPQ  32290")</f>
        <v>OPQ  32290</v>
      </c>
      <c r="E150" s="2" t="str">
        <f>IFERROR(__xludf.DUMMYFUNCTION("""COMPUTED_VALUE"""),"NPQ[IPLMARKETTING]33582")</f>
        <v>NPQ[IPLMARKETTING]33582</v>
      </c>
      <c r="F150" s="2" t="str">
        <f t="shared" si="1"/>
        <v>IPLMARKETTING]33582</v>
      </c>
      <c r="G150" s="2" t="str">
        <f>IFERROR(__xludf.DUMMYFUNCTION("SPLIT(F150,""]"")"),"IPLMARKETTING")</f>
        <v>IPLMARKETTING</v>
      </c>
      <c r="H150" s="2">
        <f>IFERROR(__xludf.DUMMYFUNCTION("""COMPUTED_VALUE"""),33582.0)</f>
        <v>33582</v>
      </c>
      <c r="I150" s="2">
        <f t="shared" si="2"/>
        <v>5</v>
      </c>
      <c r="J150" s="2" t="str">
        <f t="shared" si="3"/>
        <v>Surat</v>
      </c>
      <c r="K150" s="2" t="str">
        <f t="shared" si="4"/>
        <v>ZestVita</v>
      </c>
      <c r="L150" s="2">
        <f t="shared" si="5"/>
        <v>32290</v>
      </c>
      <c r="M150" s="2">
        <f t="shared" si="6"/>
        <v>33582</v>
      </c>
      <c r="N150" s="2" t="str">
        <f t="shared" si="7"/>
        <v>IPLMARKETTING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tr">
        <f>IFERROR(__xludf.DUMMYFUNCTION("SPLIT(SalesData!A151,""//"")"),"Month5 ")</f>
        <v>Month5 </v>
      </c>
      <c r="B151" s="2" t="str">
        <f>IFERROR(__xludf.DUMMYFUNCTION("""COMPUTED_VALUE"""),"City_Surat")</f>
        <v>City_Surat</v>
      </c>
      <c r="C151" s="2" t="str">
        <f>IFERROR(__xludf.DUMMYFUNCTION("""COMPUTED_VALUE"""),"PRD-NutriKid")</f>
        <v>PRD-NutriKid</v>
      </c>
      <c r="D151" s="2" t="str">
        <f>IFERROR(__xludf.DUMMYFUNCTION("""COMPUTED_VALUE"""),"OPQ  26189")</f>
        <v>OPQ  26189</v>
      </c>
      <c r="E151" s="2" t="str">
        <f>IFERROR(__xludf.DUMMYFUNCTION("""COMPUTED_VALUE"""),"NPQ[IPLMARKETTING]27498")</f>
        <v>NPQ[IPLMARKETTING]27498</v>
      </c>
      <c r="F151" s="2" t="str">
        <f t="shared" si="1"/>
        <v>IPLMARKETTING]27498</v>
      </c>
      <c r="G151" s="2" t="str">
        <f>IFERROR(__xludf.DUMMYFUNCTION("SPLIT(F151,""]"")"),"IPLMARKETTING")</f>
        <v>IPLMARKETTING</v>
      </c>
      <c r="H151" s="2">
        <f>IFERROR(__xludf.DUMMYFUNCTION("""COMPUTED_VALUE"""),27498.0)</f>
        <v>27498</v>
      </c>
      <c r="I151" s="2">
        <f t="shared" si="2"/>
        <v>5</v>
      </c>
      <c r="J151" s="2" t="str">
        <f t="shared" si="3"/>
        <v>Surat</v>
      </c>
      <c r="K151" s="2" t="str">
        <f t="shared" si="4"/>
        <v>NutriKid</v>
      </c>
      <c r="L151" s="2">
        <f t="shared" si="5"/>
        <v>26189</v>
      </c>
      <c r="M151" s="2">
        <f t="shared" si="6"/>
        <v>27498</v>
      </c>
      <c r="N151" s="2" t="str">
        <f t="shared" si="7"/>
        <v>IPLMARKETTING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tr">
        <f>IFERROR(__xludf.DUMMYFUNCTION("SPLIT(SalesData!A152,""//"")"),"Month5 ")</f>
        <v>Month5 </v>
      </c>
      <c r="B152" s="2" t="str">
        <f>IFERROR(__xludf.DUMMYFUNCTION("""COMPUTED_VALUE"""),"City_Hyderabad")</f>
        <v>City_Hyderabad</v>
      </c>
      <c r="C152" s="2" t="str">
        <f>IFERROR(__xludf.DUMMYFUNCTION("""COMPUTED_VALUE"""),"PRD-ZestVita")</f>
        <v>PRD-ZestVita</v>
      </c>
      <c r="D152" s="2" t="str">
        <f>IFERROR(__xludf.DUMMYFUNCTION("""COMPUTED_VALUE"""),"OPQ  44993")</f>
        <v>OPQ  44993</v>
      </c>
      <c r="E152" s="2" t="str">
        <f>IFERROR(__xludf.DUMMYFUNCTION("""COMPUTED_VALUE"""),"NPQ[IPLMARKETTING]53542")</f>
        <v>NPQ[IPLMARKETTING]53542</v>
      </c>
      <c r="F152" s="2" t="str">
        <f t="shared" si="1"/>
        <v>IPLMARKETTING]53542</v>
      </c>
      <c r="G152" s="2" t="str">
        <f>IFERROR(__xludf.DUMMYFUNCTION("SPLIT(F152,""]"")"),"IPLMARKETTING")</f>
        <v>IPLMARKETTING</v>
      </c>
      <c r="H152" s="2">
        <f>IFERROR(__xludf.DUMMYFUNCTION("""COMPUTED_VALUE"""),53542.0)</f>
        <v>53542</v>
      </c>
      <c r="I152" s="2">
        <f t="shared" si="2"/>
        <v>5</v>
      </c>
      <c r="J152" s="2" t="str">
        <f t="shared" si="3"/>
        <v>Hyderabad</v>
      </c>
      <c r="K152" s="2" t="str">
        <f t="shared" si="4"/>
        <v>ZestVita</v>
      </c>
      <c r="L152" s="2">
        <f t="shared" si="5"/>
        <v>44993</v>
      </c>
      <c r="M152" s="2">
        <f t="shared" si="6"/>
        <v>53542</v>
      </c>
      <c r="N152" s="2" t="str">
        <f t="shared" si="7"/>
        <v>IPLMARKETTING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tr">
        <f>IFERROR(__xludf.DUMMYFUNCTION("SPLIT(SalesData!A153,""//"")"),"Month5 ")</f>
        <v>Month5 </v>
      </c>
      <c r="B153" s="2" t="str">
        <f>IFERROR(__xludf.DUMMYFUNCTION("""COMPUTED_VALUE"""),"City_Hyderabad")</f>
        <v>City_Hyderabad</v>
      </c>
      <c r="C153" s="2" t="str">
        <f>IFERROR(__xludf.DUMMYFUNCTION("""COMPUTED_VALUE"""),"PRD-NutriKid")</f>
        <v>PRD-NutriKid</v>
      </c>
      <c r="D153" s="2" t="str">
        <f>IFERROR(__xludf.DUMMYFUNCTION("""COMPUTED_VALUE"""),"OPQ  44627")</f>
        <v>OPQ  44627</v>
      </c>
      <c r="E153" s="2" t="str">
        <f>IFERROR(__xludf.DUMMYFUNCTION("""COMPUTED_VALUE"""),"NPQ[IPLMARKETTING]52214")</f>
        <v>NPQ[IPLMARKETTING]52214</v>
      </c>
      <c r="F153" s="2" t="str">
        <f t="shared" si="1"/>
        <v>IPLMARKETTING]52214</v>
      </c>
      <c r="G153" s="2" t="str">
        <f>IFERROR(__xludf.DUMMYFUNCTION("SPLIT(F153,""]"")"),"IPLMARKETTING")</f>
        <v>IPLMARKETTING</v>
      </c>
      <c r="H153" s="2">
        <f>IFERROR(__xludf.DUMMYFUNCTION("""COMPUTED_VALUE"""),52214.0)</f>
        <v>52214</v>
      </c>
      <c r="I153" s="2">
        <f t="shared" si="2"/>
        <v>5</v>
      </c>
      <c r="J153" s="2" t="str">
        <f t="shared" si="3"/>
        <v>Hyderabad</v>
      </c>
      <c r="K153" s="2" t="str">
        <f t="shared" si="4"/>
        <v>NutriKid</v>
      </c>
      <c r="L153" s="2">
        <f t="shared" si="5"/>
        <v>44627</v>
      </c>
      <c r="M153" s="2">
        <f t="shared" si="6"/>
        <v>52214</v>
      </c>
      <c r="N153" s="2" t="str">
        <f t="shared" si="7"/>
        <v>IPLMARKETTING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tr">
        <f>IFERROR(__xludf.DUMMYFUNCTION("SPLIT(SalesData!A154,""//"")"),"Month5 ")</f>
        <v>Month5 </v>
      </c>
      <c r="B154" s="2" t="str">
        <f>IFERROR(__xludf.DUMMYFUNCTION("""COMPUTED_VALUE"""),"City_Dehradun")</f>
        <v>City_Dehradun</v>
      </c>
      <c r="C154" s="2" t="str">
        <f>IFERROR(__xludf.DUMMYFUNCTION("""COMPUTED_VALUE"""),"PRD-ZestVita")</f>
        <v>PRD-ZestVita</v>
      </c>
      <c r="D154" s="2" t="str">
        <f>IFERROR(__xludf.DUMMYFUNCTION("""COMPUTED_VALUE"""),"OPQ  24831")</f>
        <v>OPQ  24831</v>
      </c>
      <c r="E154" s="2" t="str">
        <f>IFERROR(__xludf.DUMMYFUNCTION("""COMPUTED_VALUE"""),"NPQ[IPLMARKETTING]25328")</f>
        <v>NPQ[IPLMARKETTING]25328</v>
      </c>
      <c r="F154" s="2" t="str">
        <f t="shared" si="1"/>
        <v>IPLMARKETTING]25328</v>
      </c>
      <c r="G154" s="2" t="str">
        <f>IFERROR(__xludf.DUMMYFUNCTION("SPLIT(F154,""]"")"),"IPLMARKETTING")</f>
        <v>IPLMARKETTING</v>
      </c>
      <c r="H154" s="2">
        <f>IFERROR(__xludf.DUMMYFUNCTION("""COMPUTED_VALUE"""),25328.0)</f>
        <v>25328</v>
      </c>
      <c r="I154" s="2">
        <f t="shared" si="2"/>
        <v>5</v>
      </c>
      <c r="J154" s="2" t="str">
        <f t="shared" si="3"/>
        <v>Dehradun</v>
      </c>
      <c r="K154" s="2" t="str">
        <f t="shared" si="4"/>
        <v>ZestVita</v>
      </c>
      <c r="L154" s="2">
        <f t="shared" si="5"/>
        <v>24831</v>
      </c>
      <c r="M154" s="2">
        <f t="shared" si="6"/>
        <v>25328</v>
      </c>
      <c r="N154" s="2" t="str">
        <f t="shared" si="7"/>
        <v>IPLMARKETTING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tr">
        <f>IFERROR(__xludf.DUMMYFUNCTION("SPLIT(SalesData!A155,""//"")"),"Month5 ")</f>
        <v>Month5 </v>
      </c>
      <c r="B155" s="2" t="str">
        <f>IFERROR(__xludf.DUMMYFUNCTION("""COMPUTED_VALUE"""),"City_Dehradun")</f>
        <v>City_Dehradun</v>
      </c>
      <c r="C155" s="2" t="str">
        <f>IFERROR(__xludf.DUMMYFUNCTION("""COMPUTED_VALUE"""),"PRD-NutriKid")</f>
        <v>PRD-NutriKid</v>
      </c>
      <c r="D155" s="2" t="str">
        <f>IFERROR(__xludf.DUMMYFUNCTION("""COMPUTED_VALUE"""),"OPQ  15421")</f>
        <v>OPQ  15421</v>
      </c>
      <c r="E155" s="2" t="str">
        <f>IFERROR(__xludf.DUMMYFUNCTION("""COMPUTED_VALUE"""),"NPQ[IPLMARKETTING]16346")</f>
        <v>NPQ[IPLMARKETTING]16346</v>
      </c>
      <c r="F155" s="2" t="str">
        <f t="shared" si="1"/>
        <v>IPLMARKETTING]16346</v>
      </c>
      <c r="G155" s="2" t="str">
        <f>IFERROR(__xludf.DUMMYFUNCTION("SPLIT(F155,""]"")"),"IPLMARKETTING")</f>
        <v>IPLMARKETTING</v>
      </c>
      <c r="H155" s="2">
        <f>IFERROR(__xludf.DUMMYFUNCTION("""COMPUTED_VALUE"""),16346.0)</f>
        <v>16346</v>
      </c>
      <c r="I155" s="2">
        <f t="shared" si="2"/>
        <v>5</v>
      </c>
      <c r="J155" s="2" t="str">
        <f t="shared" si="3"/>
        <v>Dehradun</v>
      </c>
      <c r="K155" s="2" t="str">
        <f t="shared" si="4"/>
        <v>NutriKid</v>
      </c>
      <c r="L155" s="2">
        <f t="shared" si="5"/>
        <v>15421</v>
      </c>
      <c r="M155" s="2">
        <f t="shared" si="6"/>
        <v>16346</v>
      </c>
      <c r="N155" s="2" t="str">
        <f t="shared" si="7"/>
        <v>IPLMARKETTING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tr">
        <f>IFERROR(__xludf.DUMMYFUNCTION("SPLIT(SalesData!A156,""//"")"),"Month5 ")</f>
        <v>Month5 </v>
      </c>
      <c r="B156" s="2" t="str">
        <f>IFERROR(__xludf.DUMMYFUNCTION("""COMPUTED_VALUE"""),"City_Kochi")</f>
        <v>City_Kochi</v>
      </c>
      <c r="C156" s="2" t="str">
        <f>IFERROR(__xludf.DUMMYFUNCTION("""COMPUTED_VALUE"""),"PRD-ZestVita")</f>
        <v>PRD-ZestVita</v>
      </c>
      <c r="D156" s="2" t="str">
        <f>IFERROR(__xludf.DUMMYFUNCTION("""COMPUTED_VALUE"""),"OPQ  26736")</f>
        <v>OPQ  26736</v>
      </c>
      <c r="E156" s="2" t="str">
        <f>IFERROR(__xludf.DUMMYFUNCTION("""COMPUTED_VALUE"""),"NPQ[IPLMARKETTING]28340")</f>
        <v>NPQ[IPLMARKETTING]28340</v>
      </c>
      <c r="F156" s="2" t="str">
        <f t="shared" si="1"/>
        <v>IPLMARKETTING]28340</v>
      </c>
      <c r="G156" s="2" t="str">
        <f>IFERROR(__xludf.DUMMYFUNCTION("SPLIT(F156,""]"")"),"IPLMARKETTING")</f>
        <v>IPLMARKETTING</v>
      </c>
      <c r="H156" s="2">
        <f>IFERROR(__xludf.DUMMYFUNCTION("""COMPUTED_VALUE"""),28340.0)</f>
        <v>28340</v>
      </c>
      <c r="I156" s="2">
        <f t="shared" si="2"/>
        <v>5</v>
      </c>
      <c r="J156" s="2" t="str">
        <f t="shared" si="3"/>
        <v>Kochi</v>
      </c>
      <c r="K156" s="2" t="str">
        <f t="shared" si="4"/>
        <v>ZestVita</v>
      </c>
      <c r="L156" s="2">
        <f t="shared" si="5"/>
        <v>26736</v>
      </c>
      <c r="M156" s="2">
        <f t="shared" si="6"/>
        <v>28340</v>
      </c>
      <c r="N156" s="2" t="str">
        <f t="shared" si="7"/>
        <v>IPLMARKETTING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tr">
        <f>IFERROR(__xludf.DUMMYFUNCTION("SPLIT(SalesData!A157,""//"")"),"Month5 ")</f>
        <v>Month5 </v>
      </c>
      <c r="B157" s="2" t="str">
        <f>IFERROR(__xludf.DUMMYFUNCTION("""COMPUTED_VALUE"""),"City_Kochi")</f>
        <v>City_Kochi</v>
      </c>
      <c r="C157" s="2" t="str">
        <f>IFERROR(__xludf.DUMMYFUNCTION("""COMPUTED_VALUE"""),"PRD-NutriKid")</f>
        <v>PRD-NutriKid</v>
      </c>
      <c r="D157" s="2" t="str">
        <f>IFERROR(__xludf.DUMMYFUNCTION("""COMPUTED_VALUE"""),"OPQ  17646")</f>
        <v>OPQ  17646</v>
      </c>
      <c r="E157" s="2" t="str">
        <f>IFERROR(__xludf.DUMMYFUNCTION("""COMPUTED_VALUE"""),"NPQ[IPLMARKETTING]18528")</f>
        <v>NPQ[IPLMARKETTING]18528</v>
      </c>
      <c r="F157" s="2" t="str">
        <f t="shared" si="1"/>
        <v>IPLMARKETTING]18528</v>
      </c>
      <c r="G157" s="2" t="str">
        <f>IFERROR(__xludf.DUMMYFUNCTION("SPLIT(F157,""]"")"),"IPLMARKETTING")</f>
        <v>IPLMARKETTING</v>
      </c>
      <c r="H157" s="2">
        <f>IFERROR(__xludf.DUMMYFUNCTION("""COMPUTED_VALUE"""),18528.0)</f>
        <v>18528</v>
      </c>
      <c r="I157" s="2">
        <f t="shared" si="2"/>
        <v>5</v>
      </c>
      <c r="J157" s="2" t="str">
        <f t="shared" si="3"/>
        <v>Kochi</v>
      </c>
      <c r="K157" s="2" t="str">
        <f t="shared" si="4"/>
        <v>NutriKid</v>
      </c>
      <c r="L157" s="2">
        <f t="shared" si="5"/>
        <v>17646</v>
      </c>
      <c r="M157" s="2">
        <f t="shared" si="6"/>
        <v>18528</v>
      </c>
      <c r="N157" s="2" t="str">
        <f t="shared" si="7"/>
        <v>IPLMARKETTING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tr">
        <f>IFERROR(__xludf.DUMMYFUNCTION("SPLIT(SalesData!A158,""//"")"),"Month5 ")</f>
        <v>Month5 </v>
      </c>
      <c r="B158" s="2" t="str">
        <f>IFERROR(__xludf.DUMMYFUNCTION("""COMPUTED_VALUE"""),"City_Jaipur")</f>
        <v>City_Jaipur</v>
      </c>
      <c r="C158" s="2" t="str">
        <f>IFERROR(__xludf.DUMMYFUNCTION("""COMPUTED_VALUE"""),"PRD-ZestVita")</f>
        <v>PRD-ZestVita</v>
      </c>
      <c r="D158" s="2" t="str">
        <f>IFERROR(__xludf.DUMMYFUNCTION("""COMPUTED_VALUE"""),"OPQ  36686")</f>
        <v>OPQ  36686</v>
      </c>
      <c r="E158" s="2" t="str">
        <f>IFERROR(__xludf.DUMMYFUNCTION("""COMPUTED_VALUE"""),"NPQ[IPLMARKETTING]45858")</f>
        <v>NPQ[IPLMARKETTING]45858</v>
      </c>
      <c r="F158" s="2" t="str">
        <f t="shared" si="1"/>
        <v>IPLMARKETTING]45858</v>
      </c>
      <c r="G158" s="2" t="str">
        <f>IFERROR(__xludf.DUMMYFUNCTION("SPLIT(F158,""]"")"),"IPLMARKETTING")</f>
        <v>IPLMARKETTING</v>
      </c>
      <c r="H158" s="2">
        <f>IFERROR(__xludf.DUMMYFUNCTION("""COMPUTED_VALUE"""),45858.0)</f>
        <v>45858</v>
      </c>
      <c r="I158" s="2">
        <f t="shared" si="2"/>
        <v>5</v>
      </c>
      <c r="J158" s="2" t="str">
        <f t="shared" si="3"/>
        <v>Jaipur</v>
      </c>
      <c r="K158" s="2" t="str">
        <f t="shared" si="4"/>
        <v>ZestVita</v>
      </c>
      <c r="L158" s="2">
        <f t="shared" si="5"/>
        <v>36686</v>
      </c>
      <c r="M158" s="2">
        <f t="shared" si="6"/>
        <v>45858</v>
      </c>
      <c r="N158" s="2" t="str">
        <f t="shared" si="7"/>
        <v>IPLMARKETTING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tr">
        <f>IFERROR(__xludf.DUMMYFUNCTION("SPLIT(SalesData!A159,""//"")"),"Month5 ")</f>
        <v>Month5 </v>
      </c>
      <c r="B159" s="2" t="str">
        <f>IFERROR(__xludf.DUMMYFUNCTION("""COMPUTED_VALUE"""),"City_Jaipur")</f>
        <v>City_Jaipur</v>
      </c>
      <c r="C159" s="2" t="str">
        <f>IFERROR(__xludf.DUMMYFUNCTION("""COMPUTED_VALUE"""),"PRD-NutriKid")</f>
        <v>PRD-NutriKid</v>
      </c>
      <c r="D159" s="2" t="str">
        <f>IFERROR(__xludf.DUMMYFUNCTION("""COMPUTED_VALUE"""),"OPQ  28563")</f>
        <v>OPQ  28563</v>
      </c>
      <c r="E159" s="2" t="str">
        <f>IFERROR(__xludf.DUMMYFUNCTION("""COMPUTED_VALUE"""),"NPQ[IPLMARKETTING]35132")</f>
        <v>NPQ[IPLMARKETTING]35132</v>
      </c>
      <c r="F159" s="2" t="str">
        <f t="shared" si="1"/>
        <v>IPLMARKETTING]35132</v>
      </c>
      <c r="G159" s="2" t="str">
        <f>IFERROR(__xludf.DUMMYFUNCTION("SPLIT(F159,""]"")"),"IPLMARKETTING")</f>
        <v>IPLMARKETTING</v>
      </c>
      <c r="H159" s="2">
        <f>IFERROR(__xludf.DUMMYFUNCTION("""COMPUTED_VALUE"""),35132.0)</f>
        <v>35132</v>
      </c>
      <c r="I159" s="2">
        <f t="shared" si="2"/>
        <v>5</v>
      </c>
      <c r="J159" s="2" t="str">
        <f t="shared" si="3"/>
        <v>Jaipur</v>
      </c>
      <c r="K159" s="2" t="str">
        <f t="shared" si="4"/>
        <v>NutriKid</v>
      </c>
      <c r="L159" s="2">
        <f t="shared" si="5"/>
        <v>28563</v>
      </c>
      <c r="M159" s="2">
        <f t="shared" si="6"/>
        <v>35132</v>
      </c>
      <c r="N159" s="2" t="str">
        <f t="shared" si="7"/>
        <v>IPLMARKETTING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tr">
        <f>IFERROR(__xludf.DUMMYFUNCTION("SPLIT(SalesData!A160,""//"")"),"Month5 ")</f>
        <v>Month5 </v>
      </c>
      <c r="B160" s="2" t="str">
        <f>IFERROR(__xludf.DUMMYFUNCTION("""COMPUTED_VALUE"""),"City_Patna")</f>
        <v>City_Patna</v>
      </c>
      <c r="C160" s="2" t="str">
        <f>IFERROR(__xludf.DUMMYFUNCTION("""COMPUTED_VALUE"""),"PRD-ZestVita")</f>
        <v>PRD-ZestVita</v>
      </c>
      <c r="D160" s="2" t="str">
        <f>IFERROR(__xludf.DUMMYFUNCTION("""COMPUTED_VALUE"""),"OPQ  31617")</f>
        <v>OPQ  31617</v>
      </c>
      <c r="E160" s="2" t="str">
        <f>IFERROR(__xludf.DUMMYFUNCTION("""COMPUTED_VALUE"""),"NPQ[IPLMARKETTING]38257")</f>
        <v>NPQ[IPLMARKETTING]38257</v>
      </c>
      <c r="F160" s="2" t="str">
        <f t="shared" si="1"/>
        <v>IPLMARKETTING]38257</v>
      </c>
      <c r="G160" s="2" t="str">
        <f>IFERROR(__xludf.DUMMYFUNCTION("SPLIT(F160,""]"")"),"IPLMARKETTING")</f>
        <v>IPLMARKETTING</v>
      </c>
      <c r="H160" s="2">
        <f>IFERROR(__xludf.DUMMYFUNCTION("""COMPUTED_VALUE"""),38257.0)</f>
        <v>38257</v>
      </c>
      <c r="I160" s="2">
        <f t="shared" si="2"/>
        <v>5</v>
      </c>
      <c r="J160" s="2" t="str">
        <f t="shared" si="3"/>
        <v>Patna</v>
      </c>
      <c r="K160" s="2" t="str">
        <f t="shared" si="4"/>
        <v>ZestVita</v>
      </c>
      <c r="L160" s="2">
        <f t="shared" si="5"/>
        <v>31617</v>
      </c>
      <c r="M160" s="2">
        <f t="shared" si="6"/>
        <v>38257</v>
      </c>
      <c r="N160" s="2" t="str">
        <f t="shared" si="7"/>
        <v>IPLMARKETTING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tr">
        <f>IFERROR(__xludf.DUMMYFUNCTION("SPLIT(SalesData!A161,""//"")"),"Month5 ")</f>
        <v>Month5 </v>
      </c>
      <c r="B161" s="2" t="str">
        <f>IFERROR(__xludf.DUMMYFUNCTION("""COMPUTED_VALUE"""),"City_Patna")</f>
        <v>City_Patna</v>
      </c>
      <c r="C161" s="2" t="str">
        <f>IFERROR(__xludf.DUMMYFUNCTION("""COMPUTED_VALUE"""),"PRD-NutriKid")</f>
        <v>PRD-NutriKid</v>
      </c>
      <c r="D161" s="2" t="str">
        <f>IFERROR(__xludf.DUMMYFUNCTION("""COMPUTED_VALUE"""),"OPQ  40690")</f>
        <v>OPQ  40690</v>
      </c>
      <c r="E161" s="2" t="str">
        <f>IFERROR(__xludf.DUMMYFUNCTION("""COMPUTED_VALUE"""),"NPQ[IPLMARKETTING]46387")</f>
        <v>NPQ[IPLMARKETTING]46387</v>
      </c>
      <c r="F161" s="2" t="str">
        <f t="shared" si="1"/>
        <v>IPLMARKETTING]46387</v>
      </c>
      <c r="G161" s="2" t="str">
        <f>IFERROR(__xludf.DUMMYFUNCTION("SPLIT(F161,""]"")"),"IPLMARKETTING")</f>
        <v>IPLMARKETTING</v>
      </c>
      <c r="H161" s="2">
        <f>IFERROR(__xludf.DUMMYFUNCTION("""COMPUTED_VALUE"""),46387.0)</f>
        <v>46387</v>
      </c>
      <c r="I161" s="2">
        <f t="shared" si="2"/>
        <v>5</v>
      </c>
      <c r="J161" s="2" t="str">
        <f t="shared" si="3"/>
        <v>Patna</v>
      </c>
      <c r="K161" s="2" t="str">
        <f t="shared" si="4"/>
        <v>NutriKid</v>
      </c>
      <c r="L161" s="2">
        <f t="shared" si="5"/>
        <v>40690</v>
      </c>
      <c r="M161" s="2">
        <f t="shared" si="6"/>
        <v>46387</v>
      </c>
      <c r="N161" s="2" t="str">
        <f t="shared" si="7"/>
        <v>IPLMARKETTING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tr">
        <f>IFERROR(__xludf.DUMMYFUNCTION("SPLIT(SalesData!A162,""//"")"),"Month6 ")</f>
        <v>Month6 </v>
      </c>
      <c r="B162" s="2" t="str">
        <f>IFERROR(__xludf.DUMMYFUNCTION("""COMPUTED_VALUE"""),"City_Delhi")</f>
        <v>City_Delhi</v>
      </c>
      <c r="C162" s="2" t="str">
        <f>IFERROR(__xludf.DUMMYFUNCTION("""COMPUTED_VALUE"""),"PRD-ZestVita")</f>
        <v>PRD-ZestVita</v>
      </c>
      <c r="D162" s="2" t="str">
        <f>IFERROR(__xludf.DUMMYFUNCTION("""COMPUTED_VALUE"""),"OPQ  45144")</f>
        <v>OPQ  45144</v>
      </c>
      <c r="E162" s="2" t="str">
        <f>IFERROR(__xludf.DUMMYFUNCTION("""COMPUTED_VALUE"""),"NPQ[IPLMARKETTING]54173")</f>
        <v>NPQ[IPLMARKETTING]54173</v>
      </c>
      <c r="F162" s="2" t="str">
        <f t="shared" si="1"/>
        <v>IPLMARKETTING]54173</v>
      </c>
      <c r="G162" s="2" t="str">
        <f>IFERROR(__xludf.DUMMYFUNCTION("SPLIT(F162,""]"")"),"IPLMARKETTING")</f>
        <v>IPLMARKETTING</v>
      </c>
      <c r="H162" s="2">
        <f>IFERROR(__xludf.DUMMYFUNCTION("""COMPUTED_VALUE"""),54173.0)</f>
        <v>54173</v>
      </c>
      <c r="I162" s="2">
        <f t="shared" si="2"/>
        <v>6</v>
      </c>
      <c r="J162" s="2" t="str">
        <f t="shared" si="3"/>
        <v>Delhi</v>
      </c>
      <c r="K162" s="2" t="str">
        <f t="shared" si="4"/>
        <v>ZestVita</v>
      </c>
      <c r="L162" s="2">
        <f t="shared" si="5"/>
        <v>45144</v>
      </c>
      <c r="M162" s="2">
        <f t="shared" si="6"/>
        <v>54173</v>
      </c>
      <c r="N162" s="2" t="str">
        <f t="shared" si="7"/>
        <v>IPLMARKETTING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tr">
        <f>IFERROR(__xludf.DUMMYFUNCTION("SPLIT(SalesData!A163,""//"")"),"Month6 ")</f>
        <v>Month6 </v>
      </c>
      <c r="B163" s="2" t="str">
        <f>IFERROR(__xludf.DUMMYFUNCTION("""COMPUTED_VALUE"""),"City_Delhi")</f>
        <v>City_Delhi</v>
      </c>
      <c r="C163" s="2" t="str">
        <f>IFERROR(__xludf.DUMMYFUNCTION("""COMPUTED_VALUE"""),"PRD-NutriKid")</f>
        <v>PRD-NutriKid</v>
      </c>
      <c r="D163" s="2" t="str">
        <f>IFERROR(__xludf.DUMMYFUNCTION("""COMPUTED_VALUE"""),"OPQ  34369")</f>
        <v>OPQ  34369</v>
      </c>
      <c r="E163" s="2" t="str">
        <f>IFERROR(__xludf.DUMMYFUNCTION("""COMPUTED_VALUE"""),"NPQ[IPLMARKETTING]38493")</f>
        <v>NPQ[IPLMARKETTING]38493</v>
      </c>
      <c r="F163" s="2" t="str">
        <f t="shared" si="1"/>
        <v>IPLMARKETTING]38493</v>
      </c>
      <c r="G163" s="2" t="str">
        <f>IFERROR(__xludf.DUMMYFUNCTION("SPLIT(F163,""]"")"),"IPLMARKETTING")</f>
        <v>IPLMARKETTING</v>
      </c>
      <c r="H163" s="2">
        <f>IFERROR(__xludf.DUMMYFUNCTION("""COMPUTED_VALUE"""),38493.0)</f>
        <v>38493</v>
      </c>
      <c r="I163" s="2">
        <f t="shared" si="2"/>
        <v>6</v>
      </c>
      <c r="J163" s="2" t="str">
        <f t="shared" si="3"/>
        <v>Delhi</v>
      </c>
      <c r="K163" s="2" t="str">
        <f t="shared" si="4"/>
        <v>NutriKid</v>
      </c>
      <c r="L163" s="2">
        <f t="shared" si="5"/>
        <v>34369</v>
      </c>
      <c r="M163" s="2">
        <f t="shared" si="6"/>
        <v>38493</v>
      </c>
      <c r="N163" s="2" t="str">
        <f t="shared" si="7"/>
        <v>IPLMARKETTING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tr">
        <f>IFERROR(__xludf.DUMMYFUNCTION("SPLIT(SalesData!A164,""//"")"),"Month6 ")</f>
        <v>Month6 </v>
      </c>
      <c r="B164" s="2" t="str">
        <f>IFERROR(__xludf.DUMMYFUNCTION("""COMPUTED_VALUE"""),"City_Kolkata")</f>
        <v>City_Kolkata</v>
      </c>
      <c r="C164" s="2" t="str">
        <f>IFERROR(__xludf.DUMMYFUNCTION("""COMPUTED_VALUE"""),"PRD-ZestVita")</f>
        <v>PRD-ZestVita</v>
      </c>
      <c r="D164" s="2" t="str">
        <f>IFERROR(__xludf.DUMMYFUNCTION("""COMPUTED_VALUE"""),"OPQ  23879")</f>
        <v>OPQ  23879</v>
      </c>
      <c r="E164" s="2" t="str">
        <f>IFERROR(__xludf.DUMMYFUNCTION("""COMPUTED_VALUE"""),"NPQ[IPLMARKETTING]29610")</f>
        <v>NPQ[IPLMARKETTING]29610</v>
      </c>
      <c r="F164" s="2" t="str">
        <f t="shared" si="1"/>
        <v>IPLMARKETTING]29610</v>
      </c>
      <c r="G164" s="2" t="str">
        <f>IFERROR(__xludf.DUMMYFUNCTION("SPLIT(F164,""]"")"),"IPLMARKETTING")</f>
        <v>IPLMARKETTING</v>
      </c>
      <c r="H164" s="2">
        <f>IFERROR(__xludf.DUMMYFUNCTION("""COMPUTED_VALUE"""),29610.0)</f>
        <v>29610</v>
      </c>
      <c r="I164" s="2">
        <f t="shared" si="2"/>
        <v>6</v>
      </c>
      <c r="J164" s="2" t="str">
        <f t="shared" si="3"/>
        <v>Kolkata</v>
      </c>
      <c r="K164" s="2" t="str">
        <f t="shared" si="4"/>
        <v>ZestVita</v>
      </c>
      <c r="L164" s="2">
        <f t="shared" si="5"/>
        <v>23879</v>
      </c>
      <c r="M164" s="2">
        <f t="shared" si="6"/>
        <v>29610</v>
      </c>
      <c r="N164" s="2" t="str">
        <f t="shared" si="7"/>
        <v>IPLMARKETTING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tr">
        <f>IFERROR(__xludf.DUMMYFUNCTION("SPLIT(SalesData!A165,""//"")"),"Month6 ")</f>
        <v>Month6 </v>
      </c>
      <c r="B165" s="2" t="str">
        <f>IFERROR(__xludf.DUMMYFUNCTION("""COMPUTED_VALUE"""),"City_Kolkata")</f>
        <v>City_Kolkata</v>
      </c>
      <c r="C165" s="2" t="str">
        <f>IFERROR(__xludf.DUMMYFUNCTION("""COMPUTED_VALUE"""),"PRD-NutriKid")</f>
        <v>PRD-NutriKid</v>
      </c>
      <c r="D165" s="2" t="str">
        <f>IFERROR(__xludf.DUMMYFUNCTION("""COMPUTED_VALUE"""),"OPQ  48568")</f>
        <v>OPQ  48568</v>
      </c>
      <c r="E165" s="2" t="str">
        <f>IFERROR(__xludf.DUMMYFUNCTION("""COMPUTED_VALUE"""),"NPQ[IPLMARKETTING]58767")</f>
        <v>NPQ[IPLMARKETTING]58767</v>
      </c>
      <c r="F165" s="2" t="str">
        <f t="shared" si="1"/>
        <v>IPLMARKETTING]58767</v>
      </c>
      <c r="G165" s="2" t="str">
        <f>IFERROR(__xludf.DUMMYFUNCTION("SPLIT(F165,""]"")"),"IPLMARKETTING")</f>
        <v>IPLMARKETTING</v>
      </c>
      <c r="H165" s="2">
        <f>IFERROR(__xludf.DUMMYFUNCTION("""COMPUTED_VALUE"""),58767.0)</f>
        <v>58767</v>
      </c>
      <c r="I165" s="2">
        <f t="shared" si="2"/>
        <v>6</v>
      </c>
      <c r="J165" s="2" t="str">
        <f t="shared" si="3"/>
        <v>Kolkata</v>
      </c>
      <c r="K165" s="2" t="str">
        <f t="shared" si="4"/>
        <v>NutriKid</v>
      </c>
      <c r="L165" s="2">
        <f t="shared" si="5"/>
        <v>48568</v>
      </c>
      <c r="M165" s="2">
        <f t="shared" si="6"/>
        <v>58767</v>
      </c>
      <c r="N165" s="2" t="str">
        <f t="shared" si="7"/>
        <v>IPLMARKETTING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tr">
        <f>IFERROR(__xludf.DUMMYFUNCTION("SPLIT(SalesData!A166,""//"")"),"Month6 ")</f>
        <v>Month6 </v>
      </c>
      <c r="B166" s="2" t="str">
        <f>IFERROR(__xludf.DUMMYFUNCTION("""COMPUTED_VALUE"""),"City_Pune")</f>
        <v>City_Pune</v>
      </c>
      <c r="C166" s="2" t="str">
        <f>IFERROR(__xludf.DUMMYFUNCTION("""COMPUTED_VALUE"""),"PRD-ZestVita")</f>
        <v>PRD-ZestVita</v>
      </c>
      <c r="D166" s="2" t="str">
        <f>IFERROR(__xludf.DUMMYFUNCTION("""COMPUTED_VALUE"""),"OPQ  29074")</f>
        <v>OPQ  29074</v>
      </c>
      <c r="E166" s="2" t="str">
        <f>IFERROR(__xludf.DUMMYFUNCTION("""COMPUTED_VALUE"""),"NPQ[IPLMARKETTING]36052")</f>
        <v>NPQ[IPLMARKETTING]36052</v>
      </c>
      <c r="F166" s="2" t="str">
        <f t="shared" si="1"/>
        <v>IPLMARKETTING]36052</v>
      </c>
      <c r="G166" s="2" t="str">
        <f>IFERROR(__xludf.DUMMYFUNCTION("SPLIT(F166,""]"")"),"IPLMARKETTING")</f>
        <v>IPLMARKETTING</v>
      </c>
      <c r="H166" s="2">
        <f>IFERROR(__xludf.DUMMYFUNCTION("""COMPUTED_VALUE"""),36052.0)</f>
        <v>36052</v>
      </c>
      <c r="I166" s="2">
        <f t="shared" si="2"/>
        <v>6</v>
      </c>
      <c r="J166" s="2" t="str">
        <f t="shared" si="3"/>
        <v>Pune</v>
      </c>
      <c r="K166" s="2" t="str">
        <f t="shared" si="4"/>
        <v>ZestVita</v>
      </c>
      <c r="L166" s="2">
        <f t="shared" si="5"/>
        <v>29074</v>
      </c>
      <c r="M166" s="2">
        <f t="shared" si="6"/>
        <v>36052</v>
      </c>
      <c r="N166" s="2" t="str">
        <f t="shared" si="7"/>
        <v>IPLMARKETTING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tr">
        <f>IFERROR(__xludf.DUMMYFUNCTION("SPLIT(SalesData!A167,""//"")"),"Month6 ")</f>
        <v>Month6 </v>
      </c>
      <c r="B167" s="2" t="str">
        <f>IFERROR(__xludf.DUMMYFUNCTION("""COMPUTED_VALUE"""),"City_Pune")</f>
        <v>City_Pune</v>
      </c>
      <c r="C167" s="2" t="str">
        <f>IFERROR(__xludf.DUMMYFUNCTION("""COMPUTED_VALUE"""),"PRD-NutriKid")</f>
        <v>PRD-NutriKid</v>
      </c>
      <c r="D167" s="2" t="str">
        <f>IFERROR(__xludf.DUMMYFUNCTION("""COMPUTED_VALUE"""),"OPQ  34634")</f>
        <v>OPQ  34634</v>
      </c>
      <c r="E167" s="2" t="str">
        <f>IFERROR(__xludf.DUMMYFUNCTION("""COMPUTED_VALUE"""),"NPQ[IPLMARKETTING]41907")</f>
        <v>NPQ[IPLMARKETTING]41907</v>
      </c>
      <c r="F167" s="2" t="str">
        <f t="shared" si="1"/>
        <v>IPLMARKETTING]41907</v>
      </c>
      <c r="G167" s="2" t="str">
        <f>IFERROR(__xludf.DUMMYFUNCTION("SPLIT(F167,""]"")"),"IPLMARKETTING")</f>
        <v>IPLMARKETTING</v>
      </c>
      <c r="H167" s="2">
        <f>IFERROR(__xludf.DUMMYFUNCTION("""COMPUTED_VALUE"""),41907.0)</f>
        <v>41907</v>
      </c>
      <c r="I167" s="2">
        <f t="shared" si="2"/>
        <v>6</v>
      </c>
      <c r="J167" s="2" t="str">
        <f t="shared" si="3"/>
        <v>Pune</v>
      </c>
      <c r="K167" s="2" t="str">
        <f t="shared" si="4"/>
        <v>NutriKid</v>
      </c>
      <c r="L167" s="2">
        <f t="shared" si="5"/>
        <v>34634</v>
      </c>
      <c r="M167" s="2">
        <f t="shared" si="6"/>
        <v>41907</v>
      </c>
      <c r="N167" s="2" t="str">
        <f t="shared" si="7"/>
        <v>IPLMARKETTING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tr">
        <f>IFERROR(__xludf.DUMMYFUNCTION("SPLIT(SalesData!A168,""//"")"),"Month6 ")</f>
        <v>Month6 </v>
      </c>
      <c r="B168" s="2" t="str">
        <f>IFERROR(__xludf.DUMMYFUNCTION("""COMPUTED_VALUE"""),"City_Bengaluru")</f>
        <v>City_Bengaluru</v>
      </c>
      <c r="C168" s="2" t="str">
        <f>IFERROR(__xludf.DUMMYFUNCTION("""COMPUTED_VALUE"""),"PRD-ZestVita")</f>
        <v>PRD-ZestVita</v>
      </c>
      <c r="D168" s="2" t="str">
        <f>IFERROR(__xludf.DUMMYFUNCTION("""COMPUTED_VALUE"""),"OPQ  54884")</f>
        <v>OPQ  54884</v>
      </c>
      <c r="E168" s="2" t="str">
        <f>IFERROR(__xludf.DUMMYFUNCTION("""COMPUTED_VALUE"""),"NPQ[IPLMARKETTING]60921")</f>
        <v>NPQ[IPLMARKETTING]60921</v>
      </c>
      <c r="F168" s="2" t="str">
        <f t="shared" si="1"/>
        <v>IPLMARKETTING]60921</v>
      </c>
      <c r="G168" s="2" t="str">
        <f>IFERROR(__xludf.DUMMYFUNCTION("SPLIT(F168,""]"")"),"IPLMARKETTING")</f>
        <v>IPLMARKETTING</v>
      </c>
      <c r="H168" s="2">
        <f>IFERROR(__xludf.DUMMYFUNCTION("""COMPUTED_VALUE"""),60921.0)</f>
        <v>60921</v>
      </c>
      <c r="I168" s="2">
        <f t="shared" si="2"/>
        <v>6</v>
      </c>
      <c r="J168" s="2" t="str">
        <f t="shared" si="3"/>
        <v>Bengaluru</v>
      </c>
      <c r="K168" s="2" t="str">
        <f t="shared" si="4"/>
        <v>ZestVita</v>
      </c>
      <c r="L168" s="2">
        <f t="shared" si="5"/>
        <v>54884</v>
      </c>
      <c r="M168" s="2">
        <f t="shared" si="6"/>
        <v>60921</v>
      </c>
      <c r="N168" s="2" t="str">
        <f t="shared" si="7"/>
        <v>IPLMARKETTING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tr">
        <f>IFERROR(__xludf.DUMMYFUNCTION("SPLIT(SalesData!A169,""//"")"),"Month6 ")</f>
        <v>Month6 </v>
      </c>
      <c r="B169" s="2" t="str">
        <f>IFERROR(__xludf.DUMMYFUNCTION("""COMPUTED_VALUE"""),"City_Bengaluru")</f>
        <v>City_Bengaluru</v>
      </c>
      <c r="C169" s="2" t="str">
        <f>IFERROR(__xludf.DUMMYFUNCTION("""COMPUTED_VALUE"""),"PRD-NutriKid")</f>
        <v>PRD-NutriKid</v>
      </c>
      <c r="D169" s="2" t="str">
        <f>IFERROR(__xludf.DUMMYFUNCTION("""COMPUTED_VALUE"""),"OPQ  29269")</f>
        <v>OPQ  29269</v>
      </c>
      <c r="E169" s="2" t="str">
        <f>IFERROR(__xludf.DUMMYFUNCTION("""COMPUTED_VALUE"""),"NPQ[IPLMARKETTING]35708")</f>
        <v>NPQ[IPLMARKETTING]35708</v>
      </c>
      <c r="F169" s="2" t="str">
        <f t="shared" si="1"/>
        <v>IPLMARKETTING]35708</v>
      </c>
      <c r="G169" s="2" t="str">
        <f>IFERROR(__xludf.DUMMYFUNCTION("SPLIT(F169,""]"")"),"IPLMARKETTING")</f>
        <v>IPLMARKETTING</v>
      </c>
      <c r="H169" s="2">
        <f>IFERROR(__xludf.DUMMYFUNCTION("""COMPUTED_VALUE"""),35708.0)</f>
        <v>35708</v>
      </c>
      <c r="I169" s="2">
        <f t="shared" si="2"/>
        <v>6</v>
      </c>
      <c r="J169" s="2" t="str">
        <f t="shared" si="3"/>
        <v>Bengaluru</v>
      </c>
      <c r="K169" s="2" t="str">
        <f t="shared" si="4"/>
        <v>NutriKid</v>
      </c>
      <c r="L169" s="2">
        <f t="shared" si="5"/>
        <v>29269</v>
      </c>
      <c r="M169" s="2">
        <f t="shared" si="6"/>
        <v>35708</v>
      </c>
      <c r="N169" s="2" t="str">
        <f t="shared" si="7"/>
        <v>IPLMARKETTING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tr">
        <f>IFERROR(__xludf.DUMMYFUNCTION("SPLIT(SalesData!A170,""//"")"),"Month6 ")</f>
        <v>Month6 </v>
      </c>
      <c r="B170" s="2" t="str">
        <f>IFERROR(__xludf.DUMMYFUNCTION("""COMPUTED_VALUE"""),"City_Chandigarh")</f>
        <v>City_Chandigarh</v>
      </c>
      <c r="C170" s="2" t="str">
        <f>IFERROR(__xludf.DUMMYFUNCTION("""COMPUTED_VALUE"""),"PRD-ZestVita")</f>
        <v>PRD-ZestVita</v>
      </c>
      <c r="D170" s="2" t="str">
        <f>IFERROR(__xludf.DUMMYFUNCTION("""COMPUTED_VALUE"""),"OPQ  48329")</f>
        <v>OPQ  48329</v>
      </c>
      <c r="E170" s="2" t="str">
        <f>IFERROR(__xludf.DUMMYFUNCTION("""COMPUTED_VALUE"""),"NPQ[IPLMARKETTING]59928")</f>
        <v>NPQ[IPLMARKETTING]59928</v>
      </c>
      <c r="F170" s="2" t="str">
        <f t="shared" si="1"/>
        <v>IPLMARKETTING]59928</v>
      </c>
      <c r="G170" s="2" t="str">
        <f>IFERROR(__xludf.DUMMYFUNCTION("SPLIT(F170,""]"")"),"IPLMARKETTING")</f>
        <v>IPLMARKETTING</v>
      </c>
      <c r="H170" s="2">
        <f>IFERROR(__xludf.DUMMYFUNCTION("""COMPUTED_VALUE"""),59928.0)</f>
        <v>59928</v>
      </c>
      <c r="I170" s="2">
        <f t="shared" si="2"/>
        <v>6</v>
      </c>
      <c r="J170" s="2" t="str">
        <f t="shared" si="3"/>
        <v>Chandigarh</v>
      </c>
      <c r="K170" s="2" t="str">
        <f t="shared" si="4"/>
        <v>ZestVita</v>
      </c>
      <c r="L170" s="2">
        <f t="shared" si="5"/>
        <v>48329</v>
      </c>
      <c r="M170" s="2">
        <f t="shared" si="6"/>
        <v>59928</v>
      </c>
      <c r="N170" s="2" t="str">
        <f t="shared" si="7"/>
        <v>IPLMARKETTING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tr">
        <f>IFERROR(__xludf.DUMMYFUNCTION("SPLIT(SalesData!A171,""//"")"),"Month6 ")</f>
        <v>Month6 </v>
      </c>
      <c r="B171" s="2" t="str">
        <f>IFERROR(__xludf.DUMMYFUNCTION("""COMPUTED_VALUE"""),"City_Chandigarh")</f>
        <v>City_Chandigarh</v>
      </c>
      <c r="C171" s="2" t="str">
        <f>IFERROR(__xludf.DUMMYFUNCTION("""COMPUTED_VALUE"""),"PRD-NutriKid")</f>
        <v>PRD-NutriKid</v>
      </c>
      <c r="D171" s="2" t="str">
        <f>IFERROR(__xludf.DUMMYFUNCTION("""COMPUTED_VALUE"""),"OPQ  49606")</f>
        <v>OPQ  49606</v>
      </c>
      <c r="E171" s="2" t="str">
        <f>IFERROR(__xludf.DUMMYFUNCTION("""COMPUTED_VALUE"""),"NPQ[IPLMARKETTING]62008")</f>
        <v>NPQ[IPLMARKETTING]62008</v>
      </c>
      <c r="F171" s="2" t="str">
        <f t="shared" si="1"/>
        <v>IPLMARKETTING]62008</v>
      </c>
      <c r="G171" s="2" t="str">
        <f>IFERROR(__xludf.DUMMYFUNCTION("SPLIT(F171,""]"")"),"IPLMARKETTING")</f>
        <v>IPLMARKETTING</v>
      </c>
      <c r="H171" s="2">
        <f>IFERROR(__xludf.DUMMYFUNCTION("""COMPUTED_VALUE"""),62008.0)</f>
        <v>62008</v>
      </c>
      <c r="I171" s="2">
        <f t="shared" si="2"/>
        <v>6</v>
      </c>
      <c r="J171" s="2" t="str">
        <f t="shared" si="3"/>
        <v>Chandigarh</v>
      </c>
      <c r="K171" s="2" t="str">
        <f t="shared" si="4"/>
        <v>NutriKid</v>
      </c>
      <c r="L171" s="2">
        <f t="shared" si="5"/>
        <v>49606</v>
      </c>
      <c r="M171" s="2">
        <f t="shared" si="6"/>
        <v>62008</v>
      </c>
      <c r="N171" s="2" t="str">
        <f t="shared" si="7"/>
        <v>IPLMARKETTING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tr">
        <f>IFERROR(__xludf.DUMMYFUNCTION("SPLIT(SalesData!A172,""//"")"),"Month6 ")</f>
        <v>Month6 </v>
      </c>
      <c r="B172" s="2" t="str">
        <f>IFERROR(__xludf.DUMMYFUNCTION("""COMPUTED_VALUE"""),"City_Bhubaneswar")</f>
        <v>City_Bhubaneswar</v>
      </c>
      <c r="C172" s="2" t="str">
        <f>IFERROR(__xludf.DUMMYFUNCTION("""COMPUTED_VALUE"""),"PRD-ZestVita")</f>
        <v>PRD-ZestVita</v>
      </c>
      <c r="D172" s="2" t="str">
        <f>IFERROR(__xludf.DUMMYFUNCTION("""COMPUTED_VALUE"""),"OPQ  15617")</f>
        <v>OPQ  15617</v>
      </c>
      <c r="E172" s="2" t="str">
        <f>IFERROR(__xludf.DUMMYFUNCTION("""COMPUTED_VALUE"""),"NPQ[IPLMARKETTING]16242")</f>
        <v>NPQ[IPLMARKETTING]16242</v>
      </c>
      <c r="F172" s="2" t="str">
        <f t="shared" si="1"/>
        <v>IPLMARKETTING]16242</v>
      </c>
      <c r="G172" s="2" t="str">
        <f>IFERROR(__xludf.DUMMYFUNCTION("SPLIT(F172,""]"")"),"IPLMARKETTING")</f>
        <v>IPLMARKETTING</v>
      </c>
      <c r="H172" s="2">
        <f>IFERROR(__xludf.DUMMYFUNCTION("""COMPUTED_VALUE"""),16242.0)</f>
        <v>16242</v>
      </c>
      <c r="I172" s="2">
        <f t="shared" si="2"/>
        <v>6</v>
      </c>
      <c r="J172" s="2" t="str">
        <f t="shared" si="3"/>
        <v>Bhubaneswar</v>
      </c>
      <c r="K172" s="2" t="str">
        <f t="shared" si="4"/>
        <v>ZestVita</v>
      </c>
      <c r="L172" s="2">
        <f t="shared" si="5"/>
        <v>15617</v>
      </c>
      <c r="M172" s="2">
        <f t="shared" si="6"/>
        <v>16242</v>
      </c>
      <c r="N172" s="2" t="str">
        <f t="shared" si="7"/>
        <v>IPLMARKETTING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tr">
        <f>IFERROR(__xludf.DUMMYFUNCTION("SPLIT(SalesData!A173,""//"")"),"Month6 ")</f>
        <v>Month6 </v>
      </c>
      <c r="B173" s="2" t="str">
        <f>IFERROR(__xludf.DUMMYFUNCTION("""COMPUTED_VALUE"""),"City_Bhubaneswar")</f>
        <v>City_Bhubaneswar</v>
      </c>
      <c r="C173" s="2" t="str">
        <f>IFERROR(__xludf.DUMMYFUNCTION("""COMPUTED_VALUE"""),"PRD-NutriKid")</f>
        <v>PRD-NutriKid</v>
      </c>
      <c r="D173" s="2" t="str">
        <f>IFERROR(__xludf.DUMMYFUNCTION("""COMPUTED_VALUE"""),"OPQ  22965")</f>
        <v>OPQ  22965</v>
      </c>
      <c r="E173" s="2" t="str">
        <f>IFERROR(__xludf.DUMMYFUNCTION("""COMPUTED_VALUE"""),"NPQ[IPLMARKETTING]23884")</f>
        <v>NPQ[IPLMARKETTING]23884</v>
      </c>
      <c r="F173" s="2" t="str">
        <f t="shared" si="1"/>
        <v>IPLMARKETTING]23884</v>
      </c>
      <c r="G173" s="2" t="str">
        <f>IFERROR(__xludf.DUMMYFUNCTION("SPLIT(F173,""]"")"),"IPLMARKETTING")</f>
        <v>IPLMARKETTING</v>
      </c>
      <c r="H173" s="2">
        <f>IFERROR(__xludf.DUMMYFUNCTION("""COMPUTED_VALUE"""),23884.0)</f>
        <v>23884</v>
      </c>
      <c r="I173" s="2">
        <f t="shared" si="2"/>
        <v>6</v>
      </c>
      <c r="J173" s="2" t="str">
        <f t="shared" si="3"/>
        <v>Bhubaneswar</v>
      </c>
      <c r="K173" s="2" t="str">
        <f t="shared" si="4"/>
        <v>NutriKid</v>
      </c>
      <c r="L173" s="2">
        <f t="shared" si="5"/>
        <v>22965</v>
      </c>
      <c r="M173" s="2">
        <f t="shared" si="6"/>
        <v>23884</v>
      </c>
      <c r="N173" s="2" t="str">
        <f t="shared" si="7"/>
        <v>IPLMARKETTING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tr">
        <f>IFERROR(__xludf.DUMMYFUNCTION("SPLIT(SalesData!A174,""//"")"),"Month6 ")</f>
        <v>Month6 </v>
      </c>
      <c r="B174" s="2" t="str">
        <f>IFERROR(__xludf.DUMMYFUNCTION("""COMPUTED_VALUE"""),"City_Ahmedabad ")</f>
        <v>City_Ahmedabad </v>
      </c>
      <c r="C174" s="2" t="str">
        <f>IFERROR(__xludf.DUMMYFUNCTION("""COMPUTED_VALUE"""),"PRD-ZestVita")</f>
        <v>PRD-ZestVita</v>
      </c>
      <c r="D174" s="2" t="str">
        <f>IFERROR(__xludf.DUMMYFUNCTION("""COMPUTED_VALUE"""),"OPQ  41023")</f>
        <v>OPQ  41023</v>
      </c>
      <c r="E174" s="2" t="str">
        <f>IFERROR(__xludf.DUMMYFUNCTION("""COMPUTED_VALUE"""),"NPQ[IPLMARKETTING]46766")</f>
        <v>NPQ[IPLMARKETTING]46766</v>
      </c>
      <c r="F174" s="2" t="str">
        <f t="shared" si="1"/>
        <v>IPLMARKETTING]46766</v>
      </c>
      <c r="G174" s="2" t="str">
        <f>IFERROR(__xludf.DUMMYFUNCTION("SPLIT(F174,""]"")"),"IPLMARKETTING")</f>
        <v>IPLMARKETTING</v>
      </c>
      <c r="H174" s="2">
        <f>IFERROR(__xludf.DUMMYFUNCTION("""COMPUTED_VALUE"""),46766.0)</f>
        <v>46766</v>
      </c>
      <c r="I174" s="2">
        <f t="shared" si="2"/>
        <v>6</v>
      </c>
      <c r="J174" s="2" t="str">
        <f t="shared" si="3"/>
        <v>Ahmedabad</v>
      </c>
      <c r="K174" s="2" t="str">
        <f t="shared" si="4"/>
        <v>ZestVita</v>
      </c>
      <c r="L174" s="2">
        <f t="shared" si="5"/>
        <v>41023</v>
      </c>
      <c r="M174" s="2">
        <f t="shared" si="6"/>
        <v>46766</v>
      </c>
      <c r="N174" s="2" t="str">
        <f t="shared" si="7"/>
        <v>IPLMARKETTING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tr">
        <f>IFERROR(__xludf.DUMMYFUNCTION("SPLIT(SalesData!A175,""//"")"),"Month6 ")</f>
        <v>Month6 </v>
      </c>
      <c r="B175" s="2" t="str">
        <f>IFERROR(__xludf.DUMMYFUNCTION("""COMPUTED_VALUE"""),"City_Ahmedabad ")</f>
        <v>City_Ahmedabad </v>
      </c>
      <c r="C175" s="2" t="str">
        <f>IFERROR(__xludf.DUMMYFUNCTION("""COMPUTED_VALUE"""),"PRD-NutriKid")</f>
        <v>PRD-NutriKid</v>
      </c>
      <c r="D175" s="2" t="str">
        <f>IFERROR(__xludf.DUMMYFUNCTION("""COMPUTED_VALUE"""),"OPQ  24476")</f>
        <v>OPQ  24476</v>
      </c>
      <c r="E175" s="2" t="str">
        <f>IFERROR(__xludf.DUMMYFUNCTION("""COMPUTED_VALUE"""),"NPQ[IPLMARKETTING]29126")</f>
        <v>NPQ[IPLMARKETTING]29126</v>
      </c>
      <c r="F175" s="2" t="str">
        <f t="shared" si="1"/>
        <v>IPLMARKETTING]29126</v>
      </c>
      <c r="G175" s="2" t="str">
        <f>IFERROR(__xludf.DUMMYFUNCTION("SPLIT(F175,""]"")"),"IPLMARKETTING")</f>
        <v>IPLMARKETTING</v>
      </c>
      <c r="H175" s="2">
        <f>IFERROR(__xludf.DUMMYFUNCTION("""COMPUTED_VALUE"""),29126.0)</f>
        <v>29126</v>
      </c>
      <c r="I175" s="2">
        <f t="shared" si="2"/>
        <v>6</v>
      </c>
      <c r="J175" s="2" t="str">
        <f t="shared" si="3"/>
        <v>Ahmedabad</v>
      </c>
      <c r="K175" s="2" t="str">
        <f t="shared" si="4"/>
        <v>NutriKid</v>
      </c>
      <c r="L175" s="2">
        <f t="shared" si="5"/>
        <v>24476</v>
      </c>
      <c r="M175" s="2">
        <f t="shared" si="6"/>
        <v>29126</v>
      </c>
      <c r="N175" s="2" t="str">
        <f t="shared" si="7"/>
        <v>IPLMARKETTING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tr">
        <f>IFERROR(__xludf.DUMMYFUNCTION("SPLIT(SalesData!A176,""//"")"),"Month6 ")</f>
        <v>Month6 </v>
      </c>
      <c r="B176" s="2" t="str">
        <f>IFERROR(__xludf.DUMMYFUNCTION("""COMPUTED_VALUE"""),"City_Chennai")</f>
        <v>City_Chennai</v>
      </c>
      <c r="C176" s="2" t="str">
        <f>IFERROR(__xludf.DUMMYFUNCTION("""COMPUTED_VALUE"""),"PRD-ZestVita")</f>
        <v>PRD-ZestVita</v>
      </c>
      <c r="D176" s="2" t="str">
        <f>IFERROR(__xludf.DUMMYFUNCTION("""COMPUTED_VALUE"""),"OPQ  26217")</f>
        <v>OPQ  26217</v>
      </c>
      <c r="E176" s="2" t="str">
        <f>IFERROR(__xludf.DUMMYFUNCTION("""COMPUTED_VALUE"""),"NPQ[IPLMARKETTING]32509")</f>
        <v>NPQ[IPLMARKETTING]32509</v>
      </c>
      <c r="F176" s="2" t="str">
        <f t="shared" si="1"/>
        <v>IPLMARKETTING]32509</v>
      </c>
      <c r="G176" s="2" t="str">
        <f>IFERROR(__xludf.DUMMYFUNCTION("SPLIT(F176,""]"")"),"IPLMARKETTING")</f>
        <v>IPLMARKETTING</v>
      </c>
      <c r="H176" s="2">
        <f>IFERROR(__xludf.DUMMYFUNCTION("""COMPUTED_VALUE"""),32509.0)</f>
        <v>32509</v>
      </c>
      <c r="I176" s="2">
        <f t="shared" si="2"/>
        <v>6</v>
      </c>
      <c r="J176" s="2" t="str">
        <f t="shared" si="3"/>
        <v>Chennai</v>
      </c>
      <c r="K176" s="2" t="str">
        <f t="shared" si="4"/>
        <v>ZestVita</v>
      </c>
      <c r="L176" s="2">
        <f t="shared" si="5"/>
        <v>26217</v>
      </c>
      <c r="M176" s="2">
        <f t="shared" si="6"/>
        <v>32509</v>
      </c>
      <c r="N176" s="2" t="str">
        <f t="shared" si="7"/>
        <v>IPLMARKETTING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tr">
        <f>IFERROR(__xludf.DUMMYFUNCTION("SPLIT(SalesData!A177,""//"")"),"Month6 ")</f>
        <v>Month6 </v>
      </c>
      <c r="B177" s="2" t="str">
        <f>IFERROR(__xludf.DUMMYFUNCTION("""COMPUTED_VALUE"""),"City_Chennai")</f>
        <v>City_Chennai</v>
      </c>
      <c r="C177" s="2" t="str">
        <f>IFERROR(__xludf.DUMMYFUNCTION("""COMPUTED_VALUE"""),"PRD-NutriKid")</f>
        <v>PRD-NutriKid</v>
      </c>
      <c r="D177" s="2" t="str">
        <f>IFERROR(__xludf.DUMMYFUNCTION("""COMPUTED_VALUE"""),"OPQ  28267")</f>
        <v>OPQ  28267</v>
      </c>
      <c r="E177" s="2" t="str">
        <f>IFERROR(__xludf.DUMMYFUNCTION("""COMPUTED_VALUE"""),"NPQ[IPLMARKETTING]33638")</f>
        <v>NPQ[IPLMARKETTING]33638</v>
      </c>
      <c r="F177" s="2" t="str">
        <f t="shared" si="1"/>
        <v>IPLMARKETTING]33638</v>
      </c>
      <c r="G177" s="2" t="str">
        <f>IFERROR(__xludf.DUMMYFUNCTION("SPLIT(F177,""]"")"),"IPLMARKETTING")</f>
        <v>IPLMARKETTING</v>
      </c>
      <c r="H177" s="2">
        <f>IFERROR(__xludf.DUMMYFUNCTION("""COMPUTED_VALUE"""),33638.0)</f>
        <v>33638</v>
      </c>
      <c r="I177" s="2">
        <f t="shared" si="2"/>
        <v>6</v>
      </c>
      <c r="J177" s="2" t="str">
        <f t="shared" si="3"/>
        <v>Chennai</v>
      </c>
      <c r="K177" s="2" t="str">
        <f t="shared" si="4"/>
        <v>NutriKid</v>
      </c>
      <c r="L177" s="2">
        <f t="shared" si="5"/>
        <v>28267</v>
      </c>
      <c r="M177" s="2">
        <f t="shared" si="6"/>
        <v>33638</v>
      </c>
      <c r="N177" s="2" t="str">
        <f t="shared" si="7"/>
        <v>IPLMARKETTING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tr">
        <f>IFERROR(__xludf.DUMMYFUNCTION("SPLIT(SalesData!A178,""//"")"),"Month6 ")</f>
        <v>Month6 </v>
      </c>
      <c r="B178" s="2" t="str">
        <f>IFERROR(__xludf.DUMMYFUNCTION("""COMPUTED_VALUE"""),"City_Lucknow")</f>
        <v>City_Lucknow</v>
      </c>
      <c r="C178" s="2" t="str">
        <f>IFERROR(__xludf.DUMMYFUNCTION("""COMPUTED_VALUE"""),"PRD-ZestVita")</f>
        <v>PRD-ZestVita</v>
      </c>
      <c r="D178" s="2" t="str">
        <f>IFERROR(__xludf.DUMMYFUNCTION("""COMPUTED_VALUE"""),"OPQ  26640")</f>
        <v>OPQ  26640</v>
      </c>
      <c r="E178" s="2" t="str">
        <f>IFERROR(__xludf.DUMMYFUNCTION("""COMPUTED_VALUE"""),"NPQ[IPLMARKETTING]31702")</f>
        <v>NPQ[IPLMARKETTING]31702</v>
      </c>
      <c r="F178" s="2" t="str">
        <f t="shared" si="1"/>
        <v>IPLMARKETTING]31702</v>
      </c>
      <c r="G178" s="2" t="str">
        <f>IFERROR(__xludf.DUMMYFUNCTION("SPLIT(F178,""]"")"),"IPLMARKETTING")</f>
        <v>IPLMARKETTING</v>
      </c>
      <c r="H178" s="2">
        <f>IFERROR(__xludf.DUMMYFUNCTION("""COMPUTED_VALUE"""),31702.0)</f>
        <v>31702</v>
      </c>
      <c r="I178" s="2">
        <f t="shared" si="2"/>
        <v>6</v>
      </c>
      <c r="J178" s="2" t="str">
        <f t="shared" si="3"/>
        <v>Lucknow</v>
      </c>
      <c r="K178" s="2" t="str">
        <f t="shared" si="4"/>
        <v>ZestVita</v>
      </c>
      <c r="L178" s="2">
        <f t="shared" si="5"/>
        <v>26640</v>
      </c>
      <c r="M178" s="2">
        <f t="shared" si="6"/>
        <v>31702</v>
      </c>
      <c r="N178" s="2" t="str">
        <f t="shared" si="7"/>
        <v>IPLMARKETTING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tr">
        <f>IFERROR(__xludf.DUMMYFUNCTION("SPLIT(SalesData!A179,""//"")"),"Month6 ")</f>
        <v>Month6 </v>
      </c>
      <c r="B179" s="2" t="str">
        <f>IFERROR(__xludf.DUMMYFUNCTION("""COMPUTED_VALUE"""),"City_Lucknow")</f>
        <v>City_Lucknow</v>
      </c>
      <c r="C179" s="2" t="str">
        <f>IFERROR(__xludf.DUMMYFUNCTION("""COMPUTED_VALUE"""),"PRD-NutriKid")</f>
        <v>PRD-NutriKid</v>
      </c>
      <c r="D179" s="2" t="str">
        <f>IFERROR(__xludf.DUMMYFUNCTION("""COMPUTED_VALUE"""),"OPQ  25414")</f>
        <v>OPQ  25414</v>
      </c>
      <c r="E179" s="2" t="str">
        <f>IFERROR(__xludf.DUMMYFUNCTION("""COMPUTED_VALUE"""),"NPQ[IPLMARKETTING]28210")</f>
        <v>NPQ[IPLMARKETTING]28210</v>
      </c>
      <c r="F179" s="2" t="str">
        <f t="shared" si="1"/>
        <v>IPLMARKETTING]28210</v>
      </c>
      <c r="G179" s="2" t="str">
        <f>IFERROR(__xludf.DUMMYFUNCTION("SPLIT(F179,""]"")"),"IPLMARKETTING")</f>
        <v>IPLMARKETTING</v>
      </c>
      <c r="H179" s="2">
        <f>IFERROR(__xludf.DUMMYFUNCTION("""COMPUTED_VALUE"""),28210.0)</f>
        <v>28210</v>
      </c>
      <c r="I179" s="2">
        <f t="shared" si="2"/>
        <v>6</v>
      </c>
      <c r="J179" s="2" t="str">
        <f t="shared" si="3"/>
        <v>Lucknow</v>
      </c>
      <c r="K179" s="2" t="str">
        <f t="shared" si="4"/>
        <v>NutriKid</v>
      </c>
      <c r="L179" s="2">
        <f t="shared" si="5"/>
        <v>25414</v>
      </c>
      <c r="M179" s="2">
        <f t="shared" si="6"/>
        <v>28210</v>
      </c>
      <c r="N179" s="2" t="str">
        <f t="shared" si="7"/>
        <v>IPLMARKETTING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tr">
        <f>IFERROR(__xludf.DUMMYFUNCTION("SPLIT(SalesData!A180,""//"")"),"Month6 ")</f>
        <v>Month6 </v>
      </c>
      <c r="B180" s="2" t="str">
        <f>IFERROR(__xludf.DUMMYFUNCTION("""COMPUTED_VALUE"""),"City_Ranchi")</f>
        <v>City_Ranchi</v>
      </c>
      <c r="C180" s="2" t="str">
        <f>IFERROR(__xludf.DUMMYFUNCTION("""COMPUTED_VALUE"""),"PRD-ZestVita")</f>
        <v>PRD-ZestVita</v>
      </c>
      <c r="D180" s="2" t="str">
        <f>IFERROR(__xludf.DUMMYFUNCTION("""COMPUTED_VALUE"""),"OPQ  30986")</f>
        <v>OPQ  30986</v>
      </c>
      <c r="E180" s="2" t="str">
        <f>IFERROR(__xludf.DUMMYFUNCTION("""COMPUTED_VALUE"""),"NPQ[IPLMARKETTING]32535")</f>
        <v>NPQ[IPLMARKETTING]32535</v>
      </c>
      <c r="F180" s="2" t="str">
        <f t="shared" si="1"/>
        <v>IPLMARKETTING]32535</v>
      </c>
      <c r="G180" s="2" t="str">
        <f>IFERROR(__xludf.DUMMYFUNCTION("SPLIT(F180,""]"")"),"IPLMARKETTING")</f>
        <v>IPLMARKETTING</v>
      </c>
      <c r="H180" s="2">
        <f>IFERROR(__xludf.DUMMYFUNCTION("""COMPUTED_VALUE"""),32535.0)</f>
        <v>32535</v>
      </c>
      <c r="I180" s="2">
        <f t="shared" si="2"/>
        <v>6</v>
      </c>
      <c r="J180" s="2" t="str">
        <f t="shared" si="3"/>
        <v>Ranchi</v>
      </c>
      <c r="K180" s="2" t="str">
        <f t="shared" si="4"/>
        <v>ZestVita</v>
      </c>
      <c r="L180" s="2">
        <f t="shared" si="5"/>
        <v>30986</v>
      </c>
      <c r="M180" s="2">
        <f t="shared" si="6"/>
        <v>32535</v>
      </c>
      <c r="N180" s="2" t="str">
        <f t="shared" si="7"/>
        <v>IPLMARKETTING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tr">
        <f>IFERROR(__xludf.DUMMYFUNCTION("SPLIT(SalesData!A181,""//"")"),"Month6 ")</f>
        <v>Month6 </v>
      </c>
      <c r="B181" s="2" t="str">
        <f>IFERROR(__xludf.DUMMYFUNCTION("""COMPUTED_VALUE"""),"City_Ranchi")</f>
        <v>City_Ranchi</v>
      </c>
      <c r="C181" s="2" t="str">
        <f>IFERROR(__xludf.DUMMYFUNCTION("""COMPUTED_VALUE"""),"PRD-NutriKid")</f>
        <v>PRD-NutriKid</v>
      </c>
      <c r="D181" s="2" t="str">
        <f>IFERROR(__xludf.DUMMYFUNCTION("""COMPUTED_VALUE"""),"OPQ  22275")</f>
        <v>OPQ  22275</v>
      </c>
      <c r="E181" s="2" t="str">
        <f>IFERROR(__xludf.DUMMYFUNCTION("""COMPUTED_VALUE"""),"NPQ[IPLMARKETTING]23389")</f>
        <v>NPQ[IPLMARKETTING]23389</v>
      </c>
      <c r="F181" s="2" t="str">
        <f t="shared" si="1"/>
        <v>IPLMARKETTING]23389</v>
      </c>
      <c r="G181" s="2" t="str">
        <f>IFERROR(__xludf.DUMMYFUNCTION("SPLIT(F181,""]"")"),"IPLMARKETTING")</f>
        <v>IPLMARKETTING</v>
      </c>
      <c r="H181" s="2">
        <f>IFERROR(__xludf.DUMMYFUNCTION("""COMPUTED_VALUE"""),23389.0)</f>
        <v>23389</v>
      </c>
      <c r="I181" s="2">
        <f t="shared" si="2"/>
        <v>6</v>
      </c>
      <c r="J181" s="2" t="str">
        <f t="shared" si="3"/>
        <v>Ranchi</v>
      </c>
      <c r="K181" s="2" t="str">
        <f t="shared" si="4"/>
        <v>NutriKid</v>
      </c>
      <c r="L181" s="2">
        <f t="shared" si="5"/>
        <v>22275</v>
      </c>
      <c r="M181" s="2">
        <f t="shared" si="6"/>
        <v>23389</v>
      </c>
      <c r="N181" s="2" t="str">
        <f t="shared" si="7"/>
        <v>IPLMARKETTING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tr">
        <f>IFERROR(__xludf.DUMMYFUNCTION("SPLIT(SalesData!A182,""//"")"),"Month6 ")</f>
        <v>Month6 </v>
      </c>
      <c r="B182" s="2" t="str">
        <f>IFERROR(__xludf.DUMMYFUNCTION("""COMPUTED_VALUE"""),"City_Surat")</f>
        <v>City_Surat</v>
      </c>
      <c r="C182" s="2" t="str">
        <f>IFERROR(__xludf.DUMMYFUNCTION("""COMPUTED_VALUE"""),"PRD-ZestVita")</f>
        <v>PRD-ZestVita</v>
      </c>
      <c r="D182" s="2" t="str">
        <f>IFERROR(__xludf.DUMMYFUNCTION("""COMPUTED_VALUE"""),"OPQ  37779")</f>
        <v>OPQ  37779</v>
      </c>
      <c r="E182" s="2" t="str">
        <f>IFERROR(__xludf.DUMMYFUNCTION("""COMPUTED_VALUE"""),"NPQ[IPLMARKETTING]40801")</f>
        <v>NPQ[IPLMARKETTING]40801</v>
      </c>
      <c r="F182" s="2" t="str">
        <f t="shared" si="1"/>
        <v>IPLMARKETTING]40801</v>
      </c>
      <c r="G182" s="2" t="str">
        <f>IFERROR(__xludf.DUMMYFUNCTION("SPLIT(F182,""]"")"),"IPLMARKETTING")</f>
        <v>IPLMARKETTING</v>
      </c>
      <c r="H182" s="2">
        <f>IFERROR(__xludf.DUMMYFUNCTION("""COMPUTED_VALUE"""),40801.0)</f>
        <v>40801</v>
      </c>
      <c r="I182" s="2">
        <f t="shared" si="2"/>
        <v>6</v>
      </c>
      <c r="J182" s="2" t="str">
        <f t="shared" si="3"/>
        <v>Surat</v>
      </c>
      <c r="K182" s="2" t="str">
        <f t="shared" si="4"/>
        <v>ZestVita</v>
      </c>
      <c r="L182" s="2">
        <f t="shared" si="5"/>
        <v>37779</v>
      </c>
      <c r="M182" s="2">
        <f t="shared" si="6"/>
        <v>40801</v>
      </c>
      <c r="N182" s="2" t="str">
        <f t="shared" si="7"/>
        <v>IPLMARKETTING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tr">
        <f>IFERROR(__xludf.DUMMYFUNCTION("SPLIT(SalesData!A183,""//"")"),"Month6 ")</f>
        <v>Month6 </v>
      </c>
      <c r="B183" s="2" t="str">
        <f>IFERROR(__xludf.DUMMYFUNCTION("""COMPUTED_VALUE"""),"City_Surat")</f>
        <v>City_Surat</v>
      </c>
      <c r="C183" s="2" t="str">
        <f>IFERROR(__xludf.DUMMYFUNCTION("""COMPUTED_VALUE"""),"PRD-NutriKid")</f>
        <v>PRD-NutriKid</v>
      </c>
      <c r="D183" s="2" t="str">
        <f>IFERROR(__xludf.DUMMYFUNCTION("""COMPUTED_VALUE"""),"OPQ  30903")</f>
        <v>OPQ  30903</v>
      </c>
      <c r="E183" s="2" t="str">
        <f>IFERROR(__xludf.DUMMYFUNCTION("""COMPUTED_VALUE"""),"NPQ[IPLMARKETTING]32757")</f>
        <v>NPQ[IPLMARKETTING]32757</v>
      </c>
      <c r="F183" s="2" t="str">
        <f t="shared" si="1"/>
        <v>IPLMARKETTING]32757</v>
      </c>
      <c r="G183" s="2" t="str">
        <f>IFERROR(__xludf.DUMMYFUNCTION("SPLIT(F183,""]"")"),"IPLMARKETTING")</f>
        <v>IPLMARKETTING</v>
      </c>
      <c r="H183" s="2">
        <f>IFERROR(__xludf.DUMMYFUNCTION("""COMPUTED_VALUE"""),32757.0)</f>
        <v>32757</v>
      </c>
      <c r="I183" s="2">
        <f t="shared" si="2"/>
        <v>6</v>
      </c>
      <c r="J183" s="2" t="str">
        <f t="shared" si="3"/>
        <v>Surat</v>
      </c>
      <c r="K183" s="2" t="str">
        <f t="shared" si="4"/>
        <v>NutriKid</v>
      </c>
      <c r="L183" s="2">
        <f t="shared" si="5"/>
        <v>30903</v>
      </c>
      <c r="M183" s="2">
        <f t="shared" si="6"/>
        <v>32757</v>
      </c>
      <c r="N183" s="2" t="str">
        <f t="shared" si="7"/>
        <v>IPLMARKETTING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tr">
        <f>IFERROR(__xludf.DUMMYFUNCTION("SPLIT(SalesData!A184,""//"")"),"Month6 ")</f>
        <v>Month6 </v>
      </c>
      <c r="B184" s="2" t="str">
        <f>IFERROR(__xludf.DUMMYFUNCTION("""COMPUTED_VALUE"""),"City_Hyderabad")</f>
        <v>City_Hyderabad</v>
      </c>
      <c r="C184" s="2" t="str">
        <f>IFERROR(__xludf.DUMMYFUNCTION("""COMPUTED_VALUE"""),"PRD-ZestVita")</f>
        <v>PRD-ZestVita</v>
      </c>
      <c r="D184" s="2" t="str">
        <f>IFERROR(__xludf.DUMMYFUNCTION("""COMPUTED_VALUE"""),"OPQ  52642")</f>
        <v>OPQ  52642</v>
      </c>
      <c r="E184" s="2" t="str">
        <f>IFERROR(__xludf.DUMMYFUNCTION("""COMPUTED_VALUE"""),"NPQ[IPLMARKETTING]62644")</f>
        <v>NPQ[IPLMARKETTING]62644</v>
      </c>
      <c r="F184" s="2" t="str">
        <f t="shared" si="1"/>
        <v>IPLMARKETTING]62644</v>
      </c>
      <c r="G184" s="2" t="str">
        <f>IFERROR(__xludf.DUMMYFUNCTION("SPLIT(F184,""]"")"),"IPLMARKETTING")</f>
        <v>IPLMARKETTING</v>
      </c>
      <c r="H184" s="2">
        <f>IFERROR(__xludf.DUMMYFUNCTION("""COMPUTED_VALUE"""),62644.0)</f>
        <v>62644</v>
      </c>
      <c r="I184" s="2">
        <f t="shared" si="2"/>
        <v>6</v>
      </c>
      <c r="J184" s="2" t="str">
        <f t="shared" si="3"/>
        <v>Hyderabad</v>
      </c>
      <c r="K184" s="2" t="str">
        <f t="shared" si="4"/>
        <v>ZestVita</v>
      </c>
      <c r="L184" s="2">
        <f t="shared" si="5"/>
        <v>52642</v>
      </c>
      <c r="M184" s="2">
        <f t="shared" si="6"/>
        <v>62644</v>
      </c>
      <c r="N184" s="2" t="str">
        <f t="shared" si="7"/>
        <v>IPLMARKETTING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tr">
        <f>IFERROR(__xludf.DUMMYFUNCTION("SPLIT(SalesData!A185,""//"")"),"Month6 ")</f>
        <v>Month6 </v>
      </c>
      <c r="B185" s="2" t="str">
        <f>IFERROR(__xludf.DUMMYFUNCTION("""COMPUTED_VALUE"""),"City_Hyderabad")</f>
        <v>City_Hyderabad</v>
      </c>
      <c r="C185" s="2" t="str">
        <f>IFERROR(__xludf.DUMMYFUNCTION("""COMPUTED_VALUE"""),"PRD-NutriKid")</f>
        <v>PRD-NutriKid</v>
      </c>
      <c r="D185" s="2" t="str">
        <f>IFERROR(__xludf.DUMMYFUNCTION("""COMPUTED_VALUE"""),"OPQ  52660")</f>
        <v>OPQ  52660</v>
      </c>
      <c r="E185" s="2" t="str">
        <f>IFERROR(__xludf.DUMMYFUNCTION("""COMPUTED_VALUE"""),"NPQ[IPLMARKETTING]60032")</f>
        <v>NPQ[IPLMARKETTING]60032</v>
      </c>
      <c r="F185" s="2" t="str">
        <f t="shared" si="1"/>
        <v>IPLMARKETTING]60032</v>
      </c>
      <c r="G185" s="2" t="str">
        <f>IFERROR(__xludf.DUMMYFUNCTION("SPLIT(F185,""]"")"),"IPLMARKETTING")</f>
        <v>IPLMARKETTING</v>
      </c>
      <c r="H185" s="2">
        <f>IFERROR(__xludf.DUMMYFUNCTION("""COMPUTED_VALUE"""),60032.0)</f>
        <v>60032</v>
      </c>
      <c r="I185" s="2">
        <f t="shared" si="2"/>
        <v>6</v>
      </c>
      <c r="J185" s="2" t="str">
        <f t="shared" si="3"/>
        <v>Hyderabad</v>
      </c>
      <c r="K185" s="2" t="str">
        <f t="shared" si="4"/>
        <v>NutriKid</v>
      </c>
      <c r="L185" s="2">
        <f t="shared" si="5"/>
        <v>52660</v>
      </c>
      <c r="M185" s="2">
        <f t="shared" si="6"/>
        <v>60032</v>
      </c>
      <c r="N185" s="2" t="str">
        <f t="shared" si="7"/>
        <v>IPLMARKETTING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tr">
        <f>IFERROR(__xludf.DUMMYFUNCTION("SPLIT(SalesData!A186,""//"")"),"Month6 ")</f>
        <v>Month6 </v>
      </c>
      <c r="B186" s="2" t="str">
        <f>IFERROR(__xludf.DUMMYFUNCTION("""COMPUTED_VALUE"""),"City_Dehradun")</f>
        <v>City_Dehradun</v>
      </c>
      <c r="C186" s="2" t="str">
        <f>IFERROR(__xludf.DUMMYFUNCTION("""COMPUTED_VALUE"""),"PRD-ZestVita")</f>
        <v>PRD-ZestVita</v>
      </c>
      <c r="D186" s="2" t="str">
        <f>IFERROR(__xludf.DUMMYFUNCTION("""COMPUTED_VALUE"""),"OPQ  25328")</f>
        <v>OPQ  25328</v>
      </c>
      <c r="E186" s="2" t="str">
        <f>IFERROR(__xludf.DUMMYFUNCTION("""COMPUTED_VALUE"""),"NPQ[IPLMARKETTING]25835")</f>
        <v>NPQ[IPLMARKETTING]25835</v>
      </c>
      <c r="F186" s="2" t="str">
        <f t="shared" si="1"/>
        <v>IPLMARKETTING]25835</v>
      </c>
      <c r="G186" s="2" t="str">
        <f>IFERROR(__xludf.DUMMYFUNCTION("SPLIT(F186,""]"")"),"IPLMARKETTING")</f>
        <v>IPLMARKETTING</v>
      </c>
      <c r="H186" s="2">
        <f>IFERROR(__xludf.DUMMYFUNCTION("""COMPUTED_VALUE"""),25835.0)</f>
        <v>25835</v>
      </c>
      <c r="I186" s="2">
        <f t="shared" si="2"/>
        <v>6</v>
      </c>
      <c r="J186" s="2" t="str">
        <f t="shared" si="3"/>
        <v>Dehradun</v>
      </c>
      <c r="K186" s="2" t="str">
        <f t="shared" si="4"/>
        <v>ZestVita</v>
      </c>
      <c r="L186" s="2">
        <f t="shared" si="5"/>
        <v>25328</v>
      </c>
      <c r="M186" s="2">
        <f t="shared" si="6"/>
        <v>25835</v>
      </c>
      <c r="N186" s="2" t="str">
        <f t="shared" si="7"/>
        <v>IPLMARKETTING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tr">
        <f>IFERROR(__xludf.DUMMYFUNCTION("SPLIT(SalesData!A187,""//"")"),"Month6 ")</f>
        <v>Month6 </v>
      </c>
      <c r="B187" s="2" t="str">
        <f>IFERROR(__xludf.DUMMYFUNCTION("""COMPUTED_VALUE"""),"City_Dehradun")</f>
        <v>City_Dehradun</v>
      </c>
      <c r="C187" s="2" t="str">
        <f>IFERROR(__xludf.DUMMYFUNCTION("""COMPUTED_VALUE"""),"PRD-NutriKid")</f>
        <v>PRD-NutriKid</v>
      </c>
      <c r="D187" s="2" t="str">
        <f>IFERROR(__xludf.DUMMYFUNCTION("""COMPUTED_VALUE"""),"OPQ  15729")</f>
        <v>OPQ  15729</v>
      </c>
      <c r="E187" s="2" t="str">
        <f>IFERROR(__xludf.DUMMYFUNCTION("""COMPUTED_VALUE"""),"NPQ[IPLMARKETTING]16044")</f>
        <v>NPQ[IPLMARKETTING]16044</v>
      </c>
      <c r="F187" s="2" t="str">
        <f t="shared" si="1"/>
        <v>IPLMARKETTING]16044</v>
      </c>
      <c r="G187" s="2" t="str">
        <f>IFERROR(__xludf.DUMMYFUNCTION("SPLIT(F187,""]"")"),"IPLMARKETTING")</f>
        <v>IPLMARKETTING</v>
      </c>
      <c r="H187" s="2">
        <f>IFERROR(__xludf.DUMMYFUNCTION("""COMPUTED_VALUE"""),16044.0)</f>
        <v>16044</v>
      </c>
      <c r="I187" s="2">
        <f t="shared" si="2"/>
        <v>6</v>
      </c>
      <c r="J187" s="2" t="str">
        <f t="shared" si="3"/>
        <v>Dehradun</v>
      </c>
      <c r="K187" s="2" t="str">
        <f t="shared" si="4"/>
        <v>NutriKid</v>
      </c>
      <c r="L187" s="2">
        <f t="shared" si="5"/>
        <v>15729</v>
      </c>
      <c r="M187" s="2">
        <f t="shared" si="6"/>
        <v>16044</v>
      </c>
      <c r="N187" s="2" t="str">
        <f t="shared" si="7"/>
        <v>IPLMARKETTING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tr">
        <f>IFERROR(__xludf.DUMMYFUNCTION("SPLIT(SalesData!A188,""//"")"),"Month6 ")</f>
        <v>Month6 </v>
      </c>
      <c r="B188" s="2" t="str">
        <f>IFERROR(__xludf.DUMMYFUNCTION("""COMPUTED_VALUE"""),"City_Kochi")</f>
        <v>City_Kochi</v>
      </c>
      <c r="C188" s="2" t="str">
        <f>IFERROR(__xludf.DUMMYFUNCTION("""COMPUTED_VALUE"""),"PRD-ZestVita")</f>
        <v>PRD-ZestVita</v>
      </c>
      <c r="D188" s="2" t="str">
        <f>IFERROR(__xludf.DUMMYFUNCTION("""COMPUTED_VALUE"""),"OPQ  27805")</f>
        <v>OPQ  27805</v>
      </c>
      <c r="E188" s="2" t="str">
        <f>IFERROR(__xludf.DUMMYFUNCTION("""COMPUTED_VALUE"""),"NPQ[IPLMARKETTING]28917")</f>
        <v>NPQ[IPLMARKETTING]28917</v>
      </c>
      <c r="F188" s="2" t="str">
        <f t="shared" si="1"/>
        <v>IPLMARKETTING]28917</v>
      </c>
      <c r="G188" s="2" t="str">
        <f>IFERROR(__xludf.DUMMYFUNCTION("SPLIT(F188,""]"")"),"IPLMARKETTING")</f>
        <v>IPLMARKETTING</v>
      </c>
      <c r="H188" s="2">
        <f>IFERROR(__xludf.DUMMYFUNCTION("""COMPUTED_VALUE"""),28917.0)</f>
        <v>28917</v>
      </c>
      <c r="I188" s="2">
        <f t="shared" si="2"/>
        <v>6</v>
      </c>
      <c r="J188" s="2" t="str">
        <f t="shared" si="3"/>
        <v>Kochi</v>
      </c>
      <c r="K188" s="2" t="str">
        <f t="shared" si="4"/>
        <v>ZestVita</v>
      </c>
      <c r="L188" s="2">
        <f t="shared" si="5"/>
        <v>27805</v>
      </c>
      <c r="M188" s="2">
        <f t="shared" si="6"/>
        <v>28917</v>
      </c>
      <c r="N188" s="2" t="str">
        <f t="shared" si="7"/>
        <v>IPLMARKETTING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tr">
        <f>IFERROR(__xludf.DUMMYFUNCTION("SPLIT(SalesData!A189,""//"")"),"Month6 ")</f>
        <v>Month6 </v>
      </c>
      <c r="B189" s="2" t="str">
        <f>IFERROR(__xludf.DUMMYFUNCTION("""COMPUTED_VALUE"""),"City_Kochi")</f>
        <v>City_Kochi</v>
      </c>
      <c r="C189" s="2" t="str">
        <f>IFERROR(__xludf.DUMMYFUNCTION("""COMPUTED_VALUE"""),"PRD-NutriKid")</f>
        <v>PRD-NutriKid</v>
      </c>
      <c r="D189" s="2" t="str">
        <f>IFERROR(__xludf.DUMMYFUNCTION("""COMPUTED_VALUE"""),"OPQ  18175")</f>
        <v>OPQ  18175</v>
      </c>
      <c r="E189" s="2" t="str">
        <f>IFERROR(__xludf.DUMMYFUNCTION("""COMPUTED_VALUE"""),"NPQ[IPLMARKETTING]19266")</f>
        <v>NPQ[IPLMARKETTING]19266</v>
      </c>
      <c r="F189" s="2" t="str">
        <f t="shared" si="1"/>
        <v>IPLMARKETTING]19266</v>
      </c>
      <c r="G189" s="2" t="str">
        <f>IFERROR(__xludf.DUMMYFUNCTION("SPLIT(F189,""]"")"),"IPLMARKETTING")</f>
        <v>IPLMARKETTING</v>
      </c>
      <c r="H189" s="2">
        <f>IFERROR(__xludf.DUMMYFUNCTION("""COMPUTED_VALUE"""),19266.0)</f>
        <v>19266</v>
      </c>
      <c r="I189" s="2">
        <f t="shared" si="2"/>
        <v>6</v>
      </c>
      <c r="J189" s="2" t="str">
        <f t="shared" si="3"/>
        <v>Kochi</v>
      </c>
      <c r="K189" s="2" t="str">
        <f t="shared" si="4"/>
        <v>NutriKid</v>
      </c>
      <c r="L189" s="2">
        <f t="shared" si="5"/>
        <v>18175</v>
      </c>
      <c r="M189" s="2">
        <f t="shared" si="6"/>
        <v>19266</v>
      </c>
      <c r="N189" s="2" t="str">
        <f t="shared" si="7"/>
        <v>IPLMARKETTING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tr">
        <f>IFERROR(__xludf.DUMMYFUNCTION("SPLIT(SalesData!A190,""//"")"),"Month6 ")</f>
        <v>Month6 </v>
      </c>
      <c r="B190" s="2" t="str">
        <f>IFERROR(__xludf.DUMMYFUNCTION("""COMPUTED_VALUE"""),"City_Jaipur")</f>
        <v>City_Jaipur</v>
      </c>
      <c r="C190" s="2" t="str">
        <f>IFERROR(__xludf.DUMMYFUNCTION("""COMPUTED_VALUE"""),"PRD-ZestVita")</f>
        <v>PRD-ZestVita</v>
      </c>
      <c r="D190" s="2" t="str">
        <f>IFERROR(__xludf.DUMMYFUNCTION("""COMPUTED_VALUE"""),"OPQ  43289")</f>
        <v>OPQ  43289</v>
      </c>
      <c r="E190" s="2" t="str">
        <f>IFERROR(__xludf.DUMMYFUNCTION("""COMPUTED_VALUE"""),"NPQ[IPLMARKETTING]51514")</f>
        <v>NPQ[IPLMARKETTING]51514</v>
      </c>
      <c r="F190" s="2" t="str">
        <f t="shared" si="1"/>
        <v>IPLMARKETTING]51514</v>
      </c>
      <c r="G190" s="2" t="str">
        <f>IFERROR(__xludf.DUMMYFUNCTION("SPLIT(F190,""]"")"),"IPLMARKETTING")</f>
        <v>IPLMARKETTING</v>
      </c>
      <c r="H190" s="2">
        <f>IFERROR(__xludf.DUMMYFUNCTION("""COMPUTED_VALUE"""),51514.0)</f>
        <v>51514</v>
      </c>
      <c r="I190" s="2">
        <f t="shared" si="2"/>
        <v>6</v>
      </c>
      <c r="J190" s="2" t="str">
        <f t="shared" si="3"/>
        <v>Jaipur</v>
      </c>
      <c r="K190" s="2" t="str">
        <f t="shared" si="4"/>
        <v>ZestVita</v>
      </c>
      <c r="L190" s="2">
        <f t="shared" si="5"/>
        <v>43289</v>
      </c>
      <c r="M190" s="2">
        <f t="shared" si="6"/>
        <v>51514</v>
      </c>
      <c r="N190" s="2" t="str">
        <f t="shared" si="7"/>
        <v>IPLMARKETTING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tr">
        <f>IFERROR(__xludf.DUMMYFUNCTION("SPLIT(SalesData!A191,""//"")"),"Month6 ")</f>
        <v>Month6 </v>
      </c>
      <c r="B191" s="2" t="str">
        <f>IFERROR(__xludf.DUMMYFUNCTION("""COMPUTED_VALUE"""),"City_Jaipur")</f>
        <v>City_Jaipur</v>
      </c>
      <c r="C191" s="2" t="str">
        <f>IFERROR(__xludf.DUMMYFUNCTION("""COMPUTED_VALUE"""),"PRD-NutriKid")</f>
        <v>PRD-NutriKid</v>
      </c>
      <c r="D191" s="2" t="str">
        <f>IFERROR(__xludf.DUMMYFUNCTION("""COMPUTED_VALUE"""),"OPQ  33419")</f>
        <v>OPQ  33419</v>
      </c>
      <c r="E191" s="2" t="str">
        <f>IFERROR(__xludf.DUMMYFUNCTION("""COMPUTED_VALUE"""),"NPQ[IPLMARKETTING]41105")</f>
        <v>NPQ[IPLMARKETTING]41105</v>
      </c>
      <c r="F191" s="2" t="str">
        <f t="shared" si="1"/>
        <v>IPLMARKETTING]41105</v>
      </c>
      <c r="G191" s="2" t="str">
        <f>IFERROR(__xludf.DUMMYFUNCTION("SPLIT(F191,""]"")"),"IPLMARKETTING")</f>
        <v>IPLMARKETTING</v>
      </c>
      <c r="H191" s="2">
        <f>IFERROR(__xludf.DUMMYFUNCTION("""COMPUTED_VALUE"""),41105.0)</f>
        <v>41105</v>
      </c>
      <c r="I191" s="2">
        <f t="shared" si="2"/>
        <v>6</v>
      </c>
      <c r="J191" s="2" t="str">
        <f t="shared" si="3"/>
        <v>Jaipur</v>
      </c>
      <c r="K191" s="2" t="str">
        <f t="shared" si="4"/>
        <v>NutriKid</v>
      </c>
      <c r="L191" s="2">
        <f t="shared" si="5"/>
        <v>33419</v>
      </c>
      <c r="M191" s="2">
        <f t="shared" si="6"/>
        <v>41105</v>
      </c>
      <c r="N191" s="2" t="str">
        <f t="shared" si="7"/>
        <v>IPLMARKETTING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tr">
        <f>IFERROR(__xludf.DUMMYFUNCTION("SPLIT(SalesData!A192,""//"")"),"Month6 ")</f>
        <v>Month6 </v>
      </c>
      <c r="B192" s="2" t="str">
        <f>IFERROR(__xludf.DUMMYFUNCTION("""COMPUTED_VALUE"""),"City_Patna")</f>
        <v>City_Patna</v>
      </c>
      <c r="C192" s="2" t="str">
        <f>IFERROR(__xludf.DUMMYFUNCTION("""COMPUTED_VALUE"""),"PRD-ZestVita")</f>
        <v>PRD-ZestVita</v>
      </c>
      <c r="D192" s="2" t="str">
        <f>IFERROR(__xludf.DUMMYFUNCTION("""COMPUTED_VALUE"""),"OPQ  36992")</f>
        <v>OPQ  36992</v>
      </c>
      <c r="E192" s="2" t="str">
        <f>IFERROR(__xludf.DUMMYFUNCTION("""COMPUTED_VALUE"""),"NPQ[IPLMARKETTING]45130")</f>
        <v>NPQ[IPLMARKETTING]45130</v>
      </c>
      <c r="F192" s="2" t="str">
        <f t="shared" si="1"/>
        <v>IPLMARKETTING]45130</v>
      </c>
      <c r="G192" s="2" t="str">
        <f>IFERROR(__xludf.DUMMYFUNCTION("SPLIT(F192,""]"")"),"IPLMARKETTING")</f>
        <v>IPLMARKETTING</v>
      </c>
      <c r="H192" s="2">
        <f>IFERROR(__xludf.DUMMYFUNCTION("""COMPUTED_VALUE"""),45130.0)</f>
        <v>45130</v>
      </c>
      <c r="I192" s="2">
        <f t="shared" si="2"/>
        <v>6</v>
      </c>
      <c r="J192" s="2" t="str">
        <f t="shared" si="3"/>
        <v>Patna</v>
      </c>
      <c r="K192" s="2" t="str">
        <f t="shared" si="4"/>
        <v>ZestVita</v>
      </c>
      <c r="L192" s="2">
        <f t="shared" si="5"/>
        <v>36992</v>
      </c>
      <c r="M192" s="2">
        <f t="shared" si="6"/>
        <v>45130</v>
      </c>
      <c r="N192" s="2" t="str">
        <f t="shared" si="7"/>
        <v>IPLMARKETTING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tr">
        <f>IFERROR(__xludf.DUMMYFUNCTION("SPLIT(SalesData!A193,""//"")"),"Month6 ")</f>
        <v>Month6 </v>
      </c>
      <c r="B193" s="2" t="str">
        <f>IFERROR(__xludf.DUMMYFUNCTION("""COMPUTED_VALUE"""),"City_Patna")</f>
        <v>City_Patna</v>
      </c>
      <c r="C193" s="2" t="str">
        <f>IFERROR(__xludf.DUMMYFUNCTION("""COMPUTED_VALUE"""),"PRD-NutriKid")</f>
        <v>PRD-NutriKid</v>
      </c>
      <c r="D193" s="2" t="str">
        <f>IFERROR(__xludf.DUMMYFUNCTION("""COMPUTED_VALUE"""),"OPQ  47607")</f>
        <v>OPQ  47607</v>
      </c>
      <c r="E193" s="2" t="str">
        <f>IFERROR(__xludf.DUMMYFUNCTION("""COMPUTED_VALUE"""),"NPQ[IPLMARKETTING]53320")</f>
        <v>NPQ[IPLMARKETTING]53320</v>
      </c>
      <c r="F193" s="2" t="str">
        <f t="shared" si="1"/>
        <v>IPLMARKETTING]53320</v>
      </c>
      <c r="G193" s="2" t="str">
        <f>IFERROR(__xludf.DUMMYFUNCTION("SPLIT(F193,""]"")"),"IPLMARKETTING")</f>
        <v>IPLMARKETTING</v>
      </c>
      <c r="H193" s="2">
        <f>IFERROR(__xludf.DUMMYFUNCTION("""COMPUTED_VALUE"""),53320.0)</f>
        <v>53320</v>
      </c>
      <c r="I193" s="2">
        <f t="shared" si="2"/>
        <v>6</v>
      </c>
      <c r="J193" s="2" t="str">
        <f t="shared" si="3"/>
        <v>Patna</v>
      </c>
      <c r="K193" s="2" t="str">
        <f t="shared" si="4"/>
        <v>NutriKid</v>
      </c>
      <c r="L193" s="2">
        <f t="shared" si="5"/>
        <v>47607</v>
      </c>
      <c r="M193" s="2">
        <f t="shared" si="6"/>
        <v>53320</v>
      </c>
      <c r="N193" s="2" t="str">
        <f t="shared" si="7"/>
        <v>IPLMARKETTING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1.88"/>
    <col customWidth="1" min="4" max="4" width="13.63"/>
    <col customWidth="1" min="5" max="5" width="14.38"/>
    <col customWidth="1" min="6" max="6" width="14.75"/>
    <col customWidth="1" min="7" max="7" width="12.88"/>
    <col customWidth="1" min="8" max="8" width="13.5"/>
    <col customWidth="1" min="10" max="10" width="18.88"/>
    <col customWidth="1" min="13" max="13" width="23.38"/>
    <col customWidth="1" min="14" max="14" width="24.0"/>
    <col customWidth="1" min="15" max="15" width="21.38"/>
    <col customWidth="1" min="16" max="16" width="22.13"/>
    <col customWidth="1" min="17" max="17" width="15.75"/>
    <col customWidth="1" min="18" max="18" width="16.38"/>
  </cols>
  <sheetData>
    <row r="1">
      <c r="A1" s="6" t="str">
        <f>IFERROR(__xludf.DUMMYFUNCTION("QUERY(Data_Cleaning!I1:N193)"),"MonthNumber")</f>
        <v>MonthNumber</v>
      </c>
      <c r="B1" s="6" t="str">
        <f>IFERROR(__xludf.DUMMYFUNCTION("""COMPUTED_VALUE"""),"City")</f>
        <v>City</v>
      </c>
      <c r="C1" s="6" t="str">
        <f>IFERROR(__xludf.DUMMYFUNCTION("""COMPUTED_VALUE"""),"Product")</f>
        <v>Product</v>
      </c>
      <c r="D1" s="6" t="str">
        <f>IFERROR(__xludf.DUMMYFUNCTION("""COMPUTED_VALUE"""),"OldProductQty")</f>
        <v>OldProductQty</v>
      </c>
      <c r="E1" s="6" t="str">
        <f>IFERROR(__xludf.DUMMYFUNCTION("""COMPUTED_VALUE"""),"NewProductQty")</f>
        <v>NewProductQty</v>
      </c>
      <c r="F1" s="6" t="str">
        <f>IFERROR(__xludf.DUMMYFUNCTION("""COMPUTED_VALUE"""),"Marketing")</f>
        <v>Marketing</v>
      </c>
      <c r="G1" s="6" t="s">
        <v>265</v>
      </c>
      <c r="H1" s="6" t="s">
        <v>266</v>
      </c>
      <c r="I1" s="5" t="s">
        <v>214</v>
      </c>
      <c r="J1" s="5" t="s">
        <v>219</v>
      </c>
      <c r="K1" s="7" t="s">
        <v>224</v>
      </c>
      <c r="L1" s="5" t="s">
        <v>240</v>
      </c>
      <c r="M1" s="5" t="s">
        <v>267</v>
      </c>
      <c r="N1" s="5" t="s">
        <v>268</v>
      </c>
      <c r="O1" s="5" t="s">
        <v>269</v>
      </c>
      <c r="P1" s="5" t="s">
        <v>270</v>
      </c>
      <c r="Q1" s="5" t="s">
        <v>271</v>
      </c>
      <c r="R1" s="5" t="s">
        <v>272</v>
      </c>
      <c r="S1" s="2"/>
      <c r="T1" s="2"/>
      <c r="U1" s="2"/>
      <c r="V1" s="2"/>
      <c r="W1" s="2"/>
      <c r="X1" s="2"/>
      <c r="Y1" s="2"/>
      <c r="Z1" s="2"/>
    </row>
    <row r="2">
      <c r="A2" s="2">
        <f>IFERROR(__xludf.DUMMYFUNCTION("""COMPUTED_VALUE"""),1.0)</f>
        <v>1</v>
      </c>
      <c r="B2" s="2" t="str">
        <f>IFERROR(__xludf.DUMMYFUNCTION("""COMPUTED_VALUE"""),"Delhi")</f>
        <v>Delhi</v>
      </c>
      <c r="C2" s="2" t="str">
        <f>IFERROR(__xludf.DUMMYFUNCTION("""COMPUTED_VALUE"""),"ZestVita")</f>
        <v>ZestVita</v>
      </c>
      <c r="D2" s="2">
        <f>IFERROR(__xludf.DUMMYFUNCTION("""COMPUTED_VALUE"""),21497.0)</f>
        <v>21497</v>
      </c>
      <c r="E2" s="2">
        <f>IFERROR(__xludf.DUMMYFUNCTION("""COMPUTED_VALUE"""),26871.0)</f>
        <v>26871</v>
      </c>
      <c r="F2" s="2" t="str">
        <f>IFERROR(__xludf.DUMMYFUNCTION("""COMPUTED_VALUE"""),"IPLMARKETTING")</f>
        <v>IPLMARKETTING</v>
      </c>
      <c r="G2" s="2">
        <f t="shared" ref="G2:G193" si="3">if(C2="NutriKid",D2*60*(1-K2),D2*135*(1-K2))</f>
        <v>2902095</v>
      </c>
      <c r="H2" s="2">
        <f t="shared" ref="H2:H193" si="4">if(C2="NutriKid",E2*60,E2*135)</f>
        <v>3627585</v>
      </c>
      <c r="I2" s="2" t="str">
        <f>IF(or(B2='Regional Details'!$A$5,B2='Regional Details'!$A$6,B2='Regional Details'!$A$7,B2='Regional Details'!$A$8),'Regional Details'!$B$2,if(OR(B2='Regional Details'!$D$5,B2='Regional Details'!$D$6,B2='Regional Details'!$D$7,B2='Regional Details'!$D$8),'Regional Details'!$E$2,if(or(B2='Regional Details'!$G$5,B2='Regional Details'!$G$6,B2='Regional Details'!$G$7,B2='Regional Details'!$G$8),'Regional Details'!$H$2,'Regional Details'!$K$2)))</f>
        <v>North</v>
      </c>
      <c r="J2" s="2" t="str">
        <f>if(I2='Regional Details'!$B$2,'Regional Details'!$B$3,if(I2='Regional Details'!$E$2,'Regional Details'!$E$3,if(I2='Regional Details'!$H$2,'Regional Details'!$H$3,'Regional Details'!$K$3)))</f>
        <v>Ajay Kumar</v>
      </c>
      <c r="K2" s="8">
        <f t="array" ref="K2">IFERROR(XLOOKUP(B2,'Regional Details'!$A$5:$A$8,'Regional Details'!$B$5:$B$8),IFERROR(XLOOKUP(B2,'Regional Details'!$D$5:$D$8,'Regional Details'!$E$5:$E$8),IFERROR(xlookup(B2,'Regional Details'!$G$5:$G$8,'Regional Details'!$H$5:$H$8),XLOOKUP(B2,'Regional Details'!$J$5:$J$8,'Regional Details'!$K$5:$K$8))))</f>
        <v>0</v>
      </c>
      <c r="L2" s="2" t="str">
        <f>VLOOKUP(A2,MonthMapping!$A$2:$B$13,2,false)</f>
        <v>January</v>
      </c>
      <c r="M2" s="9">
        <f>if(C2=$C$2,Contribution_Old!$B$22,Contribution_Old!$B$23)</f>
        <v>55.84</v>
      </c>
      <c r="N2" s="9">
        <f>if(C2=$C$2,Contribution_New!$B$23,Contribution_New!$B$24)</f>
        <v>61.84</v>
      </c>
      <c r="O2" s="2">
        <f t="shared" ref="O2:P2" si="1">M2*D2</f>
        <v>1200392.48</v>
      </c>
      <c r="P2" s="2">
        <f t="shared" si="1"/>
        <v>1661702.64</v>
      </c>
      <c r="Q2" s="2">
        <f t="shared" ref="Q2:R2" si="2">G2-O2</f>
        <v>1701702.52</v>
      </c>
      <c r="R2" s="2">
        <f t="shared" si="2"/>
        <v>1965882.36</v>
      </c>
      <c r="S2" s="2"/>
      <c r="T2" s="2"/>
      <c r="U2" s="2"/>
      <c r="V2" s="2"/>
      <c r="W2" s="2"/>
      <c r="X2" s="2"/>
      <c r="Y2" s="2"/>
      <c r="Z2" s="2"/>
    </row>
    <row r="3">
      <c r="A3" s="2">
        <f>IFERROR(__xludf.DUMMYFUNCTION("""COMPUTED_VALUE"""),1.0)</f>
        <v>1</v>
      </c>
      <c r="B3" s="2" t="str">
        <f>IFERROR(__xludf.DUMMYFUNCTION("""COMPUTED_VALUE"""),"Delhi")</f>
        <v>Delhi</v>
      </c>
      <c r="C3" s="2" t="str">
        <f>IFERROR(__xludf.DUMMYFUNCTION("""COMPUTED_VALUE"""),"NutriKid")</f>
        <v>NutriKid</v>
      </c>
      <c r="D3" s="2">
        <f>IFERROR(__xludf.DUMMYFUNCTION("""COMPUTED_VALUE"""),16650.0)</f>
        <v>16650</v>
      </c>
      <c r="E3" s="2">
        <f>IFERROR(__xludf.DUMMYFUNCTION("""COMPUTED_VALUE"""),20147.0)</f>
        <v>20147</v>
      </c>
      <c r="F3" s="2" t="str">
        <f>IFERROR(__xludf.DUMMYFUNCTION("""COMPUTED_VALUE"""),"IPLMARKETTING")</f>
        <v>IPLMARKETTING</v>
      </c>
      <c r="G3" s="2">
        <f t="shared" si="3"/>
        <v>999000</v>
      </c>
      <c r="H3" s="2">
        <f t="shared" si="4"/>
        <v>1208820</v>
      </c>
      <c r="I3" s="2" t="str">
        <f>IF(or(B3='Regional Details'!$A$5,B3='Regional Details'!$A$6,B3='Regional Details'!$A$7,B3='Regional Details'!$A$8),'Regional Details'!$B$2,if(OR(B3='Regional Details'!$D$5,B3='Regional Details'!$D$6,B3='Regional Details'!$D$7,B3='Regional Details'!$D$8),'Regional Details'!$E$2,if(or(B3='Regional Details'!$G$5,B3='Regional Details'!$G$6,B3='Regional Details'!$G$7,B3='Regional Details'!$G$8),'Regional Details'!$H$2,'Regional Details'!$K$2)))</f>
        <v>North</v>
      </c>
      <c r="J3" s="2" t="str">
        <f>if(I3='Regional Details'!$B$2,'Regional Details'!$B$3,if(I3='Regional Details'!$E$2,'Regional Details'!$E$3,if(I3='Regional Details'!$H$2,'Regional Details'!$H$3,'Regional Details'!$K$3)))</f>
        <v>Ajay Kumar</v>
      </c>
      <c r="K3" s="8">
        <f t="array" ref="K3">IFERROR(XLOOKUP(B3,'Regional Details'!$A$5:$A$8,'Regional Details'!$B$5:$B$8),IFERROR(XLOOKUP(B3,'Regional Details'!$D$5:$D$8,'Regional Details'!$E$5:$E$8),IFERROR(xlookup(B3,'Regional Details'!$G$5:$G$8,'Regional Details'!$H$5:$H$8),XLOOKUP(B3,'Regional Details'!$J$5:$J$8,'Regional Details'!$K$5:$K$8))))</f>
        <v>0</v>
      </c>
      <c r="L3" s="2" t="str">
        <f>VLOOKUP(A3,MonthMapping!$A$2:$B$13,2,false)</f>
        <v>January</v>
      </c>
      <c r="M3" s="9">
        <f>if(C3=$C$2,Contribution_Old!$B$22,Contribution_Old!$B$23)</f>
        <v>24.108</v>
      </c>
      <c r="N3" s="9">
        <f>if(C3=$C$2,Contribution_New!$B$23,Contribution_New!$B$24)</f>
        <v>30.108</v>
      </c>
      <c r="O3" s="2">
        <f t="shared" ref="O3:P3" si="5">M3*D3</f>
        <v>401398.2</v>
      </c>
      <c r="P3" s="2">
        <f t="shared" si="5"/>
        <v>606585.876</v>
      </c>
      <c r="Q3" s="2">
        <f t="shared" ref="Q3:R3" si="6">G3-O3</f>
        <v>597601.8</v>
      </c>
      <c r="R3" s="2">
        <f t="shared" si="6"/>
        <v>602234.124</v>
      </c>
      <c r="S3" s="2"/>
      <c r="T3" s="2"/>
      <c r="U3" s="2"/>
      <c r="V3" s="2"/>
      <c r="W3" s="2"/>
      <c r="X3" s="2"/>
      <c r="Y3" s="2"/>
      <c r="Z3" s="2"/>
    </row>
    <row r="4">
      <c r="A4" s="2">
        <f>IFERROR(__xludf.DUMMYFUNCTION("""COMPUTED_VALUE"""),1.0)</f>
        <v>1</v>
      </c>
      <c r="B4" s="2" t="str">
        <f>IFERROR(__xludf.DUMMYFUNCTION("""COMPUTED_VALUE"""),"Kolkata")</f>
        <v>Kolkata</v>
      </c>
      <c r="C4" s="2" t="str">
        <f>IFERROR(__xludf.DUMMYFUNCTION("""COMPUTED_VALUE"""),"ZestVita")</f>
        <v>ZestVita</v>
      </c>
      <c r="D4" s="2">
        <f>IFERROR(__xludf.DUMMYFUNCTION("""COMPUTED_VALUE"""),11470.0)</f>
        <v>11470</v>
      </c>
      <c r="E4" s="2">
        <f>IFERROR(__xludf.DUMMYFUNCTION("""COMPUTED_VALUE"""),12617.0)</f>
        <v>12617</v>
      </c>
      <c r="F4" s="2" t="str">
        <f>IFERROR(__xludf.DUMMYFUNCTION("""COMPUTED_VALUE"""),"IPLMARKETTING")</f>
        <v>IPLMARKETTING</v>
      </c>
      <c r="G4" s="2">
        <f t="shared" si="3"/>
        <v>1548450</v>
      </c>
      <c r="H4" s="2">
        <f t="shared" si="4"/>
        <v>1703295</v>
      </c>
      <c r="I4" s="2" t="str">
        <f>IF(or(B4='Regional Details'!$A$5,B4='Regional Details'!$A$6,B4='Regional Details'!$A$7,B4='Regional Details'!$A$8),'Regional Details'!$B$2,if(OR(B4='Regional Details'!$D$5,B4='Regional Details'!$D$6,B4='Regional Details'!$D$7,B4='Regional Details'!$D$8),'Regional Details'!$E$2,if(or(B4='Regional Details'!$G$5,B4='Regional Details'!$G$6,B4='Regional Details'!$G$7,B4='Regional Details'!$G$8),'Regional Details'!$H$2,'Regional Details'!$K$2)))</f>
        <v>East</v>
      </c>
      <c r="J4" s="2" t="str">
        <f>if(I4='Regional Details'!$B$2,'Regional Details'!$B$3,if(I4='Regional Details'!$E$2,'Regional Details'!$E$3,if(I4='Regional Details'!$H$2,'Regional Details'!$H$3,'Regional Details'!$K$3)))</f>
        <v>Tanvi Sharma</v>
      </c>
      <c r="K4" s="8">
        <f t="array" ref="K4">IFERROR(XLOOKUP(B4,'Regional Details'!$A$5:$A$8,'Regional Details'!$B$5:$B$8),IFERROR(XLOOKUP(B4,'Regional Details'!$D$5:$D$8,'Regional Details'!$E$5:$E$8),IFERROR(xlookup(B4,'Regional Details'!$G$5:$G$8,'Regional Details'!$H$5:$H$8),XLOOKUP(B4,'Regional Details'!$J$5:$J$8,'Regional Details'!$K$5:$K$8))))</f>
        <v>0</v>
      </c>
      <c r="L4" s="2" t="str">
        <f>VLOOKUP(A4,MonthMapping!$A$2:$B$13,2,false)</f>
        <v>January</v>
      </c>
      <c r="M4" s="9">
        <f>if(C4=$C$2,Contribution_Old!$B$22,Contribution_Old!$B$23)</f>
        <v>55.84</v>
      </c>
      <c r="N4" s="9">
        <f>if(C4=$C$2,Contribution_New!$B$23,Contribution_New!$B$24)</f>
        <v>61.84</v>
      </c>
      <c r="O4" s="2">
        <f t="shared" ref="O4:P4" si="7">M4*D4</f>
        <v>640484.8</v>
      </c>
      <c r="P4" s="2">
        <f t="shared" si="7"/>
        <v>780235.28</v>
      </c>
      <c r="Q4" s="2">
        <f t="shared" ref="Q4:R4" si="8">G4-O4</f>
        <v>907965.2</v>
      </c>
      <c r="R4" s="2">
        <f t="shared" si="8"/>
        <v>923059.72</v>
      </c>
      <c r="S4" s="2"/>
      <c r="T4" s="2"/>
      <c r="U4" s="2"/>
      <c r="V4" s="2"/>
      <c r="W4" s="2"/>
      <c r="X4" s="2"/>
      <c r="Y4" s="2"/>
      <c r="Z4" s="2"/>
    </row>
    <row r="5">
      <c r="A5" s="2">
        <f>IFERROR(__xludf.DUMMYFUNCTION("""COMPUTED_VALUE"""),1.0)</f>
        <v>1</v>
      </c>
      <c r="B5" s="2" t="str">
        <f>IFERROR(__xludf.DUMMYFUNCTION("""COMPUTED_VALUE"""),"Kolkata")</f>
        <v>Kolkata</v>
      </c>
      <c r="C5" s="2" t="str">
        <f>IFERROR(__xludf.DUMMYFUNCTION("""COMPUTED_VALUE"""),"NutriKid")</f>
        <v>NutriKid</v>
      </c>
      <c r="D5" s="2">
        <f>IFERROR(__xludf.DUMMYFUNCTION("""COMPUTED_VALUE"""),22348.0)</f>
        <v>22348</v>
      </c>
      <c r="E5" s="2">
        <f>IFERROR(__xludf.DUMMYFUNCTION("""COMPUTED_VALUE"""),27488.0)</f>
        <v>27488</v>
      </c>
      <c r="F5" s="2" t="str">
        <f>IFERROR(__xludf.DUMMYFUNCTION("""COMPUTED_VALUE"""),"IPLMARKETTING")</f>
        <v>IPLMARKETTING</v>
      </c>
      <c r="G5" s="2">
        <f t="shared" si="3"/>
        <v>1340880</v>
      </c>
      <c r="H5" s="2">
        <f t="shared" si="4"/>
        <v>1649280</v>
      </c>
      <c r="I5" s="2" t="str">
        <f>IF(or(B5='Regional Details'!$A$5,B5='Regional Details'!$A$6,B5='Regional Details'!$A$7,B5='Regional Details'!$A$8),'Regional Details'!$B$2,if(OR(B5='Regional Details'!$D$5,B5='Regional Details'!$D$6,B5='Regional Details'!$D$7,B5='Regional Details'!$D$8),'Regional Details'!$E$2,if(or(B5='Regional Details'!$G$5,B5='Regional Details'!$G$6,B5='Regional Details'!$G$7,B5='Regional Details'!$G$8),'Regional Details'!$H$2,'Regional Details'!$K$2)))</f>
        <v>East</v>
      </c>
      <c r="J5" s="2" t="str">
        <f>if(I5='Regional Details'!$B$2,'Regional Details'!$B$3,if(I5='Regional Details'!$E$2,'Regional Details'!$E$3,if(I5='Regional Details'!$H$2,'Regional Details'!$H$3,'Regional Details'!$K$3)))</f>
        <v>Tanvi Sharma</v>
      </c>
      <c r="K5" s="8">
        <f t="array" ref="K5">IFERROR(XLOOKUP(B5,'Regional Details'!$A$5:$A$8,'Regional Details'!$B$5:$B$8),IFERROR(XLOOKUP(B5,'Regional Details'!$D$5:$D$8,'Regional Details'!$E$5:$E$8),IFERROR(xlookup(B5,'Regional Details'!$G$5:$G$8,'Regional Details'!$H$5:$H$8),XLOOKUP(B5,'Regional Details'!$J$5:$J$8,'Regional Details'!$K$5:$K$8))))</f>
        <v>0</v>
      </c>
      <c r="L5" s="2" t="str">
        <f>VLOOKUP(A5,MonthMapping!$A$2:$B$13,2,false)</f>
        <v>January</v>
      </c>
      <c r="M5" s="9">
        <f>if(C5=$C$2,Contribution_Old!$B$22,Contribution_Old!$B$23)</f>
        <v>24.108</v>
      </c>
      <c r="N5" s="9">
        <f>if(C5=$C$2,Contribution_New!$B$23,Contribution_New!$B$24)</f>
        <v>30.108</v>
      </c>
      <c r="O5" s="2">
        <f t="shared" ref="O5:P5" si="9">M5*D5</f>
        <v>538765.584</v>
      </c>
      <c r="P5" s="2">
        <f t="shared" si="9"/>
        <v>827608.704</v>
      </c>
      <c r="Q5" s="2">
        <f t="shared" ref="Q5:R5" si="10">G5-O5</f>
        <v>802114.416</v>
      </c>
      <c r="R5" s="2">
        <f t="shared" si="10"/>
        <v>821671.296</v>
      </c>
      <c r="S5" s="2"/>
      <c r="T5" s="2"/>
      <c r="U5" s="2"/>
      <c r="V5" s="2"/>
      <c r="W5" s="2"/>
      <c r="X5" s="2"/>
      <c r="Y5" s="2"/>
      <c r="Z5" s="2"/>
    </row>
    <row r="6">
      <c r="A6" s="2">
        <f>IFERROR(__xludf.DUMMYFUNCTION("""COMPUTED_VALUE"""),1.0)</f>
        <v>1</v>
      </c>
      <c r="B6" s="2" t="str">
        <f>IFERROR(__xludf.DUMMYFUNCTION("""COMPUTED_VALUE"""),"Pune")</f>
        <v>Pune</v>
      </c>
      <c r="C6" s="2" t="str">
        <f>IFERROR(__xludf.DUMMYFUNCTION("""COMPUTED_VALUE"""),"ZestVita")</f>
        <v>ZestVita</v>
      </c>
      <c r="D6" s="2">
        <f>IFERROR(__xludf.DUMMYFUNCTION("""COMPUTED_VALUE"""),13727.0)</f>
        <v>13727</v>
      </c>
      <c r="E6" s="2">
        <f>IFERROR(__xludf.DUMMYFUNCTION("""COMPUTED_VALUE"""),15649.0)</f>
        <v>15649</v>
      </c>
      <c r="F6" s="2" t="str">
        <f>IFERROR(__xludf.DUMMYFUNCTION("""COMPUTED_VALUE"""),"IPLMARKETTING")</f>
        <v>IPLMARKETTING</v>
      </c>
      <c r="G6" s="2">
        <f t="shared" si="3"/>
        <v>1853145</v>
      </c>
      <c r="H6" s="2">
        <f t="shared" si="4"/>
        <v>2112615</v>
      </c>
      <c r="I6" s="2" t="str">
        <f>IF(or(B6='Regional Details'!$A$5,B6='Regional Details'!$A$6,B6='Regional Details'!$A$7,B6='Regional Details'!$A$8),'Regional Details'!$B$2,if(OR(B6='Regional Details'!$D$5,B6='Regional Details'!$D$6,B6='Regional Details'!$D$7,B6='Regional Details'!$D$8),'Regional Details'!$E$2,if(or(B6='Regional Details'!$G$5,B6='Regional Details'!$G$6,B6='Regional Details'!$G$7,B6='Regional Details'!$G$8),'Regional Details'!$H$2,'Regional Details'!$K$2)))</f>
        <v>West</v>
      </c>
      <c r="J6" s="2" t="str">
        <f>if(I6='Regional Details'!$B$2,'Regional Details'!$B$3,if(I6='Regional Details'!$E$2,'Regional Details'!$E$3,if(I6='Regional Details'!$H$2,'Regional Details'!$H$3,'Regional Details'!$K$3)))</f>
        <v>Ajay Ghosh</v>
      </c>
      <c r="K6" s="8">
        <f t="array" ref="K6">IFERROR(XLOOKUP(B6,'Regional Details'!$A$5:$A$8,'Regional Details'!$B$5:$B$8),IFERROR(XLOOKUP(B6,'Regional Details'!$D$5:$D$8,'Regional Details'!$E$5:$E$8),IFERROR(xlookup(B6,'Regional Details'!$G$5:$G$8,'Regional Details'!$H$5:$H$8),XLOOKUP(B6,'Regional Details'!$J$5:$J$8,'Regional Details'!$K$5:$K$8))))</f>
        <v>0</v>
      </c>
      <c r="L6" s="2" t="str">
        <f>VLOOKUP(A6,MonthMapping!$A$2:$B$13,2,false)</f>
        <v>January</v>
      </c>
      <c r="M6" s="9">
        <f>if(C6=$C$2,Contribution_Old!$B$22,Contribution_Old!$B$23)</f>
        <v>55.84</v>
      </c>
      <c r="N6" s="9">
        <f>if(C6=$C$2,Contribution_New!$B$23,Contribution_New!$B$24)</f>
        <v>61.84</v>
      </c>
      <c r="O6" s="2">
        <f t="shared" ref="O6:P6" si="11">M6*D6</f>
        <v>766515.68</v>
      </c>
      <c r="P6" s="2">
        <f t="shared" si="11"/>
        <v>967734.16</v>
      </c>
      <c r="Q6" s="2">
        <f t="shared" ref="Q6:R6" si="12">G6-O6</f>
        <v>1086629.32</v>
      </c>
      <c r="R6" s="2">
        <f t="shared" si="12"/>
        <v>1144880.84</v>
      </c>
      <c r="S6" s="2"/>
      <c r="T6" s="2"/>
      <c r="U6" s="2"/>
      <c r="V6" s="2"/>
      <c r="W6" s="2"/>
      <c r="X6" s="2"/>
      <c r="Y6" s="2"/>
      <c r="Z6" s="2"/>
    </row>
    <row r="7">
      <c r="A7" s="2">
        <f>IFERROR(__xludf.DUMMYFUNCTION("""COMPUTED_VALUE"""),1.0)</f>
        <v>1</v>
      </c>
      <c r="B7" s="2" t="str">
        <f>IFERROR(__xludf.DUMMYFUNCTION("""COMPUTED_VALUE"""),"Pune")</f>
        <v>Pune</v>
      </c>
      <c r="C7" s="2" t="str">
        <f>IFERROR(__xludf.DUMMYFUNCTION("""COMPUTED_VALUE"""),"NutriKid")</f>
        <v>NutriKid</v>
      </c>
      <c r="D7" s="2">
        <f>IFERROR(__xludf.DUMMYFUNCTION("""COMPUTED_VALUE"""),15799.0)</f>
        <v>15799</v>
      </c>
      <c r="E7" s="2">
        <f>IFERROR(__xludf.DUMMYFUNCTION("""COMPUTED_VALUE"""),19275.0)</f>
        <v>19275</v>
      </c>
      <c r="F7" s="2" t="str">
        <f>IFERROR(__xludf.DUMMYFUNCTION("""COMPUTED_VALUE"""),"IPLMARKETTING")</f>
        <v>IPLMARKETTING</v>
      </c>
      <c r="G7" s="2">
        <f t="shared" si="3"/>
        <v>947940</v>
      </c>
      <c r="H7" s="2">
        <f t="shared" si="4"/>
        <v>1156500</v>
      </c>
      <c r="I7" s="2" t="str">
        <f>IF(or(B7='Regional Details'!$A$5,B7='Regional Details'!$A$6,B7='Regional Details'!$A$7,B7='Regional Details'!$A$8),'Regional Details'!$B$2,if(OR(B7='Regional Details'!$D$5,B7='Regional Details'!$D$6,B7='Regional Details'!$D$7,B7='Regional Details'!$D$8),'Regional Details'!$E$2,if(or(B7='Regional Details'!$G$5,B7='Regional Details'!$G$6,B7='Regional Details'!$G$7,B7='Regional Details'!$G$8),'Regional Details'!$H$2,'Regional Details'!$K$2)))</f>
        <v>West</v>
      </c>
      <c r="J7" s="2" t="str">
        <f>if(I7='Regional Details'!$B$2,'Regional Details'!$B$3,if(I7='Regional Details'!$E$2,'Regional Details'!$E$3,if(I7='Regional Details'!$H$2,'Regional Details'!$H$3,'Regional Details'!$K$3)))</f>
        <v>Ajay Ghosh</v>
      </c>
      <c r="K7" s="8">
        <f t="array" ref="K7">IFERROR(XLOOKUP(B7,'Regional Details'!$A$5:$A$8,'Regional Details'!$B$5:$B$8),IFERROR(XLOOKUP(B7,'Regional Details'!$D$5:$D$8,'Regional Details'!$E$5:$E$8),IFERROR(xlookup(B7,'Regional Details'!$G$5:$G$8,'Regional Details'!$H$5:$H$8),XLOOKUP(B7,'Regional Details'!$J$5:$J$8,'Regional Details'!$K$5:$K$8))))</f>
        <v>0</v>
      </c>
      <c r="L7" s="2" t="str">
        <f>VLOOKUP(A7,MonthMapping!$A$2:$B$13,2,false)</f>
        <v>January</v>
      </c>
      <c r="M7" s="9">
        <f>if(C7=$C$2,Contribution_Old!$B$22,Contribution_Old!$B$23)</f>
        <v>24.108</v>
      </c>
      <c r="N7" s="9">
        <f>if(C7=$C$2,Contribution_New!$B$23,Contribution_New!$B$24)</f>
        <v>30.108</v>
      </c>
      <c r="O7" s="2">
        <f t="shared" ref="O7:P7" si="13">M7*D7</f>
        <v>380882.292</v>
      </c>
      <c r="P7" s="2">
        <f t="shared" si="13"/>
        <v>580331.7</v>
      </c>
      <c r="Q7" s="2">
        <f t="shared" ref="Q7:R7" si="14">G7-O7</f>
        <v>567057.708</v>
      </c>
      <c r="R7" s="2">
        <f t="shared" si="14"/>
        <v>576168.3</v>
      </c>
      <c r="S7" s="2"/>
      <c r="T7" s="2"/>
      <c r="U7" s="2"/>
      <c r="V7" s="2"/>
      <c r="W7" s="2"/>
      <c r="X7" s="2"/>
      <c r="Y7" s="2"/>
      <c r="Z7" s="2"/>
    </row>
    <row r="8">
      <c r="A8" s="2">
        <f>IFERROR(__xludf.DUMMYFUNCTION("""COMPUTED_VALUE"""),1.0)</f>
        <v>1</v>
      </c>
      <c r="B8" s="2" t="str">
        <f>IFERROR(__xludf.DUMMYFUNCTION("""COMPUTED_VALUE"""),"Bengaluru")</f>
        <v>Bengaluru</v>
      </c>
      <c r="C8" s="2" t="str">
        <f>IFERROR(__xludf.DUMMYFUNCTION("""COMPUTED_VALUE"""),"ZestVita")</f>
        <v>ZestVita</v>
      </c>
      <c r="D8" s="2">
        <f>IFERROR(__xludf.DUMMYFUNCTION("""COMPUTED_VALUE"""),24827.0)</f>
        <v>24827</v>
      </c>
      <c r="E8" s="2">
        <f>IFERROR(__xludf.DUMMYFUNCTION("""COMPUTED_VALUE"""),30537.0)</f>
        <v>30537</v>
      </c>
      <c r="F8" s="2" t="str">
        <f>IFERROR(__xludf.DUMMYFUNCTION("""COMPUTED_VALUE"""),"IPLMARKETTING")</f>
        <v>IPLMARKETTING</v>
      </c>
      <c r="G8" s="2">
        <f t="shared" si="3"/>
        <v>3351645</v>
      </c>
      <c r="H8" s="2">
        <f t="shared" si="4"/>
        <v>4122495</v>
      </c>
      <c r="I8" s="2" t="str">
        <f>IF(or(B8='Regional Details'!$A$5,B8='Regional Details'!$A$6,B8='Regional Details'!$A$7,B8='Regional Details'!$A$8),'Regional Details'!$B$2,if(OR(B8='Regional Details'!$D$5,B8='Regional Details'!$D$6,B8='Regional Details'!$D$7,B8='Regional Details'!$D$8),'Regional Details'!$E$2,if(or(B8='Regional Details'!$G$5,B8='Regional Details'!$G$6,B8='Regional Details'!$G$7,B8='Regional Details'!$G$8),'Regional Details'!$H$2,'Regional Details'!$K$2)))</f>
        <v>South</v>
      </c>
      <c r="J8" s="2" t="str">
        <f>if(I8='Regional Details'!$B$2,'Regional Details'!$B$3,if(I8='Regional Details'!$E$2,'Regional Details'!$E$3,if(I8='Regional Details'!$H$2,'Regional Details'!$H$3,'Regional Details'!$K$3)))</f>
        <v>Anjali Krishna Murthy</v>
      </c>
      <c r="K8" s="8">
        <f t="array" ref="K8">IFERROR(XLOOKUP(B8,'Regional Details'!$A$5:$A$8,'Regional Details'!$B$5:$B$8),IFERROR(XLOOKUP(B8,'Regional Details'!$D$5:$D$8,'Regional Details'!$E$5:$E$8),IFERROR(xlookup(B8,'Regional Details'!$G$5:$G$8,'Regional Details'!$H$5:$H$8),XLOOKUP(B8,'Regional Details'!$J$5:$J$8,'Regional Details'!$K$5:$K$8))))</f>
        <v>0</v>
      </c>
      <c r="L8" s="2" t="str">
        <f>VLOOKUP(A8,MonthMapping!$A$2:$B$13,2,false)</f>
        <v>January</v>
      </c>
      <c r="M8" s="9">
        <f>if(C8=$C$2,Contribution_Old!$B$22,Contribution_Old!$B$23)</f>
        <v>55.84</v>
      </c>
      <c r="N8" s="9">
        <f>if(C8=$C$2,Contribution_New!$B$23,Contribution_New!$B$24)</f>
        <v>61.84</v>
      </c>
      <c r="O8" s="2">
        <f t="shared" ref="O8:P8" si="15">M8*D8</f>
        <v>1386339.68</v>
      </c>
      <c r="P8" s="2">
        <f t="shared" si="15"/>
        <v>1888408.08</v>
      </c>
      <c r="Q8" s="2">
        <f t="shared" ref="Q8:R8" si="16">G8-O8</f>
        <v>1965305.32</v>
      </c>
      <c r="R8" s="2">
        <f t="shared" si="16"/>
        <v>2234086.92</v>
      </c>
      <c r="S8" s="2"/>
      <c r="T8" s="2"/>
      <c r="U8" s="2"/>
      <c r="V8" s="2"/>
      <c r="W8" s="2"/>
      <c r="X8" s="2"/>
      <c r="Y8" s="2"/>
      <c r="Z8" s="2"/>
    </row>
    <row r="9">
      <c r="A9" s="2">
        <f>IFERROR(__xludf.DUMMYFUNCTION("""COMPUTED_VALUE"""),1.0)</f>
        <v>1</v>
      </c>
      <c r="B9" s="2" t="str">
        <f>IFERROR(__xludf.DUMMYFUNCTION("""COMPUTED_VALUE"""),"Bengaluru")</f>
        <v>Bengaluru</v>
      </c>
      <c r="C9" s="2" t="str">
        <f>IFERROR(__xludf.DUMMYFUNCTION("""COMPUTED_VALUE"""),"NutriKid")</f>
        <v>NutriKid</v>
      </c>
      <c r="D9" s="2">
        <f>IFERROR(__xludf.DUMMYFUNCTION("""COMPUTED_VALUE"""),13468.0)</f>
        <v>13468</v>
      </c>
      <c r="E9" s="2">
        <f>IFERROR(__xludf.DUMMYFUNCTION("""COMPUTED_VALUE"""),14949.0)</f>
        <v>14949</v>
      </c>
      <c r="F9" s="2" t="str">
        <f>IFERROR(__xludf.DUMMYFUNCTION("""COMPUTED_VALUE"""),"IPLMARKETTING")</f>
        <v>IPLMARKETTING</v>
      </c>
      <c r="G9" s="2">
        <f t="shared" si="3"/>
        <v>808080</v>
      </c>
      <c r="H9" s="2">
        <f t="shared" si="4"/>
        <v>896940</v>
      </c>
      <c r="I9" s="2" t="str">
        <f>IF(or(B9='Regional Details'!$A$5,B9='Regional Details'!$A$6,B9='Regional Details'!$A$7,B9='Regional Details'!$A$8),'Regional Details'!$B$2,if(OR(B9='Regional Details'!$D$5,B9='Regional Details'!$D$6,B9='Regional Details'!$D$7,B9='Regional Details'!$D$8),'Regional Details'!$E$2,if(or(B9='Regional Details'!$G$5,B9='Regional Details'!$G$6,B9='Regional Details'!$G$7,B9='Regional Details'!$G$8),'Regional Details'!$H$2,'Regional Details'!$K$2)))</f>
        <v>South</v>
      </c>
      <c r="J9" s="2" t="str">
        <f>if(I9='Regional Details'!$B$2,'Regional Details'!$B$3,if(I9='Regional Details'!$E$2,'Regional Details'!$E$3,if(I9='Regional Details'!$H$2,'Regional Details'!$H$3,'Regional Details'!$K$3)))</f>
        <v>Anjali Krishna Murthy</v>
      </c>
      <c r="K9" s="8">
        <f t="array" ref="K9">IFERROR(XLOOKUP(B9,'Regional Details'!$A$5:$A$8,'Regional Details'!$B$5:$B$8),IFERROR(XLOOKUP(B9,'Regional Details'!$D$5:$D$8,'Regional Details'!$E$5:$E$8),IFERROR(xlookup(B9,'Regional Details'!$G$5:$G$8,'Regional Details'!$H$5:$H$8),XLOOKUP(B9,'Regional Details'!$J$5:$J$8,'Regional Details'!$K$5:$K$8))))</f>
        <v>0</v>
      </c>
      <c r="L9" s="2" t="str">
        <f>VLOOKUP(A9,MonthMapping!$A$2:$B$13,2,false)</f>
        <v>January</v>
      </c>
      <c r="M9" s="9">
        <f>if(C9=$C$2,Contribution_Old!$B$22,Contribution_Old!$B$23)</f>
        <v>24.108</v>
      </c>
      <c r="N9" s="9">
        <f>if(C9=$C$2,Contribution_New!$B$23,Contribution_New!$B$24)</f>
        <v>30.108</v>
      </c>
      <c r="O9" s="2">
        <f t="shared" ref="O9:P9" si="17">M9*D9</f>
        <v>324686.544</v>
      </c>
      <c r="P9" s="2">
        <f t="shared" si="17"/>
        <v>450084.492</v>
      </c>
      <c r="Q9" s="2">
        <f t="shared" ref="Q9:R9" si="18">G9-O9</f>
        <v>483393.456</v>
      </c>
      <c r="R9" s="2">
        <f t="shared" si="18"/>
        <v>446855.508</v>
      </c>
      <c r="S9" s="2"/>
      <c r="T9" s="2"/>
      <c r="U9" s="2"/>
      <c r="V9" s="2"/>
      <c r="W9" s="2"/>
      <c r="X9" s="2"/>
      <c r="Y9" s="2"/>
      <c r="Z9" s="2"/>
    </row>
    <row r="10">
      <c r="A10" s="2">
        <f>IFERROR(__xludf.DUMMYFUNCTION("""COMPUTED_VALUE"""),1.0)</f>
        <v>1</v>
      </c>
      <c r="B10" s="2" t="str">
        <f>IFERROR(__xludf.DUMMYFUNCTION("""COMPUTED_VALUE"""),"Chandigarh")</f>
        <v>Chandigarh</v>
      </c>
      <c r="C10" s="2" t="str">
        <f>IFERROR(__xludf.DUMMYFUNCTION("""COMPUTED_VALUE"""),"ZestVita")</f>
        <v>ZestVita</v>
      </c>
      <c r="D10" s="2">
        <f>IFERROR(__xludf.DUMMYFUNCTION("""COMPUTED_VALUE"""),22237.0)</f>
        <v>22237</v>
      </c>
      <c r="E10" s="2">
        <f>IFERROR(__xludf.DUMMYFUNCTION("""COMPUTED_VALUE"""),24683.0)</f>
        <v>24683</v>
      </c>
      <c r="F10" s="2" t="str">
        <f>IFERROR(__xludf.DUMMYFUNCTION("""COMPUTED_VALUE"""),"IPLMARKETTING")</f>
        <v>IPLMARKETTING</v>
      </c>
      <c r="G10" s="2">
        <f t="shared" si="3"/>
        <v>3001995</v>
      </c>
      <c r="H10" s="2">
        <f t="shared" si="4"/>
        <v>3332205</v>
      </c>
      <c r="I10" s="2" t="str">
        <f>IF(or(B10='Regional Details'!$A$5,B10='Regional Details'!$A$6,B10='Regional Details'!$A$7,B10='Regional Details'!$A$8),'Regional Details'!$B$2,if(OR(B10='Regional Details'!$D$5,B10='Regional Details'!$D$6,B10='Regional Details'!$D$7,B10='Regional Details'!$D$8),'Regional Details'!$E$2,if(or(B10='Regional Details'!$G$5,B10='Regional Details'!$G$6,B10='Regional Details'!$G$7,B10='Regional Details'!$G$8),'Regional Details'!$H$2,'Regional Details'!$K$2)))</f>
        <v>North</v>
      </c>
      <c r="J10" s="2" t="str">
        <f>if(I10='Regional Details'!$B$2,'Regional Details'!$B$3,if(I10='Regional Details'!$E$2,'Regional Details'!$E$3,if(I10='Regional Details'!$H$2,'Regional Details'!$H$3,'Regional Details'!$K$3)))</f>
        <v>Ajay Kumar</v>
      </c>
      <c r="K10" s="8">
        <f t="array" ref="K10">IFERROR(XLOOKUP(B10,'Regional Details'!$A$5:$A$8,'Regional Details'!$B$5:$B$8),IFERROR(XLOOKUP(B10,'Regional Details'!$D$5:$D$8,'Regional Details'!$E$5:$E$8),IFERROR(xlookup(B10,'Regional Details'!$G$5:$G$8,'Regional Details'!$H$5:$H$8),XLOOKUP(B10,'Regional Details'!$J$5:$J$8,'Regional Details'!$K$5:$K$8))))</f>
        <v>0</v>
      </c>
      <c r="L10" s="2" t="str">
        <f>VLOOKUP(A10,MonthMapping!$A$2:$B$13,2,false)</f>
        <v>January</v>
      </c>
      <c r="M10" s="9">
        <f>if(C10=$C$2,Contribution_Old!$B$22,Contribution_Old!$B$23)</f>
        <v>55.84</v>
      </c>
      <c r="N10" s="9">
        <f>if(C10=$C$2,Contribution_New!$B$23,Contribution_New!$B$24)</f>
        <v>61.84</v>
      </c>
      <c r="O10" s="2">
        <f t="shared" ref="O10:P10" si="19">M10*D10</f>
        <v>1241714.08</v>
      </c>
      <c r="P10" s="2">
        <f t="shared" si="19"/>
        <v>1526396.72</v>
      </c>
      <c r="Q10" s="2">
        <f t="shared" ref="Q10:R10" si="20">G10-O10</f>
        <v>1760280.92</v>
      </c>
      <c r="R10" s="2">
        <f t="shared" si="20"/>
        <v>1805808.28</v>
      </c>
      <c r="S10" s="2"/>
      <c r="T10" s="2"/>
      <c r="U10" s="2"/>
      <c r="V10" s="2"/>
      <c r="W10" s="2"/>
      <c r="X10" s="2"/>
      <c r="Y10" s="2"/>
      <c r="Z10" s="2"/>
    </row>
    <row r="11">
      <c r="A11" s="2">
        <f>IFERROR(__xludf.DUMMYFUNCTION("""COMPUTED_VALUE"""),1.0)</f>
        <v>1</v>
      </c>
      <c r="B11" s="2" t="str">
        <f>IFERROR(__xludf.DUMMYFUNCTION("""COMPUTED_VALUE"""),"Chandigarh")</f>
        <v>Chandigarh</v>
      </c>
      <c r="C11" s="2" t="str">
        <f>IFERROR(__xludf.DUMMYFUNCTION("""COMPUTED_VALUE"""),"NutriKid")</f>
        <v>NutriKid</v>
      </c>
      <c r="D11" s="2">
        <f>IFERROR(__xludf.DUMMYFUNCTION("""COMPUTED_VALUE"""),23421.0)</f>
        <v>23421</v>
      </c>
      <c r="E11" s="2">
        <f>IFERROR(__xludf.DUMMYFUNCTION("""COMPUTED_VALUE"""),29042.0)</f>
        <v>29042</v>
      </c>
      <c r="F11" s="2" t="str">
        <f>IFERROR(__xludf.DUMMYFUNCTION("""COMPUTED_VALUE"""),"IPLMARKETTING")</f>
        <v>IPLMARKETTING</v>
      </c>
      <c r="G11" s="2">
        <f t="shared" si="3"/>
        <v>1405260</v>
      </c>
      <c r="H11" s="2">
        <f t="shared" si="4"/>
        <v>1742520</v>
      </c>
      <c r="I11" s="2" t="str">
        <f>IF(or(B11='Regional Details'!$A$5,B11='Regional Details'!$A$6,B11='Regional Details'!$A$7,B11='Regional Details'!$A$8),'Regional Details'!$B$2,if(OR(B11='Regional Details'!$D$5,B11='Regional Details'!$D$6,B11='Regional Details'!$D$7,B11='Regional Details'!$D$8),'Regional Details'!$E$2,if(or(B11='Regional Details'!$G$5,B11='Regional Details'!$G$6,B11='Regional Details'!$G$7,B11='Regional Details'!$G$8),'Regional Details'!$H$2,'Regional Details'!$K$2)))</f>
        <v>North</v>
      </c>
      <c r="J11" s="2" t="str">
        <f>if(I11='Regional Details'!$B$2,'Regional Details'!$B$3,if(I11='Regional Details'!$E$2,'Regional Details'!$E$3,if(I11='Regional Details'!$H$2,'Regional Details'!$H$3,'Regional Details'!$K$3)))</f>
        <v>Ajay Kumar</v>
      </c>
      <c r="K11" s="8">
        <f t="array" ref="K11">IFERROR(XLOOKUP(B11,'Regional Details'!$A$5:$A$8,'Regional Details'!$B$5:$B$8),IFERROR(XLOOKUP(B11,'Regional Details'!$D$5:$D$8,'Regional Details'!$E$5:$E$8),IFERROR(xlookup(B11,'Regional Details'!$G$5:$G$8,'Regional Details'!$H$5:$H$8),XLOOKUP(B11,'Regional Details'!$J$5:$J$8,'Regional Details'!$K$5:$K$8))))</f>
        <v>0</v>
      </c>
      <c r="L11" s="2" t="str">
        <f>VLOOKUP(A11,MonthMapping!$A$2:$B$13,2,false)</f>
        <v>January</v>
      </c>
      <c r="M11" s="9">
        <f>if(C11=$C$2,Contribution_Old!$B$22,Contribution_Old!$B$23)</f>
        <v>24.108</v>
      </c>
      <c r="N11" s="9">
        <f>if(C11=$C$2,Contribution_New!$B$23,Contribution_New!$B$24)</f>
        <v>30.108</v>
      </c>
      <c r="O11" s="2">
        <f t="shared" ref="O11:P11" si="21">M11*D11</f>
        <v>564633.468</v>
      </c>
      <c r="P11" s="2">
        <f t="shared" si="21"/>
        <v>874396.536</v>
      </c>
      <c r="Q11" s="2">
        <f t="shared" ref="Q11:R11" si="22">G11-O11</f>
        <v>840626.532</v>
      </c>
      <c r="R11" s="2">
        <f t="shared" si="22"/>
        <v>868123.464</v>
      </c>
      <c r="S11" s="2"/>
      <c r="T11" s="2"/>
      <c r="U11" s="2"/>
      <c r="V11" s="2"/>
      <c r="W11" s="2"/>
      <c r="X11" s="2"/>
      <c r="Y11" s="2"/>
      <c r="Z11" s="2"/>
    </row>
    <row r="12">
      <c r="A12" s="2">
        <f>IFERROR(__xludf.DUMMYFUNCTION("""COMPUTED_VALUE"""),1.0)</f>
        <v>1</v>
      </c>
      <c r="B12" s="2" t="str">
        <f>IFERROR(__xludf.DUMMYFUNCTION("""COMPUTED_VALUE"""),"Bhubaneswar")</f>
        <v>Bhubaneswar</v>
      </c>
      <c r="C12" s="2" t="str">
        <f>IFERROR(__xludf.DUMMYFUNCTION("""COMPUTED_VALUE"""),"ZestVita")</f>
        <v>ZestVita</v>
      </c>
      <c r="D12" s="2">
        <f>IFERROR(__xludf.DUMMYFUNCTION("""COMPUTED_VALUE"""),13092.0)</f>
        <v>13092</v>
      </c>
      <c r="E12" s="2">
        <f>IFERROR(__xludf.DUMMYFUNCTION("""COMPUTED_VALUE"""),13878.0)</f>
        <v>13878</v>
      </c>
      <c r="F12" s="2" t="str">
        <f>IFERROR(__xludf.DUMMYFUNCTION("""COMPUTED_VALUE"""),"IPLMARKETTING")</f>
        <v>IPLMARKETTING</v>
      </c>
      <c r="G12" s="2">
        <f t="shared" si="3"/>
        <v>1546492.5</v>
      </c>
      <c r="H12" s="2">
        <f t="shared" si="4"/>
        <v>1873530</v>
      </c>
      <c r="I12" s="2" t="str">
        <f>IF(or(B12='Regional Details'!$A$5,B12='Regional Details'!$A$6,B12='Regional Details'!$A$7,B12='Regional Details'!$A$8),'Regional Details'!$B$2,if(OR(B12='Regional Details'!$D$5,B12='Regional Details'!$D$6,B12='Regional Details'!$D$7,B12='Regional Details'!$D$8),'Regional Details'!$E$2,if(or(B12='Regional Details'!$G$5,B12='Regional Details'!$G$6,B12='Regional Details'!$G$7,B12='Regional Details'!$G$8),'Regional Details'!$H$2,'Regional Details'!$K$2)))</f>
        <v>East</v>
      </c>
      <c r="J12" s="2" t="str">
        <f>if(I12='Regional Details'!$B$2,'Regional Details'!$B$3,if(I12='Regional Details'!$E$2,'Regional Details'!$E$3,if(I12='Regional Details'!$H$2,'Regional Details'!$H$3,'Regional Details'!$K$3)))</f>
        <v>Tanvi Sharma</v>
      </c>
      <c r="K12" s="8">
        <f t="array" ref="K12">IFERROR(XLOOKUP(B12,'Regional Details'!$A$5:$A$8,'Regional Details'!$B$5:$B$8),IFERROR(XLOOKUP(B12,'Regional Details'!$D$5:$D$8,'Regional Details'!$E$5:$E$8),IFERROR(xlookup(B12,'Regional Details'!$G$5:$G$8,'Regional Details'!$H$5:$H$8),XLOOKUP(B12,'Regional Details'!$J$5:$J$8,'Regional Details'!$K$5:$K$8))))</f>
        <v>0.125</v>
      </c>
      <c r="L12" s="2" t="str">
        <f>VLOOKUP(A12,MonthMapping!$A$2:$B$13,2,false)</f>
        <v>January</v>
      </c>
      <c r="M12" s="9">
        <f>if(C12=$C$2,Contribution_Old!$B$22,Contribution_Old!$B$23)</f>
        <v>55.84</v>
      </c>
      <c r="N12" s="9">
        <f>if(C12=$C$2,Contribution_New!$B$23,Contribution_New!$B$24)</f>
        <v>61.84</v>
      </c>
      <c r="O12" s="2">
        <f t="shared" ref="O12:P12" si="23">M12*D12</f>
        <v>731057.28</v>
      </c>
      <c r="P12" s="2">
        <f t="shared" si="23"/>
        <v>858215.52</v>
      </c>
      <c r="Q12" s="2">
        <f t="shared" ref="Q12:R12" si="24">G12-O12</f>
        <v>815435.22</v>
      </c>
      <c r="R12" s="2">
        <f t="shared" si="24"/>
        <v>1015314.48</v>
      </c>
      <c r="S12" s="2"/>
      <c r="T12" s="2"/>
      <c r="U12" s="2"/>
      <c r="V12" s="2"/>
      <c r="W12" s="2"/>
      <c r="X12" s="2"/>
      <c r="Y12" s="2"/>
      <c r="Z12" s="2"/>
    </row>
    <row r="13">
      <c r="A13" s="2">
        <f>IFERROR(__xludf.DUMMYFUNCTION("""COMPUTED_VALUE"""),1.0)</f>
        <v>1</v>
      </c>
      <c r="B13" s="2" t="str">
        <f>IFERROR(__xludf.DUMMYFUNCTION("""COMPUTED_VALUE"""),"Bhubaneswar")</f>
        <v>Bhubaneswar</v>
      </c>
      <c r="C13" s="2" t="str">
        <f>IFERROR(__xludf.DUMMYFUNCTION("""COMPUTED_VALUE"""),"NutriKid")</f>
        <v>NutriKid</v>
      </c>
      <c r="D13" s="2">
        <f>IFERROR(__xludf.DUMMYFUNCTION("""COMPUTED_VALUE"""),17172.0)</f>
        <v>17172</v>
      </c>
      <c r="E13" s="2">
        <f>IFERROR(__xludf.DUMMYFUNCTION("""COMPUTED_VALUE"""),18546.0)</f>
        <v>18546</v>
      </c>
      <c r="F13" s="2" t="str">
        <f>IFERROR(__xludf.DUMMYFUNCTION("""COMPUTED_VALUE"""),"IPLMARKETTING")</f>
        <v>IPLMARKETTING</v>
      </c>
      <c r="G13" s="2">
        <f t="shared" si="3"/>
        <v>901530</v>
      </c>
      <c r="H13" s="2">
        <f t="shared" si="4"/>
        <v>1112760</v>
      </c>
      <c r="I13" s="2" t="str">
        <f>IF(or(B13='Regional Details'!$A$5,B13='Regional Details'!$A$6,B13='Regional Details'!$A$7,B13='Regional Details'!$A$8),'Regional Details'!$B$2,if(OR(B13='Regional Details'!$D$5,B13='Regional Details'!$D$6,B13='Regional Details'!$D$7,B13='Regional Details'!$D$8),'Regional Details'!$E$2,if(or(B13='Regional Details'!$G$5,B13='Regional Details'!$G$6,B13='Regional Details'!$G$7,B13='Regional Details'!$G$8),'Regional Details'!$H$2,'Regional Details'!$K$2)))</f>
        <v>East</v>
      </c>
      <c r="J13" s="2" t="str">
        <f>if(I13='Regional Details'!$B$2,'Regional Details'!$B$3,if(I13='Regional Details'!$E$2,'Regional Details'!$E$3,if(I13='Regional Details'!$H$2,'Regional Details'!$H$3,'Regional Details'!$K$3)))</f>
        <v>Tanvi Sharma</v>
      </c>
      <c r="K13" s="8">
        <f t="array" ref="K13">IFERROR(XLOOKUP(B13,'Regional Details'!$A$5:$A$8,'Regional Details'!$B$5:$B$8),IFERROR(XLOOKUP(B13,'Regional Details'!$D$5:$D$8,'Regional Details'!$E$5:$E$8),IFERROR(xlookup(B13,'Regional Details'!$G$5:$G$8,'Regional Details'!$H$5:$H$8),XLOOKUP(B13,'Regional Details'!$J$5:$J$8,'Regional Details'!$K$5:$K$8))))</f>
        <v>0.125</v>
      </c>
      <c r="L13" s="2" t="str">
        <f>VLOOKUP(A13,MonthMapping!$A$2:$B$13,2,false)</f>
        <v>January</v>
      </c>
      <c r="M13" s="9">
        <f>if(C13=$C$2,Contribution_Old!$B$22,Contribution_Old!$B$23)</f>
        <v>24.108</v>
      </c>
      <c r="N13" s="9">
        <f>if(C13=$C$2,Contribution_New!$B$23,Contribution_New!$B$24)</f>
        <v>30.108</v>
      </c>
      <c r="O13" s="2">
        <f t="shared" ref="O13:P13" si="25">M13*D13</f>
        <v>413982.576</v>
      </c>
      <c r="P13" s="2">
        <f t="shared" si="25"/>
        <v>558382.968</v>
      </c>
      <c r="Q13" s="2">
        <f t="shared" ref="Q13:R13" si="26">G13-O13</f>
        <v>487547.424</v>
      </c>
      <c r="R13" s="2">
        <f t="shared" si="26"/>
        <v>554377.032</v>
      </c>
      <c r="S13" s="2"/>
      <c r="T13" s="2"/>
      <c r="U13" s="2"/>
      <c r="V13" s="2"/>
      <c r="W13" s="2"/>
      <c r="X13" s="2"/>
      <c r="Y13" s="2"/>
      <c r="Z13" s="2"/>
    </row>
    <row r="14">
      <c r="A14" s="2">
        <f>IFERROR(__xludf.DUMMYFUNCTION("""COMPUTED_VALUE"""),1.0)</f>
        <v>1</v>
      </c>
      <c r="B14" s="2" t="str">
        <f>IFERROR(__xludf.DUMMYFUNCTION("""COMPUTED_VALUE"""),"Ahmedabad")</f>
        <v>Ahmedabad</v>
      </c>
      <c r="C14" s="2" t="str">
        <f>IFERROR(__xludf.DUMMYFUNCTION("""COMPUTED_VALUE"""),"ZestVita")</f>
        <v>ZestVita</v>
      </c>
      <c r="D14" s="2">
        <f>IFERROR(__xludf.DUMMYFUNCTION("""COMPUTED_VALUE"""),19536.0)</f>
        <v>19536</v>
      </c>
      <c r="E14" s="2">
        <f>IFERROR(__xludf.DUMMYFUNCTION("""COMPUTED_VALUE"""),23248.0)</f>
        <v>23248</v>
      </c>
      <c r="F14" s="2" t="str">
        <f>IFERROR(__xludf.DUMMYFUNCTION("""COMPUTED_VALUE"""),"IPLMARKETTING")</f>
        <v>IPLMARKETTING</v>
      </c>
      <c r="G14" s="2">
        <f t="shared" si="3"/>
        <v>2637360</v>
      </c>
      <c r="H14" s="2">
        <f t="shared" si="4"/>
        <v>3138480</v>
      </c>
      <c r="I14" s="2" t="str">
        <f>IF(or(B14='Regional Details'!$A$5,B14='Regional Details'!$A$6,B14='Regional Details'!$A$7,B14='Regional Details'!$A$8),'Regional Details'!$B$2,if(OR(B14='Regional Details'!$D$5,B14='Regional Details'!$D$6,B14='Regional Details'!$D$7,B14='Regional Details'!$D$8),'Regional Details'!$E$2,if(or(B14='Regional Details'!$G$5,B14='Regional Details'!$G$6,B14='Regional Details'!$G$7,B14='Regional Details'!$G$8),'Regional Details'!$H$2,'Regional Details'!$K$2)))</f>
        <v>West</v>
      </c>
      <c r="J14" s="2" t="str">
        <f>if(I14='Regional Details'!$B$2,'Regional Details'!$B$3,if(I14='Regional Details'!$E$2,'Regional Details'!$E$3,if(I14='Regional Details'!$H$2,'Regional Details'!$H$3,'Regional Details'!$K$3)))</f>
        <v>Ajay Ghosh</v>
      </c>
      <c r="K14" s="8">
        <f t="array" ref="K14">IFERROR(XLOOKUP(B14,'Regional Details'!$A$5:$A$8,'Regional Details'!$B$5:$B$8),IFERROR(XLOOKUP(B14,'Regional Details'!$D$5:$D$8,'Regional Details'!$E$5:$E$8),IFERROR(xlookup(B14,'Regional Details'!$G$5:$G$8,'Regional Details'!$H$5:$H$8),XLOOKUP(B14,'Regional Details'!$J$5:$J$8,'Regional Details'!$K$5:$K$8))))</f>
        <v>0</v>
      </c>
      <c r="L14" s="2" t="str">
        <f>VLOOKUP(A14,MonthMapping!$A$2:$B$13,2,false)</f>
        <v>January</v>
      </c>
      <c r="M14" s="9">
        <f>if(C14=$C$2,Contribution_Old!$B$22,Contribution_Old!$B$23)</f>
        <v>55.84</v>
      </c>
      <c r="N14" s="9">
        <f>if(C14=$C$2,Contribution_New!$B$23,Contribution_New!$B$24)</f>
        <v>61.84</v>
      </c>
      <c r="O14" s="2">
        <f t="shared" ref="O14:P14" si="27">M14*D14</f>
        <v>1090890.24</v>
      </c>
      <c r="P14" s="2">
        <f t="shared" si="27"/>
        <v>1437656.32</v>
      </c>
      <c r="Q14" s="2">
        <f t="shared" ref="Q14:R14" si="28">G14-O14</f>
        <v>1546469.76</v>
      </c>
      <c r="R14" s="2">
        <f t="shared" si="28"/>
        <v>1700823.68</v>
      </c>
      <c r="S14" s="2"/>
      <c r="T14" s="2"/>
      <c r="U14" s="2"/>
      <c r="V14" s="2"/>
      <c r="W14" s="2"/>
      <c r="X14" s="2"/>
      <c r="Y14" s="2"/>
      <c r="Z14" s="2"/>
    </row>
    <row r="15">
      <c r="A15" s="2">
        <f>IFERROR(__xludf.DUMMYFUNCTION("""COMPUTED_VALUE"""),1.0)</f>
        <v>1</v>
      </c>
      <c r="B15" s="2" t="str">
        <f>IFERROR(__xludf.DUMMYFUNCTION("""COMPUTED_VALUE"""),"Ahmedabad")</f>
        <v>Ahmedabad</v>
      </c>
      <c r="C15" s="2" t="str">
        <f>IFERROR(__xludf.DUMMYFUNCTION("""COMPUTED_VALUE"""),"NutriKid")</f>
        <v>NutriKid</v>
      </c>
      <c r="D15" s="2">
        <f>IFERROR(__xludf.DUMMYFUNCTION("""COMPUTED_VALUE"""),11359.0)</f>
        <v>11359</v>
      </c>
      <c r="E15" s="2">
        <f>IFERROR(__xludf.DUMMYFUNCTION("""COMPUTED_VALUE"""),13176.0)</f>
        <v>13176</v>
      </c>
      <c r="F15" s="2" t="str">
        <f>IFERROR(__xludf.DUMMYFUNCTION("""COMPUTED_VALUE"""),"IPLMARKETTING")</f>
        <v>IPLMARKETTING</v>
      </c>
      <c r="G15" s="2">
        <f t="shared" si="3"/>
        <v>681540</v>
      </c>
      <c r="H15" s="2">
        <f t="shared" si="4"/>
        <v>790560</v>
      </c>
      <c r="I15" s="2" t="str">
        <f>IF(or(B15='Regional Details'!$A$5,B15='Regional Details'!$A$6,B15='Regional Details'!$A$7,B15='Regional Details'!$A$8),'Regional Details'!$B$2,if(OR(B15='Regional Details'!$D$5,B15='Regional Details'!$D$6,B15='Regional Details'!$D$7,B15='Regional Details'!$D$8),'Regional Details'!$E$2,if(or(B15='Regional Details'!$G$5,B15='Regional Details'!$G$6,B15='Regional Details'!$G$7,B15='Regional Details'!$G$8),'Regional Details'!$H$2,'Regional Details'!$K$2)))</f>
        <v>West</v>
      </c>
      <c r="J15" s="2" t="str">
        <f>if(I15='Regional Details'!$B$2,'Regional Details'!$B$3,if(I15='Regional Details'!$E$2,'Regional Details'!$E$3,if(I15='Regional Details'!$H$2,'Regional Details'!$H$3,'Regional Details'!$K$3)))</f>
        <v>Ajay Ghosh</v>
      </c>
      <c r="K15" s="8">
        <f t="array" ref="K15">IFERROR(XLOOKUP(B15,'Regional Details'!$A$5:$A$8,'Regional Details'!$B$5:$B$8),IFERROR(XLOOKUP(B15,'Regional Details'!$D$5:$D$8,'Regional Details'!$E$5:$E$8),IFERROR(xlookup(B15,'Regional Details'!$G$5:$G$8,'Regional Details'!$H$5:$H$8),XLOOKUP(B15,'Regional Details'!$J$5:$J$8,'Regional Details'!$K$5:$K$8))))</f>
        <v>0</v>
      </c>
      <c r="L15" s="2" t="str">
        <f>VLOOKUP(A15,MonthMapping!$A$2:$B$13,2,false)</f>
        <v>January</v>
      </c>
      <c r="M15" s="9">
        <f>if(C15=$C$2,Contribution_Old!$B$22,Contribution_Old!$B$23)</f>
        <v>24.108</v>
      </c>
      <c r="N15" s="9">
        <f>if(C15=$C$2,Contribution_New!$B$23,Contribution_New!$B$24)</f>
        <v>30.108</v>
      </c>
      <c r="O15" s="2">
        <f t="shared" ref="O15:P15" si="29">M15*D15</f>
        <v>273842.772</v>
      </c>
      <c r="P15" s="2">
        <f t="shared" si="29"/>
        <v>396703.008</v>
      </c>
      <c r="Q15" s="2">
        <f t="shared" ref="Q15:R15" si="30">G15-O15</f>
        <v>407697.228</v>
      </c>
      <c r="R15" s="2">
        <f t="shared" si="30"/>
        <v>393856.992</v>
      </c>
      <c r="S15" s="2"/>
      <c r="T15" s="2"/>
      <c r="U15" s="2"/>
      <c r="V15" s="2"/>
      <c r="W15" s="2"/>
      <c r="X15" s="2"/>
      <c r="Y15" s="2"/>
      <c r="Z15" s="2"/>
    </row>
    <row r="16">
      <c r="A16" s="2">
        <f>IFERROR(__xludf.DUMMYFUNCTION("""COMPUTED_VALUE"""),1.0)</f>
        <v>1</v>
      </c>
      <c r="B16" s="2" t="str">
        <f>IFERROR(__xludf.DUMMYFUNCTION("""COMPUTED_VALUE"""),"Chennai")</f>
        <v>Chennai</v>
      </c>
      <c r="C16" s="2" t="str">
        <f>IFERROR(__xludf.DUMMYFUNCTION("""COMPUTED_VALUE"""),"ZestVita")</f>
        <v>ZestVita</v>
      </c>
      <c r="D16" s="2">
        <f>IFERROR(__xludf.DUMMYFUNCTION("""COMPUTED_VALUE"""),12062.0)</f>
        <v>12062</v>
      </c>
      <c r="E16" s="2">
        <f>IFERROR(__xludf.DUMMYFUNCTION("""COMPUTED_VALUE"""),13268.0)</f>
        <v>13268</v>
      </c>
      <c r="F16" s="2" t="str">
        <f>IFERROR(__xludf.DUMMYFUNCTION("""COMPUTED_VALUE"""),"IPLMARKETTING")</f>
        <v>IPLMARKETTING</v>
      </c>
      <c r="G16" s="2">
        <f t="shared" si="3"/>
        <v>1628370</v>
      </c>
      <c r="H16" s="2">
        <f t="shared" si="4"/>
        <v>1791180</v>
      </c>
      <c r="I16" s="2" t="str">
        <f>IF(or(B16='Regional Details'!$A$5,B16='Regional Details'!$A$6,B16='Regional Details'!$A$7,B16='Regional Details'!$A$8),'Regional Details'!$B$2,if(OR(B16='Regional Details'!$D$5,B16='Regional Details'!$D$6,B16='Regional Details'!$D$7,B16='Regional Details'!$D$8),'Regional Details'!$E$2,if(or(B16='Regional Details'!$G$5,B16='Regional Details'!$G$6,B16='Regional Details'!$G$7,B16='Regional Details'!$G$8),'Regional Details'!$H$2,'Regional Details'!$K$2)))</f>
        <v>South</v>
      </c>
      <c r="J16" s="2" t="str">
        <f>if(I16='Regional Details'!$B$2,'Regional Details'!$B$3,if(I16='Regional Details'!$E$2,'Regional Details'!$E$3,if(I16='Regional Details'!$H$2,'Regional Details'!$H$3,'Regional Details'!$K$3)))</f>
        <v>Anjali Krishna Murthy</v>
      </c>
      <c r="K16" s="8">
        <f t="array" ref="K16">IFERROR(XLOOKUP(B16,'Regional Details'!$A$5:$A$8,'Regional Details'!$B$5:$B$8),IFERROR(XLOOKUP(B16,'Regional Details'!$D$5:$D$8,'Regional Details'!$E$5:$E$8),IFERROR(xlookup(B16,'Regional Details'!$G$5:$G$8,'Regional Details'!$H$5:$H$8),XLOOKUP(B16,'Regional Details'!$J$5:$J$8,'Regional Details'!$K$5:$K$8))))</f>
        <v>0</v>
      </c>
      <c r="L16" s="2" t="str">
        <f>VLOOKUP(A16,MonthMapping!$A$2:$B$13,2,false)</f>
        <v>January</v>
      </c>
      <c r="M16" s="9">
        <f>if(C16=$C$2,Contribution_Old!$B$22,Contribution_Old!$B$23)</f>
        <v>55.84</v>
      </c>
      <c r="N16" s="9">
        <f>if(C16=$C$2,Contribution_New!$B$23,Contribution_New!$B$24)</f>
        <v>61.84</v>
      </c>
      <c r="O16" s="2">
        <f t="shared" ref="O16:P16" si="31">M16*D16</f>
        <v>673542.08</v>
      </c>
      <c r="P16" s="2">
        <f t="shared" si="31"/>
        <v>820493.12</v>
      </c>
      <c r="Q16" s="2">
        <f t="shared" ref="Q16:R16" si="32">G16-O16</f>
        <v>954827.92</v>
      </c>
      <c r="R16" s="2">
        <f t="shared" si="32"/>
        <v>970686.88</v>
      </c>
      <c r="S16" s="2"/>
      <c r="T16" s="2"/>
      <c r="U16" s="2"/>
      <c r="V16" s="2"/>
      <c r="W16" s="2"/>
      <c r="X16" s="2"/>
      <c r="Y16" s="2"/>
      <c r="Z16" s="2"/>
    </row>
    <row r="17">
      <c r="A17" s="2">
        <f>IFERROR(__xludf.DUMMYFUNCTION("""COMPUTED_VALUE"""),1.0)</f>
        <v>1</v>
      </c>
      <c r="B17" s="2" t="str">
        <f>IFERROR(__xludf.DUMMYFUNCTION("""COMPUTED_VALUE"""),"Chennai")</f>
        <v>Chennai</v>
      </c>
      <c r="C17" s="2" t="str">
        <f>IFERROR(__xludf.DUMMYFUNCTION("""COMPUTED_VALUE"""),"NutriKid")</f>
        <v>NutriKid</v>
      </c>
      <c r="D17" s="2">
        <f>IFERROR(__xludf.DUMMYFUNCTION("""COMPUTED_VALUE"""),13579.0)</f>
        <v>13579</v>
      </c>
      <c r="E17" s="2">
        <f>IFERROR(__xludf.DUMMYFUNCTION("""COMPUTED_VALUE"""),16702.0)</f>
        <v>16702</v>
      </c>
      <c r="F17" s="2" t="str">
        <f>IFERROR(__xludf.DUMMYFUNCTION("""COMPUTED_VALUE"""),"IPLMARKETTING")</f>
        <v>IPLMARKETTING</v>
      </c>
      <c r="G17" s="2">
        <f t="shared" si="3"/>
        <v>814740</v>
      </c>
      <c r="H17" s="2">
        <f t="shared" si="4"/>
        <v>1002120</v>
      </c>
      <c r="I17" s="2" t="str">
        <f>IF(or(B17='Regional Details'!$A$5,B17='Regional Details'!$A$6,B17='Regional Details'!$A$7,B17='Regional Details'!$A$8),'Regional Details'!$B$2,if(OR(B17='Regional Details'!$D$5,B17='Regional Details'!$D$6,B17='Regional Details'!$D$7,B17='Regional Details'!$D$8),'Regional Details'!$E$2,if(or(B17='Regional Details'!$G$5,B17='Regional Details'!$G$6,B17='Regional Details'!$G$7,B17='Regional Details'!$G$8),'Regional Details'!$H$2,'Regional Details'!$K$2)))</f>
        <v>South</v>
      </c>
      <c r="J17" s="2" t="str">
        <f>if(I17='Regional Details'!$B$2,'Regional Details'!$B$3,if(I17='Regional Details'!$E$2,'Regional Details'!$E$3,if(I17='Regional Details'!$H$2,'Regional Details'!$H$3,'Regional Details'!$K$3)))</f>
        <v>Anjali Krishna Murthy</v>
      </c>
      <c r="K17" s="8">
        <f t="array" ref="K17">IFERROR(XLOOKUP(B17,'Regional Details'!$A$5:$A$8,'Regional Details'!$B$5:$B$8),IFERROR(XLOOKUP(B17,'Regional Details'!$D$5:$D$8,'Regional Details'!$E$5:$E$8),IFERROR(xlookup(B17,'Regional Details'!$G$5:$G$8,'Regional Details'!$H$5:$H$8),XLOOKUP(B17,'Regional Details'!$J$5:$J$8,'Regional Details'!$K$5:$K$8))))</f>
        <v>0</v>
      </c>
      <c r="L17" s="2" t="str">
        <f>VLOOKUP(A17,MonthMapping!$A$2:$B$13,2,false)</f>
        <v>January</v>
      </c>
      <c r="M17" s="9">
        <f>if(C17=$C$2,Contribution_Old!$B$22,Contribution_Old!$B$23)</f>
        <v>24.108</v>
      </c>
      <c r="N17" s="9">
        <f>if(C17=$C$2,Contribution_New!$B$23,Contribution_New!$B$24)</f>
        <v>30.108</v>
      </c>
      <c r="O17" s="2">
        <f t="shared" ref="O17:P17" si="33">M17*D17</f>
        <v>327362.532</v>
      </c>
      <c r="P17" s="2">
        <f t="shared" si="33"/>
        <v>502863.816</v>
      </c>
      <c r="Q17" s="2">
        <f t="shared" ref="Q17:R17" si="34">G17-O17</f>
        <v>487377.468</v>
      </c>
      <c r="R17" s="2">
        <f t="shared" si="34"/>
        <v>499256.184</v>
      </c>
      <c r="S17" s="2"/>
      <c r="T17" s="2"/>
      <c r="U17" s="2"/>
      <c r="V17" s="2"/>
      <c r="W17" s="2"/>
      <c r="X17" s="2"/>
      <c r="Y17" s="2"/>
      <c r="Z17" s="2"/>
    </row>
    <row r="18">
      <c r="A18" s="2">
        <f>IFERROR(__xludf.DUMMYFUNCTION("""COMPUTED_VALUE"""),1.0)</f>
        <v>1</v>
      </c>
      <c r="B18" s="2" t="str">
        <f>IFERROR(__xludf.DUMMYFUNCTION("""COMPUTED_VALUE"""),"Lucknow")</f>
        <v>Lucknow</v>
      </c>
      <c r="C18" s="2" t="str">
        <f>IFERROR(__xludf.DUMMYFUNCTION("""COMPUTED_VALUE"""),"ZestVita")</f>
        <v>ZestVita</v>
      </c>
      <c r="D18" s="2">
        <f>IFERROR(__xludf.DUMMYFUNCTION("""COMPUTED_VALUE"""),22339.0)</f>
        <v>22339</v>
      </c>
      <c r="E18" s="2">
        <f>IFERROR(__xludf.DUMMYFUNCTION("""COMPUTED_VALUE"""),25913.0)</f>
        <v>25913</v>
      </c>
      <c r="F18" s="2" t="str">
        <f>IFERROR(__xludf.DUMMYFUNCTION("""COMPUTED_VALUE"""),"IPLMARKETTING")</f>
        <v>IPLMARKETTING</v>
      </c>
      <c r="G18" s="2">
        <f t="shared" si="3"/>
        <v>2714188.5</v>
      </c>
      <c r="H18" s="2">
        <f t="shared" si="4"/>
        <v>3498255</v>
      </c>
      <c r="I18" s="2" t="str">
        <f>IF(or(B18='Regional Details'!$A$5,B18='Regional Details'!$A$6,B18='Regional Details'!$A$7,B18='Regional Details'!$A$8),'Regional Details'!$B$2,if(OR(B18='Regional Details'!$D$5,B18='Regional Details'!$D$6,B18='Regional Details'!$D$7,B18='Regional Details'!$D$8),'Regional Details'!$E$2,if(or(B18='Regional Details'!$G$5,B18='Regional Details'!$G$6,B18='Regional Details'!$G$7,B18='Regional Details'!$G$8),'Regional Details'!$H$2,'Regional Details'!$K$2)))</f>
        <v>North</v>
      </c>
      <c r="J18" s="2" t="str">
        <f>if(I18='Regional Details'!$B$2,'Regional Details'!$B$3,if(I18='Regional Details'!$E$2,'Regional Details'!$E$3,if(I18='Regional Details'!$H$2,'Regional Details'!$H$3,'Regional Details'!$K$3)))</f>
        <v>Ajay Kumar</v>
      </c>
      <c r="K18" s="8">
        <f t="array" ref="K18">IFERROR(XLOOKUP(B18,'Regional Details'!$A$5:$A$8,'Regional Details'!$B$5:$B$8),IFERROR(XLOOKUP(B18,'Regional Details'!$D$5:$D$8,'Regional Details'!$E$5:$E$8),IFERROR(xlookup(B18,'Regional Details'!$G$5:$G$8,'Regional Details'!$H$5:$H$8),XLOOKUP(B18,'Regional Details'!$J$5:$J$8,'Regional Details'!$K$5:$K$8))))</f>
        <v>0.1</v>
      </c>
      <c r="L18" s="2" t="str">
        <f>VLOOKUP(A18,MonthMapping!$A$2:$B$13,2,false)</f>
        <v>January</v>
      </c>
      <c r="M18" s="9">
        <f>if(C18=$C$2,Contribution_Old!$B$22,Contribution_Old!$B$23)</f>
        <v>55.84</v>
      </c>
      <c r="N18" s="9">
        <f>if(C18=$C$2,Contribution_New!$B$23,Contribution_New!$B$24)</f>
        <v>61.84</v>
      </c>
      <c r="O18" s="2">
        <f t="shared" ref="O18:P18" si="35">M18*D18</f>
        <v>1247409.76</v>
      </c>
      <c r="P18" s="2">
        <f t="shared" si="35"/>
        <v>1602459.92</v>
      </c>
      <c r="Q18" s="2">
        <f t="shared" ref="Q18:R18" si="36">G18-O18</f>
        <v>1466778.74</v>
      </c>
      <c r="R18" s="2">
        <f t="shared" si="36"/>
        <v>1895795.08</v>
      </c>
      <c r="S18" s="2"/>
      <c r="T18" s="2"/>
      <c r="U18" s="2"/>
      <c r="V18" s="2"/>
      <c r="W18" s="2"/>
      <c r="X18" s="2"/>
      <c r="Y18" s="2"/>
      <c r="Z18" s="2"/>
    </row>
    <row r="19">
      <c r="A19" s="2">
        <f>IFERROR(__xludf.DUMMYFUNCTION("""COMPUTED_VALUE"""),1.0)</f>
        <v>1</v>
      </c>
      <c r="B19" s="2" t="str">
        <f>IFERROR(__xludf.DUMMYFUNCTION("""COMPUTED_VALUE"""),"Lucknow")</f>
        <v>Lucknow</v>
      </c>
      <c r="C19" s="2" t="str">
        <f>IFERROR(__xludf.DUMMYFUNCTION("""COMPUTED_VALUE"""),"NutriKid")</f>
        <v>NutriKid</v>
      </c>
      <c r="D19" s="2">
        <f>IFERROR(__xludf.DUMMYFUNCTION("""COMPUTED_VALUE"""),19542.0)</f>
        <v>19542</v>
      </c>
      <c r="E19" s="2">
        <f>IFERROR(__xludf.DUMMYFUNCTION("""COMPUTED_VALUE"""),22082.0)</f>
        <v>22082</v>
      </c>
      <c r="F19" s="2" t="str">
        <f>IFERROR(__xludf.DUMMYFUNCTION("""COMPUTED_VALUE"""),"IPLMARKETTING")</f>
        <v>IPLMARKETTING</v>
      </c>
      <c r="G19" s="2">
        <f t="shared" si="3"/>
        <v>1055268</v>
      </c>
      <c r="H19" s="2">
        <f t="shared" si="4"/>
        <v>1324920</v>
      </c>
      <c r="I19" s="2" t="str">
        <f>IF(or(B19='Regional Details'!$A$5,B19='Regional Details'!$A$6,B19='Regional Details'!$A$7,B19='Regional Details'!$A$8),'Regional Details'!$B$2,if(OR(B19='Regional Details'!$D$5,B19='Regional Details'!$D$6,B19='Regional Details'!$D$7,B19='Regional Details'!$D$8),'Regional Details'!$E$2,if(or(B19='Regional Details'!$G$5,B19='Regional Details'!$G$6,B19='Regional Details'!$G$7,B19='Regional Details'!$G$8),'Regional Details'!$H$2,'Regional Details'!$K$2)))</f>
        <v>North</v>
      </c>
      <c r="J19" s="2" t="str">
        <f>if(I19='Regional Details'!$B$2,'Regional Details'!$B$3,if(I19='Regional Details'!$E$2,'Regional Details'!$E$3,if(I19='Regional Details'!$H$2,'Regional Details'!$H$3,'Regional Details'!$K$3)))</f>
        <v>Ajay Kumar</v>
      </c>
      <c r="K19" s="8">
        <f t="array" ref="K19">IFERROR(XLOOKUP(B19,'Regional Details'!$A$5:$A$8,'Regional Details'!$B$5:$B$8),IFERROR(XLOOKUP(B19,'Regional Details'!$D$5:$D$8,'Regional Details'!$E$5:$E$8),IFERROR(xlookup(B19,'Regional Details'!$G$5:$G$8,'Regional Details'!$H$5:$H$8),XLOOKUP(B19,'Regional Details'!$J$5:$J$8,'Regional Details'!$K$5:$K$8))))</f>
        <v>0.1</v>
      </c>
      <c r="L19" s="2" t="str">
        <f>VLOOKUP(A19,MonthMapping!$A$2:$B$13,2,false)</f>
        <v>January</v>
      </c>
      <c r="M19" s="9">
        <f>if(C19=$C$2,Contribution_Old!$B$22,Contribution_Old!$B$23)</f>
        <v>24.108</v>
      </c>
      <c r="N19" s="9">
        <f>if(C19=$C$2,Contribution_New!$B$23,Contribution_New!$B$24)</f>
        <v>30.108</v>
      </c>
      <c r="O19" s="2">
        <f t="shared" ref="O19:P19" si="37">M19*D19</f>
        <v>471118.536</v>
      </c>
      <c r="P19" s="2">
        <f t="shared" si="37"/>
        <v>664844.856</v>
      </c>
      <c r="Q19" s="2">
        <f t="shared" ref="Q19:R19" si="38">G19-O19</f>
        <v>584149.464</v>
      </c>
      <c r="R19" s="2">
        <f t="shared" si="38"/>
        <v>660075.144</v>
      </c>
      <c r="S19" s="2"/>
      <c r="T19" s="2"/>
      <c r="U19" s="2"/>
      <c r="V19" s="2"/>
      <c r="W19" s="2"/>
      <c r="X19" s="2"/>
      <c r="Y19" s="2"/>
      <c r="Z19" s="2"/>
    </row>
    <row r="20">
      <c r="A20" s="2">
        <f>IFERROR(__xludf.DUMMYFUNCTION("""COMPUTED_VALUE"""),1.0)</f>
        <v>1</v>
      </c>
      <c r="B20" s="2" t="str">
        <f>IFERROR(__xludf.DUMMYFUNCTION("""COMPUTED_VALUE"""),"Ranchi")</f>
        <v>Ranchi</v>
      </c>
      <c r="C20" s="2" t="str">
        <f>IFERROR(__xludf.DUMMYFUNCTION("""COMPUTED_VALUE"""),"ZestVita")</f>
        <v>ZestVita</v>
      </c>
      <c r="D20" s="2">
        <f>IFERROR(__xludf.DUMMYFUNCTION("""COMPUTED_VALUE"""),25253.0)</f>
        <v>25253</v>
      </c>
      <c r="E20" s="2">
        <f>IFERROR(__xludf.DUMMYFUNCTION("""COMPUTED_VALUE"""),27273.0)</f>
        <v>27273</v>
      </c>
      <c r="F20" s="2" t="str">
        <f>IFERROR(__xludf.DUMMYFUNCTION("""COMPUTED_VALUE"""),"IPLMARKETTING")</f>
        <v>IPLMARKETTING</v>
      </c>
      <c r="G20" s="2">
        <f t="shared" si="3"/>
        <v>3238697.25</v>
      </c>
      <c r="H20" s="2">
        <f t="shared" si="4"/>
        <v>3681855</v>
      </c>
      <c r="I20" s="2" t="str">
        <f>IF(or(B20='Regional Details'!$A$5,B20='Regional Details'!$A$6,B20='Regional Details'!$A$7,B20='Regional Details'!$A$8),'Regional Details'!$B$2,if(OR(B20='Regional Details'!$D$5,B20='Regional Details'!$D$6,B20='Regional Details'!$D$7,B20='Regional Details'!$D$8),'Regional Details'!$E$2,if(or(B20='Regional Details'!$G$5,B20='Regional Details'!$G$6,B20='Regional Details'!$G$7,B20='Regional Details'!$G$8),'Regional Details'!$H$2,'Regional Details'!$K$2)))</f>
        <v>East</v>
      </c>
      <c r="J20" s="2" t="str">
        <f>if(I20='Regional Details'!$B$2,'Regional Details'!$B$3,if(I20='Regional Details'!$E$2,'Regional Details'!$E$3,if(I20='Regional Details'!$H$2,'Regional Details'!$H$3,'Regional Details'!$K$3)))</f>
        <v>Tanvi Sharma</v>
      </c>
      <c r="K20" s="8">
        <f t="array" ref="K20">IFERROR(XLOOKUP(B20,'Regional Details'!$A$5:$A$8,'Regional Details'!$B$5:$B$8),IFERROR(XLOOKUP(B20,'Regional Details'!$D$5:$D$8,'Regional Details'!$E$5:$E$8),IFERROR(xlookup(B20,'Regional Details'!$G$5:$G$8,'Regional Details'!$H$5:$H$8),XLOOKUP(B20,'Regional Details'!$J$5:$J$8,'Regional Details'!$K$5:$K$8))))</f>
        <v>0.05</v>
      </c>
      <c r="L20" s="2" t="str">
        <f>VLOOKUP(A20,MonthMapping!$A$2:$B$13,2,false)</f>
        <v>January</v>
      </c>
      <c r="M20" s="9">
        <f>if(C20=$C$2,Contribution_Old!$B$22,Contribution_Old!$B$23)</f>
        <v>55.84</v>
      </c>
      <c r="N20" s="9">
        <f>if(C20=$C$2,Contribution_New!$B$23,Contribution_New!$B$24)</f>
        <v>61.84</v>
      </c>
      <c r="O20" s="2">
        <f t="shared" ref="O20:P20" si="39">M20*D20</f>
        <v>1410127.52</v>
      </c>
      <c r="P20" s="2">
        <f t="shared" si="39"/>
        <v>1686562.32</v>
      </c>
      <c r="Q20" s="2">
        <f t="shared" ref="Q20:R20" si="40">G20-O20</f>
        <v>1828569.73</v>
      </c>
      <c r="R20" s="2">
        <f t="shared" si="40"/>
        <v>1995292.68</v>
      </c>
      <c r="S20" s="2"/>
      <c r="T20" s="2"/>
      <c r="U20" s="2"/>
      <c r="V20" s="2"/>
      <c r="W20" s="2"/>
      <c r="X20" s="2"/>
      <c r="Y20" s="2"/>
      <c r="Z20" s="2"/>
    </row>
    <row r="21">
      <c r="A21" s="2">
        <f>IFERROR(__xludf.DUMMYFUNCTION("""COMPUTED_VALUE"""),1.0)</f>
        <v>1</v>
      </c>
      <c r="B21" s="2" t="str">
        <f>IFERROR(__xludf.DUMMYFUNCTION("""COMPUTED_VALUE"""),"Ranchi")</f>
        <v>Ranchi</v>
      </c>
      <c r="C21" s="2" t="str">
        <f>IFERROR(__xludf.DUMMYFUNCTION("""COMPUTED_VALUE"""),"NutriKid")</f>
        <v>NutriKid</v>
      </c>
      <c r="D21" s="2">
        <f>IFERROR(__xludf.DUMMYFUNCTION("""COMPUTED_VALUE"""),15890.0)</f>
        <v>15890</v>
      </c>
      <c r="E21" s="2">
        <f>IFERROR(__xludf.DUMMYFUNCTION("""COMPUTED_VALUE"""),16208.0)</f>
        <v>16208</v>
      </c>
      <c r="F21" s="2" t="str">
        <f>IFERROR(__xludf.DUMMYFUNCTION("""COMPUTED_VALUE"""),"IPLMARKETTING")</f>
        <v>IPLMARKETTING</v>
      </c>
      <c r="G21" s="2">
        <f t="shared" si="3"/>
        <v>905730</v>
      </c>
      <c r="H21" s="2">
        <f t="shared" si="4"/>
        <v>972480</v>
      </c>
      <c r="I21" s="2" t="str">
        <f>IF(or(B21='Regional Details'!$A$5,B21='Regional Details'!$A$6,B21='Regional Details'!$A$7,B21='Regional Details'!$A$8),'Regional Details'!$B$2,if(OR(B21='Regional Details'!$D$5,B21='Regional Details'!$D$6,B21='Regional Details'!$D$7,B21='Regional Details'!$D$8),'Regional Details'!$E$2,if(or(B21='Regional Details'!$G$5,B21='Regional Details'!$G$6,B21='Regional Details'!$G$7,B21='Regional Details'!$G$8),'Regional Details'!$H$2,'Regional Details'!$K$2)))</f>
        <v>East</v>
      </c>
      <c r="J21" s="2" t="str">
        <f>if(I21='Regional Details'!$B$2,'Regional Details'!$B$3,if(I21='Regional Details'!$E$2,'Regional Details'!$E$3,if(I21='Regional Details'!$H$2,'Regional Details'!$H$3,'Regional Details'!$K$3)))</f>
        <v>Tanvi Sharma</v>
      </c>
      <c r="K21" s="8">
        <f t="array" ref="K21">IFERROR(XLOOKUP(B21,'Regional Details'!$A$5:$A$8,'Regional Details'!$B$5:$B$8),IFERROR(XLOOKUP(B21,'Regional Details'!$D$5:$D$8,'Regional Details'!$E$5:$E$8),IFERROR(xlookup(B21,'Regional Details'!$G$5:$G$8,'Regional Details'!$H$5:$H$8),XLOOKUP(B21,'Regional Details'!$J$5:$J$8,'Regional Details'!$K$5:$K$8))))</f>
        <v>0.05</v>
      </c>
      <c r="L21" s="2" t="str">
        <f>VLOOKUP(A21,MonthMapping!$A$2:$B$13,2,false)</f>
        <v>January</v>
      </c>
      <c r="M21" s="9">
        <f>if(C21=$C$2,Contribution_Old!$B$22,Contribution_Old!$B$23)</f>
        <v>24.108</v>
      </c>
      <c r="N21" s="9">
        <f>if(C21=$C$2,Contribution_New!$B$23,Contribution_New!$B$24)</f>
        <v>30.108</v>
      </c>
      <c r="O21" s="2">
        <f t="shared" ref="O21:P21" si="41">M21*D21</f>
        <v>383076.12</v>
      </c>
      <c r="P21" s="2">
        <f t="shared" si="41"/>
        <v>487990.464</v>
      </c>
      <c r="Q21" s="2">
        <f t="shared" ref="Q21:R21" si="42">G21-O21</f>
        <v>522653.88</v>
      </c>
      <c r="R21" s="2">
        <f t="shared" si="42"/>
        <v>484489.536</v>
      </c>
      <c r="S21" s="2"/>
      <c r="T21" s="2"/>
      <c r="U21" s="2"/>
      <c r="V21" s="2"/>
      <c r="W21" s="2"/>
      <c r="X21" s="2"/>
      <c r="Y21" s="2"/>
      <c r="Z21" s="2"/>
    </row>
    <row r="22">
      <c r="A22" s="2">
        <f>IFERROR(__xludf.DUMMYFUNCTION("""COMPUTED_VALUE"""),1.0)</f>
        <v>1</v>
      </c>
      <c r="B22" s="2" t="str">
        <f>IFERROR(__xludf.DUMMYFUNCTION("""COMPUTED_VALUE"""),"Surat")</f>
        <v>Surat</v>
      </c>
      <c r="C22" s="2" t="str">
        <f>IFERROR(__xludf.DUMMYFUNCTION("""COMPUTED_VALUE"""),"ZestVita")</f>
        <v>ZestVita</v>
      </c>
      <c r="D22" s="2">
        <f>IFERROR(__xludf.DUMMYFUNCTION("""COMPUTED_VALUE"""),17834.0)</f>
        <v>17834</v>
      </c>
      <c r="E22" s="2">
        <f>IFERROR(__xludf.DUMMYFUNCTION("""COMPUTED_VALUE"""),18547.0)</f>
        <v>18547</v>
      </c>
      <c r="F22" s="2" t="str">
        <f>IFERROR(__xludf.DUMMYFUNCTION("""COMPUTED_VALUE"""),"IPLMARKETTING")</f>
        <v>IPLMARKETTING</v>
      </c>
      <c r="G22" s="2">
        <f t="shared" si="3"/>
        <v>2287210.5</v>
      </c>
      <c r="H22" s="2">
        <f t="shared" si="4"/>
        <v>2503845</v>
      </c>
      <c r="I22" s="2" t="str">
        <f>IF(or(B22='Regional Details'!$A$5,B22='Regional Details'!$A$6,B22='Regional Details'!$A$7,B22='Regional Details'!$A$8),'Regional Details'!$B$2,if(OR(B22='Regional Details'!$D$5,B22='Regional Details'!$D$6,B22='Regional Details'!$D$7,B22='Regional Details'!$D$8),'Regional Details'!$E$2,if(or(B22='Regional Details'!$G$5,B22='Regional Details'!$G$6,B22='Regional Details'!$G$7,B22='Regional Details'!$G$8),'Regional Details'!$H$2,'Regional Details'!$K$2)))</f>
        <v>West</v>
      </c>
      <c r="J22" s="2" t="str">
        <f>if(I22='Regional Details'!$B$2,'Regional Details'!$B$3,if(I22='Regional Details'!$E$2,'Regional Details'!$E$3,if(I22='Regional Details'!$H$2,'Regional Details'!$H$3,'Regional Details'!$K$3)))</f>
        <v>Ajay Ghosh</v>
      </c>
      <c r="K22" s="8">
        <f t="array" ref="K22">IFERROR(XLOOKUP(B22,'Regional Details'!$A$5:$A$8,'Regional Details'!$B$5:$B$8),IFERROR(XLOOKUP(B22,'Regional Details'!$D$5:$D$8,'Regional Details'!$E$5:$E$8),IFERROR(xlookup(B22,'Regional Details'!$G$5:$G$8,'Regional Details'!$H$5:$H$8),XLOOKUP(B22,'Regional Details'!$J$5:$J$8,'Regional Details'!$K$5:$K$8))))</f>
        <v>0.05</v>
      </c>
      <c r="L22" s="2" t="str">
        <f>VLOOKUP(A22,MonthMapping!$A$2:$B$13,2,false)</f>
        <v>January</v>
      </c>
      <c r="M22" s="9">
        <f>if(C22=$C$2,Contribution_Old!$B$22,Contribution_Old!$B$23)</f>
        <v>55.84</v>
      </c>
      <c r="N22" s="9">
        <f>if(C22=$C$2,Contribution_New!$B$23,Contribution_New!$B$24)</f>
        <v>61.84</v>
      </c>
      <c r="O22" s="2">
        <f t="shared" ref="O22:P22" si="43">M22*D22</f>
        <v>995850.56</v>
      </c>
      <c r="P22" s="2">
        <f t="shared" si="43"/>
        <v>1146946.48</v>
      </c>
      <c r="Q22" s="2">
        <f t="shared" ref="Q22:R22" si="44">G22-O22</f>
        <v>1291359.94</v>
      </c>
      <c r="R22" s="2">
        <f t="shared" si="44"/>
        <v>1356898.52</v>
      </c>
      <c r="S22" s="2"/>
      <c r="T22" s="2"/>
      <c r="U22" s="2"/>
      <c r="V22" s="2"/>
      <c r="W22" s="2"/>
      <c r="X22" s="2"/>
      <c r="Y22" s="2"/>
      <c r="Z22" s="2"/>
    </row>
    <row r="23">
      <c r="A23" s="2">
        <f>IFERROR(__xludf.DUMMYFUNCTION("""COMPUTED_VALUE"""),1.0)</f>
        <v>1</v>
      </c>
      <c r="B23" s="2" t="str">
        <f>IFERROR(__xludf.DUMMYFUNCTION("""COMPUTED_VALUE"""),"Surat")</f>
        <v>Surat</v>
      </c>
      <c r="C23" s="2" t="str">
        <f>IFERROR(__xludf.DUMMYFUNCTION("""COMPUTED_VALUE"""),"NutriKid")</f>
        <v>NutriKid</v>
      </c>
      <c r="D23" s="2">
        <f>IFERROR(__xludf.DUMMYFUNCTION("""COMPUTED_VALUE"""),14097.0)</f>
        <v>14097</v>
      </c>
      <c r="E23" s="2">
        <f>IFERROR(__xludf.DUMMYFUNCTION("""COMPUTED_VALUE"""),14943.0)</f>
        <v>14943</v>
      </c>
      <c r="F23" s="2" t="str">
        <f>IFERROR(__xludf.DUMMYFUNCTION("""COMPUTED_VALUE"""),"IPLMARKETTING")</f>
        <v>IPLMARKETTING</v>
      </c>
      <c r="G23" s="2">
        <f t="shared" si="3"/>
        <v>803529</v>
      </c>
      <c r="H23" s="2">
        <f t="shared" si="4"/>
        <v>896580</v>
      </c>
      <c r="I23" s="2" t="str">
        <f>IF(or(B23='Regional Details'!$A$5,B23='Regional Details'!$A$6,B23='Regional Details'!$A$7,B23='Regional Details'!$A$8),'Regional Details'!$B$2,if(OR(B23='Regional Details'!$D$5,B23='Regional Details'!$D$6,B23='Regional Details'!$D$7,B23='Regional Details'!$D$8),'Regional Details'!$E$2,if(or(B23='Regional Details'!$G$5,B23='Regional Details'!$G$6,B23='Regional Details'!$G$7,B23='Regional Details'!$G$8),'Regional Details'!$H$2,'Regional Details'!$K$2)))</f>
        <v>West</v>
      </c>
      <c r="J23" s="2" t="str">
        <f>if(I23='Regional Details'!$B$2,'Regional Details'!$B$3,if(I23='Regional Details'!$E$2,'Regional Details'!$E$3,if(I23='Regional Details'!$H$2,'Regional Details'!$H$3,'Regional Details'!$K$3)))</f>
        <v>Ajay Ghosh</v>
      </c>
      <c r="K23" s="8">
        <f t="array" ref="K23">IFERROR(XLOOKUP(B23,'Regional Details'!$A$5:$A$8,'Regional Details'!$B$5:$B$8),IFERROR(XLOOKUP(B23,'Regional Details'!$D$5:$D$8,'Regional Details'!$E$5:$E$8),IFERROR(xlookup(B23,'Regional Details'!$G$5:$G$8,'Regional Details'!$H$5:$H$8),XLOOKUP(B23,'Regional Details'!$J$5:$J$8,'Regional Details'!$K$5:$K$8))))</f>
        <v>0.05</v>
      </c>
      <c r="L23" s="2" t="str">
        <f>VLOOKUP(A23,MonthMapping!$A$2:$B$13,2,false)</f>
        <v>January</v>
      </c>
      <c r="M23" s="9">
        <f>if(C23=$C$2,Contribution_Old!$B$22,Contribution_Old!$B$23)</f>
        <v>24.108</v>
      </c>
      <c r="N23" s="9">
        <f>if(C23=$C$2,Contribution_New!$B$23,Contribution_New!$B$24)</f>
        <v>30.108</v>
      </c>
      <c r="O23" s="2">
        <f t="shared" ref="O23:P23" si="45">M23*D23</f>
        <v>339850.476</v>
      </c>
      <c r="P23" s="2">
        <f t="shared" si="45"/>
        <v>449903.844</v>
      </c>
      <c r="Q23" s="2">
        <f t="shared" ref="Q23:R23" si="46">G23-O23</f>
        <v>463678.524</v>
      </c>
      <c r="R23" s="2">
        <f t="shared" si="46"/>
        <v>446676.156</v>
      </c>
      <c r="S23" s="2"/>
      <c r="T23" s="2"/>
      <c r="U23" s="2"/>
      <c r="V23" s="2"/>
      <c r="W23" s="2"/>
      <c r="X23" s="2"/>
      <c r="Y23" s="2"/>
      <c r="Z23" s="2"/>
    </row>
    <row r="24">
      <c r="A24" s="2">
        <f>IFERROR(__xludf.DUMMYFUNCTION("""COMPUTED_VALUE"""),1.0)</f>
        <v>1</v>
      </c>
      <c r="B24" s="2" t="str">
        <f>IFERROR(__xludf.DUMMYFUNCTION("""COMPUTED_VALUE"""),"Hyderabad")</f>
        <v>Hyderabad</v>
      </c>
      <c r="C24" s="2" t="str">
        <f>IFERROR(__xludf.DUMMYFUNCTION("""COMPUTED_VALUE"""),"ZestVita")</f>
        <v>ZestVita</v>
      </c>
      <c r="D24" s="2">
        <f>IFERROR(__xludf.DUMMYFUNCTION("""COMPUTED_VALUE"""),24642.0)</f>
        <v>24642</v>
      </c>
      <c r="E24" s="2">
        <f>IFERROR(__xludf.DUMMYFUNCTION("""COMPUTED_VALUE"""),29078.0)</f>
        <v>29078</v>
      </c>
      <c r="F24" s="2" t="str">
        <f>IFERROR(__xludf.DUMMYFUNCTION("""COMPUTED_VALUE"""),"IPLMARKETTING")</f>
        <v>IPLMARKETTING</v>
      </c>
      <c r="G24" s="2">
        <f t="shared" si="3"/>
        <v>3326670</v>
      </c>
      <c r="H24" s="2">
        <f t="shared" si="4"/>
        <v>3925530</v>
      </c>
      <c r="I24" s="2" t="str">
        <f>IF(or(B24='Regional Details'!$A$5,B24='Regional Details'!$A$6,B24='Regional Details'!$A$7,B24='Regional Details'!$A$8),'Regional Details'!$B$2,if(OR(B24='Regional Details'!$D$5,B24='Regional Details'!$D$6,B24='Regional Details'!$D$7,B24='Regional Details'!$D$8),'Regional Details'!$E$2,if(or(B24='Regional Details'!$G$5,B24='Regional Details'!$G$6,B24='Regional Details'!$G$7,B24='Regional Details'!$G$8),'Regional Details'!$H$2,'Regional Details'!$K$2)))</f>
        <v>South</v>
      </c>
      <c r="J24" s="2" t="str">
        <f>if(I24='Regional Details'!$B$2,'Regional Details'!$B$3,if(I24='Regional Details'!$E$2,'Regional Details'!$E$3,if(I24='Regional Details'!$H$2,'Regional Details'!$H$3,'Regional Details'!$K$3)))</f>
        <v>Anjali Krishna Murthy</v>
      </c>
      <c r="K24" s="8">
        <f t="array" ref="K24">IFERROR(XLOOKUP(B24,'Regional Details'!$A$5:$A$8,'Regional Details'!$B$5:$B$8),IFERROR(XLOOKUP(B24,'Regional Details'!$D$5:$D$8,'Regional Details'!$E$5:$E$8),IFERROR(xlookup(B24,'Regional Details'!$G$5:$G$8,'Regional Details'!$H$5:$H$8),XLOOKUP(B24,'Regional Details'!$J$5:$J$8,'Regional Details'!$K$5:$K$8))))</f>
        <v>0</v>
      </c>
      <c r="L24" s="2" t="str">
        <f>VLOOKUP(A24,MonthMapping!$A$2:$B$13,2,false)</f>
        <v>January</v>
      </c>
      <c r="M24" s="9">
        <f>if(C24=$C$2,Contribution_Old!$B$22,Contribution_Old!$B$23)</f>
        <v>55.84</v>
      </c>
      <c r="N24" s="9">
        <f>if(C24=$C$2,Contribution_New!$B$23,Contribution_New!$B$24)</f>
        <v>61.84</v>
      </c>
      <c r="O24" s="2">
        <f t="shared" ref="O24:P24" si="47">M24*D24</f>
        <v>1376009.28</v>
      </c>
      <c r="P24" s="2">
        <f t="shared" si="47"/>
        <v>1798183.52</v>
      </c>
      <c r="Q24" s="2">
        <f t="shared" ref="Q24:R24" si="48">G24-O24</f>
        <v>1950660.72</v>
      </c>
      <c r="R24" s="2">
        <f t="shared" si="48"/>
        <v>2127346.48</v>
      </c>
      <c r="S24" s="2"/>
      <c r="T24" s="2"/>
      <c r="U24" s="2"/>
      <c r="V24" s="2"/>
      <c r="W24" s="2"/>
      <c r="X24" s="2"/>
      <c r="Y24" s="2"/>
      <c r="Z24" s="2"/>
    </row>
    <row r="25">
      <c r="A25" s="2">
        <f>IFERROR(__xludf.DUMMYFUNCTION("""COMPUTED_VALUE"""),1.0)</f>
        <v>1</v>
      </c>
      <c r="B25" s="2" t="str">
        <f>IFERROR(__xludf.DUMMYFUNCTION("""COMPUTED_VALUE"""),"Hyderabad")</f>
        <v>Hyderabad</v>
      </c>
      <c r="C25" s="2" t="str">
        <f>IFERROR(__xludf.DUMMYFUNCTION("""COMPUTED_VALUE"""),"NutriKid")</f>
        <v>NutriKid</v>
      </c>
      <c r="D25" s="2">
        <f>IFERROR(__xludf.DUMMYFUNCTION("""COMPUTED_VALUE"""),24864.0)</f>
        <v>24864</v>
      </c>
      <c r="E25" s="2">
        <f>IFERROR(__xludf.DUMMYFUNCTION("""COMPUTED_VALUE"""),29588.0)</f>
        <v>29588</v>
      </c>
      <c r="F25" s="2" t="str">
        <f>IFERROR(__xludf.DUMMYFUNCTION("""COMPUTED_VALUE"""),"IPLMARKETTING")</f>
        <v>IPLMARKETTING</v>
      </c>
      <c r="G25" s="2">
        <f t="shared" si="3"/>
        <v>1491840</v>
      </c>
      <c r="H25" s="2">
        <f t="shared" si="4"/>
        <v>1775280</v>
      </c>
      <c r="I25" s="2" t="str">
        <f>IF(or(B25='Regional Details'!$A$5,B25='Regional Details'!$A$6,B25='Regional Details'!$A$7,B25='Regional Details'!$A$8),'Regional Details'!$B$2,if(OR(B25='Regional Details'!$D$5,B25='Regional Details'!$D$6,B25='Regional Details'!$D$7,B25='Regional Details'!$D$8),'Regional Details'!$E$2,if(or(B25='Regional Details'!$G$5,B25='Regional Details'!$G$6,B25='Regional Details'!$G$7,B25='Regional Details'!$G$8),'Regional Details'!$H$2,'Regional Details'!$K$2)))</f>
        <v>South</v>
      </c>
      <c r="J25" s="2" t="str">
        <f>if(I25='Regional Details'!$B$2,'Regional Details'!$B$3,if(I25='Regional Details'!$E$2,'Regional Details'!$E$3,if(I25='Regional Details'!$H$2,'Regional Details'!$H$3,'Regional Details'!$K$3)))</f>
        <v>Anjali Krishna Murthy</v>
      </c>
      <c r="K25" s="8">
        <f t="array" ref="K25">IFERROR(XLOOKUP(B25,'Regional Details'!$A$5:$A$8,'Regional Details'!$B$5:$B$8),IFERROR(XLOOKUP(B25,'Regional Details'!$D$5:$D$8,'Regional Details'!$E$5:$E$8),IFERROR(xlookup(B25,'Regional Details'!$G$5:$G$8,'Regional Details'!$H$5:$H$8),XLOOKUP(B25,'Regional Details'!$J$5:$J$8,'Regional Details'!$K$5:$K$8))))</f>
        <v>0</v>
      </c>
      <c r="L25" s="2" t="str">
        <f>VLOOKUP(A25,MonthMapping!$A$2:$B$13,2,false)</f>
        <v>January</v>
      </c>
      <c r="M25" s="9">
        <f>if(C25=$C$2,Contribution_Old!$B$22,Contribution_Old!$B$23)</f>
        <v>24.108</v>
      </c>
      <c r="N25" s="9">
        <f>if(C25=$C$2,Contribution_New!$B$23,Contribution_New!$B$24)</f>
        <v>30.108</v>
      </c>
      <c r="O25" s="2">
        <f t="shared" ref="O25:P25" si="49">M25*D25</f>
        <v>599421.312</v>
      </c>
      <c r="P25" s="2">
        <f t="shared" si="49"/>
        <v>890835.504</v>
      </c>
      <c r="Q25" s="2">
        <f t="shared" ref="Q25:R25" si="50">G25-O25</f>
        <v>892418.688</v>
      </c>
      <c r="R25" s="2">
        <f t="shared" si="50"/>
        <v>884444.496</v>
      </c>
      <c r="S25" s="2"/>
      <c r="T25" s="2"/>
      <c r="U25" s="2"/>
      <c r="V25" s="2"/>
      <c r="W25" s="2"/>
      <c r="X25" s="2"/>
      <c r="Y25" s="2"/>
      <c r="Z25" s="2"/>
    </row>
    <row r="26">
      <c r="A26" s="2">
        <f>IFERROR(__xludf.DUMMYFUNCTION("""COMPUTED_VALUE"""),1.0)</f>
        <v>1</v>
      </c>
      <c r="B26" s="2" t="str">
        <f>IFERROR(__xludf.DUMMYFUNCTION("""COMPUTED_VALUE"""),"Dehradun")</f>
        <v>Dehradun</v>
      </c>
      <c r="C26" s="2" t="str">
        <f>IFERROR(__xludf.DUMMYFUNCTION("""COMPUTED_VALUE"""),"ZestVita")</f>
        <v>ZestVita</v>
      </c>
      <c r="D26" s="2">
        <f>IFERROR(__xludf.DUMMYFUNCTION("""COMPUTED_VALUE"""),20824.0)</f>
        <v>20824</v>
      </c>
      <c r="E26" s="2">
        <f>IFERROR(__xludf.DUMMYFUNCTION("""COMPUTED_VALUE"""),22490.0)</f>
        <v>22490</v>
      </c>
      <c r="F26" s="2" t="str">
        <f>IFERROR(__xludf.DUMMYFUNCTION("""COMPUTED_VALUE"""),"IPLMARKETTING")</f>
        <v>IPLMARKETTING</v>
      </c>
      <c r="G26" s="2">
        <f t="shared" si="3"/>
        <v>2459835</v>
      </c>
      <c r="H26" s="2">
        <f t="shared" si="4"/>
        <v>3036150</v>
      </c>
      <c r="I26" s="2" t="str">
        <f>IF(or(B26='Regional Details'!$A$5,B26='Regional Details'!$A$6,B26='Regional Details'!$A$7,B26='Regional Details'!$A$8),'Regional Details'!$B$2,if(OR(B26='Regional Details'!$D$5,B26='Regional Details'!$D$6,B26='Regional Details'!$D$7,B26='Regional Details'!$D$8),'Regional Details'!$E$2,if(or(B26='Regional Details'!$G$5,B26='Regional Details'!$G$6,B26='Regional Details'!$G$7,B26='Regional Details'!$G$8),'Regional Details'!$H$2,'Regional Details'!$K$2)))</f>
        <v>North</v>
      </c>
      <c r="J26" s="2" t="str">
        <f>if(I26='Regional Details'!$B$2,'Regional Details'!$B$3,if(I26='Regional Details'!$E$2,'Regional Details'!$E$3,if(I26='Regional Details'!$H$2,'Regional Details'!$H$3,'Regional Details'!$K$3)))</f>
        <v>Ajay Kumar</v>
      </c>
      <c r="K26" s="8">
        <f t="array" ref="K26">IFERROR(XLOOKUP(B26,'Regional Details'!$A$5:$A$8,'Regional Details'!$B$5:$B$8),IFERROR(XLOOKUP(B26,'Regional Details'!$D$5:$D$8,'Regional Details'!$E$5:$E$8),IFERROR(xlookup(B26,'Regional Details'!$G$5:$G$8,'Regional Details'!$H$5:$H$8),XLOOKUP(B26,'Regional Details'!$J$5:$J$8,'Regional Details'!$K$5:$K$8))))</f>
        <v>0.125</v>
      </c>
      <c r="L26" s="2" t="str">
        <f>VLOOKUP(A26,MonthMapping!$A$2:$B$13,2,false)</f>
        <v>January</v>
      </c>
      <c r="M26" s="9">
        <f>if(C26=$C$2,Contribution_Old!$B$22,Contribution_Old!$B$23)</f>
        <v>55.84</v>
      </c>
      <c r="N26" s="9">
        <f>if(C26=$C$2,Contribution_New!$B$23,Contribution_New!$B$24)</f>
        <v>61.84</v>
      </c>
      <c r="O26" s="2">
        <f t="shared" ref="O26:P26" si="51">M26*D26</f>
        <v>1162812.16</v>
      </c>
      <c r="P26" s="2">
        <f t="shared" si="51"/>
        <v>1390781.6</v>
      </c>
      <c r="Q26" s="2">
        <f t="shared" ref="Q26:R26" si="52">G26-O26</f>
        <v>1297022.84</v>
      </c>
      <c r="R26" s="2">
        <f t="shared" si="52"/>
        <v>1645368.4</v>
      </c>
      <c r="S26" s="2"/>
      <c r="T26" s="2"/>
      <c r="U26" s="2"/>
      <c r="V26" s="2"/>
      <c r="W26" s="2"/>
      <c r="X26" s="2"/>
      <c r="Y26" s="2"/>
      <c r="Z26" s="2"/>
    </row>
    <row r="27">
      <c r="A27" s="2">
        <f>IFERROR(__xludf.DUMMYFUNCTION("""COMPUTED_VALUE"""),1.0)</f>
        <v>1</v>
      </c>
      <c r="B27" s="2" t="str">
        <f>IFERROR(__xludf.DUMMYFUNCTION("""COMPUTED_VALUE"""),"Dehradun")</f>
        <v>Dehradun</v>
      </c>
      <c r="C27" s="2" t="str">
        <f>IFERROR(__xludf.DUMMYFUNCTION("""COMPUTED_VALUE"""),"NutriKid")</f>
        <v>NutriKid</v>
      </c>
      <c r="D27" s="2">
        <f>IFERROR(__xludf.DUMMYFUNCTION("""COMPUTED_VALUE"""),12937.0)</f>
        <v>12937</v>
      </c>
      <c r="E27" s="2">
        <f>IFERROR(__xludf.DUMMYFUNCTION("""COMPUTED_VALUE"""),13584.0)</f>
        <v>13584</v>
      </c>
      <c r="F27" s="2" t="str">
        <f>IFERROR(__xludf.DUMMYFUNCTION("""COMPUTED_VALUE"""),"IPLMARKETTING")</f>
        <v>IPLMARKETTING</v>
      </c>
      <c r="G27" s="2">
        <f t="shared" si="3"/>
        <v>679192.5</v>
      </c>
      <c r="H27" s="2">
        <f t="shared" si="4"/>
        <v>815040</v>
      </c>
      <c r="I27" s="2" t="str">
        <f>IF(or(B27='Regional Details'!$A$5,B27='Regional Details'!$A$6,B27='Regional Details'!$A$7,B27='Regional Details'!$A$8),'Regional Details'!$B$2,if(OR(B27='Regional Details'!$D$5,B27='Regional Details'!$D$6,B27='Regional Details'!$D$7,B27='Regional Details'!$D$8),'Regional Details'!$E$2,if(or(B27='Regional Details'!$G$5,B27='Regional Details'!$G$6,B27='Regional Details'!$G$7,B27='Regional Details'!$G$8),'Regional Details'!$H$2,'Regional Details'!$K$2)))</f>
        <v>North</v>
      </c>
      <c r="J27" s="2" t="str">
        <f>if(I27='Regional Details'!$B$2,'Regional Details'!$B$3,if(I27='Regional Details'!$E$2,'Regional Details'!$E$3,if(I27='Regional Details'!$H$2,'Regional Details'!$H$3,'Regional Details'!$K$3)))</f>
        <v>Ajay Kumar</v>
      </c>
      <c r="K27" s="8">
        <f t="array" ref="K27">IFERROR(XLOOKUP(B27,'Regional Details'!$A$5:$A$8,'Regional Details'!$B$5:$B$8),IFERROR(XLOOKUP(B27,'Regional Details'!$D$5:$D$8,'Regional Details'!$E$5:$E$8),IFERROR(xlookup(B27,'Regional Details'!$G$5:$G$8,'Regional Details'!$H$5:$H$8),XLOOKUP(B27,'Regional Details'!$J$5:$J$8,'Regional Details'!$K$5:$K$8))))</f>
        <v>0.125</v>
      </c>
      <c r="L27" s="2" t="str">
        <f>VLOOKUP(A27,MonthMapping!$A$2:$B$13,2,false)</f>
        <v>January</v>
      </c>
      <c r="M27" s="9">
        <f>if(C27=$C$2,Contribution_Old!$B$22,Contribution_Old!$B$23)</f>
        <v>24.108</v>
      </c>
      <c r="N27" s="9">
        <f>if(C27=$C$2,Contribution_New!$B$23,Contribution_New!$B$24)</f>
        <v>30.108</v>
      </c>
      <c r="O27" s="2">
        <f t="shared" ref="O27:P27" si="53">M27*D27</f>
        <v>311885.196</v>
      </c>
      <c r="P27" s="2">
        <f t="shared" si="53"/>
        <v>408987.072</v>
      </c>
      <c r="Q27" s="2">
        <f t="shared" ref="Q27:R27" si="54">G27-O27</f>
        <v>367307.304</v>
      </c>
      <c r="R27" s="2">
        <f t="shared" si="54"/>
        <v>406052.928</v>
      </c>
      <c r="S27" s="2"/>
      <c r="T27" s="2"/>
      <c r="U27" s="2"/>
      <c r="V27" s="2"/>
      <c r="W27" s="2"/>
      <c r="X27" s="2"/>
      <c r="Y27" s="2"/>
      <c r="Z27" s="2"/>
    </row>
    <row r="28">
      <c r="A28" s="2">
        <f>IFERROR(__xludf.DUMMYFUNCTION("""COMPUTED_VALUE"""),1.0)</f>
        <v>1</v>
      </c>
      <c r="B28" s="2" t="str">
        <f>IFERROR(__xludf.DUMMYFUNCTION("""COMPUTED_VALUE"""),"Kochi")</f>
        <v>Kochi</v>
      </c>
      <c r="C28" s="2" t="str">
        <f>IFERROR(__xludf.DUMMYFUNCTION("""COMPUTED_VALUE"""),"ZestVita")</f>
        <v>ZestVita</v>
      </c>
      <c r="D28" s="2">
        <f>IFERROR(__xludf.DUMMYFUNCTION("""COMPUTED_VALUE"""),22650.0)</f>
        <v>22650</v>
      </c>
      <c r="E28" s="2">
        <f>IFERROR(__xludf.DUMMYFUNCTION("""COMPUTED_VALUE"""),23556.0)</f>
        <v>23556</v>
      </c>
      <c r="F28" s="2" t="str">
        <f>IFERROR(__xludf.DUMMYFUNCTION("""COMPUTED_VALUE"""),"IPLMARKETTING")</f>
        <v>IPLMARKETTING</v>
      </c>
      <c r="G28" s="2">
        <f t="shared" si="3"/>
        <v>2751975</v>
      </c>
      <c r="H28" s="2">
        <f t="shared" si="4"/>
        <v>3180060</v>
      </c>
      <c r="I28" s="2" t="str">
        <f>IF(or(B28='Regional Details'!$A$5,B28='Regional Details'!$A$6,B28='Regional Details'!$A$7,B28='Regional Details'!$A$8),'Regional Details'!$B$2,if(OR(B28='Regional Details'!$D$5,B28='Regional Details'!$D$6,B28='Regional Details'!$D$7,B28='Regional Details'!$D$8),'Regional Details'!$E$2,if(or(B28='Regional Details'!$G$5,B28='Regional Details'!$G$6,B28='Regional Details'!$G$7,B28='Regional Details'!$G$8),'Regional Details'!$H$2,'Regional Details'!$K$2)))</f>
        <v>South</v>
      </c>
      <c r="J28" s="2" t="str">
        <f>if(I28='Regional Details'!$B$2,'Regional Details'!$B$3,if(I28='Regional Details'!$E$2,'Regional Details'!$E$3,if(I28='Regional Details'!$H$2,'Regional Details'!$H$3,'Regional Details'!$K$3)))</f>
        <v>Anjali Krishna Murthy</v>
      </c>
      <c r="K28" s="8">
        <f t="array" ref="K28">IFERROR(XLOOKUP(B28,'Regional Details'!$A$5:$A$8,'Regional Details'!$B$5:$B$8),IFERROR(XLOOKUP(B28,'Regional Details'!$D$5:$D$8,'Regional Details'!$E$5:$E$8),IFERROR(xlookup(B28,'Regional Details'!$G$5:$G$8,'Regional Details'!$H$5:$H$8),XLOOKUP(B28,'Regional Details'!$J$5:$J$8,'Regional Details'!$K$5:$K$8))))</f>
        <v>0.1</v>
      </c>
      <c r="L28" s="2" t="str">
        <f>VLOOKUP(A28,MonthMapping!$A$2:$B$13,2,false)</f>
        <v>January</v>
      </c>
      <c r="M28" s="9">
        <f>if(C28=$C$2,Contribution_Old!$B$22,Contribution_Old!$B$23)</f>
        <v>55.84</v>
      </c>
      <c r="N28" s="9">
        <f>if(C28=$C$2,Contribution_New!$B$23,Contribution_New!$B$24)</f>
        <v>61.84</v>
      </c>
      <c r="O28" s="2">
        <f t="shared" ref="O28:P28" si="55">M28*D28</f>
        <v>1264776</v>
      </c>
      <c r="P28" s="2">
        <f t="shared" si="55"/>
        <v>1456703.04</v>
      </c>
      <c r="Q28" s="2">
        <f t="shared" ref="Q28:R28" si="56">G28-O28</f>
        <v>1487199</v>
      </c>
      <c r="R28" s="2">
        <f t="shared" si="56"/>
        <v>1723356.96</v>
      </c>
      <c r="S28" s="2"/>
      <c r="T28" s="2"/>
      <c r="U28" s="2"/>
      <c r="V28" s="2"/>
      <c r="W28" s="2"/>
      <c r="X28" s="2"/>
      <c r="Y28" s="2"/>
      <c r="Z28" s="2"/>
    </row>
    <row r="29">
      <c r="A29" s="2">
        <f>IFERROR(__xludf.DUMMYFUNCTION("""COMPUTED_VALUE"""),1.0)</f>
        <v>1</v>
      </c>
      <c r="B29" s="2" t="str">
        <f>IFERROR(__xludf.DUMMYFUNCTION("""COMPUTED_VALUE"""),"Kochi")</f>
        <v>Kochi</v>
      </c>
      <c r="C29" s="2" t="str">
        <f>IFERROR(__xludf.DUMMYFUNCTION("""COMPUTED_VALUE"""),"NutriKid")</f>
        <v>NutriKid</v>
      </c>
      <c r="D29" s="2">
        <f>IFERROR(__xludf.DUMMYFUNCTION("""COMPUTED_VALUE"""),13986.0)</f>
        <v>13986</v>
      </c>
      <c r="E29" s="2">
        <f>IFERROR(__xludf.DUMMYFUNCTION("""COMPUTED_VALUE"""),14545.0)</f>
        <v>14545</v>
      </c>
      <c r="F29" s="2" t="str">
        <f>IFERROR(__xludf.DUMMYFUNCTION("""COMPUTED_VALUE"""),"IPLMARKETTING")</f>
        <v>IPLMARKETTING</v>
      </c>
      <c r="G29" s="2">
        <f t="shared" si="3"/>
        <v>755244</v>
      </c>
      <c r="H29" s="2">
        <f t="shared" si="4"/>
        <v>872700</v>
      </c>
      <c r="I29" s="2" t="str">
        <f>IF(or(B29='Regional Details'!$A$5,B29='Regional Details'!$A$6,B29='Regional Details'!$A$7,B29='Regional Details'!$A$8),'Regional Details'!$B$2,if(OR(B29='Regional Details'!$D$5,B29='Regional Details'!$D$6,B29='Regional Details'!$D$7,B29='Regional Details'!$D$8),'Regional Details'!$E$2,if(or(B29='Regional Details'!$G$5,B29='Regional Details'!$G$6,B29='Regional Details'!$G$7,B29='Regional Details'!$G$8),'Regional Details'!$H$2,'Regional Details'!$K$2)))</f>
        <v>South</v>
      </c>
      <c r="J29" s="2" t="str">
        <f>if(I29='Regional Details'!$B$2,'Regional Details'!$B$3,if(I29='Regional Details'!$E$2,'Regional Details'!$E$3,if(I29='Regional Details'!$H$2,'Regional Details'!$H$3,'Regional Details'!$K$3)))</f>
        <v>Anjali Krishna Murthy</v>
      </c>
      <c r="K29" s="8">
        <f t="array" ref="K29">IFERROR(XLOOKUP(B29,'Regional Details'!$A$5:$A$8,'Regional Details'!$B$5:$B$8),IFERROR(XLOOKUP(B29,'Regional Details'!$D$5:$D$8,'Regional Details'!$E$5:$E$8),IFERROR(xlookup(B29,'Regional Details'!$G$5:$G$8,'Regional Details'!$H$5:$H$8),XLOOKUP(B29,'Regional Details'!$J$5:$J$8,'Regional Details'!$K$5:$K$8))))</f>
        <v>0.1</v>
      </c>
      <c r="L29" s="2" t="str">
        <f>VLOOKUP(A29,MonthMapping!$A$2:$B$13,2,false)</f>
        <v>January</v>
      </c>
      <c r="M29" s="9">
        <f>if(C29=$C$2,Contribution_Old!$B$22,Contribution_Old!$B$23)</f>
        <v>24.108</v>
      </c>
      <c r="N29" s="9">
        <f>if(C29=$C$2,Contribution_New!$B$23,Contribution_New!$B$24)</f>
        <v>30.108</v>
      </c>
      <c r="O29" s="2">
        <f t="shared" ref="O29:P29" si="57">M29*D29</f>
        <v>337174.488</v>
      </c>
      <c r="P29" s="2">
        <f t="shared" si="57"/>
        <v>437920.86</v>
      </c>
      <c r="Q29" s="2">
        <f t="shared" ref="Q29:R29" si="58">G29-O29</f>
        <v>418069.512</v>
      </c>
      <c r="R29" s="2">
        <f t="shared" si="58"/>
        <v>434779.14</v>
      </c>
      <c r="S29" s="2"/>
      <c r="T29" s="2"/>
      <c r="U29" s="2"/>
      <c r="V29" s="2"/>
      <c r="W29" s="2"/>
      <c r="X29" s="2"/>
      <c r="Y29" s="2"/>
      <c r="Z29" s="2"/>
    </row>
    <row r="30">
      <c r="A30" s="2">
        <f>IFERROR(__xludf.DUMMYFUNCTION("""COMPUTED_VALUE"""),1.0)</f>
        <v>1</v>
      </c>
      <c r="B30" s="2" t="str">
        <f>IFERROR(__xludf.DUMMYFUNCTION("""COMPUTED_VALUE"""),"Jaipur")</f>
        <v>Jaipur</v>
      </c>
      <c r="C30" s="2" t="str">
        <f>IFERROR(__xludf.DUMMYFUNCTION("""COMPUTED_VALUE"""),"ZestVita")</f>
        <v>ZestVita</v>
      </c>
      <c r="D30" s="2">
        <f>IFERROR(__xludf.DUMMYFUNCTION("""COMPUTED_VALUE"""),20091.0)</f>
        <v>20091</v>
      </c>
      <c r="E30" s="2">
        <f>IFERROR(__xludf.DUMMYFUNCTION("""COMPUTED_VALUE"""),23105.0)</f>
        <v>23105</v>
      </c>
      <c r="F30" s="2" t="str">
        <f>IFERROR(__xludf.DUMMYFUNCTION("""COMPUTED_VALUE"""),"IPLMARKETTING")</f>
        <v>IPLMARKETTING</v>
      </c>
      <c r="G30" s="2">
        <f t="shared" si="3"/>
        <v>2712285</v>
      </c>
      <c r="H30" s="2">
        <f t="shared" si="4"/>
        <v>3119175</v>
      </c>
      <c r="I30" s="2" t="str">
        <f>IF(or(B30='Regional Details'!$A$5,B30='Regional Details'!$A$6,B30='Regional Details'!$A$7,B30='Regional Details'!$A$8),'Regional Details'!$B$2,if(OR(B30='Regional Details'!$D$5,B30='Regional Details'!$D$6,B30='Regional Details'!$D$7,B30='Regional Details'!$D$8),'Regional Details'!$E$2,if(or(B30='Regional Details'!$G$5,B30='Regional Details'!$G$6,B30='Regional Details'!$G$7,B30='Regional Details'!$G$8),'Regional Details'!$H$2,'Regional Details'!$K$2)))</f>
        <v>West</v>
      </c>
      <c r="J30" s="2" t="str">
        <f>if(I30='Regional Details'!$B$2,'Regional Details'!$B$3,if(I30='Regional Details'!$E$2,'Regional Details'!$E$3,if(I30='Regional Details'!$H$2,'Regional Details'!$H$3,'Regional Details'!$K$3)))</f>
        <v>Ajay Ghosh</v>
      </c>
      <c r="K30" s="8">
        <f t="array" ref="K30">IFERROR(XLOOKUP(B30,'Regional Details'!$A$5:$A$8,'Regional Details'!$B$5:$B$8),IFERROR(XLOOKUP(B30,'Regional Details'!$D$5:$D$8,'Regional Details'!$E$5:$E$8),IFERROR(xlookup(B30,'Regional Details'!$G$5:$G$8,'Regional Details'!$H$5:$H$8),XLOOKUP(B30,'Regional Details'!$J$5:$J$8,'Regional Details'!$K$5:$K$8))))</f>
        <v>0</v>
      </c>
      <c r="L30" s="2" t="str">
        <f>VLOOKUP(A30,MonthMapping!$A$2:$B$13,2,false)</f>
        <v>January</v>
      </c>
      <c r="M30" s="9">
        <f>if(C30=$C$2,Contribution_Old!$B$22,Contribution_Old!$B$23)</f>
        <v>55.84</v>
      </c>
      <c r="N30" s="9">
        <f>if(C30=$C$2,Contribution_New!$B$23,Contribution_New!$B$24)</f>
        <v>61.84</v>
      </c>
      <c r="O30" s="2">
        <f t="shared" ref="O30:P30" si="59">M30*D30</f>
        <v>1121881.44</v>
      </c>
      <c r="P30" s="2">
        <f t="shared" si="59"/>
        <v>1428813.2</v>
      </c>
      <c r="Q30" s="2">
        <f t="shared" ref="Q30:R30" si="60">G30-O30</f>
        <v>1590403.56</v>
      </c>
      <c r="R30" s="2">
        <f t="shared" si="60"/>
        <v>1690361.8</v>
      </c>
      <c r="S30" s="2"/>
      <c r="T30" s="2"/>
      <c r="U30" s="2"/>
      <c r="V30" s="2"/>
      <c r="W30" s="2"/>
      <c r="X30" s="2"/>
      <c r="Y30" s="2"/>
      <c r="Z30" s="2"/>
    </row>
    <row r="31">
      <c r="A31" s="2">
        <f>IFERROR(__xludf.DUMMYFUNCTION("""COMPUTED_VALUE"""),1.0)</f>
        <v>1</v>
      </c>
      <c r="B31" s="2" t="str">
        <f>IFERROR(__xludf.DUMMYFUNCTION("""COMPUTED_VALUE"""),"Jaipur")</f>
        <v>Jaipur</v>
      </c>
      <c r="C31" s="2" t="str">
        <f>IFERROR(__xludf.DUMMYFUNCTION("""COMPUTED_VALUE"""),"NutriKid")</f>
        <v>NutriKid</v>
      </c>
      <c r="D31" s="2">
        <f>IFERROR(__xludf.DUMMYFUNCTION("""COMPUTED_VALUE"""),15244.0)</f>
        <v>15244</v>
      </c>
      <c r="E31" s="2">
        <f>IFERROR(__xludf.DUMMYFUNCTION("""COMPUTED_VALUE"""),18598.0)</f>
        <v>18598</v>
      </c>
      <c r="F31" s="2" t="str">
        <f>IFERROR(__xludf.DUMMYFUNCTION("""COMPUTED_VALUE"""),"IPLMARKETTING")</f>
        <v>IPLMARKETTING</v>
      </c>
      <c r="G31" s="2">
        <f t="shared" si="3"/>
        <v>914640</v>
      </c>
      <c r="H31" s="2">
        <f t="shared" si="4"/>
        <v>1115880</v>
      </c>
      <c r="I31" s="2" t="str">
        <f>IF(or(B31='Regional Details'!$A$5,B31='Regional Details'!$A$6,B31='Regional Details'!$A$7,B31='Regional Details'!$A$8),'Regional Details'!$B$2,if(OR(B31='Regional Details'!$D$5,B31='Regional Details'!$D$6,B31='Regional Details'!$D$7,B31='Regional Details'!$D$8),'Regional Details'!$E$2,if(or(B31='Regional Details'!$G$5,B31='Regional Details'!$G$6,B31='Regional Details'!$G$7,B31='Regional Details'!$G$8),'Regional Details'!$H$2,'Regional Details'!$K$2)))</f>
        <v>West</v>
      </c>
      <c r="J31" s="2" t="str">
        <f>if(I31='Regional Details'!$B$2,'Regional Details'!$B$3,if(I31='Regional Details'!$E$2,'Regional Details'!$E$3,if(I31='Regional Details'!$H$2,'Regional Details'!$H$3,'Regional Details'!$K$3)))</f>
        <v>Ajay Ghosh</v>
      </c>
      <c r="K31" s="8">
        <f t="array" ref="K31">IFERROR(XLOOKUP(B31,'Regional Details'!$A$5:$A$8,'Regional Details'!$B$5:$B$8),IFERROR(XLOOKUP(B31,'Regional Details'!$D$5:$D$8,'Regional Details'!$E$5:$E$8),IFERROR(xlookup(B31,'Regional Details'!$G$5:$G$8,'Regional Details'!$H$5:$H$8),XLOOKUP(B31,'Regional Details'!$J$5:$J$8,'Regional Details'!$K$5:$K$8))))</f>
        <v>0</v>
      </c>
      <c r="L31" s="2" t="str">
        <f>VLOOKUP(A31,MonthMapping!$A$2:$B$13,2,false)</f>
        <v>January</v>
      </c>
      <c r="M31" s="9">
        <f>if(C31=$C$2,Contribution_Old!$B$22,Contribution_Old!$B$23)</f>
        <v>24.108</v>
      </c>
      <c r="N31" s="9">
        <f>if(C31=$C$2,Contribution_New!$B$23,Contribution_New!$B$24)</f>
        <v>30.108</v>
      </c>
      <c r="O31" s="2">
        <f t="shared" ref="O31:P31" si="61">M31*D31</f>
        <v>367502.352</v>
      </c>
      <c r="P31" s="2">
        <f t="shared" si="61"/>
        <v>559948.584</v>
      </c>
      <c r="Q31" s="2">
        <f t="shared" ref="Q31:R31" si="62">G31-O31</f>
        <v>547137.648</v>
      </c>
      <c r="R31" s="2">
        <f t="shared" si="62"/>
        <v>555931.416</v>
      </c>
      <c r="S31" s="2"/>
      <c r="T31" s="2"/>
      <c r="U31" s="2"/>
      <c r="V31" s="2"/>
      <c r="W31" s="2"/>
      <c r="X31" s="2"/>
      <c r="Y31" s="2"/>
      <c r="Z31" s="2"/>
    </row>
    <row r="32">
      <c r="A32" s="2">
        <f>IFERROR(__xludf.DUMMYFUNCTION("""COMPUTED_VALUE"""),1.0)</f>
        <v>1</v>
      </c>
      <c r="B32" s="2" t="str">
        <f>IFERROR(__xludf.DUMMYFUNCTION("""COMPUTED_VALUE"""),"Patna")</f>
        <v>Patna</v>
      </c>
      <c r="C32" s="2" t="str">
        <f>IFERROR(__xludf.DUMMYFUNCTION("""COMPUTED_VALUE"""),"ZestVita")</f>
        <v>ZestVita</v>
      </c>
      <c r="D32" s="2">
        <f>IFERROR(__xludf.DUMMYFUNCTION("""COMPUTED_VALUE"""),17316.0)</f>
        <v>17316</v>
      </c>
      <c r="E32" s="2">
        <f>IFERROR(__xludf.DUMMYFUNCTION("""COMPUTED_VALUE"""),19740.0)</f>
        <v>19740</v>
      </c>
      <c r="F32" s="2" t="str">
        <f>IFERROR(__xludf.DUMMYFUNCTION("""COMPUTED_VALUE"""),"IPLMARKETTING")</f>
        <v>IPLMARKETTING</v>
      </c>
      <c r="G32" s="2">
        <f t="shared" si="3"/>
        <v>2220777</v>
      </c>
      <c r="H32" s="2">
        <f t="shared" si="4"/>
        <v>2664900</v>
      </c>
      <c r="I32" s="2" t="str">
        <f>IF(or(B32='Regional Details'!$A$5,B32='Regional Details'!$A$6,B32='Regional Details'!$A$7,B32='Regional Details'!$A$8),'Regional Details'!$B$2,if(OR(B32='Regional Details'!$D$5,B32='Regional Details'!$D$6,B32='Regional Details'!$D$7,B32='Regional Details'!$D$8),'Regional Details'!$E$2,if(or(B32='Regional Details'!$G$5,B32='Regional Details'!$G$6,B32='Regional Details'!$G$7,B32='Regional Details'!$G$8),'Regional Details'!$H$2,'Regional Details'!$K$2)))</f>
        <v>East</v>
      </c>
      <c r="J32" s="2" t="str">
        <f>if(I32='Regional Details'!$B$2,'Regional Details'!$B$3,if(I32='Regional Details'!$E$2,'Regional Details'!$E$3,if(I32='Regional Details'!$H$2,'Regional Details'!$H$3,'Regional Details'!$K$3)))</f>
        <v>Tanvi Sharma</v>
      </c>
      <c r="K32" s="8">
        <f t="array" ref="K32">IFERROR(XLOOKUP(B32,'Regional Details'!$A$5:$A$8,'Regional Details'!$B$5:$B$8),IFERROR(XLOOKUP(B32,'Regional Details'!$D$5:$D$8,'Regional Details'!$E$5:$E$8),IFERROR(xlookup(B32,'Regional Details'!$G$5:$G$8,'Regional Details'!$H$5:$H$8),XLOOKUP(B32,'Regional Details'!$J$5:$J$8,'Regional Details'!$K$5:$K$8))))</f>
        <v>0.05</v>
      </c>
      <c r="L32" s="2" t="str">
        <f>VLOOKUP(A32,MonthMapping!$A$2:$B$13,2,false)</f>
        <v>January</v>
      </c>
      <c r="M32" s="9">
        <f>if(C32=$C$2,Contribution_Old!$B$22,Contribution_Old!$B$23)</f>
        <v>55.84</v>
      </c>
      <c r="N32" s="9">
        <f>if(C32=$C$2,Contribution_New!$B$23,Contribution_New!$B$24)</f>
        <v>61.84</v>
      </c>
      <c r="O32" s="2">
        <f t="shared" ref="O32:P32" si="63">M32*D32</f>
        <v>966925.44</v>
      </c>
      <c r="P32" s="2">
        <f t="shared" si="63"/>
        <v>1220721.6</v>
      </c>
      <c r="Q32" s="2">
        <f t="shared" ref="Q32:R32" si="64">G32-O32</f>
        <v>1253851.56</v>
      </c>
      <c r="R32" s="2">
        <f t="shared" si="64"/>
        <v>1444178.4</v>
      </c>
      <c r="S32" s="2"/>
      <c r="T32" s="2"/>
      <c r="U32" s="2"/>
      <c r="V32" s="2"/>
      <c r="W32" s="2"/>
      <c r="X32" s="2"/>
      <c r="Y32" s="2"/>
      <c r="Z32" s="2"/>
    </row>
    <row r="33">
      <c r="A33" s="2">
        <f>IFERROR(__xludf.DUMMYFUNCTION("""COMPUTED_VALUE"""),1.0)</f>
        <v>1</v>
      </c>
      <c r="B33" s="2" t="str">
        <f>IFERROR(__xludf.DUMMYFUNCTION("""COMPUTED_VALUE"""),"Patna")</f>
        <v>Patna</v>
      </c>
      <c r="C33" s="2" t="str">
        <f>IFERROR(__xludf.DUMMYFUNCTION("""COMPUTED_VALUE"""),"NutriKid")</f>
        <v>NutriKid</v>
      </c>
      <c r="D33" s="2">
        <f>IFERROR(__xludf.DUMMYFUNCTION("""COMPUTED_VALUE"""),22866.0)</f>
        <v>22866</v>
      </c>
      <c r="E33" s="2">
        <f>IFERROR(__xludf.DUMMYFUNCTION("""COMPUTED_VALUE"""),26982.0)</f>
        <v>26982</v>
      </c>
      <c r="F33" s="2" t="str">
        <f>IFERROR(__xludf.DUMMYFUNCTION("""COMPUTED_VALUE"""),"IPLMARKETTING")</f>
        <v>IPLMARKETTING</v>
      </c>
      <c r="G33" s="2">
        <f t="shared" si="3"/>
        <v>1303362</v>
      </c>
      <c r="H33" s="2">
        <f t="shared" si="4"/>
        <v>1618920</v>
      </c>
      <c r="I33" s="2" t="str">
        <f>IF(or(B33='Regional Details'!$A$5,B33='Regional Details'!$A$6,B33='Regional Details'!$A$7,B33='Regional Details'!$A$8),'Regional Details'!$B$2,if(OR(B33='Regional Details'!$D$5,B33='Regional Details'!$D$6,B33='Regional Details'!$D$7,B33='Regional Details'!$D$8),'Regional Details'!$E$2,if(or(B33='Regional Details'!$G$5,B33='Regional Details'!$G$6,B33='Regional Details'!$G$7,B33='Regional Details'!$G$8),'Regional Details'!$H$2,'Regional Details'!$K$2)))</f>
        <v>East</v>
      </c>
      <c r="J33" s="2" t="str">
        <f>if(I33='Regional Details'!$B$2,'Regional Details'!$B$3,if(I33='Regional Details'!$E$2,'Regional Details'!$E$3,if(I33='Regional Details'!$H$2,'Regional Details'!$H$3,'Regional Details'!$K$3)))</f>
        <v>Tanvi Sharma</v>
      </c>
      <c r="K33" s="8">
        <f t="array" ref="K33">IFERROR(XLOOKUP(B33,'Regional Details'!$A$5:$A$8,'Regional Details'!$B$5:$B$8),IFERROR(XLOOKUP(B33,'Regional Details'!$D$5:$D$8,'Regional Details'!$E$5:$E$8),IFERROR(xlookup(B33,'Regional Details'!$G$5:$G$8,'Regional Details'!$H$5:$H$8),XLOOKUP(B33,'Regional Details'!$J$5:$J$8,'Regional Details'!$K$5:$K$8))))</f>
        <v>0.05</v>
      </c>
      <c r="L33" s="2" t="str">
        <f>VLOOKUP(A33,MonthMapping!$A$2:$B$13,2,false)</f>
        <v>January</v>
      </c>
      <c r="M33" s="9">
        <f>if(C33=$C$2,Contribution_Old!$B$22,Contribution_Old!$B$23)</f>
        <v>24.108</v>
      </c>
      <c r="N33" s="9">
        <f>if(C33=$C$2,Contribution_New!$B$23,Contribution_New!$B$24)</f>
        <v>30.108</v>
      </c>
      <c r="O33" s="2">
        <f t="shared" ref="O33:P33" si="65">M33*D33</f>
        <v>551253.528</v>
      </c>
      <c r="P33" s="2">
        <f t="shared" si="65"/>
        <v>812374.056</v>
      </c>
      <c r="Q33" s="2">
        <f t="shared" ref="Q33:R33" si="66">G33-O33</f>
        <v>752108.472</v>
      </c>
      <c r="R33" s="2">
        <f t="shared" si="66"/>
        <v>806545.944</v>
      </c>
      <c r="S33" s="2"/>
      <c r="T33" s="2"/>
      <c r="U33" s="2"/>
      <c r="V33" s="2"/>
      <c r="W33" s="2"/>
      <c r="X33" s="2"/>
      <c r="Y33" s="2"/>
      <c r="Z33" s="2"/>
    </row>
    <row r="34">
      <c r="A34" s="2">
        <f>IFERROR(__xludf.DUMMYFUNCTION("""COMPUTED_VALUE"""),2.0)</f>
        <v>2</v>
      </c>
      <c r="B34" s="2" t="str">
        <f>IFERROR(__xludf.DUMMYFUNCTION("""COMPUTED_VALUE"""),"Delhi")</f>
        <v>Delhi</v>
      </c>
      <c r="C34" s="2" t="str">
        <f>IFERROR(__xludf.DUMMYFUNCTION("""COMPUTED_VALUE"""),"ZestVita")</f>
        <v>ZestVita</v>
      </c>
      <c r="D34" s="2">
        <f>IFERROR(__xludf.DUMMYFUNCTION("""COMPUTED_VALUE"""),24722.0)</f>
        <v>24722</v>
      </c>
      <c r="E34" s="2">
        <f>IFERROR(__xludf.DUMMYFUNCTION("""COMPUTED_VALUE"""),27441.0)</f>
        <v>27441</v>
      </c>
      <c r="F34" s="2" t="str">
        <f>IFERROR(__xludf.DUMMYFUNCTION("""COMPUTED_VALUE"""),"IPLMARKETTING")</f>
        <v>IPLMARKETTING</v>
      </c>
      <c r="G34" s="2">
        <f t="shared" si="3"/>
        <v>3337470</v>
      </c>
      <c r="H34" s="2">
        <f t="shared" si="4"/>
        <v>3704535</v>
      </c>
      <c r="I34" s="2" t="str">
        <f>IF(or(B34='Regional Details'!$A$5,B34='Regional Details'!$A$6,B34='Regional Details'!$A$7,B34='Regional Details'!$A$8),'Regional Details'!$B$2,if(OR(B34='Regional Details'!$D$5,B34='Regional Details'!$D$6,B34='Regional Details'!$D$7,B34='Regional Details'!$D$8),'Regional Details'!$E$2,if(or(B34='Regional Details'!$G$5,B34='Regional Details'!$G$6,B34='Regional Details'!$G$7,B34='Regional Details'!$G$8),'Regional Details'!$H$2,'Regional Details'!$K$2)))</f>
        <v>North</v>
      </c>
      <c r="J34" s="2" t="str">
        <f>if(I34='Regional Details'!$B$2,'Regional Details'!$B$3,if(I34='Regional Details'!$E$2,'Regional Details'!$E$3,if(I34='Regional Details'!$H$2,'Regional Details'!$H$3,'Regional Details'!$K$3)))</f>
        <v>Ajay Kumar</v>
      </c>
      <c r="K34" s="8">
        <f t="array" ref="K34">IFERROR(XLOOKUP(B34,'Regional Details'!$A$5:$A$8,'Regional Details'!$B$5:$B$8),IFERROR(XLOOKUP(B34,'Regional Details'!$D$5:$D$8,'Regional Details'!$E$5:$E$8),IFERROR(xlookup(B34,'Regional Details'!$G$5:$G$8,'Regional Details'!$H$5:$H$8),XLOOKUP(B34,'Regional Details'!$J$5:$J$8,'Regional Details'!$K$5:$K$8))))</f>
        <v>0</v>
      </c>
      <c r="L34" s="2" t="str">
        <f>VLOOKUP(A34,MonthMapping!$A$2:$B$13,2,false)</f>
        <v>February</v>
      </c>
      <c r="M34" s="9">
        <f>if(C34=$C$2,Contribution_Old!$B$22,Contribution_Old!$B$23)</f>
        <v>55.84</v>
      </c>
      <c r="N34" s="9">
        <f>if(C34=$C$2,Contribution_New!$B$23,Contribution_New!$B$24)</f>
        <v>61.84</v>
      </c>
      <c r="O34" s="2">
        <f t="shared" ref="O34:P34" si="67">M34*D34</f>
        <v>1380476.48</v>
      </c>
      <c r="P34" s="2">
        <f t="shared" si="67"/>
        <v>1696951.44</v>
      </c>
      <c r="Q34" s="2">
        <f t="shared" ref="Q34:R34" si="68">G34-O34</f>
        <v>1956993.52</v>
      </c>
      <c r="R34" s="2">
        <f t="shared" si="68"/>
        <v>2007583.56</v>
      </c>
      <c r="S34" s="2"/>
      <c r="T34" s="2"/>
      <c r="U34" s="2"/>
      <c r="V34" s="2"/>
      <c r="W34" s="2"/>
      <c r="X34" s="2"/>
      <c r="Y34" s="2"/>
      <c r="Z34" s="2"/>
    </row>
    <row r="35">
      <c r="A35" s="2">
        <f>IFERROR(__xludf.DUMMYFUNCTION("""COMPUTED_VALUE"""),2.0)</f>
        <v>2</v>
      </c>
      <c r="B35" s="2" t="str">
        <f>IFERROR(__xludf.DUMMYFUNCTION("""COMPUTED_VALUE"""),"Delhi")</f>
        <v>Delhi</v>
      </c>
      <c r="C35" s="2" t="str">
        <f>IFERROR(__xludf.DUMMYFUNCTION("""COMPUTED_VALUE"""),"NutriKid")</f>
        <v>NutriKid</v>
      </c>
      <c r="D35" s="2">
        <f>IFERROR(__xludf.DUMMYFUNCTION("""COMPUTED_VALUE"""),19148.0)</f>
        <v>19148</v>
      </c>
      <c r="E35" s="2">
        <f>IFERROR(__xludf.DUMMYFUNCTION("""COMPUTED_VALUE"""),23361.0)</f>
        <v>23361</v>
      </c>
      <c r="F35" s="2" t="str">
        <f>IFERROR(__xludf.DUMMYFUNCTION("""COMPUTED_VALUE"""),"IPLMARKETTING")</f>
        <v>IPLMARKETTING</v>
      </c>
      <c r="G35" s="2">
        <f t="shared" si="3"/>
        <v>1148880</v>
      </c>
      <c r="H35" s="2">
        <f t="shared" si="4"/>
        <v>1401660</v>
      </c>
      <c r="I35" s="2" t="str">
        <f>IF(or(B35='Regional Details'!$A$5,B35='Regional Details'!$A$6,B35='Regional Details'!$A$7,B35='Regional Details'!$A$8),'Regional Details'!$B$2,if(OR(B35='Regional Details'!$D$5,B35='Regional Details'!$D$6,B35='Regional Details'!$D$7,B35='Regional Details'!$D$8),'Regional Details'!$E$2,if(or(B35='Regional Details'!$G$5,B35='Regional Details'!$G$6,B35='Regional Details'!$G$7,B35='Regional Details'!$G$8),'Regional Details'!$H$2,'Regional Details'!$K$2)))</f>
        <v>North</v>
      </c>
      <c r="J35" s="2" t="str">
        <f>if(I35='Regional Details'!$B$2,'Regional Details'!$B$3,if(I35='Regional Details'!$E$2,'Regional Details'!$E$3,if(I35='Regional Details'!$H$2,'Regional Details'!$H$3,'Regional Details'!$K$3)))</f>
        <v>Ajay Kumar</v>
      </c>
      <c r="K35" s="8">
        <f t="array" ref="K35">IFERROR(XLOOKUP(B35,'Regional Details'!$A$5:$A$8,'Regional Details'!$B$5:$B$8),IFERROR(XLOOKUP(B35,'Regional Details'!$D$5:$D$8,'Regional Details'!$E$5:$E$8),IFERROR(xlookup(B35,'Regional Details'!$G$5:$G$8,'Regional Details'!$H$5:$H$8),XLOOKUP(B35,'Regional Details'!$J$5:$J$8,'Regional Details'!$K$5:$K$8))))</f>
        <v>0</v>
      </c>
      <c r="L35" s="2" t="str">
        <f>VLOOKUP(A35,MonthMapping!$A$2:$B$13,2,false)</f>
        <v>February</v>
      </c>
      <c r="M35" s="9">
        <f>if(C35=$C$2,Contribution_Old!$B$22,Contribution_Old!$B$23)</f>
        <v>24.108</v>
      </c>
      <c r="N35" s="9">
        <f>if(C35=$C$2,Contribution_New!$B$23,Contribution_New!$B$24)</f>
        <v>30.108</v>
      </c>
      <c r="O35" s="2">
        <f t="shared" ref="O35:P35" si="69">M35*D35</f>
        <v>461619.984</v>
      </c>
      <c r="P35" s="2">
        <f t="shared" si="69"/>
        <v>703352.988</v>
      </c>
      <c r="Q35" s="2">
        <f t="shared" ref="Q35:R35" si="70">G35-O35</f>
        <v>687260.016</v>
      </c>
      <c r="R35" s="2">
        <f t="shared" si="70"/>
        <v>698307.012</v>
      </c>
      <c r="S35" s="2"/>
      <c r="T35" s="2"/>
      <c r="U35" s="2"/>
      <c r="V35" s="2"/>
      <c r="W35" s="2"/>
      <c r="X35" s="2"/>
      <c r="Y35" s="2"/>
      <c r="Z35" s="2"/>
    </row>
    <row r="36">
      <c r="A36" s="2">
        <f>IFERROR(__xludf.DUMMYFUNCTION("""COMPUTED_VALUE"""),2.0)</f>
        <v>2</v>
      </c>
      <c r="B36" s="2" t="str">
        <f>IFERROR(__xludf.DUMMYFUNCTION("""COMPUTED_VALUE"""),"Kolkata")</f>
        <v>Kolkata</v>
      </c>
      <c r="C36" s="2" t="str">
        <f>IFERROR(__xludf.DUMMYFUNCTION("""COMPUTED_VALUE"""),"ZestVita")</f>
        <v>ZestVita</v>
      </c>
      <c r="D36" s="2">
        <f>IFERROR(__xludf.DUMMYFUNCTION("""COMPUTED_VALUE"""),13535.0)</f>
        <v>13535</v>
      </c>
      <c r="E36" s="2">
        <f>IFERROR(__xludf.DUMMYFUNCTION("""COMPUTED_VALUE"""),15159.0)</f>
        <v>15159</v>
      </c>
      <c r="F36" s="2" t="str">
        <f>IFERROR(__xludf.DUMMYFUNCTION("""COMPUTED_VALUE"""),"IPLMARKETTING")</f>
        <v>IPLMARKETTING</v>
      </c>
      <c r="G36" s="2">
        <f t="shared" si="3"/>
        <v>1827225</v>
      </c>
      <c r="H36" s="2">
        <f t="shared" si="4"/>
        <v>2046465</v>
      </c>
      <c r="I36" s="2" t="str">
        <f>IF(or(B36='Regional Details'!$A$5,B36='Regional Details'!$A$6,B36='Regional Details'!$A$7,B36='Regional Details'!$A$8),'Regional Details'!$B$2,if(OR(B36='Regional Details'!$D$5,B36='Regional Details'!$D$6,B36='Regional Details'!$D$7,B36='Regional Details'!$D$8),'Regional Details'!$E$2,if(or(B36='Regional Details'!$G$5,B36='Regional Details'!$G$6,B36='Regional Details'!$G$7,B36='Regional Details'!$G$8),'Regional Details'!$H$2,'Regional Details'!$K$2)))</f>
        <v>East</v>
      </c>
      <c r="J36" s="2" t="str">
        <f>if(I36='Regional Details'!$B$2,'Regional Details'!$B$3,if(I36='Regional Details'!$E$2,'Regional Details'!$E$3,if(I36='Regional Details'!$H$2,'Regional Details'!$H$3,'Regional Details'!$K$3)))</f>
        <v>Tanvi Sharma</v>
      </c>
      <c r="K36" s="8">
        <f t="array" ref="K36">IFERROR(XLOOKUP(B36,'Regional Details'!$A$5:$A$8,'Regional Details'!$B$5:$B$8),IFERROR(XLOOKUP(B36,'Regional Details'!$D$5:$D$8,'Regional Details'!$E$5:$E$8),IFERROR(xlookup(B36,'Regional Details'!$G$5:$G$8,'Regional Details'!$H$5:$H$8),XLOOKUP(B36,'Regional Details'!$J$5:$J$8,'Regional Details'!$K$5:$K$8))))</f>
        <v>0</v>
      </c>
      <c r="L36" s="2" t="str">
        <f>VLOOKUP(A36,MonthMapping!$A$2:$B$13,2,false)</f>
        <v>February</v>
      </c>
      <c r="M36" s="9">
        <f>if(C36=$C$2,Contribution_Old!$B$22,Contribution_Old!$B$23)</f>
        <v>55.84</v>
      </c>
      <c r="N36" s="9">
        <f>if(C36=$C$2,Contribution_New!$B$23,Contribution_New!$B$24)</f>
        <v>61.84</v>
      </c>
      <c r="O36" s="2">
        <f t="shared" ref="O36:P36" si="71">M36*D36</f>
        <v>755794.4</v>
      </c>
      <c r="P36" s="2">
        <f t="shared" si="71"/>
        <v>937432.56</v>
      </c>
      <c r="Q36" s="2">
        <f t="shared" ref="Q36:R36" si="72">G36-O36</f>
        <v>1071430.6</v>
      </c>
      <c r="R36" s="2">
        <f t="shared" si="72"/>
        <v>1109032.44</v>
      </c>
      <c r="S36" s="2"/>
      <c r="T36" s="2"/>
      <c r="U36" s="2"/>
      <c r="V36" s="2"/>
      <c r="W36" s="2"/>
      <c r="X36" s="2"/>
      <c r="Y36" s="2"/>
      <c r="Z36" s="2"/>
    </row>
    <row r="37">
      <c r="A37" s="2">
        <f>IFERROR(__xludf.DUMMYFUNCTION("""COMPUTED_VALUE"""),2.0)</f>
        <v>2</v>
      </c>
      <c r="B37" s="2" t="str">
        <f>IFERROR(__xludf.DUMMYFUNCTION("""COMPUTED_VALUE"""),"Kolkata")</f>
        <v>Kolkata</v>
      </c>
      <c r="C37" s="2" t="str">
        <f>IFERROR(__xludf.DUMMYFUNCTION("""COMPUTED_VALUE"""),"NutriKid")</f>
        <v>NutriKid</v>
      </c>
      <c r="D37" s="2">
        <f>IFERROR(__xludf.DUMMYFUNCTION("""COMPUTED_VALUE"""),25924.0)</f>
        <v>25924</v>
      </c>
      <c r="E37" s="2">
        <f>IFERROR(__xludf.DUMMYFUNCTION("""COMPUTED_VALUE"""),30072.0)</f>
        <v>30072</v>
      </c>
      <c r="F37" s="2" t="str">
        <f>IFERROR(__xludf.DUMMYFUNCTION("""COMPUTED_VALUE"""),"IPLMARKETTING")</f>
        <v>IPLMARKETTING</v>
      </c>
      <c r="G37" s="2">
        <f t="shared" si="3"/>
        <v>1555440</v>
      </c>
      <c r="H37" s="2">
        <f t="shared" si="4"/>
        <v>1804320</v>
      </c>
      <c r="I37" s="2" t="str">
        <f>IF(or(B37='Regional Details'!$A$5,B37='Regional Details'!$A$6,B37='Regional Details'!$A$7,B37='Regional Details'!$A$8),'Regional Details'!$B$2,if(OR(B37='Regional Details'!$D$5,B37='Regional Details'!$D$6,B37='Regional Details'!$D$7,B37='Regional Details'!$D$8),'Regional Details'!$E$2,if(or(B37='Regional Details'!$G$5,B37='Regional Details'!$G$6,B37='Regional Details'!$G$7,B37='Regional Details'!$G$8),'Regional Details'!$H$2,'Regional Details'!$K$2)))</f>
        <v>East</v>
      </c>
      <c r="J37" s="2" t="str">
        <f>if(I37='Regional Details'!$B$2,'Regional Details'!$B$3,if(I37='Regional Details'!$E$2,'Regional Details'!$E$3,if(I37='Regional Details'!$H$2,'Regional Details'!$H$3,'Regional Details'!$K$3)))</f>
        <v>Tanvi Sharma</v>
      </c>
      <c r="K37" s="8">
        <f t="array" ref="K37">IFERROR(XLOOKUP(B37,'Regional Details'!$A$5:$A$8,'Regional Details'!$B$5:$B$8),IFERROR(XLOOKUP(B37,'Regional Details'!$D$5:$D$8,'Regional Details'!$E$5:$E$8),IFERROR(xlookup(B37,'Regional Details'!$G$5:$G$8,'Regional Details'!$H$5:$H$8),XLOOKUP(B37,'Regional Details'!$J$5:$J$8,'Regional Details'!$K$5:$K$8))))</f>
        <v>0</v>
      </c>
      <c r="L37" s="2" t="str">
        <f>VLOOKUP(A37,MonthMapping!$A$2:$B$13,2,false)</f>
        <v>February</v>
      </c>
      <c r="M37" s="9">
        <f>if(C37=$C$2,Contribution_Old!$B$22,Contribution_Old!$B$23)</f>
        <v>24.108</v>
      </c>
      <c r="N37" s="9">
        <f>if(C37=$C$2,Contribution_New!$B$23,Contribution_New!$B$24)</f>
        <v>30.108</v>
      </c>
      <c r="O37" s="2">
        <f t="shared" ref="O37:P37" si="73">M37*D37</f>
        <v>624975.792</v>
      </c>
      <c r="P37" s="2">
        <f t="shared" si="73"/>
        <v>905407.776</v>
      </c>
      <c r="Q37" s="2">
        <f t="shared" ref="Q37:R37" si="74">G37-O37</f>
        <v>930464.208</v>
      </c>
      <c r="R37" s="2">
        <f t="shared" si="74"/>
        <v>898912.224</v>
      </c>
      <c r="S37" s="2"/>
      <c r="T37" s="2"/>
      <c r="U37" s="2"/>
      <c r="V37" s="2"/>
      <c r="W37" s="2"/>
      <c r="X37" s="2"/>
      <c r="Y37" s="2"/>
      <c r="Z37" s="2"/>
    </row>
    <row r="38">
      <c r="A38" s="2">
        <f>IFERROR(__xludf.DUMMYFUNCTION("""COMPUTED_VALUE"""),2.0)</f>
        <v>2</v>
      </c>
      <c r="B38" s="2" t="str">
        <f>IFERROR(__xludf.DUMMYFUNCTION("""COMPUTED_VALUE"""),"Pune")</f>
        <v>Pune</v>
      </c>
      <c r="C38" s="2" t="str">
        <f>IFERROR(__xludf.DUMMYFUNCTION("""COMPUTED_VALUE"""),"ZestVita")</f>
        <v>ZestVita</v>
      </c>
      <c r="D38" s="2">
        <f>IFERROR(__xludf.DUMMYFUNCTION("""COMPUTED_VALUE"""),15923.0)</f>
        <v>15923</v>
      </c>
      <c r="E38" s="2">
        <f>IFERROR(__xludf.DUMMYFUNCTION("""COMPUTED_VALUE"""),19267.0)</f>
        <v>19267</v>
      </c>
      <c r="F38" s="2" t="str">
        <f>IFERROR(__xludf.DUMMYFUNCTION("""COMPUTED_VALUE"""),"IPLMARKETTING")</f>
        <v>IPLMARKETTING</v>
      </c>
      <c r="G38" s="2">
        <f t="shared" si="3"/>
        <v>2149605</v>
      </c>
      <c r="H38" s="2">
        <f t="shared" si="4"/>
        <v>2601045</v>
      </c>
      <c r="I38" s="2" t="str">
        <f>IF(or(B38='Regional Details'!$A$5,B38='Regional Details'!$A$6,B38='Regional Details'!$A$7,B38='Regional Details'!$A$8),'Regional Details'!$B$2,if(OR(B38='Regional Details'!$D$5,B38='Regional Details'!$D$6,B38='Regional Details'!$D$7,B38='Regional Details'!$D$8),'Regional Details'!$E$2,if(or(B38='Regional Details'!$G$5,B38='Regional Details'!$G$6,B38='Regional Details'!$G$7,B38='Regional Details'!$G$8),'Regional Details'!$H$2,'Regional Details'!$K$2)))</f>
        <v>West</v>
      </c>
      <c r="J38" s="2" t="str">
        <f>if(I38='Regional Details'!$B$2,'Regional Details'!$B$3,if(I38='Regional Details'!$E$2,'Regional Details'!$E$3,if(I38='Regional Details'!$H$2,'Regional Details'!$H$3,'Regional Details'!$K$3)))</f>
        <v>Ajay Ghosh</v>
      </c>
      <c r="K38" s="8">
        <f t="array" ref="K38">IFERROR(XLOOKUP(B38,'Regional Details'!$A$5:$A$8,'Regional Details'!$B$5:$B$8),IFERROR(XLOOKUP(B38,'Regional Details'!$D$5:$D$8,'Regional Details'!$E$5:$E$8),IFERROR(xlookup(B38,'Regional Details'!$G$5:$G$8,'Regional Details'!$H$5:$H$8),XLOOKUP(B38,'Regional Details'!$J$5:$J$8,'Regional Details'!$K$5:$K$8))))</f>
        <v>0</v>
      </c>
      <c r="L38" s="2" t="str">
        <f>VLOOKUP(A38,MonthMapping!$A$2:$B$13,2,false)</f>
        <v>February</v>
      </c>
      <c r="M38" s="9">
        <f>if(C38=$C$2,Contribution_Old!$B$22,Contribution_Old!$B$23)</f>
        <v>55.84</v>
      </c>
      <c r="N38" s="9">
        <f>if(C38=$C$2,Contribution_New!$B$23,Contribution_New!$B$24)</f>
        <v>61.84</v>
      </c>
      <c r="O38" s="2">
        <f t="shared" ref="O38:P38" si="75">M38*D38</f>
        <v>889140.32</v>
      </c>
      <c r="P38" s="2">
        <f t="shared" si="75"/>
        <v>1191471.28</v>
      </c>
      <c r="Q38" s="2">
        <f t="shared" ref="Q38:R38" si="76">G38-O38</f>
        <v>1260464.68</v>
      </c>
      <c r="R38" s="2">
        <f t="shared" si="76"/>
        <v>1409573.72</v>
      </c>
      <c r="S38" s="2"/>
      <c r="T38" s="2"/>
      <c r="U38" s="2"/>
      <c r="V38" s="2"/>
      <c r="W38" s="2"/>
      <c r="X38" s="2"/>
      <c r="Y38" s="2"/>
      <c r="Z38" s="2"/>
    </row>
    <row r="39">
      <c r="A39" s="2">
        <f>IFERROR(__xludf.DUMMYFUNCTION("""COMPUTED_VALUE"""),2.0)</f>
        <v>2</v>
      </c>
      <c r="B39" s="2" t="str">
        <f>IFERROR(__xludf.DUMMYFUNCTION("""COMPUTED_VALUE"""),"Pune")</f>
        <v>Pune</v>
      </c>
      <c r="C39" s="2" t="str">
        <f>IFERROR(__xludf.DUMMYFUNCTION("""COMPUTED_VALUE"""),"NutriKid")</f>
        <v>NutriKid</v>
      </c>
      <c r="D39" s="2">
        <f>IFERROR(__xludf.DUMMYFUNCTION("""COMPUTED_VALUE"""),18643.0)</f>
        <v>18643</v>
      </c>
      <c r="E39" s="2">
        <f>IFERROR(__xludf.DUMMYFUNCTION("""COMPUTED_VALUE"""),21626.0)</f>
        <v>21626</v>
      </c>
      <c r="F39" s="2" t="str">
        <f>IFERROR(__xludf.DUMMYFUNCTION("""COMPUTED_VALUE"""),"IPLMARKETTING")</f>
        <v>IPLMARKETTING</v>
      </c>
      <c r="G39" s="2">
        <f t="shared" si="3"/>
        <v>1118580</v>
      </c>
      <c r="H39" s="2">
        <f t="shared" si="4"/>
        <v>1297560</v>
      </c>
      <c r="I39" s="2" t="str">
        <f>IF(or(B39='Regional Details'!$A$5,B39='Regional Details'!$A$6,B39='Regional Details'!$A$7,B39='Regional Details'!$A$8),'Regional Details'!$B$2,if(OR(B39='Regional Details'!$D$5,B39='Regional Details'!$D$6,B39='Regional Details'!$D$7,B39='Regional Details'!$D$8),'Regional Details'!$E$2,if(or(B39='Regional Details'!$G$5,B39='Regional Details'!$G$6,B39='Regional Details'!$G$7,B39='Regional Details'!$G$8),'Regional Details'!$H$2,'Regional Details'!$K$2)))</f>
        <v>West</v>
      </c>
      <c r="J39" s="2" t="str">
        <f>if(I39='Regional Details'!$B$2,'Regional Details'!$B$3,if(I39='Regional Details'!$E$2,'Regional Details'!$E$3,if(I39='Regional Details'!$H$2,'Regional Details'!$H$3,'Regional Details'!$K$3)))</f>
        <v>Ajay Ghosh</v>
      </c>
      <c r="K39" s="8">
        <f t="array" ref="K39">IFERROR(XLOOKUP(B39,'Regional Details'!$A$5:$A$8,'Regional Details'!$B$5:$B$8),IFERROR(XLOOKUP(B39,'Regional Details'!$D$5:$D$8,'Regional Details'!$E$5:$E$8),IFERROR(xlookup(B39,'Regional Details'!$G$5:$G$8,'Regional Details'!$H$5:$H$8),XLOOKUP(B39,'Regional Details'!$J$5:$J$8,'Regional Details'!$K$5:$K$8))))</f>
        <v>0</v>
      </c>
      <c r="L39" s="2" t="str">
        <f>VLOOKUP(A39,MonthMapping!$A$2:$B$13,2,false)</f>
        <v>February</v>
      </c>
      <c r="M39" s="9">
        <f>if(C39=$C$2,Contribution_Old!$B$22,Contribution_Old!$B$23)</f>
        <v>24.108</v>
      </c>
      <c r="N39" s="9">
        <f>if(C39=$C$2,Contribution_New!$B$23,Contribution_New!$B$24)</f>
        <v>30.108</v>
      </c>
      <c r="O39" s="2">
        <f t="shared" ref="O39:P39" si="77">M39*D39</f>
        <v>449445.444</v>
      </c>
      <c r="P39" s="2">
        <f t="shared" si="77"/>
        <v>651115.608</v>
      </c>
      <c r="Q39" s="2">
        <f t="shared" ref="Q39:R39" si="78">G39-O39</f>
        <v>669134.556</v>
      </c>
      <c r="R39" s="2">
        <f t="shared" si="78"/>
        <v>646444.392</v>
      </c>
      <c r="S39" s="2"/>
      <c r="T39" s="2"/>
      <c r="U39" s="2"/>
      <c r="V39" s="2"/>
      <c r="W39" s="2"/>
      <c r="X39" s="2"/>
      <c r="Y39" s="2"/>
      <c r="Z39" s="2"/>
    </row>
    <row r="40">
      <c r="A40" s="2">
        <f>IFERROR(__xludf.DUMMYFUNCTION("""COMPUTED_VALUE"""),2.0)</f>
        <v>2</v>
      </c>
      <c r="B40" s="2" t="str">
        <f>IFERROR(__xludf.DUMMYFUNCTION("""COMPUTED_VALUE"""),"Bengaluru")</f>
        <v>Bengaluru</v>
      </c>
      <c r="C40" s="2" t="str">
        <f>IFERROR(__xludf.DUMMYFUNCTION("""COMPUTED_VALUE"""),"ZestVita")</f>
        <v>ZestVita</v>
      </c>
      <c r="D40" s="2">
        <f>IFERROR(__xludf.DUMMYFUNCTION("""COMPUTED_VALUE"""),29296.0)</f>
        <v>29296</v>
      </c>
      <c r="E40" s="2">
        <f>IFERROR(__xludf.DUMMYFUNCTION("""COMPUTED_VALUE"""),32812.0)</f>
        <v>32812</v>
      </c>
      <c r="F40" s="2" t="str">
        <f>IFERROR(__xludf.DUMMYFUNCTION("""COMPUTED_VALUE"""),"IPLMARKETTING")</f>
        <v>IPLMARKETTING</v>
      </c>
      <c r="G40" s="2">
        <f t="shared" si="3"/>
        <v>3954960</v>
      </c>
      <c r="H40" s="2">
        <f t="shared" si="4"/>
        <v>4429620</v>
      </c>
      <c r="I40" s="2" t="str">
        <f>IF(or(B40='Regional Details'!$A$5,B40='Regional Details'!$A$6,B40='Regional Details'!$A$7,B40='Regional Details'!$A$8),'Regional Details'!$B$2,if(OR(B40='Regional Details'!$D$5,B40='Regional Details'!$D$6,B40='Regional Details'!$D$7,B40='Regional Details'!$D$8),'Regional Details'!$E$2,if(or(B40='Regional Details'!$G$5,B40='Regional Details'!$G$6,B40='Regional Details'!$G$7,B40='Regional Details'!$G$8),'Regional Details'!$H$2,'Regional Details'!$K$2)))</f>
        <v>South</v>
      </c>
      <c r="J40" s="2" t="str">
        <f>if(I40='Regional Details'!$B$2,'Regional Details'!$B$3,if(I40='Regional Details'!$E$2,'Regional Details'!$E$3,if(I40='Regional Details'!$H$2,'Regional Details'!$H$3,'Regional Details'!$K$3)))</f>
        <v>Anjali Krishna Murthy</v>
      </c>
      <c r="K40" s="8">
        <f t="array" ref="K40">IFERROR(XLOOKUP(B40,'Regional Details'!$A$5:$A$8,'Regional Details'!$B$5:$B$8),IFERROR(XLOOKUP(B40,'Regional Details'!$D$5:$D$8,'Regional Details'!$E$5:$E$8),IFERROR(xlookup(B40,'Regional Details'!$G$5:$G$8,'Regional Details'!$H$5:$H$8),XLOOKUP(B40,'Regional Details'!$J$5:$J$8,'Regional Details'!$K$5:$K$8))))</f>
        <v>0</v>
      </c>
      <c r="L40" s="2" t="str">
        <f>VLOOKUP(A40,MonthMapping!$A$2:$B$13,2,false)</f>
        <v>February</v>
      </c>
      <c r="M40" s="9">
        <f>if(C40=$C$2,Contribution_Old!$B$22,Contribution_Old!$B$23)</f>
        <v>55.84</v>
      </c>
      <c r="N40" s="9">
        <f>if(C40=$C$2,Contribution_New!$B$23,Contribution_New!$B$24)</f>
        <v>61.84</v>
      </c>
      <c r="O40" s="2">
        <f t="shared" ref="O40:P40" si="79">M40*D40</f>
        <v>1635888.64</v>
      </c>
      <c r="P40" s="2">
        <f t="shared" si="79"/>
        <v>2029094.08</v>
      </c>
      <c r="Q40" s="2">
        <f t="shared" ref="Q40:R40" si="80">G40-O40</f>
        <v>2319071.36</v>
      </c>
      <c r="R40" s="2">
        <f t="shared" si="80"/>
        <v>2400525.92</v>
      </c>
      <c r="S40" s="2"/>
      <c r="T40" s="2"/>
      <c r="U40" s="2"/>
      <c r="V40" s="2"/>
      <c r="W40" s="2"/>
      <c r="X40" s="2"/>
      <c r="Y40" s="2"/>
      <c r="Z40" s="2"/>
    </row>
    <row r="41">
      <c r="A41" s="2">
        <f>IFERROR(__xludf.DUMMYFUNCTION("""COMPUTED_VALUE"""),2.0)</f>
        <v>2</v>
      </c>
      <c r="B41" s="2" t="str">
        <f>IFERROR(__xludf.DUMMYFUNCTION("""COMPUTED_VALUE"""),"Bengaluru")</f>
        <v>Bengaluru</v>
      </c>
      <c r="C41" s="2" t="str">
        <f>IFERROR(__xludf.DUMMYFUNCTION("""COMPUTED_VALUE"""),"NutriKid")</f>
        <v>NutriKid</v>
      </c>
      <c r="D41" s="2">
        <f>IFERROR(__xludf.DUMMYFUNCTION("""COMPUTED_VALUE"""),15623.0)</f>
        <v>15623</v>
      </c>
      <c r="E41" s="2">
        <f>IFERROR(__xludf.DUMMYFUNCTION("""COMPUTED_VALUE"""),18748.0)</f>
        <v>18748</v>
      </c>
      <c r="F41" s="2" t="str">
        <f>IFERROR(__xludf.DUMMYFUNCTION("""COMPUTED_VALUE"""),"IPLMARKETTING")</f>
        <v>IPLMARKETTING</v>
      </c>
      <c r="G41" s="2">
        <f t="shared" si="3"/>
        <v>937380</v>
      </c>
      <c r="H41" s="2">
        <f t="shared" si="4"/>
        <v>1124880</v>
      </c>
      <c r="I41" s="2" t="str">
        <f>IF(or(B41='Regional Details'!$A$5,B41='Regional Details'!$A$6,B41='Regional Details'!$A$7,B41='Regional Details'!$A$8),'Regional Details'!$B$2,if(OR(B41='Regional Details'!$D$5,B41='Regional Details'!$D$6,B41='Regional Details'!$D$7,B41='Regional Details'!$D$8),'Regional Details'!$E$2,if(or(B41='Regional Details'!$G$5,B41='Regional Details'!$G$6,B41='Regional Details'!$G$7,B41='Regional Details'!$G$8),'Regional Details'!$H$2,'Regional Details'!$K$2)))</f>
        <v>South</v>
      </c>
      <c r="J41" s="2" t="str">
        <f>if(I41='Regional Details'!$B$2,'Regional Details'!$B$3,if(I41='Regional Details'!$E$2,'Regional Details'!$E$3,if(I41='Regional Details'!$H$2,'Regional Details'!$H$3,'Regional Details'!$K$3)))</f>
        <v>Anjali Krishna Murthy</v>
      </c>
      <c r="K41" s="8">
        <f t="array" ref="K41">IFERROR(XLOOKUP(B41,'Regional Details'!$A$5:$A$8,'Regional Details'!$B$5:$B$8),IFERROR(XLOOKUP(B41,'Regional Details'!$D$5:$D$8,'Regional Details'!$E$5:$E$8),IFERROR(xlookup(B41,'Regional Details'!$G$5:$G$8,'Regional Details'!$H$5:$H$8),XLOOKUP(B41,'Regional Details'!$J$5:$J$8,'Regional Details'!$K$5:$K$8))))</f>
        <v>0</v>
      </c>
      <c r="L41" s="2" t="str">
        <f>VLOOKUP(A41,MonthMapping!$A$2:$B$13,2,false)</f>
        <v>February</v>
      </c>
      <c r="M41" s="9">
        <f>if(C41=$C$2,Contribution_Old!$B$22,Contribution_Old!$B$23)</f>
        <v>24.108</v>
      </c>
      <c r="N41" s="9">
        <f>if(C41=$C$2,Contribution_New!$B$23,Contribution_New!$B$24)</f>
        <v>30.108</v>
      </c>
      <c r="O41" s="2">
        <f t="shared" ref="O41:P41" si="81">M41*D41</f>
        <v>376639.284</v>
      </c>
      <c r="P41" s="2">
        <f t="shared" si="81"/>
        <v>564464.784</v>
      </c>
      <c r="Q41" s="2">
        <f t="shared" ref="Q41:R41" si="82">G41-O41</f>
        <v>560740.716</v>
      </c>
      <c r="R41" s="2">
        <f t="shared" si="82"/>
        <v>560415.216</v>
      </c>
      <c r="S41" s="2"/>
      <c r="T41" s="2"/>
      <c r="U41" s="2"/>
      <c r="V41" s="2"/>
      <c r="W41" s="2"/>
      <c r="X41" s="2"/>
      <c r="Y41" s="2"/>
      <c r="Z41" s="2"/>
    </row>
    <row r="42">
      <c r="A42" s="2">
        <f>IFERROR(__xludf.DUMMYFUNCTION("""COMPUTED_VALUE"""),2.0)</f>
        <v>2</v>
      </c>
      <c r="B42" s="2" t="str">
        <f>IFERROR(__xludf.DUMMYFUNCTION("""COMPUTED_VALUE"""),"Chandigarh")</f>
        <v>Chandigarh</v>
      </c>
      <c r="C42" s="2" t="str">
        <f>IFERROR(__xludf.DUMMYFUNCTION("""COMPUTED_VALUE"""),"ZestVita")</f>
        <v>ZestVita</v>
      </c>
      <c r="D42" s="2">
        <f>IFERROR(__xludf.DUMMYFUNCTION("""COMPUTED_VALUE"""),25573.0)</f>
        <v>25573</v>
      </c>
      <c r="E42" s="2">
        <f>IFERROR(__xludf.DUMMYFUNCTION("""COMPUTED_VALUE"""),29409.0)</f>
        <v>29409</v>
      </c>
      <c r="F42" s="2" t="str">
        <f>IFERROR(__xludf.DUMMYFUNCTION("""COMPUTED_VALUE"""),"IPLMARKETTING")</f>
        <v>IPLMARKETTING</v>
      </c>
      <c r="G42" s="2">
        <f t="shared" si="3"/>
        <v>3452355</v>
      </c>
      <c r="H42" s="2">
        <f t="shared" si="4"/>
        <v>3970215</v>
      </c>
      <c r="I42" s="2" t="str">
        <f>IF(or(B42='Regional Details'!$A$5,B42='Regional Details'!$A$6,B42='Regional Details'!$A$7,B42='Regional Details'!$A$8),'Regional Details'!$B$2,if(OR(B42='Regional Details'!$D$5,B42='Regional Details'!$D$6,B42='Regional Details'!$D$7,B42='Regional Details'!$D$8),'Regional Details'!$E$2,if(or(B42='Regional Details'!$G$5,B42='Regional Details'!$G$6,B42='Regional Details'!$G$7,B42='Regional Details'!$G$8),'Regional Details'!$H$2,'Regional Details'!$K$2)))</f>
        <v>North</v>
      </c>
      <c r="J42" s="2" t="str">
        <f>if(I42='Regional Details'!$B$2,'Regional Details'!$B$3,if(I42='Regional Details'!$E$2,'Regional Details'!$E$3,if(I42='Regional Details'!$H$2,'Regional Details'!$H$3,'Regional Details'!$K$3)))</f>
        <v>Ajay Kumar</v>
      </c>
      <c r="K42" s="8">
        <f t="array" ref="K42">IFERROR(XLOOKUP(B42,'Regional Details'!$A$5:$A$8,'Regional Details'!$B$5:$B$8),IFERROR(XLOOKUP(B42,'Regional Details'!$D$5:$D$8,'Regional Details'!$E$5:$E$8),IFERROR(xlookup(B42,'Regional Details'!$G$5:$G$8,'Regional Details'!$H$5:$H$8),XLOOKUP(B42,'Regional Details'!$J$5:$J$8,'Regional Details'!$K$5:$K$8))))</f>
        <v>0</v>
      </c>
      <c r="L42" s="2" t="str">
        <f>VLOOKUP(A42,MonthMapping!$A$2:$B$13,2,false)</f>
        <v>February</v>
      </c>
      <c r="M42" s="9">
        <f>if(C42=$C$2,Contribution_Old!$B$22,Contribution_Old!$B$23)</f>
        <v>55.84</v>
      </c>
      <c r="N42" s="9">
        <f>if(C42=$C$2,Contribution_New!$B$23,Contribution_New!$B$24)</f>
        <v>61.84</v>
      </c>
      <c r="O42" s="2">
        <f t="shared" ref="O42:P42" si="83">M42*D42</f>
        <v>1427996.32</v>
      </c>
      <c r="P42" s="2">
        <f t="shared" si="83"/>
        <v>1818652.56</v>
      </c>
      <c r="Q42" s="2">
        <f t="shared" ref="Q42:R42" si="84">G42-O42</f>
        <v>2024358.68</v>
      </c>
      <c r="R42" s="2">
        <f t="shared" si="84"/>
        <v>2151562.44</v>
      </c>
      <c r="S42" s="2"/>
      <c r="T42" s="2"/>
      <c r="U42" s="2"/>
      <c r="V42" s="2"/>
      <c r="W42" s="2"/>
      <c r="X42" s="2"/>
      <c r="Y42" s="2"/>
      <c r="Z42" s="2"/>
    </row>
    <row r="43">
      <c r="A43" s="2">
        <f>IFERROR(__xludf.DUMMYFUNCTION("""COMPUTED_VALUE"""),2.0)</f>
        <v>2</v>
      </c>
      <c r="B43" s="2" t="str">
        <f>IFERROR(__xludf.DUMMYFUNCTION("""COMPUTED_VALUE"""),"Chandigarh")</f>
        <v>Chandigarh</v>
      </c>
      <c r="C43" s="2" t="str">
        <f>IFERROR(__xludf.DUMMYFUNCTION("""COMPUTED_VALUE"""),"NutriKid")</f>
        <v>NutriKid</v>
      </c>
      <c r="D43" s="2">
        <f>IFERROR(__xludf.DUMMYFUNCTION("""COMPUTED_VALUE"""),27637.0)</f>
        <v>27637</v>
      </c>
      <c r="E43" s="2">
        <f>IFERROR(__xludf.DUMMYFUNCTION("""COMPUTED_VALUE"""),32059.0)</f>
        <v>32059</v>
      </c>
      <c r="F43" s="2" t="str">
        <f>IFERROR(__xludf.DUMMYFUNCTION("""COMPUTED_VALUE"""),"IPLMARKETTING")</f>
        <v>IPLMARKETTING</v>
      </c>
      <c r="G43" s="2">
        <f t="shared" si="3"/>
        <v>1658220</v>
      </c>
      <c r="H43" s="2">
        <f t="shared" si="4"/>
        <v>1923540</v>
      </c>
      <c r="I43" s="2" t="str">
        <f>IF(or(B43='Regional Details'!$A$5,B43='Regional Details'!$A$6,B43='Regional Details'!$A$7,B43='Regional Details'!$A$8),'Regional Details'!$B$2,if(OR(B43='Regional Details'!$D$5,B43='Regional Details'!$D$6,B43='Regional Details'!$D$7,B43='Regional Details'!$D$8),'Regional Details'!$E$2,if(or(B43='Regional Details'!$G$5,B43='Regional Details'!$G$6,B43='Regional Details'!$G$7,B43='Regional Details'!$G$8),'Regional Details'!$H$2,'Regional Details'!$K$2)))</f>
        <v>North</v>
      </c>
      <c r="J43" s="2" t="str">
        <f>if(I43='Regional Details'!$B$2,'Regional Details'!$B$3,if(I43='Regional Details'!$E$2,'Regional Details'!$E$3,if(I43='Regional Details'!$H$2,'Regional Details'!$H$3,'Regional Details'!$K$3)))</f>
        <v>Ajay Kumar</v>
      </c>
      <c r="K43" s="8">
        <f t="array" ref="K43">IFERROR(XLOOKUP(B43,'Regional Details'!$A$5:$A$8,'Regional Details'!$B$5:$B$8),IFERROR(XLOOKUP(B43,'Regional Details'!$D$5:$D$8,'Regional Details'!$E$5:$E$8),IFERROR(xlookup(B43,'Regional Details'!$G$5:$G$8,'Regional Details'!$H$5:$H$8),XLOOKUP(B43,'Regional Details'!$J$5:$J$8,'Regional Details'!$K$5:$K$8))))</f>
        <v>0</v>
      </c>
      <c r="L43" s="2" t="str">
        <f>VLOOKUP(A43,MonthMapping!$A$2:$B$13,2,false)</f>
        <v>February</v>
      </c>
      <c r="M43" s="9">
        <f>if(C43=$C$2,Contribution_Old!$B$22,Contribution_Old!$B$23)</f>
        <v>24.108</v>
      </c>
      <c r="N43" s="9">
        <f>if(C43=$C$2,Contribution_New!$B$23,Contribution_New!$B$24)</f>
        <v>30.108</v>
      </c>
      <c r="O43" s="2">
        <f t="shared" ref="O43:P43" si="85">M43*D43</f>
        <v>666272.796</v>
      </c>
      <c r="P43" s="2">
        <f t="shared" si="85"/>
        <v>965232.372</v>
      </c>
      <c r="Q43" s="2">
        <f t="shared" ref="Q43:R43" si="86">G43-O43</f>
        <v>991947.204</v>
      </c>
      <c r="R43" s="2">
        <f t="shared" si="86"/>
        <v>958307.628</v>
      </c>
      <c r="S43" s="2"/>
      <c r="T43" s="2"/>
      <c r="U43" s="2"/>
      <c r="V43" s="2"/>
      <c r="W43" s="2"/>
      <c r="X43" s="2"/>
      <c r="Y43" s="2"/>
      <c r="Z43" s="2"/>
    </row>
    <row r="44">
      <c r="A44" s="2">
        <f>IFERROR(__xludf.DUMMYFUNCTION("""COMPUTED_VALUE"""),2.0)</f>
        <v>2</v>
      </c>
      <c r="B44" s="2" t="str">
        <f>IFERROR(__xludf.DUMMYFUNCTION("""COMPUTED_VALUE"""),"Bhubaneswar")</f>
        <v>Bhubaneswar</v>
      </c>
      <c r="C44" s="2" t="str">
        <f>IFERROR(__xludf.DUMMYFUNCTION("""COMPUTED_VALUE"""),"ZestVita")</f>
        <v>ZestVita</v>
      </c>
      <c r="D44" s="2">
        <f>IFERROR(__xludf.DUMMYFUNCTION("""COMPUTED_VALUE"""),13878.0)</f>
        <v>13878</v>
      </c>
      <c r="E44" s="2">
        <f>IFERROR(__xludf.DUMMYFUNCTION("""COMPUTED_VALUE"""),14433.0)</f>
        <v>14433</v>
      </c>
      <c r="F44" s="2" t="str">
        <f>IFERROR(__xludf.DUMMYFUNCTION("""COMPUTED_VALUE"""),"IPLMARKETTING")</f>
        <v>IPLMARKETTING</v>
      </c>
      <c r="G44" s="2">
        <f t="shared" si="3"/>
        <v>1639338.75</v>
      </c>
      <c r="H44" s="2">
        <f t="shared" si="4"/>
        <v>1948455</v>
      </c>
      <c r="I44" s="2" t="str">
        <f>IF(or(B44='Regional Details'!$A$5,B44='Regional Details'!$A$6,B44='Regional Details'!$A$7,B44='Regional Details'!$A$8),'Regional Details'!$B$2,if(OR(B44='Regional Details'!$D$5,B44='Regional Details'!$D$6,B44='Regional Details'!$D$7,B44='Regional Details'!$D$8),'Regional Details'!$E$2,if(or(B44='Regional Details'!$G$5,B44='Regional Details'!$G$6,B44='Regional Details'!$G$7,B44='Regional Details'!$G$8),'Regional Details'!$H$2,'Regional Details'!$K$2)))</f>
        <v>East</v>
      </c>
      <c r="J44" s="2" t="str">
        <f>if(I44='Regional Details'!$B$2,'Regional Details'!$B$3,if(I44='Regional Details'!$E$2,'Regional Details'!$E$3,if(I44='Regional Details'!$H$2,'Regional Details'!$H$3,'Regional Details'!$K$3)))</f>
        <v>Tanvi Sharma</v>
      </c>
      <c r="K44" s="8">
        <f t="array" ref="K44">IFERROR(XLOOKUP(B44,'Regional Details'!$A$5:$A$8,'Regional Details'!$B$5:$B$8),IFERROR(XLOOKUP(B44,'Regional Details'!$D$5:$D$8,'Regional Details'!$E$5:$E$8),IFERROR(xlookup(B44,'Regional Details'!$G$5:$G$8,'Regional Details'!$H$5:$H$8),XLOOKUP(B44,'Regional Details'!$J$5:$J$8,'Regional Details'!$K$5:$K$8))))</f>
        <v>0.125</v>
      </c>
      <c r="L44" s="2" t="str">
        <f>VLOOKUP(A44,MonthMapping!$A$2:$B$13,2,false)</f>
        <v>February</v>
      </c>
      <c r="M44" s="9">
        <f>if(C44=$C$2,Contribution_Old!$B$22,Contribution_Old!$B$23)</f>
        <v>55.84</v>
      </c>
      <c r="N44" s="9">
        <f>if(C44=$C$2,Contribution_New!$B$23,Contribution_New!$B$24)</f>
        <v>61.84</v>
      </c>
      <c r="O44" s="2">
        <f t="shared" ref="O44:P44" si="87">M44*D44</f>
        <v>774947.52</v>
      </c>
      <c r="P44" s="2">
        <f t="shared" si="87"/>
        <v>892536.72</v>
      </c>
      <c r="Q44" s="2">
        <f t="shared" ref="Q44:R44" si="88">G44-O44</f>
        <v>864391.23</v>
      </c>
      <c r="R44" s="2">
        <f t="shared" si="88"/>
        <v>1055918.28</v>
      </c>
      <c r="S44" s="2"/>
      <c r="T44" s="2"/>
      <c r="U44" s="2"/>
      <c r="V44" s="2"/>
      <c r="W44" s="2"/>
      <c r="X44" s="2"/>
      <c r="Y44" s="2"/>
      <c r="Z44" s="2"/>
    </row>
    <row r="45">
      <c r="A45" s="2">
        <f>IFERROR(__xludf.DUMMYFUNCTION("""COMPUTED_VALUE"""),2.0)</f>
        <v>2</v>
      </c>
      <c r="B45" s="2" t="str">
        <f>IFERROR(__xludf.DUMMYFUNCTION("""COMPUTED_VALUE"""),"Bhubaneswar")</f>
        <v>Bhubaneswar</v>
      </c>
      <c r="C45" s="2" t="str">
        <f>IFERROR(__xludf.DUMMYFUNCTION("""COMPUTED_VALUE"""),"NutriKid")</f>
        <v>NutriKid</v>
      </c>
      <c r="D45" s="2">
        <f>IFERROR(__xludf.DUMMYFUNCTION("""COMPUTED_VALUE"""),18202.0)</f>
        <v>18202</v>
      </c>
      <c r="E45" s="2">
        <f>IFERROR(__xludf.DUMMYFUNCTION("""COMPUTED_VALUE"""),19476.0)</f>
        <v>19476</v>
      </c>
      <c r="F45" s="2" t="str">
        <f>IFERROR(__xludf.DUMMYFUNCTION("""COMPUTED_VALUE"""),"IPLMARKETTING")</f>
        <v>IPLMARKETTING</v>
      </c>
      <c r="G45" s="2">
        <f t="shared" si="3"/>
        <v>955605</v>
      </c>
      <c r="H45" s="2">
        <f t="shared" si="4"/>
        <v>1168560</v>
      </c>
      <c r="I45" s="2" t="str">
        <f>IF(or(B45='Regional Details'!$A$5,B45='Regional Details'!$A$6,B45='Regional Details'!$A$7,B45='Regional Details'!$A$8),'Regional Details'!$B$2,if(OR(B45='Regional Details'!$D$5,B45='Regional Details'!$D$6,B45='Regional Details'!$D$7,B45='Regional Details'!$D$8),'Regional Details'!$E$2,if(or(B45='Regional Details'!$G$5,B45='Regional Details'!$G$6,B45='Regional Details'!$G$7,B45='Regional Details'!$G$8),'Regional Details'!$H$2,'Regional Details'!$K$2)))</f>
        <v>East</v>
      </c>
      <c r="J45" s="2" t="str">
        <f>if(I45='Regional Details'!$B$2,'Regional Details'!$B$3,if(I45='Regional Details'!$E$2,'Regional Details'!$E$3,if(I45='Regional Details'!$H$2,'Regional Details'!$H$3,'Regional Details'!$K$3)))</f>
        <v>Tanvi Sharma</v>
      </c>
      <c r="K45" s="8">
        <f t="array" ref="K45">IFERROR(XLOOKUP(B45,'Regional Details'!$A$5:$A$8,'Regional Details'!$B$5:$B$8),IFERROR(XLOOKUP(B45,'Regional Details'!$D$5:$D$8,'Regional Details'!$E$5:$E$8),IFERROR(xlookup(B45,'Regional Details'!$G$5:$G$8,'Regional Details'!$H$5:$H$8),XLOOKUP(B45,'Regional Details'!$J$5:$J$8,'Regional Details'!$K$5:$K$8))))</f>
        <v>0.125</v>
      </c>
      <c r="L45" s="2" t="str">
        <f>VLOOKUP(A45,MonthMapping!$A$2:$B$13,2,false)</f>
        <v>February</v>
      </c>
      <c r="M45" s="9">
        <f>if(C45=$C$2,Contribution_Old!$B$22,Contribution_Old!$B$23)</f>
        <v>24.108</v>
      </c>
      <c r="N45" s="9">
        <f>if(C45=$C$2,Contribution_New!$B$23,Contribution_New!$B$24)</f>
        <v>30.108</v>
      </c>
      <c r="O45" s="2">
        <f t="shared" ref="O45:P45" si="89">M45*D45</f>
        <v>438813.816</v>
      </c>
      <c r="P45" s="2">
        <f t="shared" si="89"/>
        <v>586383.408</v>
      </c>
      <c r="Q45" s="2">
        <f t="shared" ref="Q45:R45" si="90">G45-O45</f>
        <v>516791.184</v>
      </c>
      <c r="R45" s="2">
        <f t="shared" si="90"/>
        <v>582176.592</v>
      </c>
      <c r="S45" s="2"/>
      <c r="T45" s="2"/>
      <c r="U45" s="2"/>
      <c r="V45" s="2"/>
      <c r="W45" s="2"/>
      <c r="X45" s="2"/>
      <c r="Y45" s="2"/>
      <c r="Z45" s="2"/>
    </row>
    <row r="46">
      <c r="A46" s="2">
        <f>IFERROR(__xludf.DUMMYFUNCTION("""COMPUTED_VALUE"""),2.0)</f>
        <v>2</v>
      </c>
      <c r="B46" s="2" t="str">
        <f>IFERROR(__xludf.DUMMYFUNCTION("""COMPUTED_VALUE"""),"Ahmedabad")</f>
        <v>Ahmedabad</v>
      </c>
      <c r="C46" s="2" t="str">
        <f>IFERROR(__xludf.DUMMYFUNCTION("""COMPUTED_VALUE"""),"ZestVita")</f>
        <v>ZestVita</v>
      </c>
      <c r="D46" s="2">
        <f>IFERROR(__xludf.DUMMYFUNCTION("""COMPUTED_VALUE"""),22662.0)</f>
        <v>22662</v>
      </c>
      <c r="E46" s="2">
        <f>IFERROR(__xludf.DUMMYFUNCTION("""COMPUTED_VALUE"""),28101.0)</f>
        <v>28101</v>
      </c>
      <c r="F46" s="2" t="str">
        <f>IFERROR(__xludf.DUMMYFUNCTION("""COMPUTED_VALUE"""),"IPLMARKETTING")</f>
        <v>IPLMARKETTING</v>
      </c>
      <c r="G46" s="2">
        <f t="shared" si="3"/>
        <v>3059370</v>
      </c>
      <c r="H46" s="2">
        <f t="shared" si="4"/>
        <v>3793635</v>
      </c>
      <c r="I46" s="2" t="str">
        <f>IF(or(B46='Regional Details'!$A$5,B46='Regional Details'!$A$6,B46='Regional Details'!$A$7,B46='Regional Details'!$A$8),'Regional Details'!$B$2,if(OR(B46='Regional Details'!$D$5,B46='Regional Details'!$D$6,B46='Regional Details'!$D$7,B46='Regional Details'!$D$8),'Regional Details'!$E$2,if(or(B46='Regional Details'!$G$5,B46='Regional Details'!$G$6,B46='Regional Details'!$G$7,B46='Regional Details'!$G$8),'Regional Details'!$H$2,'Regional Details'!$K$2)))</f>
        <v>West</v>
      </c>
      <c r="J46" s="2" t="str">
        <f>if(I46='Regional Details'!$B$2,'Regional Details'!$B$3,if(I46='Regional Details'!$E$2,'Regional Details'!$E$3,if(I46='Regional Details'!$H$2,'Regional Details'!$H$3,'Regional Details'!$K$3)))</f>
        <v>Ajay Ghosh</v>
      </c>
      <c r="K46" s="8">
        <f t="array" ref="K46">IFERROR(XLOOKUP(B46,'Regional Details'!$A$5:$A$8,'Regional Details'!$B$5:$B$8),IFERROR(XLOOKUP(B46,'Regional Details'!$D$5:$D$8,'Regional Details'!$E$5:$E$8),IFERROR(xlookup(B46,'Regional Details'!$G$5:$G$8,'Regional Details'!$H$5:$H$8),XLOOKUP(B46,'Regional Details'!$J$5:$J$8,'Regional Details'!$K$5:$K$8))))</f>
        <v>0</v>
      </c>
      <c r="L46" s="2" t="str">
        <f>VLOOKUP(A46,MonthMapping!$A$2:$B$13,2,false)</f>
        <v>February</v>
      </c>
      <c r="M46" s="9">
        <f>if(C46=$C$2,Contribution_Old!$B$22,Contribution_Old!$B$23)</f>
        <v>55.84</v>
      </c>
      <c r="N46" s="9">
        <f>if(C46=$C$2,Contribution_New!$B$23,Contribution_New!$B$24)</f>
        <v>61.84</v>
      </c>
      <c r="O46" s="2">
        <f t="shared" ref="O46:P46" si="91">M46*D46</f>
        <v>1265446.08</v>
      </c>
      <c r="P46" s="2">
        <f t="shared" si="91"/>
        <v>1737765.84</v>
      </c>
      <c r="Q46" s="2">
        <f t="shared" ref="Q46:R46" si="92">G46-O46</f>
        <v>1793923.92</v>
      </c>
      <c r="R46" s="2">
        <f t="shared" si="92"/>
        <v>2055869.16</v>
      </c>
      <c r="S46" s="2"/>
      <c r="T46" s="2"/>
      <c r="U46" s="2"/>
      <c r="V46" s="2"/>
      <c r="W46" s="2"/>
      <c r="X46" s="2"/>
      <c r="Y46" s="2"/>
      <c r="Z46" s="2"/>
    </row>
    <row r="47">
      <c r="A47" s="2">
        <f>IFERROR(__xludf.DUMMYFUNCTION("""COMPUTED_VALUE"""),2.0)</f>
        <v>2</v>
      </c>
      <c r="B47" s="2" t="str">
        <f>IFERROR(__xludf.DUMMYFUNCTION("""COMPUTED_VALUE"""),"Ahmedabad")</f>
        <v>Ahmedabad</v>
      </c>
      <c r="C47" s="2" t="str">
        <f>IFERROR(__xludf.DUMMYFUNCTION("""COMPUTED_VALUE"""),"NutriKid")</f>
        <v>NutriKid</v>
      </c>
      <c r="D47" s="2">
        <f>IFERROR(__xludf.DUMMYFUNCTION("""COMPUTED_VALUE"""),13063.0)</f>
        <v>13063</v>
      </c>
      <c r="E47" s="2">
        <f>IFERROR(__xludf.DUMMYFUNCTION("""COMPUTED_VALUE"""),16329.0)</f>
        <v>16329</v>
      </c>
      <c r="F47" s="2" t="str">
        <f>IFERROR(__xludf.DUMMYFUNCTION("""COMPUTED_VALUE"""),"IPLMARKETTING")</f>
        <v>IPLMARKETTING</v>
      </c>
      <c r="G47" s="2">
        <f t="shared" si="3"/>
        <v>783780</v>
      </c>
      <c r="H47" s="2">
        <f t="shared" si="4"/>
        <v>979740</v>
      </c>
      <c r="I47" s="2" t="str">
        <f>IF(or(B47='Regional Details'!$A$5,B47='Regional Details'!$A$6,B47='Regional Details'!$A$7,B47='Regional Details'!$A$8),'Regional Details'!$B$2,if(OR(B47='Regional Details'!$D$5,B47='Regional Details'!$D$6,B47='Regional Details'!$D$7,B47='Regional Details'!$D$8),'Regional Details'!$E$2,if(or(B47='Regional Details'!$G$5,B47='Regional Details'!$G$6,B47='Regional Details'!$G$7,B47='Regional Details'!$G$8),'Regional Details'!$H$2,'Regional Details'!$K$2)))</f>
        <v>West</v>
      </c>
      <c r="J47" s="2" t="str">
        <f>if(I47='Regional Details'!$B$2,'Regional Details'!$B$3,if(I47='Regional Details'!$E$2,'Regional Details'!$E$3,if(I47='Regional Details'!$H$2,'Regional Details'!$H$3,'Regional Details'!$K$3)))</f>
        <v>Ajay Ghosh</v>
      </c>
      <c r="K47" s="8">
        <f t="array" ref="K47">IFERROR(XLOOKUP(B47,'Regional Details'!$A$5:$A$8,'Regional Details'!$B$5:$B$8),IFERROR(XLOOKUP(B47,'Regional Details'!$D$5:$D$8,'Regional Details'!$E$5:$E$8),IFERROR(xlookup(B47,'Regional Details'!$G$5:$G$8,'Regional Details'!$H$5:$H$8),XLOOKUP(B47,'Regional Details'!$J$5:$J$8,'Regional Details'!$K$5:$K$8))))</f>
        <v>0</v>
      </c>
      <c r="L47" s="2" t="str">
        <f>VLOOKUP(A47,MonthMapping!$A$2:$B$13,2,false)</f>
        <v>February</v>
      </c>
      <c r="M47" s="9">
        <f>if(C47=$C$2,Contribution_Old!$B$22,Contribution_Old!$B$23)</f>
        <v>24.108</v>
      </c>
      <c r="N47" s="9">
        <f>if(C47=$C$2,Contribution_New!$B$23,Contribution_New!$B$24)</f>
        <v>30.108</v>
      </c>
      <c r="O47" s="2">
        <f t="shared" ref="O47:P47" si="93">M47*D47</f>
        <v>314922.804</v>
      </c>
      <c r="P47" s="2">
        <f t="shared" si="93"/>
        <v>491633.532</v>
      </c>
      <c r="Q47" s="2">
        <f t="shared" ref="Q47:R47" si="94">G47-O47</f>
        <v>468857.196</v>
      </c>
      <c r="R47" s="2">
        <f t="shared" si="94"/>
        <v>488106.468</v>
      </c>
      <c r="S47" s="2"/>
      <c r="T47" s="2"/>
      <c r="U47" s="2"/>
      <c r="V47" s="2"/>
      <c r="W47" s="2"/>
      <c r="X47" s="2"/>
      <c r="Y47" s="2"/>
      <c r="Z47" s="2"/>
    </row>
    <row r="48">
      <c r="A48" s="2">
        <f>IFERROR(__xludf.DUMMYFUNCTION("""COMPUTED_VALUE"""),2.0)</f>
        <v>2</v>
      </c>
      <c r="B48" s="2" t="str">
        <f>IFERROR(__xludf.DUMMYFUNCTION("""COMPUTED_VALUE"""),"Chennai")</f>
        <v>Chennai</v>
      </c>
      <c r="C48" s="2" t="str">
        <f>IFERROR(__xludf.DUMMYFUNCTION("""COMPUTED_VALUE"""),"ZestVita")</f>
        <v>ZestVita</v>
      </c>
      <c r="D48" s="2">
        <f>IFERROR(__xludf.DUMMYFUNCTION("""COMPUTED_VALUE"""),14233.0)</f>
        <v>14233</v>
      </c>
      <c r="E48" s="2">
        <f>IFERROR(__xludf.DUMMYFUNCTION("""COMPUTED_VALUE"""),17364.0)</f>
        <v>17364</v>
      </c>
      <c r="F48" s="2" t="str">
        <f>IFERROR(__xludf.DUMMYFUNCTION("""COMPUTED_VALUE"""),"IPLMARKETTING")</f>
        <v>IPLMARKETTING</v>
      </c>
      <c r="G48" s="2">
        <f t="shared" si="3"/>
        <v>1921455</v>
      </c>
      <c r="H48" s="2">
        <f t="shared" si="4"/>
        <v>2344140</v>
      </c>
      <c r="I48" s="2" t="str">
        <f>IF(or(B48='Regional Details'!$A$5,B48='Regional Details'!$A$6,B48='Regional Details'!$A$7,B48='Regional Details'!$A$8),'Regional Details'!$B$2,if(OR(B48='Regional Details'!$D$5,B48='Regional Details'!$D$6,B48='Regional Details'!$D$7,B48='Regional Details'!$D$8),'Regional Details'!$E$2,if(or(B48='Regional Details'!$G$5,B48='Regional Details'!$G$6,B48='Regional Details'!$G$7,B48='Regional Details'!$G$8),'Regional Details'!$H$2,'Regional Details'!$K$2)))</f>
        <v>South</v>
      </c>
      <c r="J48" s="2" t="str">
        <f>if(I48='Regional Details'!$B$2,'Regional Details'!$B$3,if(I48='Regional Details'!$E$2,'Regional Details'!$E$3,if(I48='Regional Details'!$H$2,'Regional Details'!$H$3,'Regional Details'!$K$3)))</f>
        <v>Anjali Krishna Murthy</v>
      </c>
      <c r="K48" s="8">
        <f t="array" ref="K48">IFERROR(XLOOKUP(B48,'Regional Details'!$A$5:$A$8,'Regional Details'!$B$5:$B$8),IFERROR(XLOOKUP(B48,'Regional Details'!$D$5:$D$8,'Regional Details'!$E$5:$E$8),IFERROR(xlookup(B48,'Regional Details'!$G$5:$G$8,'Regional Details'!$H$5:$H$8),XLOOKUP(B48,'Regional Details'!$J$5:$J$8,'Regional Details'!$K$5:$K$8))))</f>
        <v>0</v>
      </c>
      <c r="L48" s="2" t="str">
        <f>VLOOKUP(A48,MonthMapping!$A$2:$B$13,2,false)</f>
        <v>February</v>
      </c>
      <c r="M48" s="9">
        <f>if(C48=$C$2,Contribution_Old!$B$22,Contribution_Old!$B$23)</f>
        <v>55.84</v>
      </c>
      <c r="N48" s="9">
        <f>if(C48=$C$2,Contribution_New!$B$23,Contribution_New!$B$24)</f>
        <v>61.84</v>
      </c>
      <c r="O48" s="2">
        <f t="shared" ref="O48:P48" si="95">M48*D48</f>
        <v>794770.72</v>
      </c>
      <c r="P48" s="2">
        <f t="shared" si="95"/>
        <v>1073789.76</v>
      </c>
      <c r="Q48" s="2">
        <f t="shared" ref="Q48:R48" si="96">G48-O48</f>
        <v>1126684.28</v>
      </c>
      <c r="R48" s="2">
        <f t="shared" si="96"/>
        <v>1270350.24</v>
      </c>
      <c r="S48" s="2"/>
      <c r="T48" s="2"/>
      <c r="U48" s="2"/>
      <c r="V48" s="2"/>
      <c r="W48" s="2"/>
      <c r="X48" s="2"/>
      <c r="Y48" s="2"/>
      <c r="Z48" s="2"/>
    </row>
    <row r="49">
      <c r="A49" s="2">
        <f>IFERROR(__xludf.DUMMYFUNCTION("""COMPUTED_VALUE"""),2.0)</f>
        <v>2</v>
      </c>
      <c r="B49" s="2" t="str">
        <f>IFERROR(__xludf.DUMMYFUNCTION("""COMPUTED_VALUE"""),"Chennai")</f>
        <v>Chennai</v>
      </c>
      <c r="C49" s="2" t="str">
        <f>IFERROR(__xludf.DUMMYFUNCTION("""COMPUTED_VALUE"""),"NutriKid")</f>
        <v>NutriKid</v>
      </c>
      <c r="D49" s="2">
        <f>IFERROR(__xludf.DUMMYFUNCTION("""COMPUTED_VALUE"""),15616.0)</f>
        <v>15616</v>
      </c>
      <c r="E49" s="2">
        <f>IFERROR(__xludf.DUMMYFUNCTION("""COMPUTED_VALUE"""),18115.0)</f>
        <v>18115</v>
      </c>
      <c r="F49" s="2" t="str">
        <f>IFERROR(__xludf.DUMMYFUNCTION("""COMPUTED_VALUE"""),"IPLMARKETTING")</f>
        <v>IPLMARKETTING</v>
      </c>
      <c r="G49" s="2">
        <f t="shared" si="3"/>
        <v>936960</v>
      </c>
      <c r="H49" s="2">
        <f t="shared" si="4"/>
        <v>1086900</v>
      </c>
      <c r="I49" s="2" t="str">
        <f>IF(or(B49='Regional Details'!$A$5,B49='Regional Details'!$A$6,B49='Regional Details'!$A$7,B49='Regional Details'!$A$8),'Regional Details'!$B$2,if(OR(B49='Regional Details'!$D$5,B49='Regional Details'!$D$6,B49='Regional Details'!$D$7,B49='Regional Details'!$D$8),'Regional Details'!$E$2,if(or(B49='Regional Details'!$G$5,B49='Regional Details'!$G$6,B49='Regional Details'!$G$7,B49='Regional Details'!$G$8),'Regional Details'!$H$2,'Regional Details'!$K$2)))</f>
        <v>South</v>
      </c>
      <c r="J49" s="2" t="str">
        <f>if(I49='Regional Details'!$B$2,'Regional Details'!$B$3,if(I49='Regional Details'!$E$2,'Regional Details'!$E$3,if(I49='Regional Details'!$H$2,'Regional Details'!$H$3,'Regional Details'!$K$3)))</f>
        <v>Anjali Krishna Murthy</v>
      </c>
      <c r="K49" s="8">
        <f t="array" ref="K49">IFERROR(XLOOKUP(B49,'Regional Details'!$A$5:$A$8,'Regional Details'!$B$5:$B$8),IFERROR(XLOOKUP(B49,'Regional Details'!$D$5:$D$8,'Regional Details'!$E$5:$E$8),IFERROR(xlookup(B49,'Regional Details'!$G$5:$G$8,'Regional Details'!$H$5:$H$8),XLOOKUP(B49,'Regional Details'!$J$5:$J$8,'Regional Details'!$K$5:$K$8))))</f>
        <v>0</v>
      </c>
      <c r="L49" s="2" t="str">
        <f>VLOOKUP(A49,MonthMapping!$A$2:$B$13,2,false)</f>
        <v>February</v>
      </c>
      <c r="M49" s="9">
        <f>if(C49=$C$2,Contribution_Old!$B$22,Contribution_Old!$B$23)</f>
        <v>24.108</v>
      </c>
      <c r="N49" s="9">
        <f>if(C49=$C$2,Contribution_New!$B$23,Contribution_New!$B$24)</f>
        <v>30.108</v>
      </c>
      <c r="O49" s="2">
        <f t="shared" ref="O49:P49" si="97">M49*D49</f>
        <v>376470.528</v>
      </c>
      <c r="P49" s="2">
        <f t="shared" si="97"/>
        <v>545406.42</v>
      </c>
      <c r="Q49" s="2">
        <f t="shared" ref="Q49:R49" si="98">G49-O49</f>
        <v>560489.472</v>
      </c>
      <c r="R49" s="2">
        <f t="shared" si="98"/>
        <v>541493.58</v>
      </c>
      <c r="S49" s="2"/>
      <c r="T49" s="2"/>
      <c r="U49" s="2"/>
      <c r="V49" s="2"/>
      <c r="W49" s="2"/>
      <c r="X49" s="2"/>
      <c r="Y49" s="2"/>
      <c r="Z49" s="2"/>
    </row>
    <row r="50">
      <c r="A50" s="2">
        <f>IFERROR(__xludf.DUMMYFUNCTION("""COMPUTED_VALUE"""),2.0)</f>
        <v>2</v>
      </c>
      <c r="B50" s="2" t="str">
        <f>IFERROR(__xludf.DUMMYFUNCTION("""COMPUTED_VALUE"""),"Lucknow")</f>
        <v>Lucknow</v>
      </c>
      <c r="C50" s="2" t="str">
        <f>IFERROR(__xludf.DUMMYFUNCTION("""COMPUTED_VALUE"""),"ZestVita")</f>
        <v>ZestVita</v>
      </c>
      <c r="D50" s="2">
        <f>IFERROR(__xludf.DUMMYFUNCTION("""COMPUTED_VALUE"""),23233.0)</f>
        <v>23233</v>
      </c>
      <c r="E50" s="2">
        <f>IFERROR(__xludf.DUMMYFUNCTION("""COMPUTED_VALUE"""),26718.0)</f>
        <v>26718</v>
      </c>
      <c r="F50" s="2" t="str">
        <f>IFERROR(__xludf.DUMMYFUNCTION("""COMPUTED_VALUE"""),"IPLMARKETTING")</f>
        <v>IPLMARKETTING</v>
      </c>
      <c r="G50" s="2">
        <f t="shared" si="3"/>
        <v>2822809.5</v>
      </c>
      <c r="H50" s="2">
        <f t="shared" si="4"/>
        <v>3606930</v>
      </c>
      <c r="I50" s="2" t="str">
        <f>IF(or(B50='Regional Details'!$A$5,B50='Regional Details'!$A$6,B50='Regional Details'!$A$7,B50='Regional Details'!$A$8),'Regional Details'!$B$2,if(OR(B50='Regional Details'!$D$5,B50='Regional Details'!$D$6,B50='Regional Details'!$D$7,B50='Regional Details'!$D$8),'Regional Details'!$E$2,if(or(B50='Regional Details'!$G$5,B50='Regional Details'!$G$6,B50='Regional Details'!$G$7,B50='Regional Details'!$G$8),'Regional Details'!$H$2,'Regional Details'!$K$2)))</f>
        <v>North</v>
      </c>
      <c r="J50" s="2" t="str">
        <f>if(I50='Regional Details'!$B$2,'Regional Details'!$B$3,if(I50='Regional Details'!$E$2,'Regional Details'!$E$3,if(I50='Regional Details'!$H$2,'Regional Details'!$H$3,'Regional Details'!$K$3)))</f>
        <v>Ajay Kumar</v>
      </c>
      <c r="K50" s="8">
        <f t="array" ref="K50">IFERROR(XLOOKUP(B50,'Regional Details'!$A$5:$A$8,'Regional Details'!$B$5:$B$8),IFERROR(XLOOKUP(B50,'Regional Details'!$D$5:$D$8,'Regional Details'!$E$5:$E$8),IFERROR(xlookup(B50,'Regional Details'!$G$5:$G$8,'Regional Details'!$H$5:$H$8),XLOOKUP(B50,'Regional Details'!$J$5:$J$8,'Regional Details'!$K$5:$K$8))))</f>
        <v>0.1</v>
      </c>
      <c r="L50" s="2" t="str">
        <f>VLOOKUP(A50,MonthMapping!$A$2:$B$13,2,false)</f>
        <v>February</v>
      </c>
      <c r="M50" s="9">
        <f>if(C50=$C$2,Contribution_Old!$B$22,Contribution_Old!$B$23)</f>
        <v>55.84</v>
      </c>
      <c r="N50" s="9">
        <f>if(C50=$C$2,Contribution_New!$B$23,Contribution_New!$B$24)</f>
        <v>61.84</v>
      </c>
      <c r="O50" s="2">
        <f t="shared" ref="O50:P50" si="99">M50*D50</f>
        <v>1297330.72</v>
      </c>
      <c r="P50" s="2">
        <f t="shared" si="99"/>
        <v>1652241.12</v>
      </c>
      <c r="Q50" s="2">
        <f t="shared" ref="Q50:R50" si="100">G50-O50</f>
        <v>1525478.78</v>
      </c>
      <c r="R50" s="2">
        <f t="shared" si="100"/>
        <v>1954688.88</v>
      </c>
      <c r="S50" s="2"/>
      <c r="T50" s="2"/>
      <c r="U50" s="2"/>
      <c r="V50" s="2"/>
      <c r="W50" s="2"/>
      <c r="X50" s="2"/>
      <c r="Y50" s="2"/>
      <c r="Z50" s="2"/>
    </row>
    <row r="51">
      <c r="A51" s="2">
        <f>IFERROR(__xludf.DUMMYFUNCTION("""COMPUTED_VALUE"""),2.0)</f>
        <v>2</v>
      </c>
      <c r="B51" s="2" t="str">
        <f>IFERROR(__xludf.DUMMYFUNCTION("""COMPUTED_VALUE"""),"Lucknow")</f>
        <v>Lucknow</v>
      </c>
      <c r="C51" s="2" t="str">
        <f>IFERROR(__xludf.DUMMYFUNCTION("""COMPUTED_VALUE"""),"NutriKid")</f>
        <v>NutriKid</v>
      </c>
      <c r="D51" s="2">
        <f>IFERROR(__xludf.DUMMYFUNCTION("""COMPUTED_VALUE"""),20324.0)</f>
        <v>20324</v>
      </c>
      <c r="E51" s="2">
        <f>IFERROR(__xludf.DUMMYFUNCTION("""COMPUTED_VALUE"""),22763.0)</f>
        <v>22763</v>
      </c>
      <c r="F51" s="2" t="str">
        <f>IFERROR(__xludf.DUMMYFUNCTION("""COMPUTED_VALUE"""),"IPLMARKETTING")</f>
        <v>IPLMARKETTING</v>
      </c>
      <c r="G51" s="2">
        <f t="shared" si="3"/>
        <v>1097496</v>
      </c>
      <c r="H51" s="2">
        <f t="shared" si="4"/>
        <v>1365780</v>
      </c>
      <c r="I51" s="2" t="str">
        <f>IF(or(B51='Regional Details'!$A$5,B51='Regional Details'!$A$6,B51='Regional Details'!$A$7,B51='Regional Details'!$A$8),'Regional Details'!$B$2,if(OR(B51='Regional Details'!$D$5,B51='Regional Details'!$D$6,B51='Regional Details'!$D$7,B51='Regional Details'!$D$8),'Regional Details'!$E$2,if(or(B51='Regional Details'!$G$5,B51='Regional Details'!$G$6,B51='Regional Details'!$G$7,B51='Regional Details'!$G$8),'Regional Details'!$H$2,'Regional Details'!$K$2)))</f>
        <v>North</v>
      </c>
      <c r="J51" s="2" t="str">
        <f>if(I51='Regional Details'!$B$2,'Regional Details'!$B$3,if(I51='Regional Details'!$E$2,'Regional Details'!$E$3,if(I51='Regional Details'!$H$2,'Regional Details'!$H$3,'Regional Details'!$K$3)))</f>
        <v>Ajay Kumar</v>
      </c>
      <c r="K51" s="8">
        <f t="array" ref="K51">IFERROR(XLOOKUP(B51,'Regional Details'!$A$5:$A$8,'Regional Details'!$B$5:$B$8),IFERROR(XLOOKUP(B51,'Regional Details'!$D$5:$D$8,'Regional Details'!$E$5:$E$8),IFERROR(xlookup(B51,'Regional Details'!$G$5:$G$8,'Regional Details'!$H$5:$H$8),XLOOKUP(B51,'Regional Details'!$J$5:$J$8,'Regional Details'!$K$5:$K$8))))</f>
        <v>0.1</v>
      </c>
      <c r="L51" s="2" t="str">
        <f>VLOOKUP(A51,MonthMapping!$A$2:$B$13,2,false)</f>
        <v>February</v>
      </c>
      <c r="M51" s="9">
        <f>if(C51=$C$2,Contribution_Old!$B$22,Contribution_Old!$B$23)</f>
        <v>24.108</v>
      </c>
      <c r="N51" s="9">
        <f>if(C51=$C$2,Contribution_New!$B$23,Contribution_New!$B$24)</f>
        <v>30.108</v>
      </c>
      <c r="O51" s="2">
        <f t="shared" ref="O51:P51" si="101">M51*D51</f>
        <v>489970.992</v>
      </c>
      <c r="P51" s="2">
        <f t="shared" si="101"/>
        <v>685348.404</v>
      </c>
      <c r="Q51" s="2">
        <f t="shared" ref="Q51:R51" si="102">G51-O51</f>
        <v>607525.008</v>
      </c>
      <c r="R51" s="2">
        <f t="shared" si="102"/>
        <v>680431.596</v>
      </c>
      <c r="S51" s="2"/>
      <c r="T51" s="2"/>
      <c r="U51" s="2"/>
      <c r="V51" s="2"/>
      <c r="W51" s="2"/>
      <c r="X51" s="2"/>
      <c r="Y51" s="2"/>
      <c r="Z51" s="2"/>
    </row>
    <row r="52">
      <c r="A52" s="2">
        <f>IFERROR(__xludf.DUMMYFUNCTION("""COMPUTED_VALUE"""),2.0)</f>
        <v>2</v>
      </c>
      <c r="B52" s="2" t="str">
        <f>IFERROR(__xludf.DUMMYFUNCTION("""COMPUTED_VALUE"""),"Ranchi")</f>
        <v>Ranchi</v>
      </c>
      <c r="C52" s="2" t="str">
        <f>IFERROR(__xludf.DUMMYFUNCTION("""COMPUTED_VALUE"""),"ZestVita")</f>
        <v>ZestVita</v>
      </c>
      <c r="D52" s="2">
        <f>IFERROR(__xludf.DUMMYFUNCTION("""COMPUTED_VALUE"""),26263.0)</f>
        <v>26263</v>
      </c>
      <c r="E52" s="2">
        <f>IFERROR(__xludf.DUMMYFUNCTION("""COMPUTED_VALUE"""),27839.0)</f>
        <v>27839</v>
      </c>
      <c r="F52" s="2" t="str">
        <f>IFERROR(__xludf.DUMMYFUNCTION("""COMPUTED_VALUE"""),"IPLMARKETTING")</f>
        <v>IPLMARKETTING</v>
      </c>
      <c r="G52" s="2">
        <f t="shared" si="3"/>
        <v>3368229.75</v>
      </c>
      <c r="H52" s="2">
        <f t="shared" si="4"/>
        <v>3758265</v>
      </c>
      <c r="I52" s="2" t="str">
        <f>IF(or(B52='Regional Details'!$A$5,B52='Regional Details'!$A$6,B52='Regional Details'!$A$7,B52='Regional Details'!$A$8),'Regional Details'!$B$2,if(OR(B52='Regional Details'!$D$5,B52='Regional Details'!$D$6,B52='Regional Details'!$D$7,B52='Regional Details'!$D$8),'Regional Details'!$E$2,if(or(B52='Regional Details'!$G$5,B52='Regional Details'!$G$6,B52='Regional Details'!$G$7,B52='Regional Details'!$G$8),'Regional Details'!$H$2,'Regional Details'!$K$2)))</f>
        <v>East</v>
      </c>
      <c r="J52" s="2" t="str">
        <f>if(I52='Regional Details'!$B$2,'Regional Details'!$B$3,if(I52='Regional Details'!$E$2,'Regional Details'!$E$3,if(I52='Regional Details'!$H$2,'Regional Details'!$H$3,'Regional Details'!$K$3)))</f>
        <v>Tanvi Sharma</v>
      </c>
      <c r="K52" s="8">
        <f t="array" ref="K52">IFERROR(XLOOKUP(B52,'Regional Details'!$A$5:$A$8,'Regional Details'!$B$5:$B$8),IFERROR(XLOOKUP(B52,'Regional Details'!$D$5:$D$8,'Regional Details'!$E$5:$E$8),IFERROR(xlookup(B52,'Regional Details'!$G$5:$G$8,'Regional Details'!$H$5:$H$8),XLOOKUP(B52,'Regional Details'!$J$5:$J$8,'Regional Details'!$K$5:$K$8))))</f>
        <v>0.05</v>
      </c>
      <c r="L52" s="2" t="str">
        <f>VLOOKUP(A52,MonthMapping!$A$2:$B$13,2,false)</f>
        <v>February</v>
      </c>
      <c r="M52" s="9">
        <f>if(C52=$C$2,Contribution_Old!$B$22,Contribution_Old!$B$23)</f>
        <v>55.84</v>
      </c>
      <c r="N52" s="9">
        <f>if(C52=$C$2,Contribution_New!$B$23,Contribution_New!$B$24)</f>
        <v>61.84</v>
      </c>
      <c r="O52" s="2">
        <f t="shared" ref="O52:P52" si="103">M52*D52</f>
        <v>1466525.92</v>
      </c>
      <c r="P52" s="2">
        <f t="shared" si="103"/>
        <v>1721563.76</v>
      </c>
      <c r="Q52" s="2">
        <f t="shared" ref="Q52:R52" si="104">G52-O52</f>
        <v>1901703.83</v>
      </c>
      <c r="R52" s="2">
        <f t="shared" si="104"/>
        <v>2036701.24</v>
      </c>
      <c r="S52" s="2"/>
      <c r="T52" s="2"/>
      <c r="U52" s="2"/>
      <c r="V52" s="2"/>
      <c r="W52" s="2"/>
      <c r="X52" s="2"/>
      <c r="Y52" s="2"/>
      <c r="Z52" s="2"/>
    </row>
    <row r="53">
      <c r="A53" s="2">
        <f>IFERROR(__xludf.DUMMYFUNCTION("""COMPUTED_VALUE"""),2.0)</f>
        <v>2</v>
      </c>
      <c r="B53" s="2" t="str">
        <f>IFERROR(__xludf.DUMMYFUNCTION("""COMPUTED_VALUE"""),"Ranchi")</f>
        <v>Ranchi</v>
      </c>
      <c r="C53" s="2" t="str">
        <f>IFERROR(__xludf.DUMMYFUNCTION("""COMPUTED_VALUE"""),"NutriKid")</f>
        <v>NutriKid</v>
      </c>
      <c r="D53" s="2">
        <f>IFERROR(__xludf.DUMMYFUNCTION("""COMPUTED_VALUE"""),16526.0)</f>
        <v>16526</v>
      </c>
      <c r="E53" s="2">
        <f>IFERROR(__xludf.DUMMYFUNCTION("""COMPUTED_VALUE"""),17022.0)</f>
        <v>17022</v>
      </c>
      <c r="F53" s="2" t="str">
        <f>IFERROR(__xludf.DUMMYFUNCTION("""COMPUTED_VALUE"""),"IPLMARKETTING")</f>
        <v>IPLMARKETTING</v>
      </c>
      <c r="G53" s="2">
        <f t="shared" si="3"/>
        <v>941982</v>
      </c>
      <c r="H53" s="2">
        <f t="shared" si="4"/>
        <v>1021320</v>
      </c>
      <c r="I53" s="2" t="str">
        <f>IF(or(B53='Regional Details'!$A$5,B53='Regional Details'!$A$6,B53='Regional Details'!$A$7,B53='Regional Details'!$A$8),'Regional Details'!$B$2,if(OR(B53='Regional Details'!$D$5,B53='Regional Details'!$D$6,B53='Regional Details'!$D$7,B53='Regional Details'!$D$8),'Regional Details'!$E$2,if(or(B53='Regional Details'!$G$5,B53='Regional Details'!$G$6,B53='Regional Details'!$G$7,B53='Regional Details'!$G$8),'Regional Details'!$H$2,'Regional Details'!$K$2)))</f>
        <v>East</v>
      </c>
      <c r="J53" s="2" t="str">
        <f>if(I53='Regional Details'!$B$2,'Regional Details'!$B$3,if(I53='Regional Details'!$E$2,'Regional Details'!$E$3,if(I53='Regional Details'!$H$2,'Regional Details'!$H$3,'Regional Details'!$K$3)))</f>
        <v>Tanvi Sharma</v>
      </c>
      <c r="K53" s="8">
        <f t="array" ref="K53">IFERROR(XLOOKUP(B53,'Regional Details'!$A$5:$A$8,'Regional Details'!$B$5:$B$8),IFERROR(XLOOKUP(B53,'Regional Details'!$D$5:$D$8,'Regional Details'!$E$5:$E$8),IFERROR(xlookup(B53,'Regional Details'!$G$5:$G$8,'Regional Details'!$H$5:$H$8),XLOOKUP(B53,'Regional Details'!$J$5:$J$8,'Regional Details'!$K$5:$K$8))))</f>
        <v>0.05</v>
      </c>
      <c r="L53" s="2" t="str">
        <f>VLOOKUP(A53,MonthMapping!$A$2:$B$13,2,false)</f>
        <v>February</v>
      </c>
      <c r="M53" s="9">
        <f>if(C53=$C$2,Contribution_Old!$B$22,Contribution_Old!$B$23)</f>
        <v>24.108</v>
      </c>
      <c r="N53" s="9">
        <f>if(C53=$C$2,Contribution_New!$B$23,Contribution_New!$B$24)</f>
        <v>30.108</v>
      </c>
      <c r="O53" s="2">
        <f t="shared" ref="O53:P53" si="105">M53*D53</f>
        <v>398408.808</v>
      </c>
      <c r="P53" s="2">
        <f t="shared" si="105"/>
        <v>512498.376</v>
      </c>
      <c r="Q53" s="2">
        <f t="shared" ref="Q53:R53" si="106">G53-O53</f>
        <v>543573.192</v>
      </c>
      <c r="R53" s="2">
        <f t="shared" si="106"/>
        <v>508821.624</v>
      </c>
      <c r="S53" s="2"/>
      <c r="T53" s="2"/>
      <c r="U53" s="2"/>
      <c r="V53" s="2"/>
      <c r="W53" s="2"/>
      <c r="X53" s="2"/>
      <c r="Y53" s="2"/>
      <c r="Z53" s="2"/>
    </row>
    <row r="54">
      <c r="A54" s="2">
        <f>IFERROR(__xludf.DUMMYFUNCTION("""COMPUTED_VALUE"""),2.0)</f>
        <v>2</v>
      </c>
      <c r="B54" s="2" t="str">
        <f>IFERROR(__xludf.DUMMYFUNCTION("""COMPUTED_VALUE"""),"Surat")</f>
        <v>Surat</v>
      </c>
      <c r="C54" s="2" t="str">
        <f>IFERROR(__xludf.DUMMYFUNCTION("""COMPUTED_VALUE"""),"ZestVita")</f>
        <v>ZestVita</v>
      </c>
      <c r="D54" s="2">
        <f>IFERROR(__xludf.DUMMYFUNCTION("""COMPUTED_VALUE"""),20866.0)</f>
        <v>20866</v>
      </c>
      <c r="E54" s="2">
        <f>IFERROR(__xludf.DUMMYFUNCTION("""COMPUTED_VALUE"""),21283.0)</f>
        <v>21283</v>
      </c>
      <c r="F54" s="2" t="str">
        <f>IFERROR(__xludf.DUMMYFUNCTION("""COMPUTED_VALUE"""),"IPLMARKETTING")</f>
        <v>IPLMARKETTING</v>
      </c>
      <c r="G54" s="2">
        <f t="shared" si="3"/>
        <v>2676064.5</v>
      </c>
      <c r="H54" s="2">
        <f t="shared" si="4"/>
        <v>2873205</v>
      </c>
      <c r="I54" s="2" t="str">
        <f>IF(or(B54='Regional Details'!$A$5,B54='Regional Details'!$A$6,B54='Regional Details'!$A$7,B54='Regional Details'!$A$8),'Regional Details'!$B$2,if(OR(B54='Regional Details'!$D$5,B54='Regional Details'!$D$6,B54='Regional Details'!$D$7,B54='Regional Details'!$D$8),'Regional Details'!$E$2,if(or(B54='Regional Details'!$G$5,B54='Regional Details'!$G$6,B54='Regional Details'!$G$7,B54='Regional Details'!$G$8),'Regional Details'!$H$2,'Regional Details'!$K$2)))</f>
        <v>West</v>
      </c>
      <c r="J54" s="2" t="str">
        <f>if(I54='Regional Details'!$B$2,'Regional Details'!$B$3,if(I54='Regional Details'!$E$2,'Regional Details'!$E$3,if(I54='Regional Details'!$H$2,'Regional Details'!$H$3,'Regional Details'!$K$3)))</f>
        <v>Ajay Ghosh</v>
      </c>
      <c r="K54" s="8">
        <f t="array" ref="K54">IFERROR(XLOOKUP(B54,'Regional Details'!$A$5:$A$8,'Regional Details'!$B$5:$B$8),IFERROR(XLOOKUP(B54,'Regional Details'!$D$5:$D$8,'Regional Details'!$E$5:$E$8),IFERROR(xlookup(B54,'Regional Details'!$G$5:$G$8,'Regional Details'!$H$5:$H$8),XLOOKUP(B54,'Regional Details'!$J$5:$J$8,'Regional Details'!$K$5:$K$8))))</f>
        <v>0.05</v>
      </c>
      <c r="L54" s="2" t="str">
        <f>VLOOKUP(A54,MonthMapping!$A$2:$B$13,2,false)</f>
        <v>February</v>
      </c>
      <c r="M54" s="9">
        <f>if(C54=$C$2,Contribution_Old!$B$22,Contribution_Old!$B$23)</f>
        <v>55.84</v>
      </c>
      <c r="N54" s="9">
        <f>if(C54=$C$2,Contribution_New!$B$23,Contribution_New!$B$24)</f>
        <v>61.84</v>
      </c>
      <c r="O54" s="2">
        <f t="shared" ref="O54:P54" si="107">M54*D54</f>
        <v>1165157.44</v>
      </c>
      <c r="P54" s="2">
        <f t="shared" si="107"/>
        <v>1316140.72</v>
      </c>
      <c r="Q54" s="2">
        <f t="shared" ref="Q54:R54" si="108">G54-O54</f>
        <v>1510907.06</v>
      </c>
      <c r="R54" s="2">
        <f t="shared" si="108"/>
        <v>1557064.28</v>
      </c>
      <c r="S54" s="2"/>
      <c r="T54" s="2"/>
      <c r="U54" s="2"/>
      <c r="V54" s="2"/>
      <c r="W54" s="2"/>
      <c r="X54" s="2"/>
      <c r="Y54" s="2"/>
      <c r="Z54" s="2"/>
    </row>
    <row r="55">
      <c r="A55" s="2">
        <f>IFERROR(__xludf.DUMMYFUNCTION("""COMPUTED_VALUE"""),2.0)</f>
        <v>2</v>
      </c>
      <c r="B55" s="2" t="str">
        <f>IFERROR(__xludf.DUMMYFUNCTION("""COMPUTED_VALUE"""),"Surat")</f>
        <v>Surat</v>
      </c>
      <c r="C55" s="2" t="str">
        <f>IFERROR(__xludf.DUMMYFUNCTION("""COMPUTED_VALUE"""),"NutriKid")</f>
        <v>NutriKid</v>
      </c>
      <c r="D55" s="2">
        <f>IFERROR(__xludf.DUMMYFUNCTION("""COMPUTED_VALUE"""),16493.0)</f>
        <v>16493</v>
      </c>
      <c r="E55" s="2">
        <f>IFERROR(__xludf.DUMMYFUNCTION("""COMPUTED_VALUE"""),16988.0)</f>
        <v>16988</v>
      </c>
      <c r="F55" s="2" t="str">
        <f>IFERROR(__xludf.DUMMYFUNCTION("""COMPUTED_VALUE"""),"IPLMARKETTING")</f>
        <v>IPLMARKETTING</v>
      </c>
      <c r="G55" s="2">
        <f t="shared" si="3"/>
        <v>940101</v>
      </c>
      <c r="H55" s="2">
        <f t="shared" si="4"/>
        <v>1019280</v>
      </c>
      <c r="I55" s="2" t="str">
        <f>IF(or(B55='Regional Details'!$A$5,B55='Regional Details'!$A$6,B55='Regional Details'!$A$7,B55='Regional Details'!$A$8),'Regional Details'!$B$2,if(OR(B55='Regional Details'!$D$5,B55='Regional Details'!$D$6,B55='Regional Details'!$D$7,B55='Regional Details'!$D$8),'Regional Details'!$E$2,if(or(B55='Regional Details'!$G$5,B55='Regional Details'!$G$6,B55='Regional Details'!$G$7,B55='Regional Details'!$G$8),'Regional Details'!$H$2,'Regional Details'!$K$2)))</f>
        <v>West</v>
      </c>
      <c r="J55" s="2" t="str">
        <f>if(I55='Regional Details'!$B$2,'Regional Details'!$B$3,if(I55='Regional Details'!$E$2,'Regional Details'!$E$3,if(I55='Regional Details'!$H$2,'Regional Details'!$H$3,'Regional Details'!$K$3)))</f>
        <v>Ajay Ghosh</v>
      </c>
      <c r="K55" s="8">
        <f t="array" ref="K55">IFERROR(XLOOKUP(B55,'Regional Details'!$A$5:$A$8,'Regional Details'!$B$5:$B$8),IFERROR(XLOOKUP(B55,'Regional Details'!$D$5:$D$8,'Regional Details'!$E$5:$E$8),IFERROR(xlookup(B55,'Regional Details'!$G$5:$G$8,'Regional Details'!$H$5:$H$8),XLOOKUP(B55,'Regional Details'!$J$5:$J$8,'Regional Details'!$K$5:$K$8))))</f>
        <v>0.05</v>
      </c>
      <c r="L55" s="2" t="str">
        <f>VLOOKUP(A55,MonthMapping!$A$2:$B$13,2,false)</f>
        <v>February</v>
      </c>
      <c r="M55" s="9">
        <f>if(C55=$C$2,Contribution_Old!$B$22,Contribution_Old!$B$23)</f>
        <v>24.108</v>
      </c>
      <c r="N55" s="9">
        <f>if(C55=$C$2,Contribution_New!$B$23,Contribution_New!$B$24)</f>
        <v>30.108</v>
      </c>
      <c r="O55" s="2">
        <f t="shared" ref="O55:P55" si="109">M55*D55</f>
        <v>397613.244</v>
      </c>
      <c r="P55" s="2">
        <f t="shared" si="109"/>
        <v>511474.704</v>
      </c>
      <c r="Q55" s="2">
        <f t="shared" ref="Q55:R55" si="110">G55-O55</f>
        <v>542487.756</v>
      </c>
      <c r="R55" s="2">
        <f t="shared" si="110"/>
        <v>507805.296</v>
      </c>
      <c r="S55" s="2"/>
      <c r="T55" s="2"/>
      <c r="U55" s="2"/>
      <c r="V55" s="2"/>
      <c r="W55" s="2"/>
      <c r="X55" s="2"/>
      <c r="Y55" s="2"/>
      <c r="Z55" s="2"/>
    </row>
    <row r="56">
      <c r="A56" s="2">
        <f>IFERROR(__xludf.DUMMYFUNCTION("""COMPUTED_VALUE"""),2.0)</f>
        <v>2</v>
      </c>
      <c r="B56" s="2" t="str">
        <f>IFERROR(__xludf.DUMMYFUNCTION("""COMPUTED_VALUE"""),"Hyderabad")</f>
        <v>Hyderabad</v>
      </c>
      <c r="C56" s="2" t="str">
        <f>IFERROR(__xludf.DUMMYFUNCTION("""COMPUTED_VALUE"""),"ZestVita")</f>
        <v>ZestVita</v>
      </c>
      <c r="D56" s="2">
        <f>IFERROR(__xludf.DUMMYFUNCTION("""COMPUTED_VALUE"""),29078.0)</f>
        <v>29078</v>
      </c>
      <c r="E56" s="2">
        <f>IFERROR(__xludf.DUMMYFUNCTION("""COMPUTED_VALUE"""),33730.0)</f>
        <v>33730</v>
      </c>
      <c r="F56" s="2" t="str">
        <f>IFERROR(__xludf.DUMMYFUNCTION("""COMPUTED_VALUE"""),"IPLMARKETTING")</f>
        <v>IPLMARKETTING</v>
      </c>
      <c r="G56" s="2">
        <f t="shared" si="3"/>
        <v>3925530</v>
      </c>
      <c r="H56" s="2">
        <f t="shared" si="4"/>
        <v>4553550</v>
      </c>
      <c r="I56" s="2" t="str">
        <f>IF(or(B56='Regional Details'!$A$5,B56='Regional Details'!$A$6,B56='Regional Details'!$A$7,B56='Regional Details'!$A$8),'Regional Details'!$B$2,if(OR(B56='Regional Details'!$D$5,B56='Regional Details'!$D$6,B56='Regional Details'!$D$7,B56='Regional Details'!$D$8),'Regional Details'!$E$2,if(or(B56='Regional Details'!$G$5,B56='Regional Details'!$G$6,B56='Regional Details'!$G$7,B56='Regional Details'!$G$8),'Regional Details'!$H$2,'Regional Details'!$K$2)))</f>
        <v>South</v>
      </c>
      <c r="J56" s="2" t="str">
        <f>if(I56='Regional Details'!$B$2,'Regional Details'!$B$3,if(I56='Regional Details'!$E$2,'Regional Details'!$E$3,if(I56='Regional Details'!$H$2,'Regional Details'!$H$3,'Regional Details'!$K$3)))</f>
        <v>Anjali Krishna Murthy</v>
      </c>
      <c r="K56" s="8">
        <f t="array" ref="K56">IFERROR(XLOOKUP(B56,'Regional Details'!$A$5:$A$8,'Regional Details'!$B$5:$B$8),IFERROR(XLOOKUP(B56,'Regional Details'!$D$5:$D$8,'Regional Details'!$E$5:$E$8),IFERROR(xlookup(B56,'Regional Details'!$G$5:$G$8,'Regional Details'!$H$5:$H$8),XLOOKUP(B56,'Regional Details'!$J$5:$J$8,'Regional Details'!$K$5:$K$8))))</f>
        <v>0</v>
      </c>
      <c r="L56" s="2" t="str">
        <f>VLOOKUP(A56,MonthMapping!$A$2:$B$13,2,false)</f>
        <v>February</v>
      </c>
      <c r="M56" s="9">
        <f>if(C56=$C$2,Contribution_Old!$B$22,Contribution_Old!$B$23)</f>
        <v>55.84</v>
      </c>
      <c r="N56" s="9">
        <f>if(C56=$C$2,Contribution_New!$B$23,Contribution_New!$B$24)</f>
        <v>61.84</v>
      </c>
      <c r="O56" s="2">
        <f t="shared" ref="O56:P56" si="111">M56*D56</f>
        <v>1623715.52</v>
      </c>
      <c r="P56" s="2">
        <f t="shared" si="111"/>
        <v>2085863.2</v>
      </c>
      <c r="Q56" s="2">
        <f t="shared" ref="Q56:R56" si="112">G56-O56</f>
        <v>2301814.48</v>
      </c>
      <c r="R56" s="2">
        <f t="shared" si="112"/>
        <v>2467686.8</v>
      </c>
      <c r="S56" s="2"/>
      <c r="T56" s="2"/>
      <c r="U56" s="2"/>
      <c r="V56" s="2"/>
      <c r="W56" s="2"/>
      <c r="X56" s="2"/>
      <c r="Y56" s="2"/>
      <c r="Z56" s="2"/>
    </row>
    <row r="57">
      <c r="A57" s="2">
        <f>IFERROR(__xludf.DUMMYFUNCTION("""COMPUTED_VALUE"""),2.0)</f>
        <v>2</v>
      </c>
      <c r="B57" s="2" t="str">
        <f>IFERROR(__xludf.DUMMYFUNCTION("""COMPUTED_VALUE"""),"Hyderabad")</f>
        <v>Hyderabad</v>
      </c>
      <c r="C57" s="2" t="str">
        <f>IFERROR(__xludf.DUMMYFUNCTION("""COMPUTED_VALUE"""),"NutriKid")</f>
        <v>NutriKid</v>
      </c>
      <c r="D57" s="2">
        <f>IFERROR(__xludf.DUMMYFUNCTION("""COMPUTED_VALUE"""),28842.0)</f>
        <v>28842</v>
      </c>
      <c r="E57" s="2">
        <f>IFERROR(__xludf.DUMMYFUNCTION("""COMPUTED_VALUE"""),31726.0)</f>
        <v>31726</v>
      </c>
      <c r="F57" s="2" t="str">
        <f>IFERROR(__xludf.DUMMYFUNCTION("""COMPUTED_VALUE"""),"IPLMARKETTING")</f>
        <v>IPLMARKETTING</v>
      </c>
      <c r="G57" s="2">
        <f t="shared" si="3"/>
        <v>1730520</v>
      </c>
      <c r="H57" s="2">
        <f t="shared" si="4"/>
        <v>1903560</v>
      </c>
      <c r="I57" s="2" t="str">
        <f>IF(or(B57='Regional Details'!$A$5,B57='Regional Details'!$A$6,B57='Regional Details'!$A$7,B57='Regional Details'!$A$8),'Regional Details'!$B$2,if(OR(B57='Regional Details'!$D$5,B57='Regional Details'!$D$6,B57='Regional Details'!$D$7,B57='Regional Details'!$D$8),'Regional Details'!$E$2,if(or(B57='Regional Details'!$G$5,B57='Regional Details'!$G$6,B57='Regional Details'!$G$7,B57='Regional Details'!$G$8),'Regional Details'!$H$2,'Regional Details'!$K$2)))</f>
        <v>South</v>
      </c>
      <c r="J57" s="2" t="str">
        <f>if(I57='Regional Details'!$B$2,'Regional Details'!$B$3,if(I57='Regional Details'!$E$2,'Regional Details'!$E$3,if(I57='Regional Details'!$H$2,'Regional Details'!$H$3,'Regional Details'!$K$3)))</f>
        <v>Anjali Krishna Murthy</v>
      </c>
      <c r="K57" s="8">
        <f t="array" ref="K57">IFERROR(XLOOKUP(B57,'Regional Details'!$A$5:$A$8,'Regional Details'!$B$5:$B$8),IFERROR(XLOOKUP(B57,'Regional Details'!$D$5:$D$8,'Regional Details'!$E$5:$E$8),IFERROR(xlookup(B57,'Regional Details'!$G$5:$G$8,'Regional Details'!$H$5:$H$8),XLOOKUP(B57,'Regional Details'!$J$5:$J$8,'Regional Details'!$K$5:$K$8))))</f>
        <v>0</v>
      </c>
      <c r="L57" s="2" t="str">
        <f>VLOOKUP(A57,MonthMapping!$A$2:$B$13,2,false)</f>
        <v>February</v>
      </c>
      <c r="M57" s="9">
        <f>if(C57=$C$2,Contribution_Old!$B$22,Contribution_Old!$B$23)</f>
        <v>24.108</v>
      </c>
      <c r="N57" s="9">
        <f>if(C57=$C$2,Contribution_New!$B$23,Contribution_New!$B$24)</f>
        <v>30.108</v>
      </c>
      <c r="O57" s="2">
        <f t="shared" ref="O57:P57" si="113">M57*D57</f>
        <v>695322.936</v>
      </c>
      <c r="P57" s="2">
        <f t="shared" si="113"/>
        <v>955206.408</v>
      </c>
      <c r="Q57" s="2">
        <f t="shared" ref="Q57:R57" si="114">G57-O57</f>
        <v>1035197.064</v>
      </c>
      <c r="R57" s="2">
        <f t="shared" si="114"/>
        <v>948353.592</v>
      </c>
      <c r="S57" s="2"/>
      <c r="T57" s="2"/>
      <c r="U57" s="2"/>
      <c r="V57" s="2"/>
      <c r="W57" s="2"/>
      <c r="X57" s="2"/>
      <c r="Y57" s="2"/>
      <c r="Z57" s="2"/>
    </row>
    <row r="58">
      <c r="A58" s="2">
        <f>IFERROR(__xludf.DUMMYFUNCTION("""COMPUTED_VALUE"""),2.0)</f>
        <v>2</v>
      </c>
      <c r="B58" s="2" t="str">
        <f>IFERROR(__xludf.DUMMYFUNCTION("""COMPUTED_VALUE"""),"Dehradun")</f>
        <v>Dehradun</v>
      </c>
      <c r="C58" s="2" t="str">
        <f>IFERROR(__xludf.DUMMYFUNCTION("""COMPUTED_VALUE"""),"ZestVita")</f>
        <v>ZestVita</v>
      </c>
      <c r="D58" s="2">
        <f>IFERROR(__xludf.DUMMYFUNCTION("""COMPUTED_VALUE"""),21865.0)</f>
        <v>21865</v>
      </c>
      <c r="E58" s="2">
        <f>IFERROR(__xludf.DUMMYFUNCTION("""COMPUTED_VALUE"""),23614.0)</f>
        <v>23614</v>
      </c>
      <c r="F58" s="2" t="str">
        <f>IFERROR(__xludf.DUMMYFUNCTION("""COMPUTED_VALUE"""),"IPLMARKETTING")</f>
        <v>IPLMARKETTING</v>
      </c>
      <c r="G58" s="2">
        <f t="shared" si="3"/>
        <v>2582803.125</v>
      </c>
      <c r="H58" s="2">
        <f t="shared" si="4"/>
        <v>3187890</v>
      </c>
      <c r="I58" s="2" t="str">
        <f>IF(or(B58='Regional Details'!$A$5,B58='Regional Details'!$A$6,B58='Regional Details'!$A$7,B58='Regional Details'!$A$8),'Regional Details'!$B$2,if(OR(B58='Regional Details'!$D$5,B58='Regional Details'!$D$6,B58='Regional Details'!$D$7,B58='Regional Details'!$D$8),'Regional Details'!$E$2,if(or(B58='Regional Details'!$G$5,B58='Regional Details'!$G$6,B58='Regional Details'!$G$7,B58='Regional Details'!$G$8),'Regional Details'!$H$2,'Regional Details'!$K$2)))</f>
        <v>North</v>
      </c>
      <c r="J58" s="2" t="str">
        <f>if(I58='Regional Details'!$B$2,'Regional Details'!$B$3,if(I58='Regional Details'!$E$2,'Regional Details'!$E$3,if(I58='Regional Details'!$H$2,'Regional Details'!$H$3,'Regional Details'!$K$3)))</f>
        <v>Ajay Kumar</v>
      </c>
      <c r="K58" s="8">
        <f t="array" ref="K58">IFERROR(XLOOKUP(B58,'Regional Details'!$A$5:$A$8,'Regional Details'!$B$5:$B$8),IFERROR(XLOOKUP(B58,'Regional Details'!$D$5:$D$8,'Regional Details'!$E$5:$E$8),IFERROR(xlookup(B58,'Regional Details'!$G$5:$G$8,'Regional Details'!$H$5:$H$8),XLOOKUP(B58,'Regional Details'!$J$5:$J$8,'Regional Details'!$K$5:$K$8))))</f>
        <v>0.125</v>
      </c>
      <c r="L58" s="2" t="str">
        <f>VLOOKUP(A58,MonthMapping!$A$2:$B$13,2,false)</f>
        <v>February</v>
      </c>
      <c r="M58" s="9">
        <f>if(C58=$C$2,Contribution_Old!$B$22,Contribution_Old!$B$23)</f>
        <v>55.84</v>
      </c>
      <c r="N58" s="9">
        <f>if(C58=$C$2,Contribution_New!$B$23,Contribution_New!$B$24)</f>
        <v>61.84</v>
      </c>
      <c r="O58" s="2">
        <f t="shared" ref="O58:P58" si="115">M58*D58</f>
        <v>1220941.6</v>
      </c>
      <c r="P58" s="2">
        <f t="shared" si="115"/>
        <v>1460289.76</v>
      </c>
      <c r="Q58" s="2">
        <f t="shared" ref="Q58:R58" si="116">G58-O58</f>
        <v>1361861.525</v>
      </c>
      <c r="R58" s="2">
        <f t="shared" si="116"/>
        <v>1727600.24</v>
      </c>
      <c r="S58" s="2"/>
      <c r="T58" s="2"/>
      <c r="U58" s="2"/>
      <c r="V58" s="2"/>
      <c r="W58" s="2"/>
      <c r="X58" s="2"/>
      <c r="Y58" s="2"/>
      <c r="Z58" s="2"/>
    </row>
    <row r="59">
      <c r="A59" s="2">
        <f>IFERROR(__xludf.DUMMYFUNCTION("""COMPUTED_VALUE"""),2.0)</f>
        <v>2</v>
      </c>
      <c r="B59" s="2" t="str">
        <f>IFERROR(__xludf.DUMMYFUNCTION("""COMPUTED_VALUE"""),"Dehradun")</f>
        <v>Dehradun</v>
      </c>
      <c r="C59" s="2" t="str">
        <f>IFERROR(__xludf.DUMMYFUNCTION("""COMPUTED_VALUE"""),"NutriKid")</f>
        <v>NutriKid</v>
      </c>
      <c r="D59" s="2">
        <f>IFERROR(__xludf.DUMMYFUNCTION("""COMPUTED_VALUE"""),13454.0)</f>
        <v>13454</v>
      </c>
      <c r="E59" s="2">
        <f>IFERROR(__xludf.DUMMYFUNCTION("""COMPUTED_VALUE"""),14530.0)</f>
        <v>14530</v>
      </c>
      <c r="F59" s="2" t="str">
        <f>IFERROR(__xludf.DUMMYFUNCTION("""COMPUTED_VALUE"""),"IPLMARKETTING")</f>
        <v>IPLMARKETTING</v>
      </c>
      <c r="G59" s="2">
        <f t="shared" si="3"/>
        <v>706335</v>
      </c>
      <c r="H59" s="2">
        <f t="shared" si="4"/>
        <v>871800</v>
      </c>
      <c r="I59" s="2" t="str">
        <f>IF(or(B59='Regional Details'!$A$5,B59='Regional Details'!$A$6,B59='Regional Details'!$A$7,B59='Regional Details'!$A$8),'Regional Details'!$B$2,if(OR(B59='Regional Details'!$D$5,B59='Regional Details'!$D$6,B59='Regional Details'!$D$7,B59='Regional Details'!$D$8),'Regional Details'!$E$2,if(or(B59='Regional Details'!$G$5,B59='Regional Details'!$G$6,B59='Regional Details'!$G$7,B59='Regional Details'!$G$8),'Regional Details'!$H$2,'Regional Details'!$K$2)))</f>
        <v>North</v>
      </c>
      <c r="J59" s="2" t="str">
        <f>if(I59='Regional Details'!$B$2,'Regional Details'!$B$3,if(I59='Regional Details'!$E$2,'Regional Details'!$E$3,if(I59='Regional Details'!$H$2,'Regional Details'!$H$3,'Regional Details'!$K$3)))</f>
        <v>Ajay Kumar</v>
      </c>
      <c r="K59" s="8">
        <f t="array" ref="K59">IFERROR(XLOOKUP(B59,'Regional Details'!$A$5:$A$8,'Regional Details'!$B$5:$B$8),IFERROR(XLOOKUP(B59,'Regional Details'!$D$5:$D$8,'Regional Details'!$E$5:$E$8),IFERROR(xlookup(B59,'Regional Details'!$G$5:$G$8,'Regional Details'!$H$5:$H$8),XLOOKUP(B59,'Regional Details'!$J$5:$J$8,'Regional Details'!$K$5:$K$8))))</f>
        <v>0.125</v>
      </c>
      <c r="L59" s="2" t="str">
        <f>VLOOKUP(A59,MonthMapping!$A$2:$B$13,2,false)</f>
        <v>February</v>
      </c>
      <c r="M59" s="9">
        <f>if(C59=$C$2,Contribution_Old!$B$22,Contribution_Old!$B$23)</f>
        <v>24.108</v>
      </c>
      <c r="N59" s="9">
        <f>if(C59=$C$2,Contribution_New!$B$23,Contribution_New!$B$24)</f>
        <v>30.108</v>
      </c>
      <c r="O59" s="2">
        <f t="shared" ref="O59:P59" si="117">M59*D59</f>
        <v>324349.032</v>
      </c>
      <c r="P59" s="2">
        <f t="shared" si="117"/>
        <v>437469.24</v>
      </c>
      <c r="Q59" s="2">
        <f t="shared" ref="Q59:R59" si="118">G59-O59</f>
        <v>381985.968</v>
      </c>
      <c r="R59" s="2">
        <f t="shared" si="118"/>
        <v>434330.76</v>
      </c>
      <c r="S59" s="2"/>
      <c r="T59" s="2"/>
      <c r="U59" s="2"/>
      <c r="V59" s="2"/>
      <c r="W59" s="2"/>
      <c r="X59" s="2"/>
      <c r="Y59" s="2"/>
      <c r="Z59" s="2"/>
    </row>
    <row r="60">
      <c r="A60" s="2">
        <f>IFERROR(__xludf.DUMMYFUNCTION("""COMPUTED_VALUE"""),2.0)</f>
        <v>2</v>
      </c>
      <c r="B60" s="2" t="str">
        <f>IFERROR(__xludf.DUMMYFUNCTION("""COMPUTED_VALUE"""),"Kochi")</f>
        <v>Kochi</v>
      </c>
      <c r="C60" s="2" t="str">
        <f>IFERROR(__xludf.DUMMYFUNCTION("""COMPUTED_VALUE"""),"ZestVita")</f>
        <v>ZestVita</v>
      </c>
      <c r="D60" s="2">
        <f>IFERROR(__xludf.DUMMYFUNCTION("""COMPUTED_VALUE"""),24236.0)</f>
        <v>24236</v>
      </c>
      <c r="E60" s="2">
        <f>IFERROR(__xludf.DUMMYFUNCTION("""COMPUTED_VALUE"""),24721.0)</f>
        <v>24721</v>
      </c>
      <c r="F60" s="2" t="str">
        <f>IFERROR(__xludf.DUMMYFUNCTION("""COMPUTED_VALUE"""),"IPLMARKETTING")</f>
        <v>IPLMARKETTING</v>
      </c>
      <c r="G60" s="2">
        <f t="shared" si="3"/>
        <v>2944674</v>
      </c>
      <c r="H60" s="2">
        <f t="shared" si="4"/>
        <v>3337335</v>
      </c>
      <c r="I60" s="2" t="str">
        <f>IF(or(B60='Regional Details'!$A$5,B60='Regional Details'!$A$6,B60='Regional Details'!$A$7,B60='Regional Details'!$A$8),'Regional Details'!$B$2,if(OR(B60='Regional Details'!$D$5,B60='Regional Details'!$D$6,B60='Regional Details'!$D$7,B60='Regional Details'!$D$8),'Regional Details'!$E$2,if(or(B60='Regional Details'!$G$5,B60='Regional Details'!$G$6,B60='Regional Details'!$G$7,B60='Regional Details'!$G$8),'Regional Details'!$H$2,'Regional Details'!$K$2)))</f>
        <v>South</v>
      </c>
      <c r="J60" s="2" t="str">
        <f>if(I60='Regional Details'!$B$2,'Regional Details'!$B$3,if(I60='Regional Details'!$E$2,'Regional Details'!$E$3,if(I60='Regional Details'!$H$2,'Regional Details'!$H$3,'Regional Details'!$K$3)))</f>
        <v>Anjali Krishna Murthy</v>
      </c>
      <c r="K60" s="8">
        <f t="array" ref="K60">IFERROR(XLOOKUP(B60,'Regional Details'!$A$5:$A$8,'Regional Details'!$B$5:$B$8),IFERROR(XLOOKUP(B60,'Regional Details'!$D$5:$D$8,'Regional Details'!$E$5:$E$8),IFERROR(xlookup(B60,'Regional Details'!$G$5:$G$8,'Regional Details'!$H$5:$H$8),XLOOKUP(B60,'Regional Details'!$J$5:$J$8,'Regional Details'!$K$5:$K$8))))</f>
        <v>0.1</v>
      </c>
      <c r="L60" s="2" t="str">
        <f>VLOOKUP(A60,MonthMapping!$A$2:$B$13,2,false)</f>
        <v>February</v>
      </c>
      <c r="M60" s="9">
        <f>if(C60=$C$2,Contribution_Old!$B$22,Contribution_Old!$B$23)</f>
        <v>55.84</v>
      </c>
      <c r="N60" s="9">
        <f>if(C60=$C$2,Contribution_New!$B$23,Contribution_New!$B$24)</f>
        <v>61.84</v>
      </c>
      <c r="O60" s="2">
        <f t="shared" ref="O60:P60" si="119">M60*D60</f>
        <v>1353338.24</v>
      </c>
      <c r="P60" s="2">
        <f t="shared" si="119"/>
        <v>1528746.64</v>
      </c>
      <c r="Q60" s="2">
        <f t="shared" ref="Q60:R60" si="120">G60-O60</f>
        <v>1591335.76</v>
      </c>
      <c r="R60" s="2">
        <f t="shared" si="120"/>
        <v>1808588.36</v>
      </c>
      <c r="S60" s="2"/>
      <c r="T60" s="2"/>
      <c r="U60" s="2"/>
      <c r="V60" s="2"/>
      <c r="W60" s="2"/>
      <c r="X60" s="2"/>
      <c r="Y60" s="2"/>
      <c r="Z60" s="2"/>
    </row>
    <row r="61">
      <c r="A61" s="2">
        <f>IFERROR(__xludf.DUMMYFUNCTION("""COMPUTED_VALUE"""),2.0)</f>
        <v>2</v>
      </c>
      <c r="B61" s="2" t="str">
        <f>IFERROR(__xludf.DUMMYFUNCTION("""COMPUTED_VALUE"""),"Kochi")</f>
        <v>Kochi</v>
      </c>
      <c r="C61" s="2" t="str">
        <f>IFERROR(__xludf.DUMMYFUNCTION("""COMPUTED_VALUE"""),"NutriKid")</f>
        <v>NutriKid</v>
      </c>
      <c r="D61" s="2">
        <f>IFERROR(__xludf.DUMMYFUNCTION("""COMPUTED_VALUE"""),14406.0)</f>
        <v>14406</v>
      </c>
      <c r="E61" s="2">
        <f>IFERROR(__xludf.DUMMYFUNCTION("""COMPUTED_VALUE"""),15270.0)</f>
        <v>15270</v>
      </c>
      <c r="F61" s="2" t="str">
        <f>IFERROR(__xludf.DUMMYFUNCTION("""COMPUTED_VALUE"""),"IPLMARKETTING")</f>
        <v>IPLMARKETTING</v>
      </c>
      <c r="G61" s="2">
        <f t="shared" si="3"/>
        <v>777924</v>
      </c>
      <c r="H61" s="2">
        <f t="shared" si="4"/>
        <v>916200</v>
      </c>
      <c r="I61" s="2" t="str">
        <f>IF(or(B61='Regional Details'!$A$5,B61='Regional Details'!$A$6,B61='Regional Details'!$A$7,B61='Regional Details'!$A$8),'Regional Details'!$B$2,if(OR(B61='Regional Details'!$D$5,B61='Regional Details'!$D$6,B61='Regional Details'!$D$7,B61='Regional Details'!$D$8),'Regional Details'!$E$2,if(or(B61='Regional Details'!$G$5,B61='Regional Details'!$G$6,B61='Regional Details'!$G$7,B61='Regional Details'!$G$8),'Regional Details'!$H$2,'Regional Details'!$K$2)))</f>
        <v>South</v>
      </c>
      <c r="J61" s="2" t="str">
        <f>if(I61='Regional Details'!$B$2,'Regional Details'!$B$3,if(I61='Regional Details'!$E$2,'Regional Details'!$E$3,if(I61='Regional Details'!$H$2,'Regional Details'!$H$3,'Regional Details'!$K$3)))</f>
        <v>Anjali Krishna Murthy</v>
      </c>
      <c r="K61" s="8">
        <f t="array" ref="K61">IFERROR(XLOOKUP(B61,'Regional Details'!$A$5:$A$8,'Regional Details'!$B$5:$B$8),IFERROR(XLOOKUP(B61,'Regional Details'!$D$5:$D$8,'Regional Details'!$E$5:$E$8),IFERROR(xlookup(B61,'Regional Details'!$G$5:$G$8,'Regional Details'!$H$5:$H$8),XLOOKUP(B61,'Regional Details'!$J$5:$J$8,'Regional Details'!$K$5:$K$8))))</f>
        <v>0.1</v>
      </c>
      <c r="L61" s="2" t="str">
        <f>VLOOKUP(A61,MonthMapping!$A$2:$B$13,2,false)</f>
        <v>February</v>
      </c>
      <c r="M61" s="9">
        <f>if(C61=$C$2,Contribution_Old!$B$22,Contribution_Old!$B$23)</f>
        <v>24.108</v>
      </c>
      <c r="N61" s="9">
        <f>if(C61=$C$2,Contribution_New!$B$23,Contribution_New!$B$24)</f>
        <v>30.108</v>
      </c>
      <c r="O61" s="2">
        <f t="shared" ref="O61:P61" si="121">M61*D61</f>
        <v>347299.848</v>
      </c>
      <c r="P61" s="2">
        <f t="shared" si="121"/>
        <v>459749.16</v>
      </c>
      <c r="Q61" s="2">
        <f t="shared" ref="Q61:R61" si="122">G61-O61</f>
        <v>430624.152</v>
      </c>
      <c r="R61" s="2">
        <f t="shared" si="122"/>
        <v>456450.84</v>
      </c>
      <c r="S61" s="2"/>
      <c r="T61" s="2"/>
      <c r="U61" s="2"/>
      <c r="V61" s="2"/>
      <c r="W61" s="2"/>
      <c r="X61" s="2"/>
      <c r="Y61" s="2"/>
      <c r="Z61" s="2"/>
    </row>
    <row r="62">
      <c r="A62" s="2">
        <f>IFERROR(__xludf.DUMMYFUNCTION("""COMPUTED_VALUE"""),2.0)</f>
        <v>2</v>
      </c>
      <c r="B62" s="2" t="str">
        <f>IFERROR(__xludf.DUMMYFUNCTION("""COMPUTED_VALUE"""),"Jaipur")</f>
        <v>Jaipur</v>
      </c>
      <c r="C62" s="2" t="str">
        <f>IFERROR(__xludf.DUMMYFUNCTION("""COMPUTED_VALUE"""),"ZestVita")</f>
        <v>ZestVita</v>
      </c>
      <c r="D62" s="2">
        <f>IFERROR(__xludf.DUMMYFUNCTION("""COMPUTED_VALUE"""),23105.0)</f>
        <v>23105</v>
      </c>
      <c r="E62" s="2">
        <f>IFERROR(__xludf.DUMMYFUNCTION("""COMPUTED_VALUE"""),28188.0)</f>
        <v>28188</v>
      </c>
      <c r="F62" s="2" t="str">
        <f>IFERROR(__xludf.DUMMYFUNCTION("""COMPUTED_VALUE"""),"IPLMARKETTING")</f>
        <v>IPLMARKETTING</v>
      </c>
      <c r="G62" s="2">
        <f t="shared" si="3"/>
        <v>3119175</v>
      </c>
      <c r="H62" s="2">
        <f t="shared" si="4"/>
        <v>3805380</v>
      </c>
      <c r="I62" s="2" t="str">
        <f>IF(or(B62='Regional Details'!$A$5,B62='Regional Details'!$A$6,B62='Regional Details'!$A$7,B62='Regional Details'!$A$8),'Regional Details'!$B$2,if(OR(B62='Regional Details'!$D$5,B62='Regional Details'!$D$6,B62='Regional Details'!$D$7,B62='Regional Details'!$D$8),'Regional Details'!$E$2,if(or(B62='Regional Details'!$G$5,B62='Regional Details'!$G$6,B62='Regional Details'!$G$7,B62='Regional Details'!$G$8),'Regional Details'!$H$2,'Regional Details'!$K$2)))</f>
        <v>West</v>
      </c>
      <c r="J62" s="2" t="str">
        <f>if(I62='Regional Details'!$B$2,'Regional Details'!$B$3,if(I62='Regional Details'!$E$2,'Regional Details'!$E$3,if(I62='Regional Details'!$H$2,'Regional Details'!$H$3,'Regional Details'!$K$3)))</f>
        <v>Ajay Ghosh</v>
      </c>
      <c r="K62" s="8">
        <f t="array" ref="K62">IFERROR(XLOOKUP(B62,'Regional Details'!$A$5:$A$8,'Regional Details'!$B$5:$B$8),IFERROR(XLOOKUP(B62,'Regional Details'!$D$5:$D$8,'Regional Details'!$E$5:$E$8),IFERROR(xlookup(B62,'Regional Details'!$G$5:$G$8,'Regional Details'!$H$5:$H$8),XLOOKUP(B62,'Regional Details'!$J$5:$J$8,'Regional Details'!$K$5:$K$8))))</f>
        <v>0</v>
      </c>
      <c r="L62" s="2" t="str">
        <f>VLOOKUP(A62,MonthMapping!$A$2:$B$13,2,false)</f>
        <v>February</v>
      </c>
      <c r="M62" s="9">
        <f>if(C62=$C$2,Contribution_Old!$B$22,Contribution_Old!$B$23)</f>
        <v>55.84</v>
      </c>
      <c r="N62" s="9">
        <f>if(C62=$C$2,Contribution_New!$B$23,Contribution_New!$B$24)</f>
        <v>61.84</v>
      </c>
      <c r="O62" s="2">
        <f t="shared" ref="O62:P62" si="123">M62*D62</f>
        <v>1290183.2</v>
      </c>
      <c r="P62" s="2">
        <f t="shared" si="123"/>
        <v>1743145.92</v>
      </c>
      <c r="Q62" s="2">
        <f t="shared" ref="Q62:R62" si="124">G62-O62</f>
        <v>1828991.8</v>
      </c>
      <c r="R62" s="2">
        <f t="shared" si="124"/>
        <v>2062234.08</v>
      </c>
      <c r="S62" s="2"/>
      <c r="T62" s="2"/>
      <c r="U62" s="2"/>
      <c r="V62" s="2"/>
      <c r="W62" s="2"/>
      <c r="X62" s="2"/>
      <c r="Y62" s="2"/>
      <c r="Z62" s="2"/>
    </row>
    <row r="63">
      <c r="A63" s="2">
        <f>IFERROR(__xludf.DUMMYFUNCTION("""COMPUTED_VALUE"""),2.0)</f>
        <v>2</v>
      </c>
      <c r="B63" s="2" t="str">
        <f>IFERROR(__xludf.DUMMYFUNCTION("""COMPUTED_VALUE"""),"Jaipur")</f>
        <v>Jaipur</v>
      </c>
      <c r="C63" s="2" t="str">
        <f>IFERROR(__xludf.DUMMYFUNCTION("""COMPUTED_VALUE"""),"NutriKid")</f>
        <v>NutriKid</v>
      </c>
      <c r="D63" s="2">
        <f>IFERROR(__xludf.DUMMYFUNCTION("""COMPUTED_VALUE"""),17683.0)</f>
        <v>17683</v>
      </c>
      <c r="E63" s="2">
        <f>IFERROR(__xludf.DUMMYFUNCTION("""COMPUTED_VALUE"""),21573.0)</f>
        <v>21573</v>
      </c>
      <c r="F63" s="2" t="str">
        <f>IFERROR(__xludf.DUMMYFUNCTION("""COMPUTED_VALUE"""),"IPLMARKETTING")</f>
        <v>IPLMARKETTING</v>
      </c>
      <c r="G63" s="2">
        <f t="shared" si="3"/>
        <v>1060980</v>
      </c>
      <c r="H63" s="2">
        <f t="shared" si="4"/>
        <v>1294380</v>
      </c>
      <c r="I63" s="2" t="str">
        <f>IF(or(B63='Regional Details'!$A$5,B63='Regional Details'!$A$6,B63='Regional Details'!$A$7,B63='Regional Details'!$A$8),'Regional Details'!$B$2,if(OR(B63='Regional Details'!$D$5,B63='Regional Details'!$D$6,B63='Regional Details'!$D$7,B63='Regional Details'!$D$8),'Regional Details'!$E$2,if(or(B63='Regional Details'!$G$5,B63='Regional Details'!$G$6,B63='Regional Details'!$G$7,B63='Regional Details'!$G$8),'Regional Details'!$H$2,'Regional Details'!$K$2)))</f>
        <v>West</v>
      </c>
      <c r="J63" s="2" t="str">
        <f>if(I63='Regional Details'!$B$2,'Regional Details'!$B$3,if(I63='Regional Details'!$E$2,'Regional Details'!$E$3,if(I63='Regional Details'!$H$2,'Regional Details'!$H$3,'Regional Details'!$K$3)))</f>
        <v>Ajay Ghosh</v>
      </c>
      <c r="K63" s="8">
        <f t="array" ref="K63">IFERROR(XLOOKUP(B63,'Regional Details'!$A$5:$A$8,'Regional Details'!$B$5:$B$8),IFERROR(XLOOKUP(B63,'Regional Details'!$D$5:$D$8,'Regional Details'!$E$5:$E$8),IFERROR(xlookup(B63,'Regional Details'!$G$5:$G$8,'Regional Details'!$H$5:$H$8),XLOOKUP(B63,'Regional Details'!$J$5:$J$8,'Regional Details'!$K$5:$K$8))))</f>
        <v>0</v>
      </c>
      <c r="L63" s="2" t="str">
        <f>VLOOKUP(A63,MonthMapping!$A$2:$B$13,2,false)</f>
        <v>February</v>
      </c>
      <c r="M63" s="9">
        <f>if(C63=$C$2,Contribution_Old!$B$22,Contribution_Old!$B$23)</f>
        <v>24.108</v>
      </c>
      <c r="N63" s="9">
        <f>if(C63=$C$2,Contribution_New!$B$23,Contribution_New!$B$24)</f>
        <v>30.108</v>
      </c>
      <c r="O63" s="2">
        <f t="shared" ref="O63:P63" si="125">M63*D63</f>
        <v>426301.764</v>
      </c>
      <c r="P63" s="2">
        <f t="shared" si="125"/>
        <v>649519.884</v>
      </c>
      <c r="Q63" s="2">
        <f t="shared" ref="Q63:R63" si="126">G63-O63</f>
        <v>634678.236</v>
      </c>
      <c r="R63" s="2">
        <f t="shared" si="126"/>
        <v>644860.116</v>
      </c>
      <c r="S63" s="2"/>
      <c r="T63" s="2"/>
      <c r="U63" s="2"/>
      <c r="V63" s="2"/>
      <c r="W63" s="2"/>
      <c r="X63" s="2"/>
      <c r="Y63" s="2"/>
      <c r="Z63" s="2"/>
    </row>
    <row r="64">
      <c r="A64" s="2">
        <f>IFERROR(__xludf.DUMMYFUNCTION("""COMPUTED_VALUE"""),2.0)</f>
        <v>2</v>
      </c>
      <c r="B64" s="2" t="str">
        <f>IFERROR(__xludf.DUMMYFUNCTION("""COMPUTED_VALUE"""),"Patna")</f>
        <v>Patna</v>
      </c>
      <c r="C64" s="2" t="str">
        <f>IFERROR(__xludf.DUMMYFUNCTION("""COMPUTED_VALUE"""),"ZestVita")</f>
        <v>ZestVita</v>
      </c>
      <c r="D64" s="2">
        <f>IFERROR(__xludf.DUMMYFUNCTION("""COMPUTED_VALUE"""),20260.0)</f>
        <v>20260</v>
      </c>
      <c r="E64" s="2">
        <f>IFERROR(__xludf.DUMMYFUNCTION("""COMPUTED_VALUE"""),23907.0)</f>
        <v>23907</v>
      </c>
      <c r="F64" s="2" t="str">
        <f>IFERROR(__xludf.DUMMYFUNCTION("""COMPUTED_VALUE"""),"IPLMARKETTING")</f>
        <v>IPLMARKETTING</v>
      </c>
      <c r="G64" s="2">
        <f t="shared" si="3"/>
        <v>2598345</v>
      </c>
      <c r="H64" s="2">
        <f t="shared" si="4"/>
        <v>3227445</v>
      </c>
      <c r="I64" s="2" t="str">
        <f>IF(or(B64='Regional Details'!$A$5,B64='Regional Details'!$A$6,B64='Regional Details'!$A$7,B64='Regional Details'!$A$8),'Regional Details'!$B$2,if(OR(B64='Regional Details'!$D$5,B64='Regional Details'!$D$6,B64='Regional Details'!$D$7,B64='Regional Details'!$D$8),'Regional Details'!$E$2,if(or(B64='Regional Details'!$G$5,B64='Regional Details'!$G$6,B64='Regional Details'!$G$7,B64='Regional Details'!$G$8),'Regional Details'!$H$2,'Regional Details'!$K$2)))</f>
        <v>East</v>
      </c>
      <c r="J64" s="2" t="str">
        <f>if(I64='Regional Details'!$B$2,'Regional Details'!$B$3,if(I64='Regional Details'!$E$2,'Regional Details'!$E$3,if(I64='Regional Details'!$H$2,'Regional Details'!$H$3,'Regional Details'!$K$3)))</f>
        <v>Tanvi Sharma</v>
      </c>
      <c r="K64" s="8">
        <f t="array" ref="K64">IFERROR(XLOOKUP(B64,'Regional Details'!$A$5:$A$8,'Regional Details'!$B$5:$B$8),IFERROR(XLOOKUP(B64,'Regional Details'!$D$5:$D$8,'Regional Details'!$E$5:$E$8),IFERROR(xlookup(B64,'Regional Details'!$G$5:$G$8,'Regional Details'!$H$5:$H$8),XLOOKUP(B64,'Regional Details'!$J$5:$J$8,'Regional Details'!$K$5:$K$8))))</f>
        <v>0.05</v>
      </c>
      <c r="L64" s="2" t="str">
        <f>VLOOKUP(A64,MonthMapping!$A$2:$B$13,2,false)</f>
        <v>February</v>
      </c>
      <c r="M64" s="9">
        <f>if(C64=$C$2,Contribution_Old!$B$22,Contribution_Old!$B$23)</f>
        <v>55.84</v>
      </c>
      <c r="N64" s="9">
        <f>if(C64=$C$2,Contribution_New!$B$23,Contribution_New!$B$24)</f>
        <v>61.84</v>
      </c>
      <c r="O64" s="2">
        <f t="shared" ref="O64:P64" si="127">M64*D64</f>
        <v>1131318.4</v>
      </c>
      <c r="P64" s="2">
        <f t="shared" si="127"/>
        <v>1478408.88</v>
      </c>
      <c r="Q64" s="2">
        <f t="shared" ref="Q64:R64" si="128">G64-O64</f>
        <v>1467026.6</v>
      </c>
      <c r="R64" s="2">
        <f t="shared" si="128"/>
        <v>1749036.12</v>
      </c>
      <c r="S64" s="2"/>
      <c r="T64" s="2"/>
      <c r="U64" s="2"/>
      <c r="V64" s="2"/>
      <c r="W64" s="2"/>
      <c r="X64" s="2"/>
      <c r="Y64" s="2"/>
      <c r="Z64" s="2"/>
    </row>
    <row r="65">
      <c r="A65" s="2">
        <f>IFERROR(__xludf.DUMMYFUNCTION("""COMPUTED_VALUE"""),2.0)</f>
        <v>2</v>
      </c>
      <c r="B65" s="2" t="str">
        <f>IFERROR(__xludf.DUMMYFUNCTION("""COMPUTED_VALUE"""),"Patna")</f>
        <v>Patna</v>
      </c>
      <c r="C65" s="2" t="str">
        <f>IFERROR(__xludf.DUMMYFUNCTION("""COMPUTED_VALUE"""),"NutriKid")</f>
        <v>NutriKid</v>
      </c>
      <c r="D65" s="2">
        <f>IFERROR(__xludf.DUMMYFUNCTION("""COMPUTED_VALUE"""),26296.0)</f>
        <v>26296</v>
      </c>
      <c r="E65" s="2">
        <f>IFERROR(__xludf.DUMMYFUNCTION("""COMPUTED_VALUE"""),32607.0)</f>
        <v>32607</v>
      </c>
      <c r="F65" s="2" t="str">
        <f>IFERROR(__xludf.DUMMYFUNCTION("""COMPUTED_VALUE"""),"IPLMARKETTING")</f>
        <v>IPLMARKETTING</v>
      </c>
      <c r="G65" s="2">
        <f t="shared" si="3"/>
        <v>1498872</v>
      </c>
      <c r="H65" s="2">
        <f t="shared" si="4"/>
        <v>1956420</v>
      </c>
      <c r="I65" s="2" t="str">
        <f>IF(or(B65='Regional Details'!$A$5,B65='Regional Details'!$A$6,B65='Regional Details'!$A$7,B65='Regional Details'!$A$8),'Regional Details'!$B$2,if(OR(B65='Regional Details'!$D$5,B65='Regional Details'!$D$6,B65='Regional Details'!$D$7,B65='Regional Details'!$D$8),'Regional Details'!$E$2,if(or(B65='Regional Details'!$G$5,B65='Regional Details'!$G$6,B65='Regional Details'!$G$7,B65='Regional Details'!$G$8),'Regional Details'!$H$2,'Regional Details'!$K$2)))</f>
        <v>East</v>
      </c>
      <c r="J65" s="2" t="str">
        <f>if(I65='Regional Details'!$B$2,'Regional Details'!$B$3,if(I65='Regional Details'!$E$2,'Regional Details'!$E$3,if(I65='Regional Details'!$H$2,'Regional Details'!$H$3,'Regional Details'!$K$3)))</f>
        <v>Tanvi Sharma</v>
      </c>
      <c r="K65" s="8">
        <f t="array" ref="K65">IFERROR(XLOOKUP(B65,'Regional Details'!$A$5:$A$8,'Regional Details'!$B$5:$B$8),IFERROR(XLOOKUP(B65,'Regional Details'!$D$5:$D$8,'Regional Details'!$E$5:$E$8),IFERROR(xlookup(B65,'Regional Details'!$G$5:$G$8,'Regional Details'!$H$5:$H$8),XLOOKUP(B65,'Regional Details'!$J$5:$J$8,'Regional Details'!$K$5:$K$8))))</f>
        <v>0.05</v>
      </c>
      <c r="L65" s="2" t="str">
        <f>VLOOKUP(A65,MonthMapping!$A$2:$B$13,2,false)</f>
        <v>February</v>
      </c>
      <c r="M65" s="9">
        <f>if(C65=$C$2,Contribution_Old!$B$22,Contribution_Old!$B$23)</f>
        <v>24.108</v>
      </c>
      <c r="N65" s="9">
        <f>if(C65=$C$2,Contribution_New!$B$23,Contribution_New!$B$24)</f>
        <v>30.108</v>
      </c>
      <c r="O65" s="2">
        <f t="shared" ref="O65:P65" si="129">M65*D65</f>
        <v>633943.968</v>
      </c>
      <c r="P65" s="2">
        <f t="shared" si="129"/>
        <v>981731.556</v>
      </c>
      <c r="Q65" s="2">
        <f t="shared" ref="Q65:R65" si="130">G65-O65</f>
        <v>864928.032</v>
      </c>
      <c r="R65" s="2">
        <f t="shared" si="130"/>
        <v>974688.444</v>
      </c>
      <c r="S65" s="2"/>
      <c r="T65" s="2"/>
      <c r="U65" s="2"/>
      <c r="V65" s="2"/>
      <c r="W65" s="2"/>
      <c r="X65" s="2"/>
      <c r="Y65" s="2"/>
      <c r="Z65" s="2"/>
    </row>
    <row r="66">
      <c r="A66" s="2">
        <f>IFERROR(__xludf.DUMMYFUNCTION("""COMPUTED_VALUE"""),3.0)</f>
        <v>3</v>
      </c>
      <c r="B66" s="2" t="str">
        <f>IFERROR(__xludf.DUMMYFUNCTION("""COMPUTED_VALUE"""),"Delhi")</f>
        <v>Delhi</v>
      </c>
      <c r="C66" s="2" t="str">
        <f>IFERROR(__xludf.DUMMYFUNCTION("""COMPUTED_VALUE"""),"ZestVita")</f>
        <v>ZestVita</v>
      </c>
      <c r="D66" s="2">
        <f>IFERROR(__xludf.DUMMYFUNCTION("""COMPUTED_VALUE"""),28430.0)</f>
        <v>28430</v>
      </c>
      <c r="E66" s="2">
        <f>IFERROR(__xludf.DUMMYFUNCTION("""COMPUTED_VALUE"""),33832.0)</f>
        <v>33832</v>
      </c>
      <c r="F66" s="2" t="str">
        <f>IFERROR(__xludf.DUMMYFUNCTION("""COMPUTED_VALUE"""),"IPLMARKETTING")</f>
        <v>IPLMARKETTING</v>
      </c>
      <c r="G66" s="2">
        <f t="shared" si="3"/>
        <v>3838050</v>
      </c>
      <c r="H66" s="2">
        <f t="shared" si="4"/>
        <v>4567320</v>
      </c>
      <c r="I66" s="2" t="str">
        <f>IF(or(B66='Regional Details'!$A$5,B66='Regional Details'!$A$6,B66='Regional Details'!$A$7,B66='Regional Details'!$A$8),'Regional Details'!$B$2,if(OR(B66='Regional Details'!$D$5,B66='Regional Details'!$D$6,B66='Regional Details'!$D$7,B66='Regional Details'!$D$8),'Regional Details'!$E$2,if(or(B66='Regional Details'!$G$5,B66='Regional Details'!$G$6,B66='Regional Details'!$G$7,B66='Regional Details'!$G$8),'Regional Details'!$H$2,'Regional Details'!$K$2)))</f>
        <v>North</v>
      </c>
      <c r="J66" s="2" t="str">
        <f>if(I66='Regional Details'!$B$2,'Regional Details'!$B$3,if(I66='Regional Details'!$E$2,'Regional Details'!$E$3,if(I66='Regional Details'!$H$2,'Regional Details'!$H$3,'Regional Details'!$K$3)))</f>
        <v>Ajay Kumar</v>
      </c>
      <c r="K66" s="8">
        <f t="array" ref="K66">IFERROR(XLOOKUP(B66,'Regional Details'!$A$5:$A$8,'Regional Details'!$B$5:$B$8),IFERROR(XLOOKUP(B66,'Regional Details'!$D$5:$D$8,'Regional Details'!$E$5:$E$8),IFERROR(xlookup(B66,'Regional Details'!$G$5:$G$8,'Regional Details'!$H$5:$H$8),XLOOKUP(B66,'Regional Details'!$J$5:$J$8,'Regional Details'!$K$5:$K$8))))</f>
        <v>0</v>
      </c>
      <c r="L66" s="2" t="str">
        <f>VLOOKUP(A66,MonthMapping!$A$2:$B$13,2,false)</f>
        <v>March</v>
      </c>
      <c r="M66" s="9">
        <f>if(C66=$C$2,Contribution_Old!$B$22,Contribution_Old!$B$23)</f>
        <v>55.84</v>
      </c>
      <c r="N66" s="9">
        <f>if(C66=$C$2,Contribution_New!$B$23,Contribution_New!$B$24)</f>
        <v>61.84</v>
      </c>
      <c r="O66" s="2">
        <f t="shared" ref="O66:P66" si="131">M66*D66</f>
        <v>1587531.2</v>
      </c>
      <c r="P66" s="2">
        <f t="shared" si="131"/>
        <v>2092170.88</v>
      </c>
      <c r="Q66" s="2">
        <f t="shared" ref="Q66:R66" si="132">G66-O66</f>
        <v>2250518.8</v>
      </c>
      <c r="R66" s="2">
        <f t="shared" si="132"/>
        <v>2475149.12</v>
      </c>
      <c r="S66" s="2"/>
      <c r="T66" s="2"/>
      <c r="U66" s="2"/>
      <c r="V66" s="2"/>
      <c r="W66" s="2"/>
      <c r="X66" s="2"/>
      <c r="Y66" s="2"/>
      <c r="Z66" s="2"/>
    </row>
    <row r="67">
      <c r="A67" s="2">
        <f>IFERROR(__xludf.DUMMYFUNCTION("""COMPUTED_VALUE"""),3.0)</f>
        <v>3</v>
      </c>
      <c r="B67" s="2" t="str">
        <f>IFERROR(__xludf.DUMMYFUNCTION("""COMPUTED_VALUE"""),"Delhi")</f>
        <v>Delhi</v>
      </c>
      <c r="C67" s="2" t="str">
        <f>IFERROR(__xludf.DUMMYFUNCTION("""COMPUTED_VALUE"""),"NutriKid")</f>
        <v>NutriKid</v>
      </c>
      <c r="D67" s="2">
        <f>IFERROR(__xludf.DUMMYFUNCTION("""COMPUTED_VALUE"""),22212.0)</f>
        <v>22212</v>
      </c>
      <c r="E67" s="2">
        <f>IFERROR(__xludf.DUMMYFUNCTION("""COMPUTED_VALUE"""),25988.0)</f>
        <v>25988</v>
      </c>
      <c r="F67" s="2" t="str">
        <f>IFERROR(__xludf.DUMMYFUNCTION("""COMPUTED_VALUE"""),"IPLMARKETTING")</f>
        <v>IPLMARKETTING</v>
      </c>
      <c r="G67" s="2">
        <f t="shared" si="3"/>
        <v>1332720</v>
      </c>
      <c r="H67" s="2">
        <f t="shared" si="4"/>
        <v>1559280</v>
      </c>
      <c r="I67" s="2" t="str">
        <f>IF(or(B67='Regional Details'!$A$5,B67='Regional Details'!$A$6,B67='Regional Details'!$A$7,B67='Regional Details'!$A$8),'Regional Details'!$B$2,if(OR(B67='Regional Details'!$D$5,B67='Regional Details'!$D$6,B67='Regional Details'!$D$7,B67='Regional Details'!$D$8),'Regional Details'!$E$2,if(or(B67='Regional Details'!$G$5,B67='Regional Details'!$G$6,B67='Regional Details'!$G$7,B67='Regional Details'!$G$8),'Regional Details'!$H$2,'Regional Details'!$K$2)))</f>
        <v>North</v>
      </c>
      <c r="J67" s="2" t="str">
        <f>if(I67='Regional Details'!$B$2,'Regional Details'!$B$3,if(I67='Regional Details'!$E$2,'Regional Details'!$E$3,if(I67='Regional Details'!$H$2,'Regional Details'!$H$3,'Regional Details'!$K$3)))</f>
        <v>Ajay Kumar</v>
      </c>
      <c r="K67" s="8">
        <f t="array" ref="K67">IFERROR(XLOOKUP(B67,'Regional Details'!$A$5:$A$8,'Regional Details'!$B$5:$B$8),IFERROR(XLOOKUP(B67,'Regional Details'!$D$5:$D$8,'Regional Details'!$E$5:$E$8),IFERROR(xlookup(B67,'Regional Details'!$G$5:$G$8,'Regional Details'!$H$5:$H$8),XLOOKUP(B67,'Regional Details'!$J$5:$J$8,'Regional Details'!$K$5:$K$8))))</f>
        <v>0</v>
      </c>
      <c r="L67" s="2" t="str">
        <f>VLOOKUP(A67,MonthMapping!$A$2:$B$13,2,false)</f>
        <v>March</v>
      </c>
      <c r="M67" s="9">
        <f>if(C67=$C$2,Contribution_Old!$B$22,Contribution_Old!$B$23)</f>
        <v>24.108</v>
      </c>
      <c r="N67" s="9">
        <f>if(C67=$C$2,Contribution_New!$B$23,Contribution_New!$B$24)</f>
        <v>30.108</v>
      </c>
      <c r="O67" s="2">
        <f t="shared" ref="O67:P67" si="133">M67*D67</f>
        <v>535486.896</v>
      </c>
      <c r="P67" s="2">
        <f t="shared" si="133"/>
        <v>782446.704</v>
      </c>
      <c r="Q67" s="2">
        <f t="shared" ref="Q67:R67" si="134">G67-O67</f>
        <v>797233.104</v>
      </c>
      <c r="R67" s="2">
        <f t="shared" si="134"/>
        <v>776833.296</v>
      </c>
      <c r="S67" s="2"/>
      <c r="T67" s="2"/>
      <c r="U67" s="2"/>
      <c r="V67" s="2"/>
      <c r="W67" s="2"/>
      <c r="X67" s="2"/>
      <c r="Y67" s="2"/>
      <c r="Z67" s="2"/>
    </row>
    <row r="68">
      <c r="A68" s="2">
        <f>IFERROR(__xludf.DUMMYFUNCTION("""COMPUTED_VALUE"""),3.0)</f>
        <v>3</v>
      </c>
      <c r="B68" s="2" t="str">
        <f>IFERROR(__xludf.DUMMYFUNCTION("""COMPUTED_VALUE"""),"Kolkata")</f>
        <v>Kolkata</v>
      </c>
      <c r="C68" s="2" t="str">
        <f>IFERROR(__xludf.DUMMYFUNCTION("""COMPUTED_VALUE"""),"ZestVita")</f>
        <v>ZestVita</v>
      </c>
      <c r="D68" s="2">
        <f>IFERROR(__xludf.DUMMYFUNCTION("""COMPUTED_VALUE"""),15565.0)</f>
        <v>15565</v>
      </c>
      <c r="E68" s="2">
        <f>IFERROR(__xludf.DUMMYFUNCTION("""COMPUTED_VALUE"""),17900.0)</f>
        <v>17900</v>
      </c>
      <c r="F68" s="2" t="str">
        <f>IFERROR(__xludf.DUMMYFUNCTION("""COMPUTED_VALUE"""),"IPLMARKETTING")</f>
        <v>IPLMARKETTING</v>
      </c>
      <c r="G68" s="2">
        <f t="shared" si="3"/>
        <v>2101275</v>
      </c>
      <c r="H68" s="2">
        <f t="shared" si="4"/>
        <v>2416500</v>
      </c>
      <c r="I68" s="2" t="str">
        <f>IF(or(B68='Regional Details'!$A$5,B68='Regional Details'!$A$6,B68='Regional Details'!$A$7,B68='Regional Details'!$A$8),'Regional Details'!$B$2,if(OR(B68='Regional Details'!$D$5,B68='Regional Details'!$D$6,B68='Regional Details'!$D$7,B68='Regional Details'!$D$8),'Regional Details'!$E$2,if(or(B68='Regional Details'!$G$5,B68='Regional Details'!$G$6,B68='Regional Details'!$G$7,B68='Regional Details'!$G$8),'Regional Details'!$H$2,'Regional Details'!$K$2)))</f>
        <v>East</v>
      </c>
      <c r="J68" s="2" t="str">
        <f>if(I68='Regional Details'!$B$2,'Regional Details'!$B$3,if(I68='Regional Details'!$E$2,'Regional Details'!$E$3,if(I68='Regional Details'!$H$2,'Regional Details'!$H$3,'Regional Details'!$K$3)))</f>
        <v>Tanvi Sharma</v>
      </c>
      <c r="K68" s="8">
        <f t="array" ref="K68">IFERROR(XLOOKUP(B68,'Regional Details'!$A$5:$A$8,'Regional Details'!$B$5:$B$8),IFERROR(XLOOKUP(B68,'Regional Details'!$D$5:$D$8,'Regional Details'!$E$5:$E$8),IFERROR(xlookup(B68,'Regional Details'!$G$5:$G$8,'Regional Details'!$H$5:$H$8),XLOOKUP(B68,'Regional Details'!$J$5:$J$8,'Regional Details'!$K$5:$K$8))))</f>
        <v>0</v>
      </c>
      <c r="L68" s="2" t="str">
        <f>VLOOKUP(A68,MonthMapping!$A$2:$B$13,2,false)</f>
        <v>March</v>
      </c>
      <c r="M68" s="9">
        <f>if(C68=$C$2,Contribution_Old!$B$22,Contribution_Old!$B$23)</f>
        <v>55.84</v>
      </c>
      <c r="N68" s="9">
        <f>if(C68=$C$2,Contribution_New!$B$23,Contribution_New!$B$24)</f>
        <v>61.84</v>
      </c>
      <c r="O68" s="2">
        <f t="shared" ref="O68:P68" si="135">M68*D68</f>
        <v>869149.6</v>
      </c>
      <c r="P68" s="2">
        <f t="shared" si="135"/>
        <v>1106936</v>
      </c>
      <c r="Q68" s="2">
        <f t="shared" ref="Q68:R68" si="136">G68-O68</f>
        <v>1232125.4</v>
      </c>
      <c r="R68" s="2">
        <f t="shared" si="136"/>
        <v>1309564</v>
      </c>
      <c r="S68" s="2"/>
      <c r="T68" s="2"/>
      <c r="U68" s="2"/>
      <c r="V68" s="2"/>
      <c r="W68" s="2"/>
      <c r="X68" s="2"/>
      <c r="Y68" s="2"/>
      <c r="Z68" s="2"/>
    </row>
    <row r="69">
      <c r="A69" s="2">
        <f>IFERROR(__xludf.DUMMYFUNCTION("""COMPUTED_VALUE"""),3.0)</f>
        <v>3</v>
      </c>
      <c r="B69" s="2" t="str">
        <f>IFERROR(__xludf.DUMMYFUNCTION("""COMPUTED_VALUE"""),"Kolkata")</f>
        <v>Kolkata</v>
      </c>
      <c r="C69" s="2" t="str">
        <f>IFERROR(__xludf.DUMMYFUNCTION("""COMPUTED_VALUE"""),"NutriKid")</f>
        <v>NutriKid</v>
      </c>
      <c r="D69" s="2">
        <f>IFERROR(__xludf.DUMMYFUNCTION("""COMPUTED_VALUE"""),29813.0)</f>
        <v>29813</v>
      </c>
      <c r="E69" s="2">
        <f>IFERROR(__xludf.DUMMYFUNCTION("""COMPUTED_VALUE"""),34285.0)</f>
        <v>34285</v>
      </c>
      <c r="F69" s="2" t="str">
        <f>IFERROR(__xludf.DUMMYFUNCTION("""COMPUTED_VALUE"""),"IPLMARKETTING")</f>
        <v>IPLMARKETTING</v>
      </c>
      <c r="G69" s="2">
        <f t="shared" si="3"/>
        <v>1788780</v>
      </c>
      <c r="H69" s="2">
        <f t="shared" si="4"/>
        <v>2057100</v>
      </c>
      <c r="I69" s="2" t="str">
        <f>IF(or(B69='Regional Details'!$A$5,B69='Regional Details'!$A$6,B69='Regional Details'!$A$7,B69='Regional Details'!$A$8),'Regional Details'!$B$2,if(OR(B69='Regional Details'!$D$5,B69='Regional Details'!$D$6,B69='Regional Details'!$D$7,B69='Regional Details'!$D$8),'Regional Details'!$E$2,if(or(B69='Regional Details'!$G$5,B69='Regional Details'!$G$6,B69='Regional Details'!$G$7,B69='Regional Details'!$G$8),'Regional Details'!$H$2,'Regional Details'!$K$2)))</f>
        <v>East</v>
      </c>
      <c r="J69" s="2" t="str">
        <f>if(I69='Regional Details'!$B$2,'Regional Details'!$B$3,if(I69='Regional Details'!$E$2,'Regional Details'!$E$3,if(I69='Regional Details'!$H$2,'Regional Details'!$H$3,'Regional Details'!$K$3)))</f>
        <v>Tanvi Sharma</v>
      </c>
      <c r="K69" s="8">
        <f t="array" ref="K69">IFERROR(XLOOKUP(B69,'Regional Details'!$A$5:$A$8,'Regional Details'!$B$5:$B$8),IFERROR(XLOOKUP(B69,'Regional Details'!$D$5:$D$8,'Regional Details'!$E$5:$E$8),IFERROR(xlookup(B69,'Regional Details'!$G$5:$G$8,'Regional Details'!$H$5:$H$8),XLOOKUP(B69,'Regional Details'!$J$5:$J$8,'Regional Details'!$K$5:$K$8))))</f>
        <v>0</v>
      </c>
      <c r="L69" s="2" t="str">
        <f>VLOOKUP(A69,MonthMapping!$A$2:$B$13,2,false)</f>
        <v>March</v>
      </c>
      <c r="M69" s="9">
        <f>if(C69=$C$2,Contribution_Old!$B$22,Contribution_Old!$B$23)</f>
        <v>24.108</v>
      </c>
      <c r="N69" s="9">
        <f>if(C69=$C$2,Contribution_New!$B$23,Contribution_New!$B$24)</f>
        <v>30.108</v>
      </c>
      <c r="O69" s="2">
        <f t="shared" ref="O69:P69" si="137">M69*D69</f>
        <v>718731.804</v>
      </c>
      <c r="P69" s="2">
        <f t="shared" si="137"/>
        <v>1032252.78</v>
      </c>
      <c r="Q69" s="2">
        <f t="shared" ref="Q69:R69" si="138">G69-O69</f>
        <v>1070048.196</v>
      </c>
      <c r="R69" s="2">
        <f t="shared" si="138"/>
        <v>1024847.22</v>
      </c>
      <c r="S69" s="2"/>
      <c r="T69" s="2"/>
      <c r="U69" s="2"/>
      <c r="V69" s="2"/>
      <c r="W69" s="2"/>
      <c r="X69" s="2"/>
      <c r="Y69" s="2"/>
      <c r="Z69" s="2"/>
    </row>
    <row r="70">
      <c r="A70" s="2">
        <f>IFERROR(__xludf.DUMMYFUNCTION("""COMPUTED_VALUE"""),3.0)</f>
        <v>3</v>
      </c>
      <c r="B70" s="2" t="str">
        <f>IFERROR(__xludf.DUMMYFUNCTION("""COMPUTED_VALUE"""),"Pune")</f>
        <v>Pune</v>
      </c>
      <c r="C70" s="2" t="str">
        <f>IFERROR(__xludf.DUMMYFUNCTION("""COMPUTED_VALUE"""),"ZestVita")</f>
        <v>ZestVita</v>
      </c>
      <c r="D70" s="2">
        <f>IFERROR(__xludf.DUMMYFUNCTION("""COMPUTED_VALUE"""),18789.0)</f>
        <v>18789</v>
      </c>
      <c r="E70" s="2">
        <f>IFERROR(__xludf.DUMMYFUNCTION("""COMPUTED_VALUE"""),23110.0)</f>
        <v>23110</v>
      </c>
      <c r="F70" s="2" t="str">
        <f>IFERROR(__xludf.DUMMYFUNCTION("""COMPUTED_VALUE"""),"IPLMARKETTING")</f>
        <v>IPLMARKETTING</v>
      </c>
      <c r="G70" s="2">
        <f t="shared" si="3"/>
        <v>2536515</v>
      </c>
      <c r="H70" s="2">
        <f t="shared" si="4"/>
        <v>3119850</v>
      </c>
      <c r="I70" s="2" t="str">
        <f>IF(or(B70='Regional Details'!$A$5,B70='Regional Details'!$A$6,B70='Regional Details'!$A$7,B70='Regional Details'!$A$8),'Regional Details'!$B$2,if(OR(B70='Regional Details'!$D$5,B70='Regional Details'!$D$6,B70='Regional Details'!$D$7,B70='Regional Details'!$D$8),'Regional Details'!$E$2,if(or(B70='Regional Details'!$G$5,B70='Regional Details'!$G$6,B70='Regional Details'!$G$7,B70='Regional Details'!$G$8),'Regional Details'!$H$2,'Regional Details'!$K$2)))</f>
        <v>West</v>
      </c>
      <c r="J70" s="2" t="str">
        <f>if(I70='Regional Details'!$B$2,'Regional Details'!$B$3,if(I70='Regional Details'!$E$2,'Regional Details'!$E$3,if(I70='Regional Details'!$H$2,'Regional Details'!$H$3,'Regional Details'!$K$3)))</f>
        <v>Ajay Ghosh</v>
      </c>
      <c r="K70" s="8">
        <f t="array" ref="K70">IFERROR(XLOOKUP(B70,'Regional Details'!$A$5:$A$8,'Regional Details'!$B$5:$B$8),IFERROR(XLOOKUP(B70,'Regional Details'!$D$5:$D$8,'Regional Details'!$E$5:$E$8),IFERROR(xlookup(B70,'Regional Details'!$G$5:$G$8,'Regional Details'!$H$5:$H$8),XLOOKUP(B70,'Regional Details'!$J$5:$J$8,'Regional Details'!$K$5:$K$8))))</f>
        <v>0</v>
      </c>
      <c r="L70" s="2" t="str">
        <f>VLOOKUP(A70,MonthMapping!$A$2:$B$13,2,false)</f>
        <v>March</v>
      </c>
      <c r="M70" s="9">
        <f>if(C70=$C$2,Contribution_Old!$B$22,Contribution_Old!$B$23)</f>
        <v>55.84</v>
      </c>
      <c r="N70" s="9">
        <f>if(C70=$C$2,Contribution_New!$B$23,Contribution_New!$B$24)</f>
        <v>61.84</v>
      </c>
      <c r="O70" s="2">
        <f t="shared" ref="O70:P70" si="139">M70*D70</f>
        <v>1049177.76</v>
      </c>
      <c r="P70" s="2">
        <f t="shared" si="139"/>
        <v>1429122.4</v>
      </c>
      <c r="Q70" s="2">
        <f t="shared" ref="Q70:R70" si="140">G70-O70</f>
        <v>1487337.24</v>
      </c>
      <c r="R70" s="2">
        <f t="shared" si="140"/>
        <v>1690727.6</v>
      </c>
      <c r="S70" s="2"/>
      <c r="T70" s="2"/>
      <c r="U70" s="2"/>
      <c r="V70" s="2"/>
      <c r="W70" s="2"/>
      <c r="X70" s="2"/>
      <c r="Y70" s="2"/>
      <c r="Z70" s="2"/>
    </row>
    <row r="71">
      <c r="A71" s="2">
        <f>IFERROR(__xludf.DUMMYFUNCTION("""COMPUTED_VALUE"""),3.0)</f>
        <v>3</v>
      </c>
      <c r="B71" s="2" t="str">
        <f>IFERROR(__xludf.DUMMYFUNCTION("""COMPUTED_VALUE"""),"Pune")</f>
        <v>Pune</v>
      </c>
      <c r="C71" s="2" t="str">
        <f>IFERROR(__xludf.DUMMYFUNCTION("""COMPUTED_VALUE"""),"NutriKid")</f>
        <v>NutriKid</v>
      </c>
      <c r="D71" s="2">
        <f>IFERROR(__xludf.DUMMYFUNCTION("""COMPUTED_VALUE"""),21999.0)</f>
        <v>21999</v>
      </c>
      <c r="E71" s="2">
        <f>IFERROR(__xludf.DUMMYFUNCTION("""COMPUTED_VALUE"""),24199.0)</f>
        <v>24199</v>
      </c>
      <c r="F71" s="2" t="str">
        <f>IFERROR(__xludf.DUMMYFUNCTION("""COMPUTED_VALUE"""),"IPLMARKETTING")</f>
        <v>IPLMARKETTING</v>
      </c>
      <c r="G71" s="2">
        <f t="shared" si="3"/>
        <v>1319940</v>
      </c>
      <c r="H71" s="2">
        <f t="shared" si="4"/>
        <v>1451940</v>
      </c>
      <c r="I71" s="2" t="str">
        <f>IF(or(B71='Regional Details'!$A$5,B71='Regional Details'!$A$6,B71='Regional Details'!$A$7,B71='Regional Details'!$A$8),'Regional Details'!$B$2,if(OR(B71='Regional Details'!$D$5,B71='Regional Details'!$D$6,B71='Regional Details'!$D$7,B71='Regional Details'!$D$8),'Regional Details'!$E$2,if(or(B71='Regional Details'!$G$5,B71='Regional Details'!$G$6,B71='Regional Details'!$G$7,B71='Regional Details'!$G$8),'Regional Details'!$H$2,'Regional Details'!$K$2)))</f>
        <v>West</v>
      </c>
      <c r="J71" s="2" t="str">
        <f>if(I71='Regional Details'!$B$2,'Regional Details'!$B$3,if(I71='Regional Details'!$E$2,'Regional Details'!$E$3,if(I71='Regional Details'!$H$2,'Regional Details'!$H$3,'Regional Details'!$K$3)))</f>
        <v>Ajay Ghosh</v>
      </c>
      <c r="K71" s="8">
        <f t="array" ref="K71">IFERROR(XLOOKUP(B71,'Regional Details'!$A$5:$A$8,'Regional Details'!$B$5:$B$8),IFERROR(XLOOKUP(B71,'Regional Details'!$D$5:$D$8,'Regional Details'!$E$5:$E$8),IFERROR(xlookup(B71,'Regional Details'!$G$5:$G$8,'Regional Details'!$H$5:$H$8),XLOOKUP(B71,'Regional Details'!$J$5:$J$8,'Regional Details'!$K$5:$K$8))))</f>
        <v>0</v>
      </c>
      <c r="L71" s="2" t="str">
        <f>VLOOKUP(A71,MonthMapping!$A$2:$B$13,2,false)</f>
        <v>March</v>
      </c>
      <c r="M71" s="9">
        <f>if(C71=$C$2,Contribution_Old!$B$22,Contribution_Old!$B$23)</f>
        <v>24.108</v>
      </c>
      <c r="N71" s="9">
        <f>if(C71=$C$2,Contribution_New!$B$23,Contribution_New!$B$24)</f>
        <v>30.108</v>
      </c>
      <c r="O71" s="2">
        <f t="shared" ref="O71:P71" si="141">M71*D71</f>
        <v>530351.892</v>
      </c>
      <c r="P71" s="2">
        <f t="shared" si="141"/>
        <v>728583.492</v>
      </c>
      <c r="Q71" s="2">
        <f t="shared" ref="Q71:R71" si="142">G71-O71</f>
        <v>789588.108</v>
      </c>
      <c r="R71" s="2">
        <f t="shared" si="142"/>
        <v>723356.508</v>
      </c>
      <c r="S71" s="2"/>
      <c r="T71" s="2"/>
      <c r="U71" s="2"/>
      <c r="V71" s="2"/>
      <c r="W71" s="2"/>
      <c r="X71" s="2"/>
      <c r="Y71" s="2"/>
      <c r="Z71" s="2"/>
    </row>
    <row r="72">
      <c r="A72" s="2">
        <f>IFERROR(__xludf.DUMMYFUNCTION("""COMPUTED_VALUE"""),3.0)</f>
        <v>3</v>
      </c>
      <c r="B72" s="2" t="str">
        <f>IFERROR(__xludf.DUMMYFUNCTION("""COMPUTED_VALUE"""),"Bengaluru")</f>
        <v>Bengaluru</v>
      </c>
      <c r="C72" s="2" t="str">
        <f>IFERROR(__xludf.DUMMYFUNCTION("""COMPUTED_VALUE"""),"ZestVita")</f>
        <v>ZestVita</v>
      </c>
      <c r="D72" s="2">
        <f>IFERROR(__xludf.DUMMYFUNCTION("""COMPUTED_VALUE"""),34569.0)</f>
        <v>34569</v>
      </c>
      <c r="E72" s="2">
        <f>IFERROR(__xludf.DUMMYFUNCTION("""COMPUTED_VALUE"""),41483.0)</f>
        <v>41483</v>
      </c>
      <c r="F72" s="2" t="str">
        <f>IFERROR(__xludf.DUMMYFUNCTION("""COMPUTED_VALUE"""),"IPLMARKETTING")</f>
        <v>IPLMARKETTING</v>
      </c>
      <c r="G72" s="2">
        <f t="shared" si="3"/>
        <v>4666815</v>
      </c>
      <c r="H72" s="2">
        <f t="shared" si="4"/>
        <v>5600205</v>
      </c>
      <c r="I72" s="2" t="str">
        <f>IF(or(B72='Regional Details'!$A$5,B72='Regional Details'!$A$6,B72='Regional Details'!$A$7,B72='Regional Details'!$A$8),'Regional Details'!$B$2,if(OR(B72='Regional Details'!$D$5,B72='Regional Details'!$D$6,B72='Regional Details'!$D$7,B72='Regional Details'!$D$8),'Regional Details'!$E$2,if(or(B72='Regional Details'!$G$5,B72='Regional Details'!$G$6,B72='Regional Details'!$G$7,B72='Regional Details'!$G$8),'Regional Details'!$H$2,'Regional Details'!$K$2)))</f>
        <v>South</v>
      </c>
      <c r="J72" s="2" t="str">
        <f>if(I72='Regional Details'!$B$2,'Regional Details'!$B$3,if(I72='Regional Details'!$E$2,'Regional Details'!$E$3,if(I72='Regional Details'!$H$2,'Regional Details'!$H$3,'Regional Details'!$K$3)))</f>
        <v>Anjali Krishna Murthy</v>
      </c>
      <c r="K72" s="8">
        <f t="array" ref="K72">IFERROR(XLOOKUP(B72,'Regional Details'!$A$5:$A$8,'Regional Details'!$B$5:$B$8),IFERROR(XLOOKUP(B72,'Regional Details'!$D$5:$D$8,'Regional Details'!$E$5:$E$8),IFERROR(xlookup(B72,'Regional Details'!$G$5:$G$8,'Regional Details'!$H$5:$H$8),XLOOKUP(B72,'Regional Details'!$J$5:$J$8,'Regional Details'!$K$5:$K$8))))</f>
        <v>0</v>
      </c>
      <c r="L72" s="2" t="str">
        <f>VLOOKUP(A72,MonthMapping!$A$2:$B$13,2,false)</f>
        <v>March</v>
      </c>
      <c r="M72" s="9">
        <f>if(C72=$C$2,Contribution_Old!$B$22,Contribution_Old!$B$23)</f>
        <v>55.84</v>
      </c>
      <c r="N72" s="9">
        <f>if(C72=$C$2,Contribution_New!$B$23,Contribution_New!$B$24)</f>
        <v>61.84</v>
      </c>
      <c r="O72" s="2">
        <f t="shared" ref="O72:P72" si="143">M72*D72</f>
        <v>1930332.96</v>
      </c>
      <c r="P72" s="2">
        <f t="shared" si="143"/>
        <v>2565308.72</v>
      </c>
      <c r="Q72" s="2">
        <f t="shared" ref="Q72:R72" si="144">G72-O72</f>
        <v>2736482.04</v>
      </c>
      <c r="R72" s="2">
        <f t="shared" si="144"/>
        <v>3034896.28</v>
      </c>
      <c r="S72" s="2"/>
      <c r="T72" s="2"/>
      <c r="U72" s="2"/>
      <c r="V72" s="2"/>
      <c r="W72" s="2"/>
      <c r="X72" s="2"/>
      <c r="Y72" s="2"/>
      <c r="Z72" s="2"/>
    </row>
    <row r="73">
      <c r="A73" s="2">
        <f>IFERROR(__xludf.DUMMYFUNCTION("""COMPUTED_VALUE"""),3.0)</f>
        <v>3</v>
      </c>
      <c r="B73" s="2" t="str">
        <f>IFERROR(__xludf.DUMMYFUNCTION("""COMPUTED_VALUE"""),"Bengaluru")</f>
        <v>Bengaluru</v>
      </c>
      <c r="C73" s="2" t="str">
        <f>IFERROR(__xludf.DUMMYFUNCTION("""COMPUTED_VALUE"""),"NutriKid")</f>
        <v>NutriKid</v>
      </c>
      <c r="D73" s="2">
        <f>IFERROR(__xludf.DUMMYFUNCTION("""COMPUTED_VALUE"""),18435.0)</f>
        <v>18435</v>
      </c>
      <c r="E73" s="2">
        <f>IFERROR(__xludf.DUMMYFUNCTION("""COMPUTED_VALUE"""),22306.0)</f>
        <v>22306</v>
      </c>
      <c r="F73" s="2" t="str">
        <f>IFERROR(__xludf.DUMMYFUNCTION("""COMPUTED_VALUE"""),"IPLMARKETTING")</f>
        <v>IPLMARKETTING</v>
      </c>
      <c r="G73" s="2">
        <f t="shared" si="3"/>
        <v>1106100</v>
      </c>
      <c r="H73" s="2">
        <f t="shared" si="4"/>
        <v>1338360</v>
      </c>
      <c r="I73" s="2" t="str">
        <f>IF(or(B73='Regional Details'!$A$5,B73='Regional Details'!$A$6,B73='Regional Details'!$A$7,B73='Regional Details'!$A$8),'Regional Details'!$B$2,if(OR(B73='Regional Details'!$D$5,B73='Regional Details'!$D$6,B73='Regional Details'!$D$7,B73='Regional Details'!$D$8),'Regional Details'!$E$2,if(or(B73='Regional Details'!$G$5,B73='Regional Details'!$G$6,B73='Regional Details'!$G$7,B73='Regional Details'!$G$8),'Regional Details'!$H$2,'Regional Details'!$K$2)))</f>
        <v>South</v>
      </c>
      <c r="J73" s="2" t="str">
        <f>if(I73='Regional Details'!$B$2,'Regional Details'!$B$3,if(I73='Regional Details'!$E$2,'Regional Details'!$E$3,if(I73='Regional Details'!$H$2,'Regional Details'!$H$3,'Regional Details'!$K$3)))</f>
        <v>Anjali Krishna Murthy</v>
      </c>
      <c r="K73" s="8">
        <f t="array" ref="K73">IFERROR(XLOOKUP(B73,'Regional Details'!$A$5:$A$8,'Regional Details'!$B$5:$B$8),IFERROR(XLOOKUP(B73,'Regional Details'!$D$5:$D$8,'Regional Details'!$E$5:$E$8),IFERROR(xlookup(B73,'Regional Details'!$G$5:$G$8,'Regional Details'!$H$5:$H$8),XLOOKUP(B73,'Regional Details'!$J$5:$J$8,'Regional Details'!$K$5:$K$8))))</f>
        <v>0</v>
      </c>
      <c r="L73" s="2" t="str">
        <f>VLOOKUP(A73,MonthMapping!$A$2:$B$13,2,false)</f>
        <v>March</v>
      </c>
      <c r="M73" s="9">
        <f>if(C73=$C$2,Contribution_Old!$B$22,Contribution_Old!$B$23)</f>
        <v>24.108</v>
      </c>
      <c r="N73" s="9">
        <f>if(C73=$C$2,Contribution_New!$B$23,Contribution_New!$B$24)</f>
        <v>30.108</v>
      </c>
      <c r="O73" s="2">
        <f t="shared" ref="O73:P73" si="145">M73*D73</f>
        <v>444430.98</v>
      </c>
      <c r="P73" s="2">
        <f t="shared" si="145"/>
        <v>671589.048</v>
      </c>
      <c r="Q73" s="2">
        <f t="shared" ref="Q73:R73" si="146">G73-O73</f>
        <v>661669.02</v>
      </c>
      <c r="R73" s="2">
        <f t="shared" si="146"/>
        <v>666770.952</v>
      </c>
      <c r="S73" s="2"/>
      <c r="T73" s="2"/>
      <c r="U73" s="2"/>
      <c r="V73" s="2"/>
      <c r="W73" s="2"/>
      <c r="X73" s="2"/>
      <c r="Y73" s="2"/>
      <c r="Z73" s="2"/>
    </row>
    <row r="74">
      <c r="A74" s="2">
        <f>IFERROR(__xludf.DUMMYFUNCTION("""COMPUTED_VALUE"""),3.0)</f>
        <v>3</v>
      </c>
      <c r="B74" s="2" t="str">
        <f>IFERROR(__xludf.DUMMYFUNCTION("""COMPUTED_VALUE"""),"Chandigarh")</f>
        <v>Chandigarh</v>
      </c>
      <c r="C74" s="2" t="str">
        <f>IFERROR(__xludf.DUMMYFUNCTION("""COMPUTED_VALUE"""),"ZestVita")</f>
        <v>ZestVita</v>
      </c>
      <c r="D74" s="2">
        <f>IFERROR(__xludf.DUMMYFUNCTION("""COMPUTED_VALUE"""),29920.0)</f>
        <v>29920</v>
      </c>
      <c r="E74" s="2">
        <f>IFERROR(__xludf.DUMMYFUNCTION("""COMPUTED_VALUE"""),37101.0)</f>
        <v>37101</v>
      </c>
      <c r="F74" s="2" t="str">
        <f>IFERROR(__xludf.DUMMYFUNCTION("""COMPUTED_VALUE"""),"IPLMARKETTING")</f>
        <v>IPLMARKETTING</v>
      </c>
      <c r="G74" s="2">
        <f t="shared" si="3"/>
        <v>4039200</v>
      </c>
      <c r="H74" s="2">
        <f t="shared" si="4"/>
        <v>5008635</v>
      </c>
      <c r="I74" s="2" t="str">
        <f>IF(or(B74='Regional Details'!$A$5,B74='Regional Details'!$A$6,B74='Regional Details'!$A$7,B74='Regional Details'!$A$8),'Regional Details'!$B$2,if(OR(B74='Regional Details'!$D$5,B74='Regional Details'!$D$6,B74='Regional Details'!$D$7,B74='Regional Details'!$D$8),'Regional Details'!$E$2,if(or(B74='Regional Details'!$G$5,B74='Regional Details'!$G$6,B74='Regional Details'!$G$7,B74='Regional Details'!$G$8),'Regional Details'!$H$2,'Regional Details'!$K$2)))</f>
        <v>North</v>
      </c>
      <c r="J74" s="2" t="str">
        <f>if(I74='Regional Details'!$B$2,'Regional Details'!$B$3,if(I74='Regional Details'!$E$2,'Regional Details'!$E$3,if(I74='Regional Details'!$H$2,'Regional Details'!$H$3,'Regional Details'!$K$3)))</f>
        <v>Ajay Kumar</v>
      </c>
      <c r="K74" s="8">
        <f t="array" ref="K74">IFERROR(XLOOKUP(B74,'Regional Details'!$A$5:$A$8,'Regional Details'!$B$5:$B$8),IFERROR(XLOOKUP(B74,'Regional Details'!$D$5:$D$8,'Regional Details'!$E$5:$E$8),IFERROR(xlookup(B74,'Regional Details'!$G$5:$G$8,'Regional Details'!$H$5:$H$8),XLOOKUP(B74,'Regional Details'!$J$5:$J$8,'Regional Details'!$K$5:$K$8))))</f>
        <v>0</v>
      </c>
      <c r="L74" s="2" t="str">
        <f>VLOOKUP(A74,MonthMapping!$A$2:$B$13,2,false)</f>
        <v>March</v>
      </c>
      <c r="M74" s="9">
        <f>if(C74=$C$2,Contribution_Old!$B$22,Contribution_Old!$B$23)</f>
        <v>55.84</v>
      </c>
      <c r="N74" s="9">
        <f>if(C74=$C$2,Contribution_New!$B$23,Contribution_New!$B$24)</f>
        <v>61.84</v>
      </c>
      <c r="O74" s="2">
        <f t="shared" ref="O74:P74" si="147">M74*D74</f>
        <v>1670732.8</v>
      </c>
      <c r="P74" s="2">
        <f t="shared" si="147"/>
        <v>2294325.84</v>
      </c>
      <c r="Q74" s="2">
        <f t="shared" ref="Q74:R74" si="148">G74-O74</f>
        <v>2368467.2</v>
      </c>
      <c r="R74" s="2">
        <f t="shared" si="148"/>
        <v>2714309.16</v>
      </c>
      <c r="S74" s="2"/>
      <c r="T74" s="2"/>
      <c r="U74" s="2"/>
      <c r="V74" s="2"/>
      <c r="W74" s="2"/>
      <c r="X74" s="2"/>
      <c r="Y74" s="2"/>
      <c r="Z74" s="2"/>
    </row>
    <row r="75">
      <c r="A75" s="2">
        <f>IFERROR(__xludf.DUMMYFUNCTION("""COMPUTED_VALUE"""),3.0)</f>
        <v>3</v>
      </c>
      <c r="B75" s="2" t="str">
        <f>IFERROR(__xludf.DUMMYFUNCTION("""COMPUTED_VALUE"""),"Chandigarh")</f>
        <v>Chandigarh</v>
      </c>
      <c r="C75" s="2" t="str">
        <f>IFERROR(__xludf.DUMMYFUNCTION("""COMPUTED_VALUE"""),"NutriKid")</f>
        <v>NutriKid</v>
      </c>
      <c r="D75" s="2">
        <f>IFERROR(__xludf.DUMMYFUNCTION("""COMPUTED_VALUE"""),31783.0)</f>
        <v>31783</v>
      </c>
      <c r="E75" s="2">
        <f>IFERROR(__xludf.DUMMYFUNCTION("""COMPUTED_VALUE"""),37504.0)</f>
        <v>37504</v>
      </c>
      <c r="F75" s="2" t="str">
        <f>IFERROR(__xludf.DUMMYFUNCTION("""COMPUTED_VALUE"""),"IPLMARKETTING")</f>
        <v>IPLMARKETTING</v>
      </c>
      <c r="G75" s="2">
        <f t="shared" si="3"/>
        <v>1906980</v>
      </c>
      <c r="H75" s="2">
        <f t="shared" si="4"/>
        <v>2250240</v>
      </c>
      <c r="I75" s="2" t="str">
        <f>IF(or(B75='Regional Details'!$A$5,B75='Regional Details'!$A$6,B75='Regional Details'!$A$7,B75='Regional Details'!$A$8),'Regional Details'!$B$2,if(OR(B75='Regional Details'!$D$5,B75='Regional Details'!$D$6,B75='Regional Details'!$D$7,B75='Regional Details'!$D$8),'Regional Details'!$E$2,if(or(B75='Regional Details'!$G$5,B75='Regional Details'!$G$6,B75='Regional Details'!$G$7,B75='Regional Details'!$G$8),'Regional Details'!$H$2,'Regional Details'!$K$2)))</f>
        <v>North</v>
      </c>
      <c r="J75" s="2" t="str">
        <f>if(I75='Regional Details'!$B$2,'Regional Details'!$B$3,if(I75='Regional Details'!$E$2,'Regional Details'!$E$3,if(I75='Regional Details'!$H$2,'Regional Details'!$H$3,'Regional Details'!$K$3)))</f>
        <v>Ajay Kumar</v>
      </c>
      <c r="K75" s="8">
        <f t="array" ref="K75">IFERROR(XLOOKUP(B75,'Regional Details'!$A$5:$A$8,'Regional Details'!$B$5:$B$8),IFERROR(XLOOKUP(B75,'Regional Details'!$D$5:$D$8,'Regional Details'!$E$5:$E$8),IFERROR(xlookup(B75,'Regional Details'!$G$5:$G$8,'Regional Details'!$H$5:$H$8),XLOOKUP(B75,'Regional Details'!$J$5:$J$8,'Regional Details'!$K$5:$K$8))))</f>
        <v>0</v>
      </c>
      <c r="L75" s="2" t="str">
        <f>VLOOKUP(A75,MonthMapping!$A$2:$B$13,2,false)</f>
        <v>March</v>
      </c>
      <c r="M75" s="9">
        <f>if(C75=$C$2,Contribution_Old!$B$22,Contribution_Old!$B$23)</f>
        <v>24.108</v>
      </c>
      <c r="N75" s="9">
        <f>if(C75=$C$2,Contribution_New!$B$23,Contribution_New!$B$24)</f>
        <v>30.108</v>
      </c>
      <c r="O75" s="2">
        <f t="shared" ref="O75:P75" si="149">M75*D75</f>
        <v>766224.564</v>
      </c>
      <c r="P75" s="2">
        <f t="shared" si="149"/>
        <v>1129170.432</v>
      </c>
      <c r="Q75" s="2">
        <f t="shared" ref="Q75:R75" si="150">G75-O75</f>
        <v>1140755.436</v>
      </c>
      <c r="R75" s="2">
        <f t="shared" si="150"/>
        <v>1121069.568</v>
      </c>
      <c r="S75" s="2"/>
      <c r="T75" s="2"/>
      <c r="U75" s="2"/>
      <c r="V75" s="2"/>
      <c r="W75" s="2"/>
      <c r="X75" s="2"/>
      <c r="Y75" s="2"/>
      <c r="Z75" s="2"/>
    </row>
    <row r="76">
      <c r="A76" s="2">
        <f>IFERROR(__xludf.DUMMYFUNCTION("""COMPUTED_VALUE"""),3.0)</f>
        <v>3</v>
      </c>
      <c r="B76" s="2" t="str">
        <f>IFERROR(__xludf.DUMMYFUNCTION("""COMPUTED_VALUE"""),"Bhubaneswar")</f>
        <v>Bhubaneswar</v>
      </c>
      <c r="C76" s="2" t="str">
        <f>IFERROR(__xludf.DUMMYFUNCTION("""COMPUTED_VALUE"""),"ZestVita")</f>
        <v>ZestVita</v>
      </c>
      <c r="D76" s="2">
        <f>IFERROR(__xludf.DUMMYFUNCTION("""COMPUTED_VALUE"""),14433.0)</f>
        <v>14433</v>
      </c>
      <c r="E76" s="2">
        <f>IFERROR(__xludf.DUMMYFUNCTION("""COMPUTED_VALUE"""),14866.0)</f>
        <v>14866</v>
      </c>
      <c r="F76" s="2" t="str">
        <f>IFERROR(__xludf.DUMMYFUNCTION("""COMPUTED_VALUE"""),"IPLMARKETTING")</f>
        <v>IPLMARKETTING</v>
      </c>
      <c r="G76" s="2">
        <f t="shared" si="3"/>
        <v>1704898.125</v>
      </c>
      <c r="H76" s="2">
        <f t="shared" si="4"/>
        <v>2006910</v>
      </c>
      <c r="I76" s="2" t="str">
        <f>IF(or(B76='Regional Details'!$A$5,B76='Regional Details'!$A$6,B76='Regional Details'!$A$7,B76='Regional Details'!$A$8),'Regional Details'!$B$2,if(OR(B76='Regional Details'!$D$5,B76='Regional Details'!$D$6,B76='Regional Details'!$D$7,B76='Regional Details'!$D$8),'Regional Details'!$E$2,if(or(B76='Regional Details'!$G$5,B76='Regional Details'!$G$6,B76='Regional Details'!$G$7,B76='Regional Details'!$G$8),'Regional Details'!$H$2,'Regional Details'!$K$2)))</f>
        <v>East</v>
      </c>
      <c r="J76" s="2" t="str">
        <f>if(I76='Regional Details'!$B$2,'Regional Details'!$B$3,if(I76='Regional Details'!$E$2,'Regional Details'!$E$3,if(I76='Regional Details'!$H$2,'Regional Details'!$H$3,'Regional Details'!$K$3)))</f>
        <v>Tanvi Sharma</v>
      </c>
      <c r="K76" s="8">
        <f t="array" ref="K76">IFERROR(XLOOKUP(B76,'Regional Details'!$A$5:$A$8,'Regional Details'!$B$5:$B$8),IFERROR(XLOOKUP(B76,'Regional Details'!$D$5:$D$8,'Regional Details'!$E$5:$E$8),IFERROR(xlookup(B76,'Regional Details'!$G$5:$G$8,'Regional Details'!$H$5:$H$8),XLOOKUP(B76,'Regional Details'!$J$5:$J$8,'Regional Details'!$K$5:$K$8))))</f>
        <v>0.125</v>
      </c>
      <c r="L76" s="2" t="str">
        <f>VLOOKUP(A76,MonthMapping!$A$2:$B$13,2,false)</f>
        <v>March</v>
      </c>
      <c r="M76" s="9">
        <f>if(C76=$C$2,Contribution_Old!$B$22,Contribution_Old!$B$23)</f>
        <v>55.84</v>
      </c>
      <c r="N76" s="9">
        <f>if(C76=$C$2,Contribution_New!$B$23,Contribution_New!$B$24)</f>
        <v>61.84</v>
      </c>
      <c r="O76" s="2">
        <f t="shared" ref="O76:P76" si="151">M76*D76</f>
        <v>805938.72</v>
      </c>
      <c r="P76" s="2">
        <f t="shared" si="151"/>
        <v>919313.44</v>
      </c>
      <c r="Q76" s="2">
        <f t="shared" ref="Q76:R76" si="152">G76-O76</f>
        <v>898959.405</v>
      </c>
      <c r="R76" s="2">
        <f t="shared" si="152"/>
        <v>1087596.56</v>
      </c>
      <c r="S76" s="2"/>
      <c r="T76" s="2"/>
      <c r="U76" s="2"/>
      <c r="V76" s="2"/>
      <c r="W76" s="2"/>
      <c r="X76" s="2"/>
      <c r="Y76" s="2"/>
      <c r="Z76" s="2"/>
    </row>
    <row r="77">
      <c r="A77" s="2">
        <f>IFERROR(__xludf.DUMMYFUNCTION("""COMPUTED_VALUE"""),3.0)</f>
        <v>3</v>
      </c>
      <c r="B77" s="2" t="str">
        <f>IFERROR(__xludf.DUMMYFUNCTION("""COMPUTED_VALUE"""),"Bhubaneswar")</f>
        <v>Bhubaneswar</v>
      </c>
      <c r="C77" s="2" t="str">
        <f>IFERROR(__xludf.DUMMYFUNCTION("""COMPUTED_VALUE"""),"NutriKid")</f>
        <v>NutriKid</v>
      </c>
      <c r="D77" s="2">
        <f>IFERROR(__xludf.DUMMYFUNCTION("""COMPUTED_VALUE"""),19294.0)</f>
        <v>19294</v>
      </c>
      <c r="E77" s="2">
        <f>IFERROR(__xludf.DUMMYFUNCTION("""COMPUTED_VALUE"""),19680.0)</f>
        <v>19680</v>
      </c>
      <c r="F77" s="2" t="str">
        <f>IFERROR(__xludf.DUMMYFUNCTION("""COMPUTED_VALUE"""),"IPLMARKETTING")</f>
        <v>IPLMARKETTING</v>
      </c>
      <c r="G77" s="2">
        <f t="shared" si="3"/>
        <v>1012935</v>
      </c>
      <c r="H77" s="2">
        <f t="shared" si="4"/>
        <v>1180800</v>
      </c>
      <c r="I77" s="2" t="str">
        <f>IF(or(B77='Regional Details'!$A$5,B77='Regional Details'!$A$6,B77='Regional Details'!$A$7,B77='Regional Details'!$A$8),'Regional Details'!$B$2,if(OR(B77='Regional Details'!$D$5,B77='Regional Details'!$D$6,B77='Regional Details'!$D$7,B77='Regional Details'!$D$8),'Regional Details'!$E$2,if(or(B77='Regional Details'!$G$5,B77='Regional Details'!$G$6,B77='Regional Details'!$G$7,B77='Regional Details'!$G$8),'Regional Details'!$H$2,'Regional Details'!$K$2)))</f>
        <v>East</v>
      </c>
      <c r="J77" s="2" t="str">
        <f>if(I77='Regional Details'!$B$2,'Regional Details'!$B$3,if(I77='Regional Details'!$E$2,'Regional Details'!$E$3,if(I77='Regional Details'!$H$2,'Regional Details'!$H$3,'Regional Details'!$K$3)))</f>
        <v>Tanvi Sharma</v>
      </c>
      <c r="K77" s="8">
        <f t="array" ref="K77">IFERROR(XLOOKUP(B77,'Regional Details'!$A$5:$A$8,'Regional Details'!$B$5:$B$8),IFERROR(XLOOKUP(B77,'Regional Details'!$D$5:$D$8,'Regional Details'!$E$5:$E$8),IFERROR(xlookup(B77,'Regional Details'!$G$5:$G$8,'Regional Details'!$H$5:$H$8),XLOOKUP(B77,'Regional Details'!$J$5:$J$8,'Regional Details'!$K$5:$K$8))))</f>
        <v>0.125</v>
      </c>
      <c r="L77" s="2" t="str">
        <f>VLOOKUP(A77,MonthMapping!$A$2:$B$13,2,false)</f>
        <v>March</v>
      </c>
      <c r="M77" s="9">
        <f>if(C77=$C$2,Contribution_Old!$B$22,Contribution_Old!$B$23)</f>
        <v>24.108</v>
      </c>
      <c r="N77" s="9">
        <f>if(C77=$C$2,Contribution_New!$B$23,Contribution_New!$B$24)</f>
        <v>30.108</v>
      </c>
      <c r="O77" s="2">
        <f t="shared" ref="O77:P77" si="153">M77*D77</f>
        <v>465139.752</v>
      </c>
      <c r="P77" s="2">
        <f t="shared" si="153"/>
        <v>592525.44</v>
      </c>
      <c r="Q77" s="2">
        <f t="shared" ref="Q77:R77" si="154">G77-O77</f>
        <v>547795.248</v>
      </c>
      <c r="R77" s="2">
        <f t="shared" si="154"/>
        <v>588274.56</v>
      </c>
      <c r="S77" s="2"/>
      <c r="T77" s="2"/>
      <c r="U77" s="2"/>
      <c r="V77" s="2"/>
      <c r="W77" s="2"/>
      <c r="X77" s="2"/>
      <c r="Y77" s="2"/>
      <c r="Z77" s="2"/>
    </row>
    <row r="78">
      <c r="A78" s="2">
        <f>IFERROR(__xludf.DUMMYFUNCTION("""COMPUTED_VALUE"""),3.0)</f>
        <v>3</v>
      </c>
      <c r="B78" s="2" t="str">
        <f>IFERROR(__xludf.DUMMYFUNCTION("""COMPUTED_VALUE"""),"Ahmedabad")</f>
        <v>Ahmedabad</v>
      </c>
      <c r="C78" s="2" t="str">
        <f>IFERROR(__xludf.DUMMYFUNCTION("""COMPUTED_VALUE"""),"ZestVita")</f>
        <v>ZestVita</v>
      </c>
      <c r="D78" s="2">
        <f>IFERROR(__xludf.DUMMYFUNCTION("""COMPUTED_VALUE"""),26741.0)</f>
        <v>26741</v>
      </c>
      <c r="E78" s="2">
        <f>IFERROR(__xludf.DUMMYFUNCTION("""COMPUTED_VALUE"""),32624.0)</f>
        <v>32624</v>
      </c>
      <c r="F78" s="2" t="str">
        <f>IFERROR(__xludf.DUMMYFUNCTION("""COMPUTED_VALUE"""),"IPLMARKETTING")</f>
        <v>IPLMARKETTING</v>
      </c>
      <c r="G78" s="2">
        <f t="shared" si="3"/>
        <v>3610035</v>
      </c>
      <c r="H78" s="2">
        <f t="shared" si="4"/>
        <v>4404240</v>
      </c>
      <c r="I78" s="2" t="str">
        <f>IF(or(B78='Regional Details'!$A$5,B78='Regional Details'!$A$6,B78='Regional Details'!$A$7,B78='Regional Details'!$A$8),'Regional Details'!$B$2,if(OR(B78='Regional Details'!$D$5,B78='Regional Details'!$D$6,B78='Regional Details'!$D$7,B78='Regional Details'!$D$8),'Regional Details'!$E$2,if(or(B78='Regional Details'!$G$5,B78='Regional Details'!$G$6,B78='Regional Details'!$G$7,B78='Regional Details'!$G$8),'Regional Details'!$H$2,'Regional Details'!$K$2)))</f>
        <v>West</v>
      </c>
      <c r="J78" s="2" t="str">
        <f>if(I78='Regional Details'!$B$2,'Regional Details'!$B$3,if(I78='Regional Details'!$E$2,'Regional Details'!$E$3,if(I78='Regional Details'!$H$2,'Regional Details'!$H$3,'Regional Details'!$K$3)))</f>
        <v>Ajay Ghosh</v>
      </c>
      <c r="K78" s="8">
        <f t="array" ref="K78">IFERROR(XLOOKUP(B78,'Regional Details'!$A$5:$A$8,'Regional Details'!$B$5:$B$8),IFERROR(XLOOKUP(B78,'Regional Details'!$D$5:$D$8,'Regional Details'!$E$5:$E$8),IFERROR(xlookup(B78,'Regional Details'!$G$5:$G$8,'Regional Details'!$H$5:$H$8),XLOOKUP(B78,'Regional Details'!$J$5:$J$8,'Regional Details'!$K$5:$K$8))))</f>
        <v>0</v>
      </c>
      <c r="L78" s="2" t="str">
        <f>VLOOKUP(A78,MonthMapping!$A$2:$B$13,2,false)</f>
        <v>March</v>
      </c>
      <c r="M78" s="9">
        <f>if(C78=$C$2,Contribution_Old!$B$22,Contribution_Old!$B$23)</f>
        <v>55.84</v>
      </c>
      <c r="N78" s="9">
        <f>if(C78=$C$2,Contribution_New!$B$23,Contribution_New!$B$24)</f>
        <v>61.84</v>
      </c>
      <c r="O78" s="2">
        <f t="shared" ref="O78:P78" si="155">M78*D78</f>
        <v>1493217.44</v>
      </c>
      <c r="P78" s="2">
        <f t="shared" si="155"/>
        <v>2017468.16</v>
      </c>
      <c r="Q78" s="2">
        <f t="shared" ref="Q78:R78" si="156">G78-O78</f>
        <v>2116817.56</v>
      </c>
      <c r="R78" s="2">
        <f t="shared" si="156"/>
        <v>2386771.84</v>
      </c>
      <c r="S78" s="2"/>
      <c r="T78" s="2"/>
      <c r="U78" s="2"/>
      <c r="V78" s="2"/>
      <c r="W78" s="2"/>
      <c r="X78" s="2"/>
      <c r="Y78" s="2"/>
      <c r="Z78" s="2"/>
    </row>
    <row r="79">
      <c r="A79" s="2">
        <f>IFERROR(__xludf.DUMMYFUNCTION("""COMPUTED_VALUE"""),3.0)</f>
        <v>3</v>
      </c>
      <c r="B79" s="2" t="str">
        <f>IFERROR(__xludf.DUMMYFUNCTION("""COMPUTED_VALUE"""),"Ahmedabad")</f>
        <v>Ahmedabad</v>
      </c>
      <c r="C79" s="2" t="str">
        <f>IFERROR(__xludf.DUMMYFUNCTION("""COMPUTED_VALUE"""),"NutriKid")</f>
        <v>NutriKid</v>
      </c>
      <c r="D79" s="2">
        <f>IFERROR(__xludf.DUMMYFUNCTION("""COMPUTED_VALUE"""),15153.0)</f>
        <v>15153</v>
      </c>
      <c r="E79" s="2">
        <f>IFERROR(__xludf.DUMMYFUNCTION("""COMPUTED_VALUE"""),18941.0)</f>
        <v>18941</v>
      </c>
      <c r="F79" s="2" t="str">
        <f>IFERROR(__xludf.DUMMYFUNCTION("""COMPUTED_VALUE"""),"IPLMARKETTING")</f>
        <v>IPLMARKETTING</v>
      </c>
      <c r="G79" s="2">
        <f t="shared" si="3"/>
        <v>909180</v>
      </c>
      <c r="H79" s="2">
        <f t="shared" si="4"/>
        <v>1136460</v>
      </c>
      <c r="I79" s="2" t="str">
        <f>IF(or(B79='Regional Details'!$A$5,B79='Regional Details'!$A$6,B79='Regional Details'!$A$7,B79='Regional Details'!$A$8),'Regional Details'!$B$2,if(OR(B79='Regional Details'!$D$5,B79='Regional Details'!$D$6,B79='Regional Details'!$D$7,B79='Regional Details'!$D$8),'Regional Details'!$E$2,if(or(B79='Regional Details'!$G$5,B79='Regional Details'!$G$6,B79='Regional Details'!$G$7,B79='Regional Details'!$G$8),'Regional Details'!$H$2,'Regional Details'!$K$2)))</f>
        <v>West</v>
      </c>
      <c r="J79" s="2" t="str">
        <f>if(I79='Regional Details'!$B$2,'Regional Details'!$B$3,if(I79='Regional Details'!$E$2,'Regional Details'!$E$3,if(I79='Regional Details'!$H$2,'Regional Details'!$H$3,'Regional Details'!$K$3)))</f>
        <v>Ajay Ghosh</v>
      </c>
      <c r="K79" s="8">
        <f t="array" ref="K79">IFERROR(XLOOKUP(B79,'Regional Details'!$A$5:$A$8,'Regional Details'!$B$5:$B$8),IFERROR(XLOOKUP(B79,'Regional Details'!$D$5:$D$8,'Regional Details'!$E$5:$E$8),IFERROR(xlookup(B79,'Regional Details'!$G$5:$G$8,'Regional Details'!$H$5:$H$8),XLOOKUP(B79,'Regional Details'!$J$5:$J$8,'Regional Details'!$K$5:$K$8))))</f>
        <v>0</v>
      </c>
      <c r="L79" s="2" t="str">
        <f>VLOOKUP(A79,MonthMapping!$A$2:$B$13,2,false)</f>
        <v>March</v>
      </c>
      <c r="M79" s="9">
        <f>if(C79=$C$2,Contribution_Old!$B$22,Contribution_Old!$B$23)</f>
        <v>24.108</v>
      </c>
      <c r="N79" s="9">
        <f>if(C79=$C$2,Contribution_New!$B$23,Contribution_New!$B$24)</f>
        <v>30.108</v>
      </c>
      <c r="O79" s="2">
        <f t="shared" ref="O79:P79" si="157">M79*D79</f>
        <v>365308.524</v>
      </c>
      <c r="P79" s="2">
        <f t="shared" si="157"/>
        <v>570275.628</v>
      </c>
      <c r="Q79" s="2">
        <f t="shared" ref="Q79:R79" si="158">G79-O79</f>
        <v>543871.476</v>
      </c>
      <c r="R79" s="2">
        <f t="shared" si="158"/>
        <v>566184.372</v>
      </c>
      <c r="S79" s="2"/>
      <c r="T79" s="2"/>
      <c r="U79" s="2"/>
      <c r="V79" s="2"/>
      <c r="W79" s="2"/>
      <c r="X79" s="2"/>
      <c r="Y79" s="2"/>
      <c r="Z79" s="2"/>
    </row>
    <row r="80">
      <c r="A80" s="2">
        <f>IFERROR(__xludf.DUMMYFUNCTION("""COMPUTED_VALUE"""),3.0)</f>
        <v>3</v>
      </c>
      <c r="B80" s="2" t="str">
        <f>IFERROR(__xludf.DUMMYFUNCTION("""COMPUTED_VALUE"""),"Chennai")</f>
        <v>Chennai</v>
      </c>
      <c r="C80" s="2" t="str">
        <f>IFERROR(__xludf.DUMMYFUNCTION("""COMPUTED_VALUE"""),"ZestVita")</f>
        <v>ZestVita</v>
      </c>
      <c r="D80" s="2">
        <f>IFERROR(__xludf.DUMMYFUNCTION("""COMPUTED_VALUE"""),16653.0)</f>
        <v>16653</v>
      </c>
      <c r="E80" s="2">
        <f>IFERROR(__xludf.DUMMYFUNCTION("""COMPUTED_VALUE"""),19484.0)</f>
        <v>19484</v>
      </c>
      <c r="F80" s="2" t="str">
        <f>IFERROR(__xludf.DUMMYFUNCTION("""COMPUTED_VALUE"""),"IPLMARKETTING")</f>
        <v>IPLMARKETTING</v>
      </c>
      <c r="G80" s="2">
        <f t="shared" si="3"/>
        <v>2248155</v>
      </c>
      <c r="H80" s="2">
        <f t="shared" si="4"/>
        <v>2630340</v>
      </c>
      <c r="I80" s="2" t="str">
        <f>IF(or(B80='Regional Details'!$A$5,B80='Regional Details'!$A$6,B80='Regional Details'!$A$7,B80='Regional Details'!$A$8),'Regional Details'!$B$2,if(OR(B80='Regional Details'!$D$5,B80='Regional Details'!$D$6,B80='Regional Details'!$D$7,B80='Regional Details'!$D$8),'Regional Details'!$E$2,if(or(B80='Regional Details'!$G$5,B80='Regional Details'!$G$6,B80='Regional Details'!$G$7,B80='Regional Details'!$G$8),'Regional Details'!$H$2,'Regional Details'!$K$2)))</f>
        <v>South</v>
      </c>
      <c r="J80" s="2" t="str">
        <f>if(I80='Regional Details'!$B$2,'Regional Details'!$B$3,if(I80='Regional Details'!$E$2,'Regional Details'!$E$3,if(I80='Regional Details'!$H$2,'Regional Details'!$H$3,'Regional Details'!$K$3)))</f>
        <v>Anjali Krishna Murthy</v>
      </c>
      <c r="K80" s="8">
        <f t="array" ref="K80">IFERROR(XLOOKUP(B80,'Regional Details'!$A$5:$A$8,'Regional Details'!$B$5:$B$8),IFERROR(XLOOKUP(B80,'Regional Details'!$D$5:$D$8,'Regional Details'!$E$5:$E$8),IFERROR(xlookup(B80,'Regional Details'!$G$5:$G$8,'Regional Details'!$H$5:$H$8),XLOOKUP(B80,'Regional Details'!$J$5:$J$8,'Regional Details'!$K$5:$K$8))))</f>
        <v>0</v>
      </c>
      <c r="L80" s="2" t="str">
        <f>VLOOKUP(A80,MonthMapping!$A$2:$B$13,2,false)</f>
        <v>March</v>
      </c>
      <c r="M80" s="9">
        <f>if(C80=$C$2,Contribution_Old!$B$22,Contribution_Old!$B$23)</f>
        <v>55.84</v>
      </c>
      <c r="N80" s="9">
        <f>if(C80=$C$2,Contribution_New!$B$23,Contribution_New!$B$24)</f>
        <v>61.84</v>
      </c>
      <c r="O80" s="2">
        <f t="shared" ref="O80:P80" si="159">M80*D80</f>
        <v>929903.52</v>
      </c>
      <c r="P80" s="2">
        <f t="shared" si="159"/>
        <v>1204890.56</v>
      </c>
      <c r="Q80" s="2">
        <f t="shared" ref="Q80:R80" si="160">G80-O80</f>
        <v>1318251.48</v>
      </c>
      <c r="R80" s="2">
        <f t="shared" si="160"/>
        <v>1425449.44</v>
      </c>
      <c r="S80" s="2"/>
      <c r="T80" s="2"/>
      <c r="U80" s="2"/>
      <c r="V80" s="2"/>
      <c r="W80" s="2"/>
      <c r="X80" s="2"/>
      <c r="Y80" s="2"/>
      <c r="Z80" s="2"/>
    </row>
    <row r="81">
      <c r="A81" s="2">
        <f>IFERROR(__xludf.DUMMYFUNCTION("""COMPUTED_VALUE"""),3.0)</f>
        <v>3</v>
      </c>
      <c r="B81" s="2" t="str">
        <f>IFERROR(__xludf.DUMMYFUNCTION("""COMPUTED_VALUE"""),"Chennai")</f>
        <v>Chennai</v>
      </c>
      <c r="C81" s="2" t="str">
        <f>IFERROR(__xludf.DUMMYFUNCTION("""COMPUTED_VALUE"""),"NutriKid")</f>
        <v>NutriKid</v>
      </c>
      <c r="D81" s="2">
        <f>IFERROR(__xludf.DUMMYFUNCTION("""COMPUTED_VALUE"""),17958.0)</f>
        <v>17958</v>
      </c>
      <c r="E81" s="2">
        <f>IFERROR(__xludf.DUMMYFUNCTION("""COMPUTED_VALUE"""),20472.0)</f>
        <v>20472</v>
      </c>
      <c r="F81" s="2" t="str">
        <f>IFERROR(__xludf.DUMMYFUNCTION("""COMPUTED_VALUE"""),"IPLMARKETTING")</f>
        <v>IPLMARKETTING</v>
      </c>
      <c r="G81" s="2">
        <f t="shared" si="3"/>
        <v>1077480</v>
      </c>
      <c r="H81" s="2">
        <f t="shared" si="4"/>
        <v>1228320</v>
      </c>
      <c r="I81" s="2" t="str">
        <f>IF(or(B81='Regional Details'!$A$5,B81='Regional Details'!$A$6,B81='Regional Details'!$A$7,B81='Regional Details'!$A$8),'Regional Details'!$B$2,if(OR(B81='Regional Details'!$D$5,B81='Regional Details'!$D$6,B81='Regional Details'!$D$7,B81='Regional Details'!$D$8),'Regional Details'!$E$2,if(or(B81='Regional Details'!$G$5,B81='Regional Details'!$G$6,B81='Regional Details'!$G$7,B81='Regional Details'!$G$8),'Regional Details'!$H$2,'Regional Details'!$K$2)))</f>
        <v>South</v>
      </c>
      <c r="J81" s="2" t="str">
        <f>if(I81='Regional Details'!$B$2,'Regional Details'!$B$3,if(I81='Regional Details'!$E$2,'Regional Details'!$E$3,if(I81='Regional Details'!$H$2,'Regional Details'!$H$3,'Regional Details'!$K$3)))</f>
        <v>Anjali Krishna Murthy</v>
      </c>
      <c r="K81" s="8">
        <f t="array" ref="K81">IFERROR(XLOOKUP(B81,'Regional Details'!$A$5:$A$8,'Regional Details'!$B$5:$B$8),IFERROR(XLOOKUP(B81,'Regional Details'!$D$5:$D$8,'Regional Details'!$E$5:$E$8),IFERROR(xlookup(B81,'Regional Details'!$G$5:$G$8,'Regional Details'!$H$5:$H$8),XLOOKUP(B81,'Regional Details'!$J$5:$J$8,'Regional Details'!$K$5:$K$8))))</f>
        <v>0</v>
      </c>
      <c r="L81" s="2" t="str">
        <f>VLOOKUP(A81,MonthMapping!$A$2:$B$13,2,false)</f>
        <v>March</v>
      </c>
      <c r="M81" s="9">
        <f>if(C81=$C$2,Contribution_Old!$B$22,Contribution_Old!$B$23)</f>
        <v>24.108</v>
      </c>
      <c r="N81" s="9">
        <f>if(C81=$C$2,Contribution_New!$B$23,Contribution_New!$B$24)</f>
        <v>30.108</v>
      </c>
      <c r="O81" s="2">
        <f t="shared" ref="O81:P81" si="161">M81*D81</f>
        <v>432931.464</v>
      </c>
      <c r="P81" s="2">
        <f t="shared" si="161"/>
        <v>616370.976</v>
      </c>
      <c r="Q81" s="2">
        <f t="shared" ref="Q81:R81" si="162">G81-O81</f>
        <v>644548.536</v>
      </c>
      <c r="R81" s="2">
        <f t="shared" si="162"/>
        <v>611949.024</v>
      </c>
      <c r="S81" s="2"/>
      <c r="T81" s="2"/>
      <c r="U81" s="2"/>
      <c r="V81" s="2"/>
      <c r="W81" s="2"/>
      <c r="X81" s="2"/>
      <c r="Y81" s="2"/>
      <c r="Z81" s="2"/>
    </row>
    <row r="82">
      <c r="A82" s="2">
        <f>IFERROR(__xludf.DUMMYFUNCTION("""COMPUTED_VALUE"""),3.0)</f>
        <v>3</v>
      </c>
      <c r="B82" s="2" t="str">
        <f>IFERROR(__xludf.DUMMYFUNCTION("""COMPUTED_VALUE"""),"Lucknow")</f>
        <v>Lucknow</v>
      </c>
      <c r="C82" s="2" t="str">
        <f>IFERROR(__xludf.DUMMYFUNCTION("""COMPUTED_VALUE"""),"ZestVita")</f>
        <v>ZestVita</v>
      </c>
      <c r="D82" s="2">
        <f>IFERROR(__xludf.DUMMYFUNCTION("""COMPUTED_VALUE"""),23930.0)</f>
        <v>23930</v>
      </c>
      <c r="E82" s="2">
        <f>IFERROR(__xludf.DUMMYFUNCTION("""COMPUTED_VALUE"""),29673.0)</f>
        <v>29673</v>
      </c>
      <c r="F82" s="2" t="str">
        <f>IFERROR(__xludf.DUMMYFUNCTION("""COMPUTED_VALUE"""),"IPLMARKETTING")</f>
        <v>IPLMARKETTING</v>
      </c>
      <c r="G82" s="2">
        <f t="shared" si="3"/>
        <v>2907495</v>
      </c>
      <c r="H82" s="2">
        <f t="shared" si="4"/>
        <v>4005855</v>
      </c>
      <c r="I82" s="2" t="str">
        <f>IF(or(B82='Regional Details'!$A$5,B82='Regional Details'!$A$6,B82='Regional Details'!$A$7,B82='Regional Details'!$A$8),'Regional Details'!$B$2,if(OR(B82='Regional Details'!$D$5,B82='Regional Details'!$D$6,B82='Regional Details'!$D$7,B82='Regional Details'!$D$8),'Regional Details'!$E$2,if(or(B82='Regional Details'!$G$5,B82='Regional Details'!$G$6,B82='Regional Details'!$G$7,B82='Regional Details'!$G$8),'Regional Details'!$H$2,'Regional Details'!$K$2)))</f>
        <v>North</v>
      </c>
      <c r="J82" s="2" t="str">
        <f>if(I82='Regional Details'!$B$2,'Regional Details'!$B$3,if(I82='Regional Details'!$E$2,'Regional Details'!$E$3,if(I82='Regional Details'!$H$2,'Regional Details'!$H$3,'Regional Details'!$K$3)))</f>
        <v>Ajay Kumar</v>
      </c>
      <c r="K82" s="8">
        <f t="array" ref="K82">IFERROR(XLOOKUP(B82,'Regional Details'!$A$5:$A$8,'Regional Details'!$B$5:$B$8),IFERROR(XLOOKUP(B82,'Regional Details'!$D$5:$D$8,'Regional Details'!$E$5:$E$8),IFERROR(xlookup(B82,'Regional Details'!$G$5:$G$8,'Regional Details'!$H$5:$H$8),XLOOKUP(B82,'Regional Details'!$J$5:$J$8,'Regional Details'!$K$5:$K$8))))</f>
        <v>0.1</v>
      </c>
      <c r="L82" s="2" t="str">
        <f>VLOOKUP(A82,MonthMapping!$A$2:$B$13,2,false)</f>
        <v>March</v>
      </c>
      <c r="M82" s="9">
        <f>if(C82=$C$2,Contribution_Old!$B$22,Contribution_Old!$B$23)</f>
        <v>55.84</v>
      </c>
      <c r="N82" s="9">
        <f>if(C82=$C$2,Contribution_New!$B$23,Contribution_New!$B$24)</f>
        <v>61.84</v>
      </c>
      <c r="O82" s="2">
        <f t="shared" ref="O82:P82" si="163">M82*D82</f>
        <v>1336251.2</v>
      </c>
      <c r="P82" s="2">
        <f t="shared" si="163"/>
        <v>1834978.32</v>
      </c>
      <c r="Q82" s="2">
        <f t="shared" ref="Q82:R82" si="164">G82-O82</f>
        <v>1571243.8</v>
      </c>
      <c r="R82" s="2">
        <f t="shared" si="164"/>
        <v>2170876.68</v>
      </c>
      <c r="S82" s="2"/>
      <c r="T82" s="2"/>
      <c r="U82" s="2"/>
      <c r="V82" s="2"/>
      <c r="W82" s="2"/>
      <c r="X82" s="2"/>
      <c r="Y82" s="2"/>
      <c r="Z82" s="2"/>
    </row>
    <row r="83">
      <c r="A83" s="2">
        <f>IFERROR(__xludf.DUMMYFUNCTION("""COMPUTED_VALUE"""),3.0)</f>
        <v>3</v>
      </c>
      <c r="B83" s="2" t="str">
        <f>IFERROR(__xludf.DUMMYFUNCTION("""COMPUTED_VALUE"""),"Lucknow")</f>
        <v>Lucknow</v>
      </c>
      <c r="C83" s="2" t="str">
        <f>IFERROR(__xludf.DUMMYFUNCTION("""COMPUTED_VALUE"""),"NutriKid")</f>
        <v>NutriKid</v>
      </c>
      <c r="D83" s="2">
        <f>IFERROR(__xludf.DUMMYFUNCTION("""COMPUTED_VALUE"""),21340.0)</f>
        <v>21340</v>
      </c>
      <c r="E83" s="2">
        <f>IFERROR(__xludf.DUMMYFUNCTION("""COMPUTED_VALUE"""),25181.0)</f>
        <v>25181</v>
      </c>
      <c r="F83" s="2" t="str">
        <f>IFERROR(__xludf.DUMMYFUNCTION("""COMPUTED_VALUE"""),"IPLMARKETTING")</f>
        <v>IPLMARKETTING</v>
      </c>
      <c r="G83" s="2">
        <f t="shared" si="3"/>
        <v>1152360</v>
      </c>
      <c r="H83" s="2">
        <f t="shared" si="4"/>
        <v>1510860</v>
      </c>
      <c r="I83" s="2" t="str">
        <f>IF(or(B83='Regional Details'!$A$5,B83='Regional Details'!$A$6,B83='Regional Details'!$A$7,B83='Regional Details'!$A$8),'Regional Details'!$B$2,if(OR(B83='Regional Details'!$D$5,B83='Regional Details'!$D$6,B83='Regional Details'!$D$7,B83='Regional Details'!$D$8),'Regional Details'!$E$2,if(or(B83='Regional Details'!$G$5,B83='Regional Details'!$G$6,B83='Regional Details'!$G$7,B83='Regional Details'!$G$8),'Regional Details'!$H$2,'Regional Details'!$K$2)))</f>
        <v>North</v>
      </c>
      <c r="J83" s="2" t="str">
        <f>if(I83='Regional Details'!$B$2,'Regional Details'!$B$3,if(I83='Regional Details'!$E$2,'Regional Details'!$E$3,if(I83='Regional Details'!$H$2,'Regional Details'!$H$3,'Regional Details'!$K$3)))</f>
        <v>Ajay Kumar</v>
      </c>
      <c r="K83" s="8">
        <f t="array" ref="K83">IFERROR(XLOOKUP(B83,'Regional Details'!$A$5:$A$8,'Regional Details'!$B$5:$B$8),IFERROR(XLOOKUP(B83,'Regional Details'!$D$5:$D$8,'Regional Details'!$E$5:$E$8),IFERROR(xlookup(B83,'Regional Details'!$G$5:$G$8,'Regional Details'!$H$5:$H$8),XLOOKUP(B83,'Regional Details'!$J$5:$J$8,'Regional Details'!$K$5:$K$8))))</f>
        <v>0.1</v>
      </c>
      <c r="L83" s="2" t="str">
        <f>VLOOKUP(A83,MonthMapping!$A$2:$B$13,2,false)</f>
        <v>March</v>
      </c>
      <c r="M83" s="9">
        <f>if(C83=$C$2,Contribution_Old!$B$22,Contribution_Old!$B$23)</f>
        <v>24.108</v>
      </c>
      <c r="N83" s="9">
        <f>if(C83=$C$2,Contribution_New!$B$23,Contribution_New!$B$24)</f>
        <v>30.108</v>
      </c>
      <c r="O83" s="2">
        <f t="shared" ref="O83:P83" si="165">M83*D83</f>
        <v>514464.72</v>
      </c>
      <c r="P83" s="2">
        <f t="shared" si="165"/>
        <v>758149.548</v>
      </c>
      <c r="Q83" s="2">
        <f t="shared" ref="Q83:R83" si="166">G83-O83</f>
        <v>637895.28</v>
      </c>
      <c r="R83" s="2">
        <f t="shared" si="166"/>
        <v>752710.452</v>
      </c>
      <c r="S83" s="2"/>
      <c r="T83" s="2"/>
      <c r="U83" s="2"/>
      <c r="V83" s="2"/>
      <c r="W83" s="2"/>
      <c r="X83" s="2"/>
      <c r="Y83" s="2"/>
      <c r="Z83" s="2"/>
    </row>
    <row r="84">
      <c r="A84" s="2">
        <f>IFERROR(__xludf.DUMMYFUNCTION("""COMPUTED_VALUE"""),3.0)</f>
        <v>3</v>
      </c>
      <c r="B84" s="2" t="str">
        <f>IFERROR(__xludf.DUMMYFUNCTION("""COMPUTED_VALUE"""),"Ranchi")</f>
        <v>Ranchi</v>
      </c>
      <c r="C84" s="2" t="str">
        <f>IFERROR(__xludf.DUMMYFUNCTION("""COMPUTED_VALUE"""),"ZestVita")</f>
        <v>ZestVita</v>
      </c>
      <c r="D84" s="2">
        <f>IFERROR(__xludf.DUMMYFUNCTION("""COMPUTED_VALUE"""),28364.0)</f>
        <v>28364</v>
      </c>
      <c r="E84" s="2">
        <f>IFERROR(__xludf.DUMMYFUNCTION("""COMPUTED_VALUE"""),30349.0)</f>
        <v>30349</v>
      </c>
      <c r="F84" s="2" t="str">
        <f>IFERROR(__xludf.DUMMYFUNCTION("""COMPUTED_VALUE"""),"IPLMARKETTING")</f>
        <v>IPLMARKETTING</v>
      </c>
      <c r="G84" s="2">
        <f t="shared" si="3"/>
        <v>3637683</v>
      </c>
      <c r="H84" s="2">
        <f t="shared" si="4"/>
        <v>4097115</v>
      </c>
      <c r="I84" s="2" t="str">
        <f>IF(or(B84='Regional Details'!$A$5,B84='Regional Details'!$A$6,B84='Regional Details'!$A$7,B84='Regional Details'!$A$8),'Regional Details'!$B$2,if(OR(B84='Regional Details'!$D$5,B84='Regional Details'!$D$6,B84='Regional Details'!$D$7,B84='Regional Details'!$D$8),'Regional Details'!$E$2,if(or(B84='Regional Details'!$G$5,B84='Regional Details'!$G$6,B84='Regional Details'!$G$7,B84='Regional Details'!$G$8),'Regional Details'!$H$2,'Regional Details'!$K$2)))</f>
        <v>East</v>
      </c>
      <c r="J84" s="2" t="str">
        <f>if(I84='Regional Details'!$B$2,'Regional Details'!$B$3,if(I84='Regional Details'!$E$2,'Regional Details'!$E$3,if(I84='Regional Details'!$H$2,'Regional Details'!$H$3,'Regional Details'!$K$3)))</f>
        <v>Tanvi Sharma</v>
      </c>
      <c r="K84" s="8">
        <f t="array" ref="K84">IFERROR(XLOOKUP(B84,'Regional Details'!$A$5:$A$8,'Regional Details'!$B$5:$B$8),IFERROR(XLOOKUP(B84,'Regional Details'!$D$5:$D$8,'Regional Details'!$E$5:$E$8),IFERROR(xlookup(B84,'Regional Details'!$G$5:$G$8,'Regional Details'!$H$5:$H$8),XLOOKUP(B84,'Regional Details'!$J$5:$J$8,'Regional Details'!$K$5:$K$8))))</f>
        <v>0.05</v>
      </c>
      <c r="L84" s="2" t="str">
        <f>VLOOKUP(A84,MonthMapping!$A$2:$B$13,2,false)</f>
        <v>March</v>
      </c>
      <c r="M84" s="9">
        <f>if(C84=$C$2,Contribution_Old!$B$22,Contribution_Old!$B$23)</f>
        <v>55.84</v>
      </c>
      <c r="N84" s="9">
        <f>if(C84=$C$2,Contribution_New!$B$23,Contribution_New!$B$24)</f>
        <v>61.84</v>
      </c>
      <c r="O84" s="2">
        <f t="shared" ref="O84:P84" si="167">M84*D84</f>
        <v>1583845.76</v>
      </c>
      <c r="P84" s="2">
        <f t="shared" si="167"/>
        <v>1876782.16</v>
      </c>
      <c r="Q84" s="2">
        <f t="shared" ref="Q84:R84" si="168">G84-O84</f>
        <v>2053837.24</v>
      </c>
      <c r="R84" s="2">
        <f t="shared" si="168"/>
        <v>2220332.84</v>
      </c>
      <c r="S84" s="2"/>
      <c r="T84" s="2"/>
      <c r="U84" s="2"/>
      <c r="V84" s="2"/>
      <c r="W84" s="2"/>
      <c r="X84" s="2"/>
      <c r="Y84" s="2"/>
      <c r="Z84" s="2"/>
    </row>
    <row r="85">
      <c r="A85" s="2">
        <f>IFERROR(__xludf.DUMMYFUNCTION("""COMPUTED_VALUE"""),3.0)</f>
        <v>3</v>
      </c>
      <c r="B85" s="2" t="str">
        <f>IFERROR(__xludf.DUMMYFUNCTION("""COMPUTED_VALUE"""),"Ranchi")</f>
        <v>Ranchi</v>
      </c>
      <c r="C85" s="2" t="str">
        <f>IFERROR(__xludf.DUMMYFUNCTION("""COMPUTED_VALUE"""),"NutriKid")</f>
        <v>NutriKid</v>
      </c>
      <c r="D85" s="2">
        <f>IFERROR(__xludf.DUMMYFUNCTION("""COMPUTED_VALUE"""),17848.0)</f>
        <v>17848</v>
      </c>
      <c r="E85" s="2">
        <f>IFERROR(__xludf.DUMMYFUNCTION("""COMPUTED_VALUE"""),18919.0)</f>
        <v>18919</v>
      </c>
      <c r="F85" s="2" t="str">
        <f>IFERROR(__xludf.DUMMYFUNCTION("""COMPUTED_VALUE"""),"IPLMARKETTING")</f>
        <v>IPLMARKETTING</v>
      </c>
      <c r="G85" s="2">
        <f t="shared" si="3"/>
        <v>1017336</v>
      </c>
      <c r="H85" s="2">
        <f t="shared" si="4"/>
        <v>1135140</v>
      </c>
      <c r="I85" s="2" t="str">
        <f>IF(or(B85='Regional Details'!$A$5,B85='Regional Details'!$A$6,B85='Regional Details'!$A$7,B85='Regional Details'!$A$8),'Regional Details'!$B$2,if(OR(B85='Regional Details'!$D$5,B85='Regional Details'!$D$6,B85='Regional Details'!$D$7,B85='Regional Details'!$D$8),'Regional Details'!$E$2,if(or(B85='Regional Details'!$G$5,B85='Regional Details'!$G$6,B85='Regional Details'!$G$7,B85='Regional Details'!$G$8),'Regional Details'!$H$2,'Regional Details'!$K$2)))</f>
        <v>East</v>
      </c>
      <c r="J85" s="2" t="str">
        <f>if(I85='Regional Details'!$B$2,'Regional Details'!$B$3,if(I85='Regional Details'!$E$2,'Regional Details'!$E$3,if(I85='Regional Details'!$H$2,'Regional Details'!$H$3,'Regional Details'!$K$3)))</f>
        <v>Tanvi Sharma</v>
      </c>
      <c r="K85" s="8">
        <f t="array" ref="K85">IFERROR(XLOOKUP(B85,'Regional Details'!$A$5:$A$8,'Regional Details'!$B$5:$B$8),IFERROR(XLOOKUP(B85,'Regional Details'!$D$5:$D$8,'Regional Details'!$E$5:$E$8),IFERROR(xlookup(B85,'Regional Details'!$G$5:$G$8,'Regional Details'!$H$5:$H$8),XLOOKUP(B85,'Regional Details'!$J$5:$J$8,'Regional Details'!$K$5:$K$8))))</f>
        <v>0.05</v>
      </c>
      <c r="L85" s="2" t="str">
        <f>VLOOKUP(A85,MonthMapping!$A$2:$B$13,2,false)</f>
        <v>March</v>
      </c>
      <c r="M85" s="9">
        <f>if(C85=$C$2,Contribution_Old!$B$22,Contribution_Old!$B$23)</f>
        <v>24.108</v>
      </c>
      <c r="N85" s="9">
        <f>if(C85=$C$2,Contribution_New!$B$23,Contribution_New!$B$24)</f>
        <v>30.108</v>
      </c>
      <c r="O85" s="2">
        <f t="shared" ref="O85:P85" si="169">M85*D85</f>
        <v>430279.584</v>
      </c>
      <c r="P85" s="2">
        <f t="shared" si="169"/>
        <v>569613.252</v>
      </c>
      <c r="Q85" s="2">
        <f t="shared" ref="Q85:R85" si="170">G85-O85</f>
        <v>587056.416</v>
      </c>
      <c r="R85" s="2">
        <f t="shared" si="170"/>
        <v>565526.748</v>
      </c>
      <c r="S85" s="2"/>
      <c r="T85" s="2"/>
      <c r="U85" s="2"/>
      <c r="V85" s="2"/>
      <c r="W85" s="2"/>
      <c r="X85" s="2"/>
      <c r="Y85" s="2"/>
      <c r="Z85" s="2"/>
    </row>
    <row r="86">
      <c r="A86" s="2">
        <f>IFERROR(__xludf.DUMMYFUNCTION("""COMPUTED_VALUE"""),3.0)</f>
        <v>3</v>
      </c>
      <c r="B86" s="2" t="str">
        <f>IFERROR(__xludf.DUMMYFUNCTION("""COMPUTED_VALUE"""),"Surat")</f>
        <v>Surat</v>
      </c>
      <c r="C86" s="2" t="str">
        <f>IFERROR(__xludf.DUMMYFUNCTION("""COMPUTED_VALUE"""),"ZestVita")</f>
        <v>ZestVita</v>
      </c>
      <c r="D86" s="2">
        <f>IFERROR(__xludf.DUMMYFUNCTION("""COMPUTED_VALUE"""),24205.0)</f>
        <v>24205</v>
      </c>
      <c r="E86" s="2">
        <f>IFERROR(__xludf.DUMMYFUNCTION("""COMPUTED_VALUE"""),25657.0)</f>
        <v>25657</v>
      </c>
      <c r="F86" s="2" t="str">
        <f>IFERROR(__xludf.DUMMYFUNCTION("""COMPUTED_VALUE"""),"IPLMARKETTING")</f>
        <v>IPLMARKETTING</v>
      </c>
      <c r="G86" s="2">
        <f t="shared" si="3"/>
        <v>3104291.25</v>
      </c>
      <c r="H86" s="2">
        <f t="shared" si="4"/>
        <v>3463695</v>
      </c>
      <c r="I86" s="2" t="str">
        <f>IF(or(B86='Regional Details'!$A$5,B86='Regional Details'!$A$6,B86='Regional Details'!$A$7,B86='Regional Details'!$A$8),'Regional Details'!$B$2,if(OR(B86='Regional Details'!$D$5,B86='Regional Details'!$D$6,B86='Regional Details'!$D$7,B86='Regional Details'!$D$8),'Regional Details'!$E$2,if(or(B86='Regional Details'!$G$5,B86='Regional Details'!$G$6,B86='Regional Details'!$G$7,B86='Regional Details'!$G$8),'Regional Details'!$H$2,'Regional Details'!$K$2)))</f>
        <v>West</v>
      </c>
      <c r="J86" s="2" t="str">
        <f>if(I86='Regional Details'!$B$2,'Regional Details'!$B$3,if(I86='Regional Details'!$E$2,'Regional Details'!$E$3,if(I86='Regional Details'!$H$2,'Regional Details'!$H$3,'Regional Details'!$K$3)))</f>
        <v>Ajay Ghosh</v>
      </c>
      <c r="K86" s="8">
        <f t="array" ref="K86">IFERROR(XLOOKUP(B86,'Regional Details'!$A$5:$A$8,'Regional Details'!$B$5:$B$8),IFERROR(XLOOKUP(B86,'Regional Details'!$D$5:$D$8,'Regional Details'!$E$5:$E$8),IFERROR(xlookup(B86,'Regional Details'!$G$5:$G$8,'Regional Details'!$H$5:$H$8),XLOOKUP(B86,'Regional Details'!$J$5:$J$8,'Regional Details'!$K$5:$K$8))))</f>
        <v>0.05</v>
      </c>
      <c r="L86" s="2" t="str">
        <f>VLOOKUP(A86,MonthMapping!$A$2:$B$13,2,false)</f>
        <v>March</v>
      </c>
      <c r="M86" s="9">
        <f>if(C86=$C$2,Contribution_Old!$B$22,Contribution_Old!$B$23)</f>
        <v>55.84</v>
      </c>
      <c r="N86" s="9">
        <f>if(C86=$C$2,Contribution_New!$B$23,Contribution_New!$B$24)</f>
        <v>61.84</v>
      </c>
      <c r="O86" s="2">
        <f t="shared" ref="O86:P86" si="171">M86*D86</f>
        <v>1351607.2</v>
      </c>
      <c r="P86" s="2">
        <f t="shared" si="171"/>
        <v>1586628.88</v>
      </c>
      <c r="Q86" s="2">
        <f t="shared" ref="Q86:R86" si="172">G86-O86</f>
        <v>1752684.05</v>
      </c>
      <c r="R86" s="2">
        <f t="shared" si="172"/>
        <v>1877066.12</v>
      </c>
      <c r="S86" s="2"/>
      <c r="T86" s="2"/>
      <c r="U86" s="2"/>
      <c r="V86" s="2"/>
      <c r="W86" s="2"/>
      <c r="X86" s="2"/>
      <c r="Y86" s="2"/>
      <c r="Z86" s="2"/>
    </row>
    <row r="87">
      <c r="A87" s="2">
        <f>IFERROR(__xludf.DUMMYFUNCTION("""COMPUTED_VALUE"""),3.0)</f>
        <v>3</v>
      </c>
      <c r="B87" s="2" t="str">
        <f>IFERROR(__xludf.DUMMYFUNCTION("""COMPUTED_VALUE"""),"Surat")</f>
        <v>Surat</v>
      </c>
      <c r="C87" s="2" t="str">
        <f>IFERROR(__xludf.DUMMYFUNCTION("""COMPUTED_VALUE"""),"NutriKid")</f>
        <v>NutriKid</v>
      </c>
      <c r="D87" s="2">
        <f>IFERROR(__xludf.DUMMYFUNCTION("""COMPUTED_VALUE"""),19132.0)</f>
        <v>19132</v>
      </c>
      <c r="E87" s="2">
        <f>IFERROR(__xludf.DUMMYFUNCTION("""COMPUTED_VALUE"""),20280.0)</f>
        <v>20280</v>
      </c>
      <c r="F87" s="2" t="str">
        <f>IFERROR(__xludf.DUMMYFUNCTION("""COMPUTED_VALUE"""),"IPLMARKETTING")</f>
        <v>IPLMARKETTING</v>
      </c>
      <c r="G87" s="2">
        <f t="shared" si="3"/>
        <v>1090524</v>
      </c>
      <c r="H87" s="2">
        <f t="shared" si="4"/>
        <v>1216800</v>
      </c>
      <c r="I87" s="2" t="str">
        <f>IF(or(B87='Regional Details'!$A$5,B87='Regional Details'!$A$6,B87='Regional Details'!$A$7,B87='Regional Details'!$A$8),'Regional Details'!$B$2,if(OR(B87='Regional Details'!$D$5,B87='Regional Details'!$D$6,B87='Regional Details'!$D$7,B87='Regional Details'!$D$8),'Regional Details'!$E$2,if(or(B87='Regional Details'!$G$5,B87='Regional Details'!$G$6,B87='Regional Details'!$G$7,B87='Regional Details'!$G$8),'Regional Details'!$H$2,'Regional Details'!$K$2)))</f>
        <v>West</v>
      </c>
      <c r="J87" s="2" t="str">
        <f>if(I87='Regional Details'!$B$2,'Regional Details'!$B$3,if(I87='Regional Details'!$E$2,'Regional Details'!$E$3,if(I87='Regional Details'!$H$2,'Regional Details'!$H$3,'Regional Details'!$K$3)))</f>
        <v>Ajay Ghosh</v>
      </c>
      <c r="K87" s="8">
        <f t="array" ref="K87">IFERROR(XLOOKUP(B87,'Regional Details'!$A$5:$A$8,'Regional Details'!$B$5:$B$8),IFERROR(XLOOKUP(B87,'Regional Details'!$D$5:$D$8,'Regional Details'!$E$5:$E$8),IFERROR(xlookup(B87,'Regional Details'!$G$5:$G$8,'Regional Details'!$H$5:$H$8),XLOOKUP(B87,'Regional Details'!$J$5:$J$8,'Regional Details'!$K$5:$K$8))))</f>
        <v>0.05</v>
      </c>
      <c r="L87" s="2" t="str">
        <f>VLOOKUP(A87,MonthMapping!$A$2:$B$13,2,false)</f>
        <v>March</v>
      </c>
      <c r="M87" s="9">
        <f>if(C87=$C$2,Contribution_Old!$B$22,Contribution_Old!$B$23)</f>
        <v>24.108</v>
      </c>
      <c r="N87" s="9">
        <f>if(C87=$C$2,Contribution_New!$B$23,Contribution_New!$B$24)</f>
        <v>30.108</v>
      </c>
      <c r="O87" s="2">
        <f t="shared" ref="O87:P87" si="173">M87*D87</f>
        <v>461234.256</v>
      </c>
      <c r="P87" s="2">
        <f t="shared" si="173"/>
        <v>610590.24</v>
      </c>
      <c r="Q87" s="2">
        <f t="shared" ref="Q87:R87" si="174">G87-O87</f>
        <v>629289.744</v>
      </c>
      <c r="R87" s="2">
        <f t="shared" si="174"/>
        <v>606209.76</v>
      </c>
      <c r="S87" s="2"/>
      <c r="T87" s="2"/>
      <c r="U87" s="2"/>
      <c r="V87" s="2"/>
      <c r="W87" s="2"/>
      <c r="X87" s="2"/>
      <c r="Y87" s="2"/>
      <c r="Z87" s="2"/>
    </row>
    <row r="88">
      <c r="A88" s="2">
        <f>IFERROR(__xludf.DUMMYFUNCTION("""COMPUTED_VALUE"""),3.0)</f>
        <v>3</v>
      </c>
      <c r="B88" s="2" t="str">
        <f>IFERROR(__xludf.DUMMYFUNCTION("""COMPUTED_VALUE"""),"Hyderabad")</f>
        <v>Hyderabad</v>
      </c>
      <c r="C88" s="2" t="str">
        <f>IFERROR(__xludf.DUMMYFUNCTION("""COMPUTED_VALUE"""),"ZestVita")</f>
        <v>ZestVita</v>
      </c>
      <c r="D88" s="2">
        <f>IFERROR(__xludf.DUMMYFUNCTION("""COMPUTED_VALUE"""),34021.0)</f>
        <v>34021</v>
      </c>
      <c r="E88" s="2">
        <f>IFERROR(__xludf.DUMMYFUNCTION("""COMPUTED_VALUE"""),40825.0)</f>
        <v>40825</v>
      </c>
      <c r="F88" s="2" t="str">
        <f>IFERROR(__xludf.DUMMYFUNCTION("""COMPUTED_VALUE"""),"IPLMARKETTING")</f>
        <v>IPLMARKETTING</v>
      </c>
      <c r="G88" s="2">
        <f t="shared" si="3"/>
        <v>4592835</v>
      </c>
      <c r="H88" s="2">
        <f t="shared" si="4"/>
        <v>5511375</v>
      </c>
      <c r="I88" s="2" t="str">
        <f>IF(or(B88='Regional Details'!$A$5,B88='Regional Details'!$A$6,B88='Regional Details'!$A$7,B88='Regional Details'!$A$8),'Regional Details'!$B$2,if(OR(B88='Regional Details'!$D$5,B88='Regional Details'!$D$6,B88='Regional Details'!$D$7,B88='Regional Details'!$D$8),'Regional Details'!$E$2,if(or(B88='Regional Details'!$G$5,B88='Regional Details'!$G$6,B88='Regional Details'!$G$7,B88='Regional Details'!$G$8),'Regional Details'!$H$2,'Regional Details'!$K$2)))</f>
        <v>South</v>
      </c>
      <c r="J88" s="2" t="str">
        <f>if(I88='Regional Details'!$B$2,'Regional Details'!$B$3,if(I88='Regional Details'!$E$2,'Regional Details'!$E$3,if(I88='Regional Details'!$H$2,'Regional Details'!$H$3,'Regional Details'!$K$3)))</f>
        <v>Anjali Krishna Murthy</v>
      </c>
      <c r="K88" s="8">
        <f t="array" ref="K88">IFERROR(XLOOKUP(B88,'Regional Details'!$A$5:$A$8,'Regional Details'!$B$5:$B$8),IFERROR(XLOOKUP(B88,'Regional Details'!$D$5:$D$8,'Regional Details'!$E$5:$E$8),IFERROR(xlookup(B88,'Regional Details'!$G$5:$G$8,'Regional Details'!$H$5:$H$8),XLOOKUP(B88,'Regional Details'!$J$5:$J$8,'Regional Details'!$K$5:$K$8))))</f>
        <v>0</v>
      </c>
      <c r="L88" s="2" t="str">
        <f>VLOOKUP(A88,MonthMapping!$A$2:$B$13,2,false)</f>
        <v>March</v>
      </c>
      <c r="M88" s="9">
        <f>if(C88=$C$2,Contribution_Old!$B$22,Contribution_Old!$B$23)</f>
        <v>55.84</v>
      </c>
      <c r="N88" s="9">
        <f>if(C88=$C$2,Contribution_New!$B$23,Contribution_New!$B$24)</f>
        <v>61.84</v>
      </c>
      <c r="O88" s="2">
        <f t="shared" ref="O88:P88" si="175">M88*D88</f>
        <v>1899732.64</v>
      </c>
      <c r="P88" s="2">
        <f t="shared" si="175"/>
        <v>2524618</v>
      </c>
      <c r="Q88" s="2">
        <f t="shared" ref="Q88:R88" si="176">G88-O88</f>
        <v>2693102.36</v>
      </c>
      <c r="R88" s="2">
        <f t="shared" si="176"/>
        <v>2986757</v>
      </c>
      <c r="S88" s="2"/>
      <c r="T88" s="2"/>
      <c r="U88" s="2"/>
      <c r="V88" s="2"/>
      <c r="W88" s="2"/>
      <c r="X88" s="2"/>
      <c r="Y88" s="2"/>
      <c r="Z88" s="2"/>
    </row>
    <row r="89">
      <c r="A89" s="2">
        <f>IFERROR(__xludf.DUMMYFUNCTION("""COMPUTED_VALUE"""),3.0)</f>
        <v>3</v>
      </c>
      <c r="B89" s="2" t="str">
        <f>IFERROR(__xludf.DUMMYFUNCTION("""COMPUTED_VALUE"""),"Hyderabad")</f>
        <v>Hyderabad</v>
      </c>
      <c r="C89" s="2" t="str">
        <f>IFERROR(__xludf.DUMMYFUNCTION("""COMPUTED_VALUE"""),"NutriKid")</f>
        <v>NutriKid</v>
      </c>
      <c r="D89" s="2">
        <f>IFERROR(__xludf.DUMMYFUNCTION("""COMPUTED_VALUE"""),33168.0)</f>
        <v>33168</v>
      </c>
      <c r="E89" s="2">
        <f>IFERROR(__xludf.DUMMYFUNCTION("""COMPUTED_VALUE"""),41460.0)</f>
        <v>41460</v>
      </c>
      <c r="F89" s="2" t="str">
        <f>IFERROR(__xludf.DUMMYFUNCTION("""COMPUTED_VALUE"""),"IPLMARKETTING")</f>
        <v>IPLMARKETTING</v>
      </c>
      <c r="G89" s="2">
        <f t="shared" si="3"/>
        <v>1990080</v>
      </c>
      <c r="H89" s="2">
        <f t="shared" si="4"/>
        <v>2487600</v>
      </c>
      <c r="I89" s="2" t="str">
        <f>IF(or(B89='Regional Details'!$A$5,B89='Regional Details'!$A$6,B89='Regional Details'!$A$7,B89='Regional Details'!$A$8),'Regional Details'!$B$2,if(OR(B89='Regional Details'!$D$5,B89='Regional Details'!$D$6,B89='Regional Details'!$D$7,B89='Regional Details'!$D$8),'Regional Details'!$E$2,if(or(B89='Regional Details'!$G$5,B89='Regional Details'!$G$6,B89='Regional Details'!$G$7,B89='Regional Details'!$G$8),'Regional Details'!$H$2,'Regional Details'!$K$2)))</f>
        <v>South</v>
      </c>
      <c r="J89" s="2" t="str">
        <f>if(I89='Regional Details'!$B$2,'Regional Details'!$B$3,if(I89='Regional Details'!$E$2,'Regional Details'!$E$3,if(I89='Regional Details'!$H$2,'Regional Details'!$H$3,'Regional Details'!$K$3)))</f>
        <v>Anjali Krishna Murthy</v>
      </c>
      <c r="K89" s="8">
        <f t="array" ref="K89">IFERROR(XLOOKUP(B89,'Regional Details'!$A$5:$A$8,'Regional Details'!$B$5:$B$8),IFERROR(XLOOKUP(B89,'Regional Details'!$D$5:$D$8,'Regional Details'!$E$5:$E$8),IFERROR(xlookup(B89,'Regional Details'!$G$5:$G$8,'Regional Details'!$H$5:$H$8),XLOOKUP(B89,'Regional Details'!$J$5:$J$8,'Regional Details'!$K$5:$K$8))))</f>
        <v>0</v>
      </c>
      <c r="L89" s="2" t="str">
        <f>VLOOKUP(A89,MonthMapping!$A$2:$B$13,2,false)</f>
        <v>March</v>
      </c>
      <c r="M89" s="9">
        <f>if(C89=$C$2,Contribution_Old!$B$22,Contribution_Old!$B$23)</f>
        <v>24.108</v>
      </c>
      <c r="N89" s="9">
        <f>if(C89=$C$2,Contribution_New!$B$23,Contribution_New!$B$24)</f>
        <v>30.108</v>
      </c>
      <c r="O89" s="2">
        <f t="shared" ref="O89:P89" si="177">M89*D89</f>
        <v>799614.144</v>
      </c>
      <c r="P89" s="2">
        <f t="shared" si="177"/>
        <v>1248277.68</v>
      </c>
      <c r="Q89" s="2">
        <f t="shared" ref="Q89:R89" si="178">G89-O89</f>
        <v>1190465.856</v>
      </c>
      <c r="R89" s="2">
        <f t="shared" si="178"/>
        <v>1239322.32</v>
      </c>
      <c r="S89" s="2"/>
      <c r="T89" s="2"/>
      <c r="U89" s="2"/>
      <c r="V89" s="2"/>
      <c r="W89" s="2"/>
      <c r="X89" s="2"/>
      <c r="Y89" s="2"/>
      <c r="Z89" s="2"/>
    </row>
    <row r="90">
      <c r="A90" s="2">
        <f>IFERROR(__xludf.DUMMYFUNCTION("""COMPUTED_VALUE"""),3.0)</f>
        <v>3</v>
      </c>
      <c r="B90" s="2" t="str">
        <f>IFERROR(__xludf.DUMMYFUNCTION("""COMPUTED_VALUE"""),"Dehradun")</f>
        <v>Dehradun</v>
      </c>
      <c r="C90" s="2" t="str">
        <f>IFERROR(__xludf.DUMMYFUNCTION("""COMPUTED_VALUE"""),"ZestVita")</f>
        <v>ZestVita</v>
      </c>
      <c r="D90" s="2">
        <f>IFERROR(__xludf.DUMMYFUNCTION("""COMPUTED_VALUE"""),22958.0)</f>
        <v>22958</v>
      </c>
      <c r="E90" s="2">
        <f>IFERROR(__xludf.DUMMYFUNCTION("""COMPUTED_VALUE"""),23647.0)</f>
        <v>23647</v>
      </c>
      <c r="F90" s="2" t="str">
        <f>IFERROR(__xludf.DUMMYFUNCTION("""COMPUTED_VALUE"""),"IPLMARKETTING")</f>
        <v>IPLMARKETTING</v>
      </c>
      <c r="G90" s="2">
        <f t="shared" si="3"/>
        <v>2711913.75</v>
      </c>
      <c r="H90" s="2">
        <f t="shared" si="4"/>
        <v>3192345</v>
      </c>
      <c r="I90" s="2" t="str">
        <f>IF(or(B90='Regional Details'!$A$5,B90='Regional Details'!$A$6,B90='Regional Details'!$A$7,B90='Regional Details'!$A$8),'Regional Details'!$B$2,if(OR(B90='Regional Details'!$D$5,B90='Regional Details'!$D$6,B90='Regional Details'!$D$7,B90='Regional Details'!$D$8),'Regional Details'!$E$2,if(or(B90='Regional Details'!$G$5,B90='Regional Details'!$G$6,B90='Regional Details'!$G$7,B90='Regional Details'!$G$8),'Regional Details'!$H$2,'Regional Details'!$K$2)))</f>
        <v>North</v>
      </c>
      <c r="J90" s="2" t="str">
        <f>if(I90='Regional Details'!$B$2,'Regional Details'!$B$3,if(I90='Regional Details'!$E$2,'Regional Details'!$E$3,if(I90='Regional Details'!$H$2,'Regional Details'!$H$3,'Regional Details'!$K$3)))</f>
        <v>Ajay Kumar</v>
      </c>
      <c r="K90" s="8">
        <f t="array" ref="K90">IFERROR(XLOOKUP(B90,'Regional Details'!$A$5:$A$8,'Regional Details'!$B$5:$B$8),IFERROR(XLOOKUP(B90,'Regional Details'!$D$5:$D$8,'Regional Details'!$E$5:$E$8),IFERROR(xlookup(B90,'Regional Details'!$G$5:$G$8,'Regional Details'!$H$5:$H$8),XLOOKUP(B90,'Regional Details'!$J$5:$J$8,'Regional Details'!$K$5:$K$8))))</f>
        <v>0.125</v>
      </c>
      <c r="L90" s="2" t="str">
        <f>VLOOKUP(A90,MonthMapping!$A$2:$B$13,2,false)</f>
        <v>March</v>
      </c>
      <c r="M90" s="9">
        <f>if(C90=$C$2,Contribution_Old!$B$22,Contribution_Old!$B$23)</f>
        <v>55.84</v>
      </c>
      <c r="N90" s="9">
        <f>if(C90=$C$2,Contribution_New!$B$23,Contribution_New!$B$24)</f>
        <v>61.84</v>
      </c>
      <c r="O90" s="2">
        <f t="shared" ref="O90:P90" si="179">M90*D90</f>
        <v>1281974.72</v>
      </c>
      <c r="P90" s="2">
        <f t="shared" si="179"/>
        <v>1462330.48</v>
      </c>
      <c r="Q90" s="2">
        <f t="shared" ref="Q90:R90" si="180">G90-O90</f>
        <v>1429939.03</v>
      </c>
      <c r="R90" s="2">
        <f t="shared" si="180"/>
        <v>1730014.52</v>
      </c>
      <c r="S90" s="2"/>
      <c r="T90" s="2"/>
      <c r="U90" s="2"/>
      <c r="V90" s="2"/>
      <c r="W90" s="2"/>
      <c r="X90" s="2"/>
      <c r="Y90" s="2"/>
      <c r="Z90" s="2"/>
    </row>
    <row r="91">
      <c r="A91" s="2">
        <f>IFERROR(__xludf.DUMMYFUNCTION("""COMPUTED_VALUE"""),3.0)</f>
        <v>3</v>
      </c>
      <c r="B91" s="2" t="str">
        <f>IFERROR(__xludf.DUMMYFUNCTION("""COMPUTED_VALUE"""),"Dehradun")</f>
        <v>Dehradun</v>
      </c>
      <c r="C91" s="2" t="str">
        <f>IFERROR(__xludf.DUMMYFUNCTION("""COMPUTED_VALUE"""),"NutriKid")</f>
        <v>NutriKid</v>
      </c>
      <c r="D91" s="2">
        <f>IFERROR(__xludf.DUMMYFUNCTION("""COMPUTED_VALUE"""),14396.0)</f>
        <v>14396</v>
      </c>
      <c r="E91" s="2">
        <f>IFERROR(__xludf.DUMMYFUNCTION("""COMPUTED_VALUE"""),15548.0)</f>
        <v>15548</v>
      </c>
      <c r="F91" s="2" t="str">
        <f>IFERROR(__xludf.DUMMYFUNCTION("""COMPUTED_VALUE"""),"IPLMARKETTING")</f>
        <v>IPLMARKETTING</v>
      </c>
      <c r="G91" s="2">
        <f t="shared" si="3"/>
        <v>755790</v>
      </c>
      <c r="H91" s="2">
        <f t="shared" si="4"/>
        <v>932880</v>
      </c>
      <c r="I91" s="2" t="str">
        <f>IF(or(B91='Regional Details'!$A$5,B91='Regional Details'!$A$6,B91='Regional Details'!$A$7,B91='Regional Details'!$A$8),'Regional Details'!$B$2,if(OR(B91='Regional Details'!$D$5,B91='Regional Details'!$D$6,B91='Regional Details'!$D$7,B91='Regional Details'!$D$8),'Regional Details'!$E$2,if(or(B91='Regional Details'!$G$5,B91='Regional Details'!$G$6,B91='Regional Details'!$G$7,B91='Regional Details'!$G$8),'Regional Details'!$H$2,'Regional Details'!$K$2)))</f>
        <v>North</v>
      </c>
      <c r="J91" s="2" t="str">
        <f>if(I91='Regional Details'!$B$2,'Regional Details'!$B$3,if(I91='Regional Details'!$E$2,'Regional Details'!$E$3,if(I91='Regional Details'!$H$2,'Regional Details'!$H$3,'Regional Details'!$K$3)))</f>
        <v>Ajay Kumar</v>
      </c>
      <c r="K91" s="8">
        <f t="array" ref="K91">IFERROR(XLOOKUP(B91,'Regional Details'!$A$5:$A$8,'Regional Details'!$B$5:$B$8),IFERROR(XLOOKUP(B91,'Regional Details'!$D$5:$D$8,'Regional Details'!$E$5:$E$8),IFERROR(xlookup(B91,'Regional Details'!$G$5:$G$8,'Regional Details'!$H$5:$H$8),XLOOKUP(B91,'Regional Details'!$J$5:$J$8,'Regional Details'!$K$5:$K$8))))</f>
        <v>0.125</v>
      </c>
      <c r="L91" s="2" t="str">
        <f>VLOOKUP(A91,MonthMapping!$A$2:$B$13,2,false)</f>
        <v>March</v>
      </c>
      <c r="M91" s="9">
        <f>if(C91=$C$2,Contribution_Old!$B$22,Contribution_Old!$B$23)</f>
        <v>24.108</v>
      </c>
      <c r="N91" s="9">
        <f>if(C91=$C$2,Contribution_New!$B$23,Contribution_New!$B$24)</f>
        <v>30.108</v>
      </c>
      <c r="O91" s="2">
        <f t="shared" ref="O91:P91" si="181">M91*D91</f>
        <v>347058.768</v>
      </c>
      <c r="P91" s="2">
        <f t="shared" si="181"/>
        <v>468119.184</v>
      </c>
      <c r="Q91" s="2">
        <f t="shared" ref="Q91:R91" si="182">G91-O91</f>
        <v>408731.232</v>
      </c>
      <c r="R91" s="2">
        <f t="shared" si="182"/>
        <v>464760.816</v>
      </c>
      <c r="S91" s="2"/>
      <c r="T91" s="2"/>
      <c r="U91" s="2"/>
      <c r="V91" s="2"/>
      <c r="W91" s="2"/>
      <c r="X91" s="2"/>
      <c r="Y91" s="2"/>
      <c r="Z91" s="2"/>
    </row>
    <row r="92">
      <c r="A92" s="2">
        <f>IFERROR(__xludf.DUMMYFUNCTION("""COMPUTED_VALUE"""),3.0)</f>
        <v>3</v>
      </c>
      <c r="B92" s="2" t="str">
        <f>IFERROR(__xludf.DUMMYFUNCTION("""COMPUTED_VALUE"""),"Kochi")</f>
        <v>Kochi</v>
      </c>
      <c r="C92" s="2" t="str">
        <f>IFERROR(__xludf.DUMMYFUNCTION("""COMPUTED_VALUE"""),"ZestVita")</f>
        <v>ZestVita</v>
      </c>
      <c r="D92" s="2">
        <f>IFERROR(__xludf.DUMMYFUNCTION("""COMPUTED_VALUE"""),24721.0)</f>
        <v>24721</v>
      </c>
      <c r="E92" s="2">
        <f>IFERROR(__xludf.DUMMYFUNCTION("""COMPUTED_VALUE"""),25463.0)</f>
        <v>25463</v>
      </c>
      <c r="F92" s="2" t="str">
        <f>IFERROR(__xludf.DUMMYFUNCTION("""COMPUTED_VALUE"""),"IPLMARKETTING")</f>
        <v>IPLMARKETTING</v>
      </c>
      <c r="G92" s="2">
        <f t="shared" si="3"/>
        <v>3003601.5</v>
      </c>
      <c r="H92" s="2">
        <f t="shared" si="4"/>
        <v>3437505</v>
      </c>
      <c r="I92" s="2" t="str">
        <f>IF(or(B92='Regional Details'!$A$5,B92='Regional Details'!$A$6,B92='Regional Details'!$A$7,B92='Regional Details'!$A$8),'Regional Details'!$B$2,if(OR(B92='Regional Details'!$D$5,B92='Regional Details'!$D$6,B92='Regional Details'!$D$7,B92='Regional Details'!$D$8),'Regional Details'!$E$2,if(or(B92='Regional Details'!$G$5,B92='Regional Details'!$G$6,B92='Regional Details'!$G$7,B92='Regional Details'!$G$8),'Regional Details'!$H$2,'Regional Details'!$K$2)))</f>
        <v>South</v>
      </c>
      <c r="J92" s="2" t="str">
        <f>if(I92='Regional Details'!$B$2,'Regional Details'!$B$3,if(I92='Regional Details'!$E$2,'Regional Details'!$E$3,if(I92='Regional Details'!$H$2,'Regional Details'!$H$3,'Regional Details'!$K$3)))</f>
        <v>Anjali Krishna Murthy</v>
      </c>
      <c r="K92" s="8">
        <f t="array" ref="K92">IFERROR(XLOOKUP(B92,'Regional Details'!$A$5:$A$8,'Regional Details'!$B$5:$B$8),IFERROR(XLOOKUP(B92,'Regional Details'!$D$5:$D$8,'Regional Details'!$E$5:$E$8),IFERROR(xlookup(B92,'Regional Details'!$G$5:$G$8,'Regional Details'!$H$5:$H$8),XLOOKUP(B92,'Regional Details'!$J$5:$J$8,'Regional Details'!$K$5:$K$8))))</f>
        <v>0.1</v>
      </c>
      <c r="L92" s="2" t="str">
        <f>VLOOKUP(A92,MonthMapping!$A$2:$B$13,2,false)</f>
        <v>March</v>
      </c>
      <c r="M92" s="9">
        <f>if(C92=$C$2,Contribution_Old!$B$22,Contribution_Old!$B$23)</f>
        <v>55.84</v>
      </c>
      <c r="N92" s="9">
        <f>if(C92=$C$2,Contribution_New!$B$23,Contribution_New!$B$24)</f>
        <v>61.84</v>
      </c>
      <c r="O92" s="2">
        <f t="shared" ref="O92:P92" si="183">M92*D92</f>
        <v>1380420.64</v>
      </c>
      <c r="P92" s="2">
        <f t="shared" si="183"/>
        <v>1574631.92</v>
      </c>
      <c r="Q92" s="2">
        <f t="shared" ref="Q92:R92" si="184">G92-O92</f>
        <v>1623180.86</v>
      </c>
      <c r="R92" s="2">
        <f t="shared" si="184"/>
        <v>1862873.08</v>
      </c>
      <c r="S92" s="2"/>
      <c r="T92" s="2"/>
      <c r="U92" s="2"/>
      <c r="V92" s="2"/>
      <c r="W92" s="2"/>
      <c r="X92" s="2"/>
      <c r="Y92" s="2"/>
      <c r="Z92" s="2"/>
    </row>
    <row r="93">
      <c r="A93" s="2">
        <f>IFERROR(__xludf.DUMMYFUNCTION("""COMPUTED_VALUE"""),3.0)</f>
        <v>3</v>
      </c>
      <c r="B93" s="2" t="str">
        <f>IFERROR(__xludf.DUMMYFUNCTION("""COMPUTED_VALUE"""),"Kochi")</f>
        <v>Kochi</v>
      </c>
      <c r="C93" s="2" t="str">
        <f>IFERROR(__xludf.DUMMYFUNCTION("""COMPUTED_VALUE"""),"NutriKid")</f>
        <v>NutriKid</v>
      </c>
      <c r="D93" s="2">
        <f>IFERROR(__xludf.DUMMYFUNCTION("""COMPUTED_VALUE"""),15270.0)</f>
        <v>15270</v>
      </c>
      <c r="E93" s="2">
        <f>IFERROR(__xludf.DUMMYFUNCTION("""COMPUTED_VALUE"""),16186.0)</f>
        <v>16186</v>
      </c>
      <c r="F93" s="2" t="str">
        <f>IFERROR(__xludf.DUMMYFUNCTION("""COMPUTED_VALUE"""),"IPLMARKETTING")</f>
        <v>IPLMARKETTING</v>
      </c>
      <c r="G93" s="2">
        <f t="shared" si="3"/>
        <v>824580</v>
      </c>
      <c r="H93" s="2">
        <f t="shared" si="4"/>
        <v>971160</v>
      </c>
      <c r="I93" s="2" t="str">
        <f>IF(or(B93='Regional Details'!$A$5,B93='Regional Details'!$A$6,B93='Regional Details'!$A$7,B93='Regional Details'!$A$8),'Regional Details'!$B$2,if(OR(B93='Regional Details'!$D$5,B93='Regional Details'!$D$6,B93='Regional Details'!$D$7,B93='Regional Details'!$D$8),'Regional Details'!$E$2,if(or(B93='Regional Details'!$G$5,B93='Regional Details'!$G$6,B93='Regional Details'!$G$7,B93='Regional Details'!$G$8),'Regional Details'!$H$2,'Regional Details'!$K$2)))</f>
        <v>South</v>
      </c>
      <c r="J93" s="2" t="str">
        <f>if(I93='Regional Details'!$B$2,'Regional Details'!$B$3,if(I93='Regional Details'!$E$2,'Regional Details'!$E$3,if(I93='Regional Details'!$H$2,'Regional Details'!$H$3,'Regional Details'!$K$3)))</f>
        <v>Anjali Krishna Murthy</v>
      </c>
      <c r="K93" s="8">
        <f t="array" ref="K93">IFERROR(XLOOKUP(B93,'Regional Details'!$A$5:$A$8,'Regional Details'!$B$5:$B$8),IFERROR(XLOOKUP(B93,'Regional Details'!$D$5:$D$8,'Regional Details'!$E$5:$E$8),IFERROR(xlookup(B93,'Regional Details'!$G$5:$G$8,'Regional Details'!$H$5:$H$8),XLOOKUP(B93,'Regional Details'!$J$5:$J$8,'Regional Details'!$K$5:$K$8))))</f>
        <v>0.1</v>
      </c>
      <c r="L93" s="2" t="str">
        <f>VLOOKUP(A93,MonthMapping!$A$2:$B$13,2,false)</f>
        <v>March</v>
      </c>
      <c r="M93" s="9">
        <f>if(C93=$C$2,Contribution_Old!$B$22,Contribution_Old!$B$23)</f>
        <v>24.108</v>
      </c>
      <c r="N93" s="9">
        <f>if(C93=$C$2,Contribution_New!$B$23,Contribution_New!$B$24)</f>
        <v>30.108</v>
      </c>
      <c r="O93" s="2">
        <f t="shared" ref="O93:P93" si="185">M93*D93</f>
        <v>368129.16</v>
      </c>
      <c r="P93" s="2">
        <f t="shared" si="185"/>
        <v>487328.088</v>
      </c>
      <c r="Q93" s="2">
        <f t="shared" ref="Q93:R93" si="186">G93-O93</f>
        <v>456450.84</v>
      </c>
      <c r="R93" s="2">
        <f t="shared" si="186"/>
        <v>483831.912</v>
      </c>
      <c r="S93" s="2"/>
      <c r="T93" s="2"/>
      <c r="U93" s="2"/>
      <c r="V93" s="2"/>
      <c r="W93" s="2"/>
      <c r="X93" s="2"/>
      <c r="Y93" s="2"/>
      <c r="Z93" s="2"/>
    </row>
    <row r="94">
      <c r="A94" s="2">
        <f>IFERROR(__xludf.DUMMYFUNCTION("""COMPUTED_VALUE"""),3.0)</f>
        <v>3</v>
      </c>
      <c r="B94" s="2" t="str">
        <f>IFERROR(__xludf.DUMMYFUNCTION("""COMPUTED_VALUE"""),"Jaipur")</f>
        <v>Jaipur</v>
      </c>
      <c r="C94" s="2" t="str">
        <f>IFERROR(__xludf.DUMMYFUNCTION("""COMPUTED_VALUE"""),"ZestVita")</f>
        <v>ZestVita</v>
      </c>
      <c r="D94" s="2">
        <f>IFERROR(__xludf.DUMMYFUNCTION("""COMPUTED_VALUE"""),27264.0)</f>
        <v>27264</v>
      </c>
      <c r="E94" s="2">
        <f>IFERROR(__xludf.DUMMYFUNCTION("""COMPUTED_VALUE"""),30263.0)</f>
        <v>30263</v>
      </c>
      <c r="F94" s="2" t="str">
        <f>IFERROR(__xludf.DUMMYFUNCTION("""COMPUTED_VALUE"""),"IPLMARKETTING")</f>
        <v>IPLMARKETTING</v>
      </c>
      <c r="G94" s="2">
        <f t="shared" si="3"/>
        <v>3680640</v>
      </c>
      <c r="H94" s="2">
        <f t="shared" si="4"/>
        <v>4085505</v>
      </c>
      <c r="I94" s="2" t="str">
        <f>IF(or(B94='Regional Details'!$A$5,B94='Regional Details'!$A$6,B94='Regional Details'!$A$7,B94='Regional Details'!$A$8),'Regional Details'!$B$2,if(OR(B94='Regional Details'!$D$5,B94='Regional Details'!$D$6,B94='Regional Details'!$D$7,B94='Regional Details'!$D$8),'Regional Details'!$E$2,if(or(B94='Regional Details'!$G$5,B94='Regional Details'!$G$6,B94='Regional Details'!$G$7,B94='Regional Details'!$G$8),'Regional Details'!$H$2,'Regional Details'!$K$2)))</f>
        <v>West</v>
      </c>
      <c r="J94" s="2" t="str">
        <f>if(I94='Regional Details'!$B$2,'Regional Details'!$B$3,if(I94='Regional Details'!$E$2,'Regional Details'!$E$3,if(I94='Regional Details'!$H$2,'Regional Details'!$H$3,'Regional Details'!$K$3)))</f>
        <v>Ajay Ghosh</v>
      </c>
      <c r="K94" s="8">
        <f t="array" ref="K94">IFERROR(XLOOKUP(B94,'Regional Details'!$A$5:$A$8,'Regional Details'!$B$5:$B$8),IFERROR(XLOOKUP(B94,'Regional Details'!$D$5:$D$8,'Regional Details'!$E$5:$E$8),IFERROR(xlookup(B94,'Regional Details'!$G$5:$G$8,'Regional Details'!$H$5:$H$8),XLOOKUP(B94,'Regional Details'!$J$5:$J$8,'Regional Details'!$K$5:$K$8))))</f>
        <v>0</v>
      </c>
      <c r="L94" s="2" t="str">
        <f>VLOOKUP(A94,MonthMapping!$A$2:$B$13,2,false)</f>
        <v>March</v>
      </c>
      <c r="M94" s="9">
        <f>if(C94=$C$2,Contribution_Old!$B$22,Contribution_Old!$B$23)</f>
        <v>55.84</v>
      </c>
      <c r="N94" s="9">
        <f>if(C94=$C$2,Contribution_New!$B$23,Contribution_New!$B$24)</f>
        <v>61.84</v>
      </c>
      <c r="O94" s="2">
        <f t="shared" ref="O94:P94" si="187">M94*D94</f>
        <v>1522421.76</v>
      </c>
      <c r="P94" s="2">
        <f t="shared" si="187"/>
        <v>1871463.92</v>
      </c>
      <c r="Q94" s="2">
        <f t="shared" ref="Q94:R94" si="188">G94-O94</f>
        <v>2158218.24</v>
      </c>
      <c r="R94" s="2">
        <f t="shared" si="188"/>
        <v>2214041.08</v>
      </c>
      <c r="S94" s="2"/>
      <c r="T94" s="2"/>
      <c r="U94" s="2"/>
      <c r="V94" s="2"/>
      <c r="W94" s="2"/>
      <c r="X94" s="2"/>
      <c r="Y94" s="2"/>
      <c r="Z94" s="2"/>
    </row>
    <row r="95">
      <c r="A95" s="2">
        <f>IFERROR(__xludf.DUMMYFUNCTION("""COMPUTED_VALUE"""),3.0)</f>
        <v>3</v>
      </c>
      <c r="B95" s="2" t="str">
        <f>IFERROR(__xludf.DUMMYFUNCTION("""COMPUTED_VALUE"""),"Jaipur")</f>
        <v>Jaipur</v>
      </c>
      <c r="C95" s="2" t="str">
        <f>IFERROR(__xludf.DUMMYFUNCTION("""COMPUTED_VALUE"""),"NutriKid")</f>
        <v>NutriKid</v>
      </c>
      <c r="D95" s="2">
        <f>IFERROR(__xludf.DUMMYFUNCTION("""COMPUTED_VALUE"""),20689.0)</f>
        <v>20689</v>
      </c>
      <c r="E95" s="2">
        <f>IFERROR(__xludf.DUMMYFUNCTION("""COMPUTED_VALUE"""),23379.0)</f>
        <v>23379</v>
      </c>
      <c r="F95" s="2" t="str">
        <f>IFERROR(__xludf.DUMMYFUNCTION("""COMPUTED_VALUE"""),"IPLMARKETTING")</f>
        <v>IPLMARKETTING</v>
      </c>
      <c r="G95" s="2">
        <f t="shared" si="3"/>
        <v>1241340</v>
      </c>
      <c r="H95" s="2">
        <f t="shared" si="4"/>
        <v>1402740</v>
      </c>
      <c r="I95" s="2" t="str">
        <f>IF(or(B95='Regional Details'!$A$5,B95='Regional Details'!$A$6,B95='Regional Details'!$A$7,B95='Regional Details'!$A$8),'Regional Details'!$B$2,if(OR(B95='Regional Details'!$D$5,B95='Regional Details'!$D$6,B95='Regional Details'!$D$7,B95='Regional Details'!$D$8),'Regional Details'!$E$2,if(or(B95='Regional Details'!$G$5,B95='Regional Details'!$G$6,B95='Regional Details'!$G$7,B95='Regional Details'!$G$8),'Regional Details'!$H$2,'Regional Details'!$K$2)))</f>
        <v>West</v>
      </c>
      <c r="J95" s="2" t="str">
        <f>if(I95='Regional Details'!$B$2,'Regional Details'!$B$3,if(I95='Regional Details'!$E$2,'Regional Details'!$E$3,if(I95='Regional Details'!$H$2,'Regional Details'!$H$3,'Regional Details'!$K$3)))</f>
        <v>Ajay Ghosh</v>
      </c>
      <c r="K95" s="8">
        <f t="array" ref="K95">IFERROR(XLOOKUP(B95,'Regional Details'!$A$5:$A$8,'Regional Details'!$B$5:$B$8),IFERROR(XLOOKUP(B95,'Regional Details'!$D$5:$D$8,'Regional Details'!$E$5:$E$8),IFERROR(xlookup(B95,'Regional Details'!$G$5:$G$8,'Regional Details'!$H$5:$H$8),XLOOKUP(B95,'Regional Details'!$J$5:$J$8,'Regional Details'!$K$5:$K$8))))</f>
        <v>0</v>
      </c>
      <c r="L95" s="2" t="str">
        <f>VLOOKUP(A95,MonthMapping!$A$2:$B$13,2,false)</f>
        <v>March</v>
      </c>
      <c r="M95" s="9">
        <f>if(C95=$C$2,Contribution_Old!$B$22,Contribution_Old!$B$23)</f>
        <v>24.108</v>
      </c>
      <c r="N95" s="9">
        <f>if(C95=$C$2,Contribution_New!$B$23,Contribution_New!$B$24)</f>
        <v>30.108</v>
      </c>
      <c r="O95" s="2">
        <f t="shared" ref="O95:P95" si="189">M95*D95</f>
        <v>498770.412</v>
      </c>
      <c r="P95" s="2">
        <f t="shared" si="189"/>
        <v>703894.932</v>
      </c>
      <c r="Q95" s="2">
        <f t="shared" ref="Q95:R95" si="190">G95-O95</f>
        <v>742569.588</v>
      </c>
      <c r="R95" s="2">
        <f t="shared" si="190"/>
        <v>698845.068</v>
      </c>
      <c r="S95" s="2"/>
      <c r="T95" s="2"/>
      <c r="U95" s="2"/>
      <c r="V95" s="2"/>
      <c r="W95" s="2"/>
      <c r="X95" s="2"/>
      <c r="Y95" s="2"/>
      <c r="Z95" s="2"/>
    </row>
    <row r="96">
      <c r="A96" s="2">
        <f>IFERROR(__xludf.DUMMYFUNCTION("""COMPUTED_VALUE"""),3.0)</f>
        <v>3</v>
      </c>
      <c r="B96" s="2" t="str">
        <f>IFERROR(__xludf.DUMMYFUNCTION("""COMPUTED_VALUE"""),"Patna")</f>
        <v>Patna</v>
      </c>
      <c r="C96" s="2" t="str">
        <f>IFERROR(__xludf.DUMMYFUNCTION("""COMPUTED_VALUE"""),"ZestVita")</f>
        <v>ZestVita</v>
      </c>
      <c r="D96" s="2">
        <f>IFERROR(__xludf.DUMMYFUNCTION("""COMPUTED_VALUE"""),23299.0)</f>
        <v>23299</v>
      </c>
      <c r="E96" s="2">
        <f>IFERROR(__xludf.DUMMYFUNCTION("""COMPUTED_VALUE"""),29124.0)</f>
        <v>29124</v>
      </c>
      <c r="F96" s="2" t="str">
        <f>IFERROR(__xludf.DUMMYFUNCTION("""COMPUTED_VALUE"""),"IPLMARKETTING")</f>
        <v>IPLMARKETTING</v>
      </c>
      <c r="G96" s="2">
        <f t="shared" si="3"/>
        <v>2988096.75</v>
      </c>
      <c r="H96" s="2">
        <f t="shared" si="4"/>
        <v>3931740</v>
      </c>
      <c r="I96" s="2" t="str">
        <f>IF(or(B96='Regional Details'!$A$5,B96='Regional Details'!$A$6,B96='Regional Details'!$A$7,B96='Regional Details'!$A$8),'Regional Details'!$B$2,if(OR(B96='Regional Details'!$D$5,B96='Regional Details'!$D$6,B96='Regional Details'!$D$7,B96='Regional Details'!$D$8),'Regional Details'!$E$2,if(or(B96='Regional Details'!$G$5,B96='Regional Details'!$G$6,B96='Regional Details'!$G$7,B96='Regional Details'!$G$8),'Regional Details'!$H$2,'Regional Details'!$K$2)))</f>
        <v>East</v>
      </c>
      <c r="J96" s="2" t="str">
        <f>if(I96='Regional Details'!$B$2,'Regional Details'!$B$3,if(I96='Regional Details'!$E$2,'Regional Details'!$E$3,if(I96='Regional Details'!$H$2,'Regional Details'!$H$3,'Regional Details'!$K$3)))</f>
        <v>Tanvi Sharma</v>
      </c>
      <c r="K96" s="8">
        <f t="array" ref="K96">IFERROR(XLOOKUP(B96,'Regional Details'!$A$5:$A$8,'Regional Details'!$B$5:$B$8),IFERROR(XLOOKUP(B96,'Regional Details'!$D$5:$D$8,'Regional Details'!$E$5:$E$8),IFERROR(xlookup(B96,'Regional Details'!$G$5:$G$8,'Regional Details'!$H$5:$H$8),XLOOKUP(B96,'Regional Details'!$J$5:$J$8,'Regional Details'!$K$5:$K$8))))</f>
        <v>0.05</v>
      </c>
      <c r="L96" s="2" t="str">
        <f>VLOOKUP(A96,MonthMapping!$A$2:$B$13,2,false)</f>
        <v>March</v>
      </c>
      <c r="M96" s="9">
        <f>if(C96=$C$2,Contribution_Old!$B$22,Contribution_Old!$B$23)</f>
        <v>55.84</v>
      </c>
      <c r="N96" s="9">
        <f>if(C96=$C$2,Contribution_New!$B$23,Contribution_New!$B$24)</f>
        <v>61.84</v>
      </c>
      <c r="O96" s="2">
        <f t="shared" ref="O96:P96" si="191">M96*D96</f>
        <v>1301016.16</v>
      </c>
      <c r="P96" s="2">
        <f t="shared" si="191"/>
        <v>1801028.16</v>
      </c>
      <c r="Q96" s="2">
        <f t="shared" ref="Q96:R96" si="192">G96-O96</f>
        <v>1687080.59</v>
      </c>
      <c r="R96" s="2">
        <f t="shared" si="192"/>
        <v>2130711.84</v>
      </c>
      <c r="S96" s="2"/>
      <c r="T96" s="2"/>
      <c r="U96" s="2"/>
      <c r="V96" s="2"/>
      <c r="W96" s="2"/>
      <c r="X96" s="2"/>
      <c r="Y96" s="2"/>
      <c r="Z96" s="2"/>
    </row>
    <row r="97">
      <c r="A97" s="2">
        <f>IFERROR(__xludf.DUMMYFUNCTION("""COMPUTED_VALUE"""),3.0)</f>
        <v>3</v>
      </c>
      <c r="B97" s="2" t="str">
        <f>IFERROR(__xludf.DUMMYFUNCTION("""COMPUTED_VALUE"""),"Patna")</f>
        <v>Patna</v>
      </c>
      <c r="C97" s="2" t="str">
        <f>IFERROR(__xludf.DUMMYFUNCTION("""COMPUTED_VALUE"""),"NutriKid")</f>
        <v>NutriKid</v>
      </c>
      <c r="D97" s="2">
        <f>IFERROR(__xludf.DUMMYFUNCTION("""COMPUTED_VALUE"""),30503.0)</f>
        <v>30503</v>
      </c>
      <c r="E97" s="2">
        <f>IFERROR(__xludf.DUMMYFUNCTION("""COMPUTED_VALUE"""),36909.0)</f>
        <v>36909</v>
      </c>
      <c r="F97" s="2" t="str">
        <f>IFERROR(__xludf.DUMMYFUNCTION("""COMPUTED_VALUE"""),"IPLMARKETTING")</f>
        <v>IPLMARKETTING</v>
      </c>
      <c r="G97" s="2">
        <f t="shared" si="3"/>
        <v>1738671</v>
      </c>
      <c r="H97" s="2">
        <f t="shared" si="4"/>
        <v>2214540</v>
      </c>
      <c r="I97" s="2" t="str">
        <f>IF(or(B97='Regional Details'!$A$5,B97='Regional Details'!$A$6,B97='Regional Details'!$A$7,B97='Regional Details'!$A$8),'Regional Details'!$B$2,if(OR(B97='Regional Details'!$D$5,B97='Regional Details'!$D$6,B97='Regional Details'!$D$7,B97='Regional Details'!$D$8),'Regional Details'!$E$2,if(or(B97='Regional Details'!$G$5,B97='Regional Details'!$G$6,B97='Regional Details'!$G$7,B97='Regional Details'!$G$8),'Regional Details'!$H$2,'Regional Details'!$K$2)))</f>
        <v>East</v>
      </c>
      <c r="J97" s="2" t="str">
        <f>if(I97='Regional Details'!$B$2,'Regional Details'!$B$3,if(I97='Regional Details'!$E$2,'Regional Details'!$E$3,if(I97='Regional Details'!$H$2,'Regional Details'!$H$3,'Regional Details'!$K$3)))</f>
        <v>Tanvi Sharma</v>
      </c>
      <c r="K97" s="8">
        <f t="array" ref="K97">IFERROR(XLOOKUP(B97,'Regional Details'!$A$5:$A$8,'Regional Details'!$B$5:$B$8),IFERROR(XLOOKUP(B97,'Regional Details'!$D$5:$D$8,'Regional Details'!$E$5:$E$8),IFERROR(xlookup(B97,'Regional Details'!$G$5:$G$8,'Regional Details'!$H$5:$H$8),XLOOKUP(B97,'Regional Details'!$J$5:$J$8,'Regional Details'!$K$5:$K$8))))</f>
        <v>0.05</v>
      </c>
      <c r="L97" s="2" t="str">
        <f>VLOOKUP(A97,MonthMapping!$A$2:$B$13,2,false)</f>
        <v>March</v>
      </c>
      <c r="M97" s="9">
        <f>if(C97=$C$2,Contribution_Old!$B$22,Contribution_Old!$B$23)</f>
        <v>24.108</v>
      </c>
      <c r="N97" s="9">
        <f>if(C97=$C$2,Contribution_New!$B$23,Contribution_New!$B$24)</f>
        <v>30.108</v>
      </c>
      <c r="O97" s="2">
        <f t="shared" ref="O97:P97" si="193">M97*D97</f>
        <v>735366.324</v>
      </c>
      <c r="P97" s="2">
        <f t="shared" si="193"/>
        <v>1111256.172</v>
      </c>
      <c r="Q97" s="2">
        <f t="shared" ref="Q97:R97" si="194">G97-O97</f>
        <v>1003304.676</v>
      </c>
      <c r="R97" s="2">
        <f t="shared" si="194"/>
        <v>1103283.828</v>
      </c>
      <c r="S97" s="2"/>
      <c r="T97" s="2"/>
      <c r="U97" s="2"/>
      <c r="V97" s="2"/>
      <c r="W97" s="2"/>
      <c r="X97" s="2"/>
      <c r="Y97" s="2"/>
      <c r="Z97" s="2"/>
    </row>
    <row r="98">
      <c r="A98" s="2">
        <f>IFERROR(__xludf.DUMMYFUNCTION("""COMPUTED_VALUE"""),4.0)</f>
        <v>4</v>
      </c>
      <c r="B98" s="2" t="str">
        <f>IFERROR(__xludf.DUMMYFUNCTION("""COMPUTED_VALUE"""),"Delhi")</f>
        <v>Delhi</v>
      </c>
      <c r="C98" s="2" t="str">
        <f>IFERROR(__xludf.DUMMYFUNCTION("""COMPUTED_VALUE"""),"ZestVita")</f>
        <v>ZestVita</v>
      </c>
      <c r="D98" s="2">
        <f>IFERROR(__xludf.DUMMYFUNCTION("""COMPUTED_VALUE"""),32979.0)</f>
        <v>32979</v>
      </c>
      <c r="E98" s="2">
        <f>IFERROR(__xludf.DUMMYFUNCTION("""COMPUTED_VALUE"""),40234.0)</f>
        <v>40234</v>
      </c>
      <c r="F98" s="2" t="str">
        <f>IFERROR(__xludf.DUMMYFUNCTION("""COMPUTED_VALUE"""),"IPLMARKETTING")</f>
        <v>IPLMARKETTING</v>
      </c>
      <c r="G98" s="2">
        <f t="shared" si="3"/>
        <v>4452165</v>
      </c>
      <c r="H98" s="2">
        <f t="shared" si="4"/>
        <v>5431590</v>
      </c>
      <c r="I98" s="2" t="str">
        <f>IF(or(B98='Regional Details'!$A$5,B98='Regional Details'!$A$6,B98='Regional Details'!$A$7,B98='Regional Details'!$A$8),'Regional Details'!$B$2,if(OR(B98='Regional Details'!$D$5,B98='Regional Details'!$D$6,B98='Regional Details'!$D$7,B98='Regional Details'!$D$8),'Regional Details'!$E$2,if(or(B98='Regional Details'!$G$5,B98='Regional Details'!$G$6,B98='Regional Details'!$G$7,B98='Regional Details'!$G$8),'Regional Details'!$H$2,'Regional Details'!$K$2)))</f>
        <v>North</v>
      </c>
      <c r="J98" s="2" t="str">
        <f>if(I98='Regional Details'!$B$2,'Regional Details'!$B$3,if(I98='Regional Details'!$E$2,'Regional Details'!$E$3,if(I98='Regional Details'!$H$2,'Regional Details'!$H$3,'Regional Details'!$K$3)))</f>
        <v>Ajay Kumar</v>
      </c>
      <c r="K98" s="8">
        <f t="array" ref="K98">IFERROR(XLOOKUP(B98,'Regional Details'!$A$5:$A$8,'Regional Details'!$B$5:$B$8),IFERROR(XLOOKUP(B98,'Regional Details'!$D$5:$D$8,'Regional Details'!$E$5:$E$8),IFERROR(xlookup(B98,'Regional Details'!$G$5:$G$8,'Regional Details'!$H$5:$H$8),XLOOKUP(B98,'Regional Details'!$J$5:$J$8,'Regional Details'!$K$5:$K$8))))</f>
        <v>0</v>
      </c>
      <c r="L98" s="2" t="str">
        <f>VLOOKUP(A98,MonthMapping!$A$2:$B$13,2,false)</f>
        <v>April</v>
      </c>
      <c r="M98" s="9">
        <f>if(C98=$C$2,Contribution_Old!$B$22,Contribution_Old!$B$23)</f>
        <v>55.84</v>
      </c>
      <c r="N98" s="9">
        <f>if(C98=$C$2,Contribution_New!$B$23,Contribution_New!$B$24)</f>
        <v>61.84</v>
      </c>
      <c r="O98" s="2">
        <f t="shared" ref="O98:P98" si="195">M98*D98</f>
        <v>1841547.36</v>
      </c>
      <c r="P98" s="2">
        <f t="shared" si="195"/>
        <v>2488070.56</v>
      </c>
      <c r="Q98" s="2">
        <f t="shared" ref="Q98:R98" si="196">G98-O98</f>
        <v>2610617.64</v>
      </c>
      <c r="R98" s="2">
        <f t="shared" si="196"/>
        <v>2943519.44</v>
      </c>
      <c r="S98" s="2"/>
      <c r="T98" s="2"/>
      <c r="U98" s="2"/>
      <c r="V98" s="2"/>
      <c r="W98" s="2"/>
      <c r="X98" s="2"/>
      <c r="Y98" s="2"/>
      <c r="Z98" s="2"/>
    </row>
    <row r="99">
      <c r="A99" s="2">
        <f>IFERROR(__xludf.DUMMYFUNCTION("""COMPUTED_VALUE"""),4.0)</f>
        <v>4</v>
      </c>
      <c r="B99" s="2" t="str">
        <f>IFERROR(__xludf.DUMMYFUNCTION("""COMPUTED_VALUE"""),"Delhi")</f>
        <v>Delhi</v>
      </c>
      <c r="C99" s="2" t="str">
        <f>IFERROR(__xludf.DUMMYFUNCTION("""COMPUTED_VALUE"""),"NutriKid")</f>
        <v>NutriKid</v>
      </c>
      <c r="D99" s="2">
        <f>IFERROR(__xludf.DUMMYFUNCTION("""COMPUTED_VALUE"""),25544.0)</f>
        <v>25544</v>
      </c>
      <c r="E99" s="2">
        <f>IFERROR(__xludf.DUMMYFUNCTION("""COMPUTED_VALUE"""),31930.0)</f>
        <v>31930</v>
      </c>
      <c r="F99" s="2" t="str">
        <f>IFERROR(__xludf.DUMMYFUNCTION("""COMPUTED_VALUE"""),"IPLMARKETTING")</f>
        <v>IPLMARKETTING</v>
      </c>
      <c r="G99" s="2">
        <f t="shared" si="3"/>
        <v>1532640</v>
      </c>
      <c r="H99" s="2">
        <f t="shared" si="4"/>
        <v>1915800</v>
      </c>
      <c r="I99" s="2" t="str">
        <f>IF(or(B99='Regional Details'!$A$5,B99='Regional Details'!$A$6,B99='Regional Details'!$A$7,B99='Regional Details'!$A$8),'Regional Details'!$B$2,if(OR(B99='Regional Details'!$D$5,B99='Regional Details'!$D$6,B99='Regional Details'!$D$7,B99='Regional Details'!$D$8),'Regional Details'!$E$2,if(or(B99='Regional Details'!$G$5,B99='Regional Details'!$G$6,B99='Regional Details'!$G$7,B99='Regional Details'!$G$8),'Regional Details'!$H$2,'Regional Details'!$K$2)))</f>
        <v>North</v>
      </c>
      <c r="J99" s="2" t="str">
        <f>if(I99='Regional Details'!$B$2,'Regional Details'!$B$3,if(I99='Regional Details'!$E$2,'Regional Details'!$E$3,if(I99='Regional Details'!$H$2,'Regional Details'!$H$3,'Regional Details'!$K$3)))</f>
        <v>Ajay Kumar</v>
      </c>
      <c r="K99" s="8">
        <f t="array" ref="K99">IFERROR(XLOOKUP(B99,'Regional Details'!$A$5:$A$8,'Regional Details'!$B$5:$B$8),IFERROR(XLOOKUP(B99,'Regional Details'!$D$5:$D$8,'Regional Details'!$E$5:$E$8),IFERROR(xlookup(B99,'Regional Details'!$G$5:$G$8,'Regional Details'!$H$5:$H$8),XLOOKUP(B99,'Regional Details'!$J$5:$J$8,'Regional Details'!$K$5:$K$8))))</f>
        <v>0</v>
      </c>
      <c r="L99" s="2" t="str">
        <f>VLOOKUP(A99,MonthMapping!$A$2:$B$13,2,false)</f>
        <v>April</v>
      </c>
      <c r="M99" s="9">
        <f>if(C99=$C$2,Contribution_Old!$B$22,Contribution_Old!$B$23)</f>
        <v>24.108</v>
      </c>
      <c r="N99" s="9">
        <f>if(C99=$C$2,Contribution_New!$B$23,Contribution_New!$B$24)</f>
        <v>30.108</v>
      </c>
      <c r="O99" s="2">
        <f t="shared" ref="O99:P99" si="197">M99*D99</f>
        <v>615814.752</v>
      </c>
      <c r="P99" s="2">
        <f t="shared" si="197"/>
        <v>961348.44</v>
      </c>
      <c r="Q99" s="2">
        <f t="shared" ref="Q99:R99" si="198">G99-O99</f>
        <v>916825.248</v>
      </c>
      <c r="R99" s="2">
        <f t="shared" si="198"/>
        <v>954451.56</v>
      </c>
      <c r="S99" s="2"/>
      <c r="T99" s="2"/>
      <c r="U99" s="2"/>
      <c r="V99" s="2"/>
      <c r="W99" s="2"/>
      <c r="X99" s="2"/>
      <c r="Y99" s="2"/>
      <c r="Z99" s="2"/>
    </row>
    <row r="100">
      <c r="A100" s="2">
        <f>IFERROR(__xludf.DUMMYFUNCTION("""COMPUTED_VALUE"""),4.0)</f>
        <v>4</v>
      </c>
      <c r="B100" s="2" t="str">
        <f>IFERROR(__xludf.DUMMYFUNCTION("""COMPUTED_VALUE"""),"Kolkata")</f>
        <v>Kolkata</v>
      </c>
      <c r="C100" s="2" t="str">
        <f>IFERROR(__xludf.DUMMYFUNCTION("""COMPUTED_VALUE"""),"ZestVita")</f>
        <v>ZestVita</v>
      </c>
      <c r="D100" s="2">
        <f>IFERROR(__xludf.DUMMYFUNCTION("""COMPUTED_VALUE"""),17900.0)</f>
        <v>17900</v>
      </c>
      <c r="E100" s="2">
        <f>IFERROR(__xludf.DUMMYFUNCTION("""COMPUTED_VALUE"""),20585.0)</f>
        <v>20585</v>
      </c>
      <c r="F100" s="2" t="str">
        <f>IFERROR(__xludf.DUMMYFUNCTION("""COMPUTED_VALUE"""),"IPLMARKETTING")</f>
        <v>IPLMARKETTING</v>
      </c>
      <c r="G100" s="2">
        <f t="shared" si="3"/>
        <v>2416500</v>
      </c>
      <c r="H100" s="2">
        <f t="shared" si="4"/>
        <v>2778975</v>
      </c>
      <c r="I100" s="2" t="str">
        <f>IF(or(B100='Regional Details'!$A$5,B100='Regional Details'!$A$6,B100='Regional Details'!$A$7,B100='Regional Details'!$A$8),'Regional Details'!$B$2,if(OR(B100='Regional Details'!$D$5,B100='Regional Details'!$D$6,B100='Regional Details'!$D$7,B100='Regional Details'!$D$8),'Regional Details'!$E$2,if(or(B100='Regional Details'!$G$5,B100='Regional Details'!$G$6,B100='Regional Details'!$G$7,B100='Regional Details'!$G$8),'Regional Details'!$H$2,'Regional Details'!$K$2)))</f>
        <v>East</v>
      </c>
      <c r="J100" s="2" t="str">
        <f>if(I100='Regional Details'!$B$2,'Regional Details'!$B$3,if(I100='Regional Details'!$E$2,'Regional Details'!$E$3,if(I100='Regional Details'!$H$2,'Regional Details'!$H$3,'Regional Details'!$K$3)))</f>
        <v>Tanvi Sharma</v>
      </c>
      <c r="K100" s="8">
        <f t="array" ref="K100">IFERROR(XLOOKUP(B100,'Regional Details'!$A$5:$A$8,'Regional Details'!$B$5:$B$8),IFERROR(XLOOKUP(B100,'Regional Details'!$D$5:$D$8,'Regional Details'!$E$5:$E$8),IFERROR(xlookup(B100,'Regional Details'!$G$5:$G$8,'Regional Details'!$H$5:$H$8),XLOOKUP(B100,'Regional Details'!$J$5:$J$8,'Regional Details'!$K$5:$K$8))))</f>
        <v>0</v>
      </c>
      <c r="L100" s="2" t="str">
        <f>VLOOKUP(A100,MonthMapping!$A$2:$B$13,2,false)</f>
        <v>April</v>
      </c>
      <c r="M100" s="9">
        <f>if(C100=$C$2,Contribution_Old!$B$22,Contribution_Old!$B$23)</f>
        <v>55.84</v>
      </c>
      <c r="N100" s="9">
        <f>if(C100=$C$2,Contribution_New!$B$23,Contribution_New!$B$24)</f>
        <v>61.84</v>
      </c>
      <c r="O100" s="2">
        <f t="shared" ref="O100:P100" si="199">M100*D100</f>
        <v>999536</v>
      </c>
      <c r="P100" s="2">
        <f t="shared" si="199"/>
        <v>1272976.4</v>
      </c>
      <c r="Q100" s="2">
        <f t="shared" ref="Q100:R100" si="200">G100-O100</f>
        <v>1416964</v>
      </c>
      <c r="R100" s="2">
        <f t="shared" si="200"/>
        <v>1505998.6</v>
      </c>
      <c r="S100" s="2"/>
      <c r="T100" s="2"/>
      <c r="U100" s="2"/>
      <c r="V100" s="2"/>
      <c r="W100" s="2"/>
      <c r="X100" s="2"/>
      <c r="Y100" s="2"/>
      <c r="Z100" s="2"/>
    </row>
    <row r="101">
      <c r="A101" s="2">
        <f>IFERROR(__xludf.DUMMYFUNCTION("""COMPUTED_VALUE"""),4.0)</f>
        <v>4</v>
      </c>
      <c r="B101" s="2" t="str">
        <f>IFERROR(__xludf.DUMMYFUNCTION("""COMPUTED_VALUE"""),"Kolkata")</f>
        <v>Kolkata</v>
      </c>
      <c r="C101" s="2" t="str">
        <f>IFERROR(__xludf.DUMMYFUNCTION("""COMPUTED_VALUE"""),"NutriKid")</f>
        <v>NutriKid</v>
      </c>
      <c r="D101" s="2">
        <f>IFERROR(__xludf.DUMMYFUNCTION("""COMPUTED_VALUE"""),35179.0)</f>
        <v>35179</v>
      </c>
      <c r="E101" s="2">
        <f>IFERROR(__xludf.DUMMYFUNCTION("""COMPUTED_VALUE"""),43622.0)</f>
        <v>43622</v>
      </c>
      <c r="F101" s="2" t="str">
        <f>IFERROR(__xludf.DUMMYFUNCTION("""COMPUTED_VALUE"""),"IPLMARKETTING")</f>
        <v>IPLMARKETTING</v>
      </c>
      <c r="G101" s="2">
        <f t="shared" si="3"/>
        <v>2110740</v>
      </c>
      <c r="H101" s="2">
        <f t="shared" si="4"/>
        <v>2617320</v>
      </c>
      <c r="I101" s="2" t="str">
        <f>IF(or(B101='Regional Details'!$A$5,B101='Regional Details'!$A$6,B101='Regional Details'!$A$7,B101='Regional Details'!$A$8),'Regional Details'!$B$2,if(OR(B101='Regional Details'!$D$5,B101='Regional Details'!$D$6,B101='Regional Details'!$D$7,B101='Regional Details'!$D$8),'Regional Details'!$E$2,if(or(B101='Regional Details'!$G$5,B101='Regional Details'!$G$6,B101='Regional Details'!$G$7,B101='Regional Details'!$G$8),'Regional Details'!$H$2,'Regional Details'!$K$2)))</f>
        <v>East</v>
      </c>
      <c r="J101" s="2" t="str">
        <f>if(I101='Regional Details'!$B$2,'Regional Details'!$B$3,if(I101='Regional Details'!$E$2,'Regional Details'!$E$3,if(I101='Regional Details'!$H$2,'Regional Details'!$H$3,'Regional Details'!$K$3)))</f>
        <v>Tanvi Sharma</v>
      </c>
      <c r="K101" s="8">
        <f t="array" ref="K101">IFERROR(XLOOKUP(B101,'Regional Details'!$A$5:$A$8,'Regional Details'!$B$5:$B$8),IFERROR(XLOOKUP(B101,'Regional Details'!$D$5:$D$8,'Regional Details'!$E$5:$E$8),IFERROR(xlookup(B101,'Regional Details'!$G$5:$G$8,'Regional Details'!$H$5:$H$8),XLOOKUP(B101,'Regional Details'!$J$5:$J$8,'Regional Details'!$K$5:$K$8))))</f>
        <v>0</v>
      </c>
      <c r="L101" s="2" t="str">
        <f>VLOOKUP(A101,MonthMapping!$A$2:$B$13,2,false)</f>
        <v>April</v>
      </c>
      <c r="M101" s="9">
        <f>if(C101=$C$2,Contribution_Old!$B$22,Contribution_Old!$B$23)</f>
        <v>24.108</v>
      </c>
      <c r="N101" s="9">
        <f>if(C101=$C$2,Contribution_New!$B$23,Contribution_New!$B$24)</f>
        <v>30.108</v>
      </c>
      <c r="O101" s="2">
        <f t="shared" ref="O101:P101" si="201">M101*D101</f>
        <v>848095.332</v>
      </c>
      <c r="P101" s="2">
        <f t="shared" si="201"/>
        <v>1313371.176</v>
      </c>
      <c r="Q101" s="2">
        <f t="shared" ref="Q101:R101" si="202">G101-O101</f>
        <v>1262644.668</v>
      </c>
      <c r="R101" s="2">
        <f t="shared" si="202"/>
        <v>1303948.824</v>
      </c>
      <c r="S101" s="2"/>
      <c r="T101" s="2"/>
      <c r="U101" s="2"/>
      <c r="V101" s="2"/>
      <c r="W101" s="2"/>
      <c r="X101" s="2"/>
      <c r="Y101" s="2"/>
      <c r="Z101" s="2"/>
    </row>
    <row r="102">
      <c r="A102" s="2">
        <f>IFERROR(__xludf.DUMMYFUNCTION("""COMPUTED_VALUE"""),4.0)</f>
        <v>4</v>
      </c>
      <c r="B102" s="2" t="str">
        <f>IFERROR(__xludf.DUMMYFUNCTION("""COMPUTED_VALUE"""),"Pune")</f>
        <v>Pune</v>
      </c>
      <c r="C102" s="2" t="str">
        <f>IFERROR(__xludf.DUMMYFUNCTION("""COMPUTED_VALUE"""),"ZestVita")</f>
        <v>ZestVita</v>
      </c>
      <c r="D102" s="2">
        <f>IFERROR(__xludf.DUMMYFUNCTION("""COMPUTED_VALUE"""),21795.0)</f>
        <v>21795</v>
      </c>
      <c r="E102" s="2">
        <f>IFERROR(__xludf.DUMMYFUNCTION("""COMPUTED_VALUE"""),26590.0)</f>
        <v>26590</v>
      </c>
      <c r="F102" s="2" t="str">
        <f>IFERROR(__xludf.DUMMYFUNCTION("""COMPUTED_VALUE"""),"IPLMARKETTING")</f>
        <v>IPLMARKETTING</v>
      </c>
      <c r="G102" s="2">
        <f t="shared" si="3"/>
        <v>2942325</v>
      </c>
      <c r="H102" s="2">
        <f t="shared" si="4"/>
        <v>3589650</v>
      </c>
      <c r="I102" s="2" t="str">
        <f>IF(or(B102='Regional Details'!$A$5,B102='Regional Details'!$A$6,B102='Regional Details'!$A$7,B102='Regional Details'!$A$8),'Regional Details'!$B$2,if(OR(B102='Regional Details'!$D$5,B102='Regional Details'!$D$6,B102='Regional Details'!$D$7,B102='Regional Details'!$D$8),'Regional Details'!$E$2,if(or(B102='Regional Details'!$G$5,B102='Regional Details'!$G$6,B102='Regional Details'!$G$7,B102='Regional Details'!$G$8),'Regional Details'!$H$2,'Regional Details'!$K$2)))</f>
        <v>West</v>
      </c>
      <c r="J102" s="2" t="str">
        <f>if(I102='Regional Details'!$B$2,'Regional Details'!$B$3,if(I102='Regional Details'!$E$2,'Regional Details'!$E$3,if(I102='Regional Details'!$H$2,'Regional Details'!$H$3,'Regional Details'!$K$3)))</f>
        <v>Ajay Ghosh</v>
      </c>
      <c r="K102" s="8">
        <f t="array" ref="K102">IFERROR(XLOOKUP(B102,'Regional Details'!$A$5:$A$8,'Regional Details'!$B$5:$B$8),IFERROR(XLOOKUP(B102,'Regional Details'!$D$5:$D$8,'Regional Details'!$E$5:$E$8),IFERROR(xlookup(B102,'Regional Details'!$G$5:$G$8,'Regional Details'!$H$5:$H$8),XLOOKUP(B102,'Regional Details'!$J$5:$J$8,'Regional Details'!$K$5:$K$8))))</f>
        <v>0</v>
      </c>
      <c r="L102" s="2" t="str">
        <f>VLOOKUP(A102,MonthMapping!$A$2:$B$13,2,false)</f>
        <v>April</v>
      </c>
      <c r="M102" s="9">
        <f>if(C102=$C$2,Contribution_Old!$B$22,Contribution_Old!$B$23)</f>
        <v>55.84</v>
      </c>
      <c r="N102" s="9">
        <f>if(C102=$C$2,Contribution_New!$B$23,Contribution_New!$B$24)</f>
        <v>61.84</v>
      </c>
      <c r="O102" s="2">
        <f t="shared" ref="O102:P102" si="203">M102*D102</f>
        <v>1217032.8</v>
      </c>
      <c r="P102" s="2">
        <f t="shared" si="203"/>
        <v>1644325.6</v>
      </c>
      <c r="Q102" s="2">
        <f t="shared" ref="Q102:R102" si="204">G102-O102</f>
        <v>1725292.2</v>
      </c>
      <c r="R102" s="2">
        <f t="shared" si="204"/>
        <v>1945324.4</v>
      </c>
      <c r="S102" s="2"/>
      <c r="T102" s="2"/>
      <c r="U102" s="2"/>
      <c r="V102" s="2"/>
      <c r="W102" s="2"/>
      <c r="X102" s="2"/>
      <c r="Y102" s="2"/>
      <c r="Z102" s="2"/>
    </row>
    <row r="103">
      <c r="A103" s="2">
        <f>IFERROR(__xludf.DUMMYFUNCTION("""COMPUTED_VALUE"""),4.0)</f>
        <v>4</v>
      </c>
      <c r="B103" s="2" t="str">
        <f>IFERROR(__xludf.DUMMYFUNCTION("""COMPUTED_VALUE"""),"Pune")</f>
        <v>Pune</v>
      </c>
      <c r="C103" s="2" t="str">
        <f>IFERROR(__xludf.DUMMYFUNCTION("""COMPUTED_VALUE"""),"NutriKid")</f>
        <v>NutriKid</v>
      </c>
      <c r="D103" s="2">
        <f>IFERROR(__xludf.DUMMYFUNCTION("""COMPUTED_VALUE"""),25739.0)</f>
        <v>25739</v>
      </c>
      <c r="E103" s="2">
        <f>IFERROR(__xludf.DUMMYFUNCTION("""COMPUTED_VALUE"""),28570.0)</f>
        <v>28570</v>
      </c>
      <c r="F103" s="2" t="str">
        <f>IFERROR(__xludf.DUMMYFUNCTION("""COMPUTED_VALUE"""),"IPLMARKETTING")</f>
        <v>IPLMARKETTING</v>
      </c>
      <c r="G103" s="2">
        <f t="shared" si="3"/>
        <v>1544340</v>
      </c>
      <c r="H103" s="2">
        <f t="shared" si="4"/>
        <v>1714200</v>
      </c>
      <c r="I103" s="2" t="str">
        <f>IF(or(B103='Regional Details'!$A$5,B103='Regional Details'!$A$6,B103='Regional Details'!$A$7,B103='Regional Details'!$A$8),'Regional Details'!$B$2,if(OR(B103='Regional Details'!$D$5,B103='Regional Details'!$D$6,B103='Regional Details'!$D$7,B103='Regional Details'!$D$8),'Regional Details'!$E$2,if(or(B103='Regional Details'!$G$5,B103='Regional Details'!$G$6,B103='Regional Details'!$G$7,B103='Regional Details'!$G$8),'Regional Details'!$H$2,'Regional Details'!$K$2)))</f>
        <v>West</v>
      </c>
      <c r="J103" s="2" t="str">
        <f>if(I103='Regional Details'!$B$2,'Regional Details'!$B$3,if(I103='Regional Details'!$E$2,'Regional Details'!$E$3,if(I103='Regional Details'!$H$2,'Regional Details'!$H$3,'Regional Details'!$K$3)))</f>
        <v>Ajay Ghosh</v>
      </c>
      <c r="K103" s="8">
        <f t="array" ref="K103">IFERROR(XLOOKUP(B103,'Regional Details'!$A$5:$A$8,'Regional Details'!$B$5:$B$8),IFERROR(XLOOKUP(B103,'Regional Details'!$D$5:$D$8,'Regional Details'!$E$5:$E$8),IFERROR(xlookup(B103,'Regional Details'!$G$5:$G$8,'Regional Details'!$H$5:$H$8),XLOOKUP(B103,'Regional Details'!$J$5:$J$8,'Regional Details'!$K$5:$K$8))))</f>
        <v>0</v>
      </c>
      <c r="L103" s="2" t="str">
        <f>VLOOKUP(A103,MonthMapping!$A$2:$B$13,2,false)</f>
        <v>April</v>
      </c>
      <c r="M103" s="9">
        <f>if(C103=$C$2,Contribution_Old!$B$22,Contribution_Old!$B$23)</f>
        <v>24.108</v>
      </c>
      <c r="N103" s="9">
        <f>if(C103=$C$2,Contribution_New!$B$23,Contribution_New!$B$24)</f>
        <v>30.108</v>
      </c>
      <c r="O103" s="2">
        <f t="shared" ref="O103:P103" si="205">M103*D103</f>
        <v>620515.812</v>
      </c>
      <c r="P103" s="2">
        <f t="shared" si="205"/>
        <v>860185.56</v>
      </c>
      <c r="Q103" s="2">
        <f t="shared" ref="Q103:R103" si="206">G103-O103</f>
        <v>923824.188</v>
      </c>
      <c r="R103" s="2">
        <f t="shared" si="206"/>
        <v>854014.44</v>
      </c>
      <c r="S103" s="2"/>
      <c r="T103" s="2"/>
      <c r="U103" s="2"/>
      <c r="V103" s="2"/>
      <c r="W103" s="2"/>
      <c r="X103" s="2"/>
      <c r="Y103" s="2"/>
      <c r="Z103" s="2"/>
    </row>
    <row r="104">
      <c r="A104" s="2">
        <f>IFERROR(__xludf.DUMMYFUNCTION("""COMPUTED_VALUE"""),4.0)</f>
        <v>4</v>
      </c>
      <c r="B104" s="2" t="str">
        <f>IFERROR(__xludf.DUMMYFUNCTION("""COMPUTED_VALUE"""),"Bengaluru")</f>
        <v>Bengaluru</v>
      </c>
      <c r="C104" s="2" t="str">
        <f>IFERROR(__xludf.DUMMYFUNCTION("""COMPUTED_VALUE"""),"ZestVita")</f>
        <v>ZestVita</v>
      </c>
      <c r="D104" s="2">
        <f>IFERROR(__xludf.DUMMYFUNCTION("""COMPUTED_VALUE"""),40791.0)</f>
        <v>40791</v>
      </c>
      <c r="E104" s="2">
        <f>IFERROR(__xludf.DUMMYFUNCTION("""COMPUTED_VALUE"""),49765.0)</f>
        <v>49765</v>
      </c>
      <c r="F104" s="2" t="str">
        <f>IFERROR(__xludf.DUMMYFUNCTION("""COMPUTED_VALUE"""),"IPLMARKETTING")</f>
        <v>IPLMARKETTING</v>
      </c>
      <c r="G104" s="2">
        <f t="shared" si="3"/>
        <v>5506785</v>
      </c>
      <c r="H104" s="2">
        <f t="shared" si="4"/>
        <v>6718275</v>
      </c>
      <c r="I104" s="2" t="str">
        <f>IF(or(B104='Regional Details'!$A$5,B104='Regional Details'!$A$6,B104='Regional Details'!$A$7,B104='Regional Details'!$A$8),'Regional Details'!$B$2,if(OR(B104='Regional Details'!$D$5,B104='Regional Details'!$D$6,B104='Regional Details'!$D$7,B104='Regional Details'!$D$8),'Regional Details'!$E$2,if(or(B104='Regional Details'!$G$5,B104='Regional Details'!$G$6,B104='Regional Details'!$G$7,B104='Regional Details'!$G$8),'Regional Details'!$H$2,'Regional Details'!$K$2)))</f>
        <v>South</v>
      </c>
      <c r="J104" s="2" t="str">
        <f>if(I104='Regional Details'!$B$2,'Regional Details'!$B$3,if(I104='Regional Details'!$E$2,'Regional Details'!$E$3,if(I104='Regional Details'!$H$2,'Regional Details'!$H$3,'Regional Details'!$K$3)))</f>
        <v>Anjali Krishna Murthy</v>
      </c>
      <c r="K104" s="8">
        <f t="array" ref="K104">IFERROR(XLOOKUP(B104,'Regional Details'!$A$5:$A$8,'Regional Details'!$B$5:$B$8),IFERROR(XLOOKUP(B104,'Regional Details'!$D$5:$D$8,'Regional Details'!$E$5:$E$8),IFERROR(xlookup(B104,'Regional Details'!$G$5:$G$8,'Regional Details'!$H$5:$H$8),XLOOKUP(B104,'Regional Details'!$J$5:$J$8,'Regional Details'!$K$5:$K$8))))</f>
        <v>0</v>
      </c>
      <c r="L104" s="2" t="str">
        <f>VLOOKUP(A104,MonthMapping!$A$2:$B$13,2,false)</f>
        <v>April</v>
      </c>
      <c r="M104" s="9">
        <f>if(C104=$C$2,Contribution_Old!$B$22,Contribution_Old!$B$23)</f>
        <v>55.84</v>
      </c>
      <c r="N104" s="9">
        <f>if(C104=$C$2,Contribution_New!$B$23,Contribution_New!$B$24)</f>
        <v>61.84</v>
      </c>
      <c r="O104" s="2">
        <f t="shared" ref="O104:P104" si="207">M104*D104</f>
        <v>2277769.44</v>
      </c>
      <c r="P104" s="2">
        <f t="shared" si="207"/>
        <v>3077467.6</v>
      </c>
      <c r="Q104" s="2">
        <f t="shared" ref="Q104:R104" si="208">G104-O104</f>
        <v>3229015.56</v>
      </c>
      <c r="R104" s="2">
        <f t="shared" si="208"/>
        <v>3640807.4</v>
      </c>
      <c r="S104" s="2"/>
      <c r="T104" s="2"/>
      <c r="U104" s="2"/>
      <c r="V104" s="2"/>
      <c r="W104" s="2"/>
      <c r="X104" s="2"/>
      <c r="Y104" s="2"/>
      <c r="Z104" s="2"/>
    </row>
    <row r="105">
      <c r="A105" s="2">
        <f>IFERROR(__xludf.DUMMYFUNCTION("""COMPUTED_VALUE"""),4.0)</f>
        <v>4</v>
      </c>
      <c r="B105" s="2" t="str">
        <f>IFERROR(__xludf.DUMMYFUNCTION("""COMPUTED_VALUE"""),"Bengaluru")</f>
        <v>Bengaluru</v>
      </c>
      <c r="C105" s="2" t="str">
        <f>IFERROR(__xludf.DUMMYFUNCTION("""COMPUTED_VALUE"""),"NutriKid")</f>
        <v>NutriKid</v>
      </c>
      <c r="D105" s="2">
        <f>IFERROR(__xludf.DUMMYFUNCTION("""COMPUTED_VALUE"""),21753.0)</f>
        <v>21753</v>
      </c>
      <c r="E105" s="2">
        <f>IFERROR(__xludf.DUMMYFUNCTION("""COMPUTED_VALUE"""),26321.0)</f>
        <v>26321</v>
      </c>
      <c r="F105" s="2" t="str">
        <f>IFERROR(__xludf.DUMMYFUNCTION("""COMPUTED_VALUE"""),"IPLMARKETTING")</f>
        <v>IPLMARKETTING</v>
      </c>
      <c r="G105" s="2">
        <f t="shared" si="3"/>
        <v>1305180</v>
      </c>
      <c r="H105" s="2">
        <f t="shared" si="4"/>
        <v>1579260</v>
      </c>
      <c r="I105" s="2" t="str">
        <f>IF(or(B105='Regional Details'!$A$5,B105='Regional Details'!$A$6,B105='Regional Details'!$A$7,B105='Regional Details'!$A$8),'Regional Details'!$B$2,if(OR(B105='Regional Details'!$D$5,B105='Regional Details'!$D$6,B105='Regional Details'!$D$7,B105='Regional Details'!$D$8),'Regional Details'!$E$2,if(or(B105='Regional Details'!$G$5,B105='Regional Details'!$G$6,B105='Regional Details'!$G$7,B105='Regional Details'!$G$8),'Regional Details'!$H$2,'Regional Details'!$K$2)))</f>
        <v>South</v>
      </c>
      <c r="J105" s="2" t="str">
        <f>if(I105='Regional Details'!$B$2,'Regional Details'!$B$3,if(I105='Regional Details'!$E$2,'Regional Details'!$E$3,if(I105='Regional Details'!$H$2,'Regional Details'!$H$3,'Regional Details'!$K$3)))</f>
        <v>Anjali Krishna Murthy</v>
      </c>
      <c r="K105" s="8">
        <f t="array" ref="K105">IFERROR(XLOOKUP(B105,'Regional Details'!$A$5:$A$8,'Regional Details'!$B$5:$B$8),IFERROR(XLOOKUP(B105,'Regional Details'!$D$5:$D$8,'Regional Details'!$E$5:$E$8),IFERROR(xlookup(B105,'Regional Details'!$G$5:$G$8,'Regional Details'!$H$5:$H$8),XLOOKUP(B105,'Regional Details'!$J$5:$J$8,'Regional Details'!$K$5:$K$8))))</f>
        <v>0</v>
      </c>
      <c r="L105" s="2" t="str">
        <f>VLOOKUP(A105,MonthMapping!$A$2:$B$13,2,false)</f>
        <v>April</v>
      </c>
      <c r="M105" s="9">
        <f>if(C105=$C$2,Contribution_Old!$B$22,Contribution_Old!$B$23)</f>
        <v>24.108</v>
      </c>
      <c r="N105" s="9">
        <f>if(C105=$C$2,Contribution_New!$B$23,Contribution_New!$B$24)</f>
        <v>30.108</v>
      </c>
      <c r="O105" s="2">
        <f t="shared" ref="O105:P105" si="209">M105*D105</f>
        <v>524421.324</v>
      </c>
      <c r="P105" s="2">
        <f t="shared" si="209"/>
        <v>792472.668</v>
      </c>
      <c r="Q105" s="2">
        <f t="shared" ref="Q105:R105" si="210">G105-O105</f>
        <v>780758.676</v>
      </c>
      <c r="R105" s="2">
        <f t="shared" si="210"/>
        <v>786787.332</v>
      </c>
      <c r="S105" s="2"/>
      <c r="T105" s="2"/>
      <c r="U105" s="2"/>
      <c r="V105" s="2"/>
      <c r="W105" s="2"/>
      <c r="X105" s="2"/>
      <c r="Y105" s="2"/>
      <c r="Z105" s="2"/>
    </row>
    <row r="106">
      <c r="A106" s="2">
        <f>IFERROR(__xludf.DUMMYFUNCTION("""COMPUTED_VALUE"""),4.0)</f>
        <v>4</v>
      </c>
      <c r="B106" s="2" t="str">
        <f>IFERROR(__xludf.DUMMYFUNCTION("""COMPUTED_VALUE"""),"Chandigarh")</f>
        <v>Chandigarh</v>
      </c>
      <c r="C106" s="2" t="str">
        <f>IFERROR(__xludf.DUMMYFUNCTION("""COMPUTED_VALUE"""),"ZestVita")</f>
        <v>ZestVita</v>
      </c>
      <c r="D106" s="2">
        <f>IFERROR(__xludf.DUMMYFUNCTION("""COMPUTED_VALUE"""),35006.0)</f>
        <v>35006</v>
      </c>
      <c r="E106" s="2">
        <f>IFERROR(__xludf.DUMMYFUNCTION("""COMPUTED_VALUE"""),42007.0)</f>
        <v>42007</v>
      </c>
      <c r="F106" s="2" t="str">
        <f>IFERROR(__xludf.DUMMYFUNCTION("""COMPUTED_VALUE"""),"IPLMARKETTING")</f>
        <v>IPLMARKETTING</v>
      </c>
      <c r="G106" s="2">
        <f t="shared" si="3"/>
        <v>4725810</v>
      </c>
      <c r="H106" s="2">
        <f t="shared" si="4"/>
        <v>5670945</v>
      </c>
      <c r="I106" s="2" t="str">
        <f>IF(or(B106='Regional Details'!$A$5,B106='Regional Details'!$A$6,B106='Regional Details'!$A$7,B106='Regional Details'!$A$8),'Regional Details'!$B$2,if(OR(B106='Regional Details'!$D$5,B106='Regional Details'!$D$6,B106='Regional Details'!$D$7,B106='Regional Details'!$D$8),'Regional Details'!$E$2,if(or(B106='Regional Details'!$G$5,B106='Regional Details'!$G$6,B106='Regional Details'!$G$7,B106='Regional Details'!$G$8),'Regional Details'!$H$2,'Regional Details'!$K$2)))</f>
        <v>North</v>
      </c>
      <c r="J106" s="2" t="str">
        <f>if(I106='Regional Details'!$B$2,'Regional Details'!$B$3,if(I106='Regional Details'!$E$2,'Regional Details'!$E$3,if(I106='Regional Details'!$H$2,'Regional Details'!$H$3,'Regional Details'!$K$3)))</f>
        <v>Ajay Kumar</v>
      </c>
      <c r="K106" s="8">
        <f t="array" ref="K106">IFERROR(XLOOKUP(B106,'Regional Details'!$A$5:$A$8,'Regional Details'!$B$5:$B$8),IFERROR(XLOOKUP(B106,'Regional Details'!$D$5:$D$8,'Regional Details'!$E$5:$E$8),IFERROR(xlookup(B106,'Regional Details'!$G$5:$G$8,'Regional Details'!$H$5:$H$8),XLOOKUP(B106,'Regional Details'!$J$5:$J$8,'Regional Details'!$K$5:$K$8))))</f>
        <v>0</v>
      </c>
      <c r="L106" s="2" t="str">
        <f>VLOOKUP(A106,MonthMapping!$A$2:$B$13,2,false)</f>
        <v>April</v>
      </c>
      <c r="M106" s="9">
        <f>if(C106=$C$2,Contribution_Old!$B$22,Contribution_Old!$B$23)</f>
        <v>55.84</v>
      </c>
      <c r="N106" s="9">
        <f>if(C106=$C$2,Contribution_New!$B$23,Contribution_New!$B$24)</f>
        <v>61.84</v>
      </c>
      <c r="O106" s="2">
        <f t="shared" ref="O106:P106" si="211">M106*D106</f>
        <v>1954735.04</v>
      </c>
      <c r="P106" s="2">
        <f t="shared" si="211"/>
        <v>2597712.88</v>
      </c>
      <c r="Q106" s="2">
        <f t="shared" ref="Q106:R106" si="212">G106-O106</f>
        <v>2771074.96</v>
      </c>
      <c r="R106" s="2">
        <f t="shared" si="212"/>
        <v>3073232.12</v>
      </c>
      <c r="S106" s="2"/>
      <c r="T106" s="2"/>
      <c r="U106" s="2"/>
      <c r="V106" s="2"/>
      <c r="W106" s="2"/>
      <c r="X106" s="2"/>
      <c r="Y106" s="2"/>
      <c r="Z106" s="2"/>
    </row>
    <row r="107">
      <c r="A107" s="2">
        <f>IFERROR(__xludf.DUMMYFUNCTION("""COMPUTED_VALUE"""),4.0)</f>
        <v>4</v>
      </c>
      <c r="B107" s="2" t="str">
        <f>IFERROR(__xludf.DUMMYFUNCTION("""COMPUTED_VALUE"""),"Chandigarh")</f>
        <v>Chandigarh</v>
      </c>
      <c r="C107" s="2" t="str">
        <f>IFERROR(__xludf.DUMMYFUNCTION("""COMPUTED_VALUE"""),"NutriKid")</f>
        <v>NutriKid</v>
      </c>
      <c r="D107" s="2">
        <f>IFERROR(__xludf.DUMMYFUNCTION("""COMPUTED_VALUE"""),37186.0)</f>
        <v>37186</v>
      </c>
      <c r="E107" s="2">
        <f>IFERROR(__xludf.DUMMYFUNCTION("""COMPUTED_VALUE"""),44995.0)</f>
        <v>44995</v>
      </c>
      <c r="F107" s="2" t="str">
        <f>IFERROR(__xludf.DUMMYFUNCTION("""COMPUTED_VALUE"""),"IPLMARKETTING")</f>
        <v>IPLMARKETTING</v>
      </c>
      <c r="G107" s="2">
        <f t="shared" si="3"/>
        <v>2231160</v>
      </c>
      <c r="H107" s="2">
        <f t="shared" si="4"/>
        <v>2699700</v>
      </c>
      <c r="I107" s="2" t="str">
        <f>IF(or(B107='Regional Details'!$A$5,B107='Regional Details'!$A$6,B107='Regional Details'!$A$7,B107='Regional Details'!$A$8),'Regional Details'!$B$2,if(OR(B107='Regional Details'!$D$5,B107='Regional Details'!$D$6,B107='Regional Details'!$D$7,B107='Regional Details'!$D$8),'Regional Details'!$E$2,if(or(B107='Regional Details'!$G$5,B107='Regional Details'!$G$6,B107='Regional Details'!$G$7,B107='Regional Details'!$G$8),'Regional Details'!$H$2,'Regional Details'!$K$2)))</f>
        <v>North</v>
      </c>
      <c r="J107" s="2" t="str">
        <f>if(I107='Regional Details'!$B$2,'Regional Details'!$B$3,if(I107='Regional Details'!$E$2,'Regional Details'!$E$3,if(I107='Regional Details'!$H$2,'Regional Details'!$H$3,'Regional Details'!$K$3)))</f>
        <v>Ajay Kumar</v>
      </c>
      <c r="K107" s="8">
        <f t="array" ref="K107">IFERROR(XLOOKUP(B107,'Regional Details'!$A$5:$A$8,'Regional Details'!$B$5:$B$8),IFERROR(XLOOKUP(B107,'Regional Details'!$D$5:$D$8,'Regional Details'!$E$5:$E$8),IFERROR(xlookup(B107,'Regional Details'!$G$5:$G$8,'Regional Details'!$H$5:$H$8),XLOOKUP(B107,'Regional Details'!$J$5:$J$8,'Regional Details'!$K$5:$K$8))))</f>
        <v>0</v>
      </c>
      <c r="L107" s="2" t="str">
        <f>VLOOKUP(A107,MonthMapping!$A$2:$B$13,2,false)</f>
        <v>April</v>
      </c>
      <c r="M107" s="9">
        <f>if(C107=$C$2,Contribution_Old!$B$22,Contribution_Old!$B$23)</f>
        <v>24.108</v>
      </c>
      <c r="N107" s="9">
        <f>if(C107=$C$2,Contribution_New!$B$23,Contribution_New!$B$24)</f>
        <v>30.108</v>
      </c>
      <c r="O107" s="2">
        <f t="shared" ref="O107:P107" si="213">M107*D107</f>
        <v>896480.088</v>
      </c>
      <c r="P107" s="2">
        <f t="shared" si="213"/>
        <v>1354709.46</v>
      </c>
      <c r="Q107" s="2">
        <f t="shared" ref="Q107:R107" si="214">G107-O107</f>
        <v>1334679.912</v>
      </c>
      <c r="R107" s="2">
        <f t="shared" si="214"/>
        <v>1344990.54</v>
      </c>
      <c r="S107" s="2"/>
      <c r="T107" s="2"/>
      <c r="U107" s="2"/>
      <c r="V107" s="2"/>
      <c r="W107" s="2"/>
      <c r="X107" s="2"/>
      <c r="Y107" s="2"/>
      <c r="Z107" s="2"/>
    </row>
    <row r="108">
      <c r="A108" s="2">
        <f>IFERROR(__xludf.DUMMYFUNCTION("""COMPUTED_VALUE"""),4.0)</f>
        <v>4</v>
      </c>
      <c r="B108" s="2" t="str">
        <f>IFERROR(__xludf.DUMMYFUNCTION("""COMPUTED_VALUE"""),"Bhubaneswar")</f>
        <v>Bhubaneswar</v>
      </c>
      <c r="C108" s="2" t="str">
        <f>IFERROR(__xludf.DUMMYFUNCTION("""COMPUTED_VALUE"""),"ZestVita")</f>
        <v>ZestVita</v>
      </c>
      <c r="D108" s="2">
        <f>IFERROR(__xludf.DUMMYFUNCTION("""COMPUTED_VALUE"""),14722.0)</f>
        <v>14722</v>
      </c>
      <c r="E108" s="2">
        <f>IFERROR(__xludf.DUMMYFUNCTION("""COMPUTED_VALUE"""),15164.0)</f>
        <v>15164</v>
      </c>
      <c r="F108" s="2" t="str">
        <f>IFERROR(__xludf.DUMMYFUNCTION("""COMPUTED_VALUE"""),"IPLMARKETTING")</f>
        <v>IPLMARKETTING</v>
      </c>
      <c r="G108" s="2">
        <f t="shared" si="3"/>
        <v>1739036.25</v>
      </c>
      <c r="H108" s="2">
        <f t="shared" si="4"/>
        <v>2047140</v>
      </c>
      <c r="I108" s="2" t="str">
        <f>IF(or(B108='Regional Details'!$A$5,B108='Regional Details'!$A$6,B108='Regional Details'!$A$7,B108='Regional Details'!$A$8),'Regional Details'!$B$2,if(OR(B108='Regional Details'!$D$5,B108='Regional Details'!$D$6,B108='Regional Details'!$D$7,B108='Regional Details'!$D$8),'Regional Details'!$E$2,if(or(B108='Regional Details'!$G$5,B108='Regional Details'!$G$6,B108='Regional Details'!$G$7,B108='Regional Details'!$G$8),'Regional Details'!$H$2,'Regional Details'!$K$2)))</f>
        <v>East</v>
      </c>
      <c r="J108" s="2" t="str">
        <f>if(I108='Regional Details'!$B$2,'Regional Details'!$B$3,if(I108='Regional Details'!$E$2,'Regional Details'!$E$3,if(I108='Regional Details'!$H$2,'Regional Details'!$H$3,'Regional Details'!$K$3)))</f>
        <v>Tanvi Sharma</v>
      </c>
      <c r="K108" s="8">
        <f t="array" ref="K108">IFERROR(XLOOKUP(B108,'Regional Details'!$A$5:$A$8,'Regional Details'!$B$5:$B$8),IFERROR(XLOOKUP(B108,'Regional Details'!$D$5:$D$8,'Regional Details'!$E$5:$E$8),IFERROR(xlookup(B108,'Regional Details'!$G$5:$G$8,'Regional Details'!$H$5:$H$8),XLOOKUP(B108,'Regional Details'!$J$5:$J$8,'Regional Details'!$K$5:$K$8))))</f>
        <v>0.125</v>
      </c>
      <c r="L108" s="2" t="str">
        <f>VLOOKUP(A108,MonthMapping!$A$2:$B$13,2,false)</f>
        <v>April</v>
      </c>
      <c r="M108" s="9">
        <f>if(C108=$C$2,Contribution_Old!$B$22,Contribution_Old!$B$23)</f>
        <v>55.84</v>
      </c>
      <c r="N108" s="9">
        <f>if(C108=$C$2,Contribution_New!$B$23,Contribution_New!$B$24)</f>
        <v>61.84</v>
      </c>
      <c r="O108" s="2">
        <f t="shared" ref="O108:P108" si="215">M108*D108</f>
        <v>822076.48</v>
      </c>
      <c r="P108" s="2">
        <f t="shared" si="215"/>
        <v>937741.76</v>
      </c>
      <c r="Q108" s="2">
        <f t="shared" ref="Q108:R108" si="216">G108-O108</f>
        <v>916959.77</v>
      </c>
      <c r="R108" s="2">
        <f t="shared" si="216"/>
        <v>1109398.24</v>
      </c>
      <c r="S108" s="2"/>
      <c r="T108" s="2"/>
      <c r="U108" s="2"/>
      <c r="V108" s="2"/>
      <c r="W108" s="2"/>
      <c r="X108" s="2"/>
      <c r="Y108" s="2"/>
      <c r="Z108" s="2"/>
    </row>
    <row r="109">
      <c r="A109" s="2">
        <f>IFERROR(__xludf.DUMMYFUNCTION("""COMPUTED_VALUE"""),4.0)</f>
        <v>4</v>
      </c>
      <c r="B109" s="2" t="str">
        <f>IFERROR(__xludf.DUMMYFUNCTION("""COMPUTED_VALUE"""),"Bhubaneswar")</f>
        <v>Bhubaneswar</v>
      </c>
      <c r="C109" s="2" t="str">
        <f>IFERROR(__xludf.DUMMYFUNCTION("""COMPUTED_VALUE"""),"NutriKid")</f>
        <v>NutriKid</v>
      </c>
      <c r="D109" s="2">
        <f>IFERROR(__xludf.DUMMYFUNCTION("""COMPUTED_VALUE"""),19873.0)</f>
        <v>19873</v>
      </c>
      <c r="E109" s="2">
        <f>IFERROR(__xludf.DUMMYFUNCTION("""COMPUTED_VALUE"""),20469.0)</f>
        <v>20469</v>
      </c>
      <c r="F109" s="2" t="str">
        <f>IFERROR(__xludf.DUMMYFUNCTION("""COMPUTED_VALUE"""),"IPLMARKETTING")</f>
        <v>IPLMARKETTING</v>
      </c>
      <c r="G109" s="2">
        <f t="shared" si="3"/>
        <v>1043332.5</v>
      </c>
      <c r="H109" s="2">
        <f t="shared" si="4"/>
        <v>1228140</v>
      </c>
      <c r="I109" s="2" t="str">
        <f>IF(or(B109='Regional Details'!$A$5,B109='Regional Details'!$A$6,B109='Regional Details'!$A$7,B109='Regional Details'!$A$8),'Regional Details'!$B$2,if(OR(B109='Regional Details'!$D$5,B109='Regional Details'!$D$6,B109='Regional Details'!$D$7,B109='Regional Details'!$D$8),'Regional Details'!$E$2,if(or(B109='Regional Details'!$G$5,B109='Regional Details'!$G$6,B109='Regional Details'!$G$7,B109='Regional Details'!$G$8),'Regional Details'!$H$2,'Regional Details'!$K$2)))</f>
        <v>East</v>
      </c>
      <c r="J109" s="2" t="str">
        <f>if(I109='Regional Details'!$B$2,'Regional Details'!$B$3,if(I109='Regional Details'!$E$2,'Regional Details'!$E$3,if(I109='Regional Details'!$H$2,'Regional Details'!$H$3,'Regional Details'!$K$3)))</f>
        <v>Tanvi Sharma</v>
      </c>
      <c r="K109" s="8">
        <f t="array" ref="K109">IFERROR(XLOOKUP(B109,'Regional Details'!$A$5:$A$8,'Regional Details'!$B$5:$B$8),IFERROR(XLOOKUP(B109,'Regional Details'!$D$5:$D$8,'Regional Details'!$E$5:$E$8),IFERROR(xlookup(B109,'Regional Details'!$G$5:$G$8,'Regional Details'!$H$5:$H$8),XLOOKUP(B109,'Regional Details'!$J$5:$J$8,'Regional Details'!$K$5:$K$8))))</f>
        <v>0.125</v>
      </c>
      <c r="L109" s="2" t="str">
        <f>VLOOKUP(A109,MonthMapping!$A$2:$B$13,2,false)</f>
        <v>April</v>
      </c>
      <c r="M109" s="9">
        <f>if(C109=$C$2,Contribution_Old!$B$22,Contribution_Old!$B$23)</f>
        <v>24.108</v>
      </c>
      <c r="N109" s="9">
        <f>if(C109=$C$2,Contribution_New!$B$23,Contribution_New!$B$24)</f>
        <v>30.108</v>
      </c>
      <c r="O109" s="2">
        <f t="shared" ref="O109:P109" si="217">M109*D109</f>
        <v>479098.284</v>
      </c>
      <c r="P109" s="2">
        <f t="shared" si="217"/>
        <v>616280.652</v>
      </c>
      <c r="Q109" s="2">
        <f t="shared" ref="Q109:R109" si="218">G109-O109</f>
        <v>564234.216</v>
      </c>
      <c r="R109" s="2">
        <f t="shared" si="218"/>
        <v>611859.348</v>
      </c>
      <c r="S109" s="2"/>
      <c r="T109" s="2"/>
      <c r="U109" s="2"/>
      <c r="V109" s="2"/>
      <c r="W109" s="2"/>
      <c r="X109" s="2"/>
      <c r="Y109" s="2"/>
      <c r="Z109" s="2"/>
    </row>
    <row r="110">
      <c r="A110" s="2">
        <f>IFERROR(__xludf.DUMMYFUNCTION("""COMPUTED_VALUE"""),4.0)</f>
        <v>4</v>
      </c>
      <c r="B110" s="2" t="str">
        <f>IFERROR(__xludf.DUMMYFUNCTION("""COMPUTED_VALUE"""),"Ahmedabad")</f>
        <v>Ahmedabad</v>
      </c>
      <c r="C110" s="2" t="str">
        <f>IFERROR(__xludf.DUMMYFUNCTION("""COMPUTED_VALUE"""),"ZestVita")</f>
        <v>ZestVita</v>
      </c>
      <c r="D110" s="2">
        <f>IFERROR(__xludf.DUMMYFUNCTION("""COMPUTED_VALUE"""),30752.0)</f>
        <v>30752</v>
      </c>
      <c r="E110" s="2">
        <f>IFERROR(__xludf.DUMMYFUNCTION("""COMPUTED_VALUE"""),36902.0)</f>
        <v>36902</v>
      </c>
      <c r="F110" s="2" t="str">
        <f>IFERROR(__xludf.DUMMYFUNCTION("""COMPUTED_VALUE"""),"IPLMARKETTING")</f>
        <v>IPLMARKETTING</v>
      </c>
      <c r="G110" s="2">
        <f t="shared" si="3"/>
        <v>4151520</v>
      </c>
      <c r="H110" s="2">
        <f t="shared" si="4"/>
        <v>4981770</v>
      </c>
      <c r="I110" s="2" t="str">
        <f>IF(or(B110='Regional Details'!$A$5,B110='Regional Details'!$A$6,B110='Regional Details'!$A$7,B110='Regional Details'!$A$8),'Regional Details'!$B$2,if(OR(B110='Regional Details'!$D$5,B110='Regional Details'!$D$6,B110='Regional Details'!$D$7,B110='Regional Details'!$D$8),'Regional Details'!$E$2,if(or(B110='Regional Details'!$G$5,B110='Regional Details'!$G$6,B110='Regional Details'!$G$7,B110='Regional Details'!$G$8),'Regional Details'!$H$2,'Regional Details'!$K$2)))</f>
        <v>West</v>
      </c>
      <c r="J110" s="2" t="str">
        <f>if(I110='Regional Details'!$B$2,'Regional Details'!$B$3,if(I110='Regional Details'!$E$2,'Regional Details'!$E$3,if(I110='Regional Details'!$H$2,'Regional Details'!$H$3,'Regional Details'!$K$3)))</f>
        <v>Ajay Ghosh</v>
      </c>
      <c r="K110" s="8">
        <f t="array" ref="K110">IFERROR(XLOOKUP(B110,'Regional Details'!$A$5:$A$8,'Regional Details'!$B$5:$B$8),IFERROR(XLOOKUP(B110,'Regional Details'!$D$5:$D$8,'Regional Details'!$E$5:$E$8),IFERROR(xlookup(B110,'Regional Details'!$G$5:$G$8,'Regional Details'!$H$5:$H$8),XLOOKUP(B110,'Regional Details'!$J$5:$J$8,'Regional Details'!$K$5:$K$8))))</f>
        <v>0</v>
      </c>
      <c r="L110" s="2" t="str">
        <f>VLOOKUP(A110,MonthMapping!$A$2:$B$13,2,false)</f>
        <v>April</v>
      </c>
      <c r="M110" s="9">
        <f>if(C110=$C$2,Contribution_Old!$B$22,Contribution_Old!$B$23)</f>
        <v>55.84</v>
      </c>
      <c r="N110" s="9">
        <f>if(C110=$C$2,Contribution_New!$B$23,Contribution_New!$B$24)</f>
        <v>61.84</v>
      </c>
      <c r="O110" s="2">
        <f t="shared" ref="O110:P110" si="219">M110*D110</f>
        <v>1717191.68</v>
      </c>
      <c r="P110" s="2">
        <f t="shared" si="219"/>
        <v>2282019.68</v>
      </c>
      <c r="Q110" s="2">
        <f t="shared" ref="Q110:R110" si="220">G110-O110</f>
        <v>2434328.32</v>
      </c>
      <c r="R110" s="2">
        <f t="shared" si="220"/>
        <v>2699750.32</v>
      </c>
      <c r="S110" s="2"/>
      <c r="T110" s="2"/>
      <c r="U110" s="2"/>
      <c r="V110" s="2"/>
      <c r="W110" s="2"/>
      <c r="X110" s="2"/>
      <c r="Y110" s="2"/>
      <c r="Z110" s="2"/>
    </row>
    <row r="111">
      <c r="A111" s="2">
        <f>IFERROR(__xludf.DUMMYFUNCTION("""COMPUTED_VALUE"""),4.0)</f>
        <v>4</v>
      </c>
      <c r="B111" s="2" t="str">
        <f>IFERROR(__xludf.DUMMYFUNCTION("""COMPUTED_VALUE"""),"Ahmedabad")</f>
        <v>Ahmedabad</v>
      </c>
      <c r="C111" s="2" t="str">
        <f>IFERROR(__xludf.DUMMYFUNCTION("""COMPUTED_VALUE"""),"NutriKid")</f>
        <v>NutriKid</v>
      </c>
      <c r="D111" s="2">
        <f>IFERROR(__xludf.DUMMYFUNCTION("""COMPUTED_VALUE"""),17729.0)</f>
        <v>17729</v>
      </c>
      <c r="E111" s="2">
        <f>IFERROR(__xludf.DUMMYFUNCTION("""COMPUTED_VALUE"""),19502.0)</f>
        <v>19502</v>
      </c>
      <c r="F111" s="2" t="str">
        <f>IFERROR(__xludf.DUMMYFUNCTION("""COMPUTED_VALUE"""),"IPLMARKETTING")</f>
        <v>IPLMARKETTING</v>
      </c>
      <c r="G111" s="2">
        <f t="shared" si="3"/>
        <v>1063740</v>
      </c>
      <c r="H111" s="2">
        <f t="shared" si="4"/>
        <v>1170120</v>
      </c>
      <c r="I111" s="2" t="str">
        <f>IF(or(B111='Regional Details'!$A$5,B111='Regional Details'!$A$6,B111='Regional Details'!$A$7,B111='Regional Details'!$A$8),'Regional Details'!$B$2,if(OR(B111='Regional Details'!$D$5,B111='Regional Details'!$D$6,B111='Regional Details'!$D$7,B111='Regional Details'!$D$8),'Regional Details'!$E$2,if(or(B111='Regional Details'!$G$5,B111='Regional Details'!$G$6,B111='Regional Details'!$G$7,B111='Regional Details'!$G$8),'Regional Details'!$H$2,'Regional Details'!$K$2)))</f>
        <v>West</v>
      </c>
      <c r="J111" s="2" t="str">
        <f>if(I111='Regional Details'!$B$2,'Regional Details'!$B$3,if(I111='Regional Details'!$E$2,'Regional Details'!$E$3,if(I111='Regional Details'!$H$2,'Regional Details'!$H$3,'Regional Details'!$K$3)))</f>
        <v>Ajay Ghosh</v>
      </c>
      <c r="K111" s="8">
        <f t="array" ref="K111">IFERROR(XLOOKUP(B111,'Regional Details'!$A$5:$A$8,'Regional Details'!$B$5:$B$8),IFERROR(XLOOKUP(B111,'Regional Details'!$D$5:$D$8,'Regional Details'!$E$5:$E$8),IFERROR(xlookup(B111,'Regional Details'!$G$5:$G$8,'Regional Details'!$H$5:$H$8),XLOOKUP(B111,'Regional Details'!$J$5:$J$8,'Regional Details'!$K$5:$K$8))))</f>
        <v>0</v>
      </c>
      <c r="L111" s="2" t="str">
        <f>VLOOKUP(A111,MonthMapping!$A$2:$B$13,2,false)</f>
        <v>April</v>
      </c>
      <c r="M111" s="9">
        <f>if(C111=$C$2,Contribution_Old!$B$22,Contribution_Old!$B$23)</f>
        <v>24.108</v>
      </c>
      <c r="N111" s="9">
        <f>if(C111=$C$2,Contribution_New!$B$23,Contribution_New!$B$24)</f>
        <v>30.108</v>
      </c>
      <c r="O111" s="2">
        <f t="shared" ref="O111:P111" si="221">M111*D111</f>
        <v>427410.732</v>
      </c>
      <c r="P111" s="2">
        <f t="shared" si="221"/>
        <v>587166.216</v>
      </c>
      <c r="Q111" s="2">
        <f t="shared" ref="Q111:R111" si="222">G111-O111</f>
        <v>636329.268</v>
      </c>
      <c r="R111" s="2">
        <f t="shared" si="222"/>
        <v>582953.784</v>
      </c>
      <c r="S111" s="2"/>
      <c r="T111" s="2"/>
      <c r="U111" s="2"/>
      <c r="V111" s="2"/>
      <c r="W111" s="2"/>
      <c r="X111" s="2"/>
      <c r="Y111" s="2"/>
      <c r="Z111" s="2"/>
    </row>
    <row r="112">
      <c r="A112" s="2">
        <f>IFERROR(__xludf.DUMMYFUNCTION("""COMPUTED_VALUE"""),4.0)</f>
        <v>4</v>
      </c>
      <c r="B112" s="2" t="str">
        <f>IFERROR(__xludf.DUMMYFUNCTION("""COMPUTED_VALUE"""),"Chennai")</f>
        <v>Chennai</v>
      </c>
      <c r="C112" s="2" t="str">
        <f>IFERROR(__xludf.DUMMYFUNCTION("""COMPUTED_VALUE"""),"ZestVita")</f>
        <v>ZestVita</v>
      </c>
      <c r="D112" s="2">
        <f>IFERROR(__xludf.DUMMYFUNCTION("""COMPUTED_VALUE"""),19317.0)</f>
        <v>19317</v>
      </c>
      <c r="E112" s="2">
        <f>IFERROR(__xludf.DUMMYFUNCTION("""COMPUTED_VALUE"""),22021.0)</f>
        <v>22021</v>
      </c>
      <c r="F112" s="2" t="str">
        <f>IFERROR(__xludf.DUMMYFUNCTION("""COMPUTED_VALUE"""),"IPLMARKETTING")</f>
        <v>IPLMARKETTING</v>
      </c>
      <c r="G112" s="2">
        <f t="shared" si="3"/>
        <v>2607795</v>
      </c>
      <c r="H112" s="2">
        <f t="shared" si="4"/>
        <v>2972835</v>
      </c>
      <c r="I112" s="2" t="str">
        <f>IF(or(B112='Regional Details'!$A$5,B112='Regional Details'!$A$6,B112='Regional Details'!$A$7,B112='Regional Details'!$A$8),'Regional Details'!$B$2,if(OR(B112='Regional Details'!$D$5,B112='Regional Details'!$D$6,B112='Regional Details'!$D$7,B112='Regional Details'!$D$8),'Regional Details'!$E$2,if(or(B112='Regional Details'!$G$5,B112='Regional Details'!$G$6,B112='Regional Details'!$G$7,B112='Regional Details'!$G$8),'Regional Details'!$H$2,'Regional Details'!$K$2)))</f>
        <v>South</v>
      </c>
      <c r="J112" s="2" t="str">
        <f>if(I112='Regional Details'!$B$2,'Regional Details'!$B$3,if(I112='Regional Details'!$E$2,'Regional Details'!$E$3,if(I112='Regional Details'!$H$2,'Regional Details'!$H$3,'Regional Details'!$K$3)))</f>
        <v>Anjali Krishna Murthy</v>
      </c>
      <c r="K112" s="8">
        <f t="array" ref="K112">IFERROR(XLOOKUP(B112,'Regional Details'!$A$5:$A$8,'Regional Details'!$B$5:$B$8),IFERROR(XLOOKUP(B112,'Regional Details'!$D$5:$D$8,'Regional Details'!$E$5:$E$8),IFERROR(xlookup(B112,'Regional Details'!$G$5:$G$8,'Regional Details'!$H$5:$H$8),XLOOKUP(B112,'Regional Details'!$J$5:$J$8,'Regional Details'!$K$5:$K$8))))</f>
        <v>0</v>
      </c>
      <c r="L112" s="2" t="str">
        <f>VLOOKUP(A112,MonthMapping!$A$2:$B$13,2,false)</f>
        <v>April</v>
      </c>
      <c r="M112" s="9">
        <f>if(C112=$C$2,Contribution_Old!$B$22,Contribution_Old!$B$23)</f>
        <v>55.84</v>
      </c>
      <c r="N112" s="9">
        <f>if(C112=$C$2,Contribution_New!$B$23,Contribution_New!$B$24)</f>
        <v>61.84</v>
      </c>
      <c r="O112" s="2">
        <f t="shared" ref="O112:P112" si="223">M112*D112</f>
        <v>1078661.28</v>
      </c>
      <c r="P112" s="2">
        <f t="shared" si="223"/>
        <v>1361778.64</v>
      </c>
      <c r="Q112" s="2">
        <f t="shared" ref="Q112:R112" si="224">G112-O112</f>
        <v>1529133.72</v>
      </c>
      <c r="R112" s="2">
        <f t="shared" si="224"/>
        <v>1611056.36</v>
      </c>
      <c r="S112" s="2"/>
      <c r="T112" s="2"/>
      <c r="U112" s="2"/>
      <c r="V112" s="2"/>
      <c r="W112" s="2"/>
      <c r="X112" s="2"/>
      <c r="Y112" s="2"/>
      <c r="Z112" s="2"/>
    </row>
    <row r="113">
      <c r="A113" s="2">
        <f>IFERROR(__xludf.DUMMYFUNCTION("""COMPUTED_VALUE"""),4.0)</f>
        <v>4</v>
      </c>
      <c r="B113" s="2" t="str">
        <f>IFERROR(__xludf.DUMMYFUNCTION("""COMPUTED_VALUE"""),"Chennai")</f>
        <v>Chennai</v>
      </c>
      <c r="C113" s="2" t="str">
        <f>IFERROR(__xludf.DUMMYFUNCTION("""COMPUTED_VALUE"""),"NutriKid")</f>
        <v>NutriKid</v>
      </c>
      <c r="D113" s="2">
        <f>IFERROR(__xludf.DUMMYFUNCTION("""COMPUTED_VALUE"""),21190.0)</f>
        <v>21190</v>
      </c>
      <c r="E113" s="2">
        <f>IFERROR(__xludf.DUMMYFUNCTION("""COMPUTED_VALUE"""),26276.0)</f>
        <v>26276</v>
      </c>
      <c r="F113" s="2" t="str">
        <f>IFERROR(__xludf.DUMMYFUNCTION("""COMPUTED_VALUE"""),"IPLMARKETTING")</f>
        <v>IPLMARKETTING</v>
      </c>
      <c r="G113" s="2">
        <f t="shared" si="3"/>
        <v>1271400</v>
      </c>
      <c r="H113" s="2">
        <f t="shared" si="4"/>
        <v>1576560</v>
      </c>
      <c r="I113" s="2" t="str">
        <f>IF(or(B113='Regional Details'!$A$5,B113='Regional Details'!$A$6,B113='Regional Details'!$A$7,B113='Regional Details'!$A$8),'Regional Details'!$B$2,if(OR(B113='Regional Details'!$D$5,B113='Regional Details'!$D$6,B113='Regional Details'!$D$7,B113='Regional Details'!$D$8),'Regional Details'!$E$2,if(or(B113='Regional Details'!$G$5,B113='Regional Details'!$G$6,B113='Regional Details'!$G$7,B113='Regional Details'!$G$8),'Regional Details'!$H$2,'Regional Details'!$K$2)))</f>
        <v>South</v>
      </c>
      <c r="J113" s="2" t="str">
        <f>if(I113='Regional Details'!$B$2,'Regional Details'!$B$3,if(I113='Regional Details'!$E$2,'Regional Details'!$E$3,if(I113='Regional Details'!$H$2,'Regional Details'!$H$3,'Regional Details'!$K$3)))</f>
        <v>Anjali Krishna Murthy</v>
      </c>
      <c r="K113" s="8">
        <f t="array" ref="K113">IFERROR(XLOOKUP(B113,'Regional Details'!$A$5:$A$8,'Regional Details'!$B$5:$B$8),IFERROR(XLOOKUP(B113,'Regional Details'!$D$5:$D$8,'Regional Details'!$E$5:$E$8),IFERROR(xlookup(B113,'Regional Details'!$G$5:$G$8,'Regional Details'!$H$5:$H$8),XLOOKUP(B113,'Regional Details'!$J$5:$J$8,'Regional Details'!$K$5:$K$8))))</f>
        <v>0</v>
      </c>
      <c r="L113" s="2" t="str">
        <f>VLOOKUP(A113,MonthMapping!$A$2:$B$13,2,false)</f>
        <v>April</v>
      </c>
      <c r="M113" s="9">
        <f>if(C113=$C$2,Contribution_Old!$B$22,Contribution_Old!$B$23)</f>
        <v>24.108</v>
      </c>
      <c r="N113" s="9">
        <f>if(C113=$C$2,Contribution_New!$B$23,Contribution_New!$B$24)</f>
        <v>30.108</v>
      </c>
      <c r="O113" s="2">
        <f t="shared" ref="O113:P113" si="225">M113*D113</f>
        <v>510848.52</v>
      </c>
      <c r="P113" s="2">
        <f t="shared" si="225"/>
        <v>791117.808</v>
      </c>
      <c r="Q113" s="2">
        <f t="shared" ref="Q113:R113" si="226">G113-O113</f>
        <v>760551.48</v>
      </c>
      <c r="R113" s="2">
        <f t="shared" si="226"/>
        <v>785442.192</v>
      </c>
      <c r="S113" s="2"/>
      <c r="T113" s="2"/>
      <c r="U113" s="2"/>
      <c r="V113" s="2"/>
      <c r="W113" s="2"/>
      <c r="X113" s="2"/>
      <c r="Y113" s="2"/>
      <c r="Z113" s="2"/>
    </row>
    <row r="114">
      <c r="A114" s="2">
        <f>IFERROR(__xludf.DUMMYFUNCTION("""COMPUTED_VALUE"""),4.0)</f>
        <v>4</v>
      </c>
      <c r="B114" s="2" t="str">
        <f>IFERROR(__xludf.DUMMYFUNCTION("""COMPUTED_VALUE"""),"Lucknow")</f>
        <v>Lucknow</v>
      </c>
      <c r="C114" s="2" t="str">
        <f>IFERROR(__xludf.DUMMYFUNCTION("""COMPUTED_VALUE"""),"ZestVita")</f>
        <v>ZestVita</v>
      </c>
      <c r="D114" s="2">
        <f>IFERROR(__xludf.DUMMYFUNCTION("""COMPUTED_VALUE"""),24409.0)</f>
        <v>24409</v>
      </c>
      <c r="E114" s="2">
        <f>IFERROR(__xludf.DUMMYFUNCTION("""COMPUTED_VALUE"""),27826.0)</f>
        <v>27826</v>
      </c>
      <c r="F114" s="2" t="str">
        <f>IFERROR(__xludf.DUMMYFUNCTION("""COMPUTED_VALUE"""),"IPLMARKETTING")</f>
        <v>IPLMARKETTING</v>
      </c>
      <c r="G114" s="2">
        <f t="shared" si="3"/>
        <v>2965693.5</v>
      </c>
      <c r="H114" s="2">
        <f t="shared" si="4"/>
        <v>3756510</v>
      </c>
      <c r="I114" s="2" t="str">
        <f>IF(or(B114='Regional Details'!$A$5,B114='Regional Details'!$A$6,B114='Regional Details'!$A$7,B114='Regional Details'!$A$8),'Regional Details'!$B$2,if(OR(B114='Regional Details'!$D$5,B114='Regional Details'!$D$6,B114='Regional Details'!$D$7,B114='Regional Details'!$D$8),'Regional Details'!$E$2,if(or(B114='Regional Details'!$G$5,B114='Regional Details'!$G$6,B114='Regional Details'!$G$7,B114='Regional Details'!$G$8),'Regional Details'!$H$2,'Regional Details'!$K$2)))</f>
        <v>North</v>
      </c>
      <c r="J114" s="2" t="str">
        <f>if(I114='Regional Details'!$B$2,'Regional Details'!$B$3,if(I114='Regional Details'!$E$2,'Regional Details'!$E$3,if(I114='Regional Details'!$H$2,'Regional Details'!$H$3,'Regional Details'!$K$3)))</f>
        <v>Ajay Kumar</v>
      </c>
      <c r="K114" s="8">
        <f t="array" ref="K114">IFERROR(XLOOKUP(B114,'Regional Details'!$A$5:$A$8,'Regional Details'!$B$5:$B$8),IFERROR(XLOOKUP(B114,'Regional Details'!$D$5:$D$8,'Regional Details'!$E$5:$E$8),IFERROR(xlookup(B114,'Regional Details'!$G$5:$G$8,'Regional Details'!$H$5:$H$8),XLOOKUP(B114,'Regional Details'!$J$5:$J$8,'Regional Details'!$K$5:$K$8))))</f>
        <v>0.1</v>
      </c>
      <c r="L114" s="2" t="str">
        <f>VLOOKUP(A114,MonthMapping!$A$2:$B$13,2,false)</f>
        <v>April</v>
      </c>
      <c r="M114" s="9">
        <f>if(C114=$C$2,Contribution_Old!$B$22,Contribution_Old!$B$23)</f>
        <v>55.84</v>
      </c>
      <c r="N114" s="9">
        <f>if(C114=$C$2,Contribution_New!$B$23,Contribution_New!$B$24)</f>
        <v>61.84</v>
      </c>
      <c r="O114" s="2">
        <f t="shared" ref="O114:P114" si="227">M114*D114</f>
        <v>1362998.56</v>
      </c>
      <c r="P114" s="2">
        <f t="shared" si="227"/>
        <v>1720759.84</v>
      </c>
      <c r="Q114" s="2">
        <f t="shared" ref="Q114:R114" si="228">G114-O114</f>
        <v>1602694.94</v>
      </c>
      <c r="R114" s="2">
        <f t="shared" si="228"/>
        <v>2035750.16</v>
      </c>
      <c r="S114" s="2"/>
      <c r="T114" s="2"/>
      <c r="U114" s="2"/>
      <c r="V114" s="2"/>
      <c r="W114" s="2"/>
      <c r="X114" s="2"/>
      <c r="Y114" s="2"/>
      <c r="Z114" s="2"/>
    </row>
    <row r="115">
      <c r="A115" s="2">
        <f>IFERROR(__xludf.DUMMYFUNCTION("""COMPUTED_VALUE"""),4.0)</f>
        <v>4</v>
      </c>
      <c r="B115" s="2" t="str">
        <f>IFERROR(__xludf.DUMMYFUNCTION("""COMPUTED_VALUE"""),"Lucknow")</f>
        <v>Lucknow</v>
      </c>
      <c r="C115" s="2" t="str">
        <f>IFERROR(__xludf.DUMMYFUNCTION("""COMPUTED_VALUE"""),"NutriKid")</f>
        <v>NutriKid</v>
      </c>
      <c r="D115" s="2">
        <f>IFERROR(__xludf.DUMMYFUNCTION("""COMPUTED_VALUE"""),22620.0)</f>
        <v>22620</v>
      </c>
      <c r="E115" s="2">
        <f>IFERROR(__xludf.DUMMYFUNCTION("""COMPUTED_VALUE"""),25108.0)</f>
        <v>25108</v>
      </c>
      <c r="F115" s="2" t="str">
        <f>IFERROR(__xludf.DUMMYFUNCTION("""COMPUTED_VALUE"""),"IPLMARKETTING")</f>
        <v>IPLMARKETTING</v>
      </c>
      <c r="G115" s="2">
        <f t="shared" si="3"/>
        <v>1221480</v>
      </c>
      <c r="H115" s="2">
        <f t="shared" si="4"/>
        <v>1506480</v>
      </c>
      <c r="I115" s="2" t="str">
        <f>IF(or(B115='Regional Details'!$A$5,B115='Regional Details'!$A$6,B115='Regional Details'!$A$7,B115='Regional Details'!$A$8),'Regional Details'!$B$2,if(OR(B115='Regional Details'!$D$5,B115='Regional Details'!$D$6,B115='Regional Details'!$D$7,B115='Regional Details'!$D$8),'Regional Details'!$E$2,if(or(B115='Regional Details'!$G$5,B115='Regional Details'!$G$6,B115='Regional Details'!$G$7,B115='Regional Details'!$G$8),'Regional Details'!$H$2,'Regional Details'!$K$2)))</f>
        <v>North</v>
      </c>
      <c r="J115" s="2" t="str">
        <f>if(I115='Regional Details'!$B$2,'Regional Details'!$B$3,if(I115='Regional Details'!$E$2,'Regional Details'!$E$3,if(I115='Regional Details'!$H$2,'Regional Details'!$H$3,'Regional Details'!$K$3)))</f>
        <v>Ajay Kumar</v>
      </c>
      <c r="K115" s="8">
        <f t="array" ref="K115">IFERROR(XLOOKUP(B115,'Regional Details'!$A$5:$A$8,'Regional Details'!$B$5:$B$8),IFERROR(XLOOKUP(B115,'Regional Details'!$D$5:$D$8,'Regional Details'!$E$5:$E$8),IFERROR(xlookup(B115,'Regional Details'!$G$5:$G$8,'Regional Details'!$H$5:$H$8),XLOOKUP(B115,'Regional Details'!$J$5:$J$8,'Regional Details'!$K$5:$K$8))))</f>
        <v>0.1</v>
      </c>
      <c r="L115" s="2" t="str">
        <f>VLOOKUP(A115,MonthMapping!$A$2:$B$13,2,false)</f>
        <v>April</v>
      </c>
      <c r="M115" s="9">
        <f>if(C115=$C$2,Contribution_Old!$B$22,Contribution_Old!$B$23)</f>
        <v>24.108</v>
      </c>
      <c r="N115" s="9">
        <f>if(C115=$C$2,Contribution_New!$B$23,Contribution_New!$B$24)</f>
        <v>30.108</v>
      </c>
      <c r="O115" s="2">
        <f t="shared" ref="O115:P115" si="229">M115*D115</f>
        <v>545322.96</v>
      </c>
      <c r="P115" s="2">
        <f t="shared" si="229"/>
        <v>755951.664</v>
      </c>
      <c r="Q115" s="2">
        <f t="shared" ref="Q115:R115" si="230">G115-O115</f>
        <v>676157.04</v>
      </c>
      <c r="R115" s="2">
        <f t="shared" si="230"/>
        <v>750528.336</v>
      </c>
      <c r="S115" s="2"/>
      <c r="T115" s="2"/>
      <c r="U115" s="2"/>
      <c r="V115" s="2"/>
      <c r="W115" s="2"/>
      <c r="X115" s="2"/>
      <c r="Y115" s="2"/>
      <c r="Z115" s="2"/>
    </row>
    <row r="116">
      <c r="A116" s="2">
        <f>IFERROR(__xludf.DUMMYFUNCTION("""COMPUTED_VALUE"""),4.0)</f>
        <v>4</v>
      </c>
      <c r="B116" s="2" t="str">
        <f>IFERROR(__xludf.DUMMYFUNCTION("""COMPUTED_VALUE"""),"Ranchi")</f>
        <v>Ranchi</v>
      </c>
      <c r="C116" s="2" t="str">
        <f>IFERROR(__xludf.DUMMYFUNCTION("""COMPUTED_VALUE"""),"ZestVita")</f>
        <v>ZestVita</v>
      </c>
      <c r="D116" s="2">
        <f>IFERROR(__xludf.DUMMYFUNCTION("""COMPUTED_VALUE"""),29782.0)</f>
        <v>29782</v>
      </c>
      <c r="E116" s="2">
        <f>IFERROR(__xludf.DUMMYFUNCTION("""COMPUTED_VALUE"""),30378.0)</f>
        <v>30378</v>
      </c>
      <c r="F116" s="2" t="str">
        <f>IFERROR(__xludf.DUMMYFUNCTION("""COMPUTED_VALUE"""),"IPLMARKETTING")</f>
        <v>IPLMARKETTING</v>
      </c>
      <c r="G116" s="2">
        <f t="shared" si="3"/>
        <v>3819541.5</v>
      </c>
      <c r="H116" s="2">
        <f t="shared" si="4"/>
        <v>4101030</v>
      </c>
      <c r="I116" s="2" t="str">
        <f>IF(or(B116='Regional Details'!$A$5,B116='Regional Details'!$A$6,B116='Regional Details'!$A$7,B116='Regional Details'!$A$8),'Regional Details'!$B$2,if(OR(B116='Regional Details'!$D$5,B116='Regional Details'!$D$6,B116='Regional Details'!$D$7,B116='Regional Details'!$D$8),'Regional Details'!$E$2,if(or(B116='Regional Details'!$G$5,B116='Regional Details'!$G$6,B116='Regional Details'!$G$7,B116='Regional Details'!$G$8),'Regional Details'!$H$2,'Regional Details'!$K$2)))</f>
        <v>East</v>
      </c>
      <c r="J116" s="2" t="str">
        <f>if(I116='Regional Details'!$B$2,'Regional Details'!$B$3,if(I116='Regional Details'!$E$2,'Regional Details'!$E$3,if(I116='Regional Details'!$H$2,'Regional Details'!$H$3,'Regional Details'!$K$3)))</f>
        <v>Tanvi Sharma</v>
      </c>
      <c r="K116" s="8">
        <f t="array" ref="K116">IFERROR(XLOOKUP(B116,'Regional Details'!$A$5:$A$8,'Regional Details'!$B$5:$B$8),IFERROR(XLOOKUP(B116,'Regional Details'!$D$5:$D$8,'Regional Details'!$E$5:$E$8),IFERROR(xlookup(B116,'Regional Details'!$G$5:$G$8,'Regional Details'!$H$5:$H$8),XLOOKUP(B116,'Regional Details'!$J$5:$J$8,'Regional Details'!$K$5:$K$8))))</f>
        <v>0.05</v>
      </c>
      <c r="L116" s="2" t="str">
        <f>VLOOKUP(A116,MonthMapping!$A$2:$B$13,2,false)</f>
        <v>April</v>
      </c>
      <c r="M116" s="9">
        <f>if(C116=$C$2,Contribution_Old!$B$22,Contribution_Old!$B$23)</f>
        <v>55.84</v>
      </c>
      <c r="N116" s="9">
        <f>if(C116=$C$2,Contribution_New!$B$23,Contribution_New!$B$24)</f>
        <v>61.84</v>
      </c>
      <c r="O116" s="2">
        <f t="shared" ref="O116:P116" si="231">M116*D116</f>
        <v>1663026.88</v>
      </c>
      <c r="P116" s="2">
        <f t="shared" si="231"/>
        <v>1878575.52</v>
      </c>
      <c r="Q116" s="2">
        <f t="shared" ref="Q116:R116" si="232">G116-O116</f>
        <v>2156514.62</v>
      </c>
      <c r="R116" s="2">
        <f t="shared" si="232"/>
        <v>2222454.48</v>
      </c>
      <c r="S116" s="2"/>
      <c r="T116" s="2"/>
      <c r="U116" s="2"/>
      <c r="V116" s="2"/>
      <c r="W116" s="2"/>
      <c r="X116" s="2"/>
      <c r="Y116" s="2"/>
      <c r="Z116" s="2"/>
    </row>
    <row r="117">
      <c r="A117" s="2">
        <f>IFERROR(__xludf.DUMMYFUNCTION("""COMPUTED_VALUE"""),4.0)</f>
        <v>4</v>
      </c>
      <c r="B117" s="2" t="str">
        <f>IFERROR(__xludf.DUMMYFUNCTION("""COMPUTED_VALUE"""),"Ranchi")</f>
        <v>Ranchi</v>
      </c>
      <c r="C117" s="2" t="str">
        <f>IFERROR(__xludf.DUMMYFUNCTION("""COMPUTED_VALUE"""),"NutriKid")</f>
        <v>NutriKid</v>
      </c>
      <c r="D117" s="2">
        <f>IFERROR(__xludf.DUMMYFUNCTION("""COMPUTED_VALUE"""),19097.0)</f>
        <v>19097</v>
      </c>
      <c r="E117" s="2">
        <f>IFERROR(__xludf.DUMMYFUNCTION("""COMPUTED_VALUE"""),20052.0)</f>
        <v>20052</v>
      </c>
      <c r="F117" s="2" t="str">
        <f>IFERROR(__xludf.DUMMYFUNCTION("""COMPUTED_VALUE"""),"IPLMARKETTING")</f>
        <v>IPLMARKETTING</v>
      </c>
      <c r="G117" s="2">
        <f t="shared" si="3"/>
        <v>1088529</v>
      </c>
      <c r="H117" s="2">
        <f t="shared" si="4"/>
        <v>1203120</v>
      </c>
      <c r="I117" s="2" t="str">
        <f>IF(or(B117='Regional Details'!$A$5,B117='Regional Details'!$A$6,B117='Regional Details'!$A$7,B117='Regional Details'!$A$8),'Regional Details'!$B$2,if(OR(B117='Regional Details'!$D$5,B117='Regional Details'!$D$6,B117='Regional Details'!$D$7,B117='Regional Details'!$D$8),'Regional Details'!$E$2,if(or(B117='Regional Details'!$G$5,B117='Regional Details'!$G$6,B117='Regional Details'!$G$7,B117='Regional Details'!$G$8),'Regional Details'!$H$2,'Regional Details'!$K$2)))</f>
        <v>East</v>
      </c>
      <c r="J117" s="2" t="str">
        <f>if(I117='Regional Details'!$B$2,'Regional Details'!$B$3,if(I117='Regional Details'!$E$2,'Regional Details'!$E$3,if(I117='Regional Details'!$H$2,'Regional Details'!$H$3,'Regional Details'!$K$3)))</f>
        <v>Tanvi Sharma</v>
      </c>
      <c r="K117" s="8">
        <f t="array" ref="K117">IFERROR(XLOOKUP(B117,'Regional Details'!$A$5:$A$8,'Regional Details'!$B$5:$B$8),IFERROR(XLOOKUP(B117,'Regional Details'!$D$5:$D$8,'Regional Details'!$E$5:$E$8),IFERROR(xlookup(B117,'Regional Details'!$G$5:$G$8,'Regional Details'!$H$5:$H$8),XLOOKUP(B117,'Regional Details'!$J$5:$J$8,'Regional Details'!$K$5:$K$8))))</f>
        <v>0.05</v>
      </c>
      <c r="L117" s="2" t="str">
        <f>VLOOKUP(A117,MonthMapping!$A$2:$B$13,2,false)</f>
        <v>April</v>
      </c>
      <c r="M117" s="9">
        <f>if(C117=$C$2,Contribution_Old!$B$22,Contribution_Old!$B$23)</f>
        <v>24.108</v>
      </c>
      <c r="N117" s="9">
        <f>if(C117=$C$2,Contribution_New!$B$23,Contribution_New!$B$24)</f>
        <v>30.108</v>
      </c>
      <c r="O117" s="2">
        <f t="shared" ref="O117:P117" si="233">M117*D117</f>
        <v>460390.476</v>
      </c>
      <c r="P117" s="2">
        <f t="shared" si="233"/>
        <v>603725.616</v>
      </c>
      <c r="Q117" s="2">
        <f t="shared" ref="Q117:R117" si="234">G117-O117</f>
        <v>628138.524</v>
      </c>
      <c r="R117" s="2">
        <f t="shared" si="234"/>
        <v>599394.384</v>
      </c>
      <c r="S117" s="2"/>
      <c r="T117" s="2"/>
      <c r="U117" s="2"/>
      <c r="V117" s="2"/>
      <c r="W117" s="2"/>
      <c r="X117" s="2"/>
      <c r="Y117" s="2"/>
      <c r="Z117" s="2"/>
    </row>
    <row r="118">
      <c r="A118" s="2">
        <f>IFERROR(__xludf.DUMMYFUNCTION("""COMPUTED_VALUE"""),4.0)</f>
        <v>4</v>
      </c>
      <c r="B118" s="2" t="str">
        <f>IFERROR(__xludf.DUMMYFUNCTION("""COMPUTED_VALUE"""),"Surat")</f>
        <v>Surat</v>
      </c>
      <c r="C118" s="2" t="str">
        <f>IFERROR(__xludf.DUMMYFUNCTION("""COMPUTED_VALUE"""),"ZestVita")</f>
        <v>ZestVita</v>
      </c>
      <c r="D118" s="2">
        <f>IFERROR(__xludf.DUMMYFUNCTION("""COMPUTED_VALUE"""),28078.0)</f>
        <v>28078</v>
      </c>
      <c r="E118" s="2">
        <f>IFERROR(__xludf.DUMMYFUNCTION("""COMPUTED_VALUE"""),30043.0)</f>
        <v>30043</v>
      </c>
      <c r="F118" s="2" t="str">
        <f>IFERROR(__xludf.DUMMYFUNCTION("""COMPUTED_VALUE"""),"IPLMARKETTING")</f>
        <v>IPLMARKETTING</v>
      </c>
      <c r="G118" s="2">
        <f t="shared" si="3"/>
        <v>3601003.5</v>
      </c>
      <c r="H118" s="2">
        <f t="shared" si="4"/>
        <v>4055805</v>
      </c>
      <c r="I118" s="2" t="str">
        <f>IF(or(B118='Regional Details'!$A$5,B118='Regional Details'!$A$6,B118='Regional Details'!$A$7,B118='Regional Details'!$A$8),'Regional Details'!$B$2,if(OR(B118='Regional Details'!$D$5,B118='Regional Details'!$D$6,B118='Regional Details'!$D$7,B118='Regional Details'!$D$8),'Regional Details'!$E$2,if(or(B118='Regional Details'!$G$5,B118='Regional Details'!$G$6,B118='Regional Details'!$G$7,B118='Regional Details'!$G$8),'Regional Details'!$H$2,'Regional Details'!$K$2)))</f>
        <v>West</v>
      </c>
      <c r="J118" s="2" t="str">
        <f>if(I118='Regional Details'!$B$2,'Regional Details'!$B$3,if(I118='Regional Details'!$E$2,'Regional Details'!$E$3,if(I118='Regional Details'!$H$2,'Regional Details'!$H$3,'Regional Details'!$K$3)))</f>
        <v>Ajay Ghosh</v>
      </c>
      <c r="K118" s="8">
        <f t="array" ref="K118">IFERROR(XLOOKUP(B118,'Regional Details'!$A$5:$A$8,'Regional Details'!$B$5:$B$8),IFERROR(XLOOKUP(B118,'Regional Details'!$D$5:$D$8,'Regional Details'!$E$5:$E$8),IFERROR(xlookup(B118,'Regional Details'!$G$5:$G$8,'Regional Details'!$H$5:$H$8),XLOOKUP(B118,'Regional Details'!$J$5:$J$8,'Regional Details'!$K$5:$K$8))))</f>
        <v>0.05</v>
      </c>
      <c r="L118" s="2" t="str">
        <f>VLOOKUP(A118,MonthMapping!$A$2:$B$13,2,false)</f>
        <v>April</v>
      </c>
      <c r="M118" s="9">
        <f>if(C118=$C$2,Contribution_Old!$B$22,Contribution_Old!$B$23)</f>
        <v>55.84</v>
      </c>
      <c r="N118" s="9">
        <f>if(C118=$C$2,Contribution_New!$B$23,Contribution_New!$B$24)</f>
        <v>61.84</v>
      </c>
      <c r="O118" s="2">
        <f t="shared" ref="O118:P118" si="235">M118*D118</f>
        <v>1567875.52</v>
      </c>
      <c r="P118" s="2">
        <f t="shared" si="235"/>
        <v>1857859.12</v>
      </c>
      <c r="Q118" s="2">
        <f t="shared" ref="Q118:R118" si="236">G118-O118</f>
        <v>2033127.98</v>
      </c>
      <c r="R118" s="2">
        <f t="shared" si="236"/>
        <v>2197945.88</v>
      </c>
      <c r="S118" s="2"/>
      <c r="T118" s="2"/>
      <c r="U118" s="2"/>
      <c r="V118" s="2"/>
      <c r="W118" s="2"/>
      <c r="X118" s="2"/>
      <c r="Y118" s="2"/>
      <c r="Z118" s="2"/>
    </row>
    <row r="119">
      <c r="A119" s="2">
        <f>IFERROR(__xludf.DUMMYFUNCTION("""COMPUTED_VALUE"""),4.0)</f>
        <v>4</v>
      </c>
      <c r="B119" s="2" t="str">
        <f>IFERROR(__xludf.DUMMYFUNCTION("""COMPUTED_VALUE"""),"Surat")</f>
        <v>Surat</v>
      </c>
      <c r="C119" s="2" t="str">
        <f>IFERROR(__xludf.DUMMYFUNCTION("""COMPUTED_VALUE"""),"NutriKid")</f>
        <v>NutriKid</v>
      </c>
      <c r="D119" s="2">
        <f>IFERROR(__xludf.DUMMYFUNCTION("""COMPUTED_VALUE"""),22384.0)</f>
        <v>22384</v>
      </c>
      <c r="E119" s="2">
        <f>IFERROR(__xludf.DUMMYFUNCTION("""COMPUTED_VALUE"""),22832.0)</f>
        <v>22832</v>
      </c>
      <c r="F119" s="2" t="str">
        <f>IFERROR(__xludf.DUMMYFUNCTION("""COMPUTED_VALUE"""),"IPLMARKETTING")</f>
        <v>IPLMARKETTING</v>
      </c>
      <c r="G119" s="2">
        <f t="shared" si="3"/>
        <v>1275888</v>
      </c>
      <c r="H119" s="2">
        <f t="shared" si="4"/>
        <v>1369920</v>
      </c>
      <c r="I119" s="2" t="str">
        <f>IF(or(B119='Regional Details'!$A$5,B119='Regional Details'!$A$6,B119='Regional Details'!$A$7,B119='Regional Details'!$A$8),'Regional Details'!$B$2,if(OR(B119='Regional Details'!$D$5,B119='Regional Details'!$D$6,B119='Regional Details'!$D$7,B119='Regional Details'!$D$8),'Regional Details'!$E$2,if(or(B119='Regional Details'!$G$5,B119='Regional Details'!$G$6,B119='Regional Details'!$G$7,B119='Regional Details'!$G$8),'Regional Details'!$H$2,'Regional Details'!$K$2)))</f>
        <v>West</v>
      </c>
      <c r="J119" s="2" t="str">
        <f>if(I119='Regional Details'!$B$2,'Regional Details'!$B$3,if(I119='Regional Details'!$E$2,'Regional Details'!$E$3,if(I119='Regional Details'!$H$2,'Regional Details'!$H$3,'Regional Details'!$K$3)))</f>
        <v>Ajay Ghosh</v>
      </c>
      <c r="K119" s="8">
        <f t="array" ref="K119">IFERROR(XLOOKUP(B119,'Regional Details'!$A$5:$A$8,'Regional Details'!$B$5:$B$8),IFERROR(XLOOKUP(B119,'Regional Details'!$D$5:$D$8,'Regional Details'!$E$5:$E$8),IFERROR(xlookup(B119,'Regional Details'!$G$5:$G$8,'Regional Details'!$H$5:$H$8),XLOOKUP(B119,'Regional Details'!$J$5:$J$8,'Regional Details'!$K$5:$K$8))))</f>
        <v>0.05</v>
      </c>
      <c r="L119" s="2" t="str">
        <f>VLOOKUP(A119,MonthMapping!$A$2:$B$13,2,false)</f>
        <v>April</v>
      </c>
      <c r="M119" s="9">
        <f>if(C119=$C$2,Contribution_Old!$B$22,Contribution_Old!$B$23)</f>
        <v>24.108</v>
      </c>
      <c r="N119" s="9">
        <f>if(C119=$C$2,Contribution_New!$B$23,Contribution_New!$B$24)</f>
        <v>30.108</v>
      </c>
      <c r="O119" s="2">
        <f t="shared" ref="O119:P119" si="237">M119*D119</f>
        <v>539633.472</v>
      </c>
      <c r="P119" s="2">
        <f t="shared" si="237"/>
        <v>687425.856</v>
      </c>
      <c r="Q119" s="2">
        <f t="shared" ref="Q119:R119" si="238">G119-O119</f>
        <v>736254.528</v>
      </c>
      <c r="R119" s="2">
        <f t="shared" si="238"/>
        <v>682494.144</v>
      </c>
      <c r="S119" s="2"/>
      <c r="T119" s="2"/>
      <c r="U119" s="2"/>
      <c r="V119" s="2"/>
      <c r="W119" s="2"/>
      <c r="X119" s="2"/>
      <c r="Y119" s="2"/>
      <c r="Z119" s="2"/>
    </row>
    <row r="120">
      <c r="A120" s="2">
        <f>IFERROR(__xludf.DUMMYFUNCTION("""COMPUTED_VALUE"""),4.0)</f>
        <v>4</v>
      </c>
      <c r="B120" s="2" t="str">
        <f>IFERROR(__xludf.DUMMYFUNCTION("""COMPUTED_VALUE"""),"Hyderabad")</f>
        <v>Hyderabad</v>
      </c>
      <c r="C120" s="2" t="str">
        <f>IFERROR(__xludf.DUMMYFUNCTION("""COMPUTED_VALUE"""),"ZestVita")</f>
        <v>ZestVita</v>
      </c>
      <c r="D120" s="2">
        <f>IFERROR(__xludf.DUMMYFUNCTION("""COMPUTED_VALUE"""),39124.0)</f>
        <v>39124</v>
      </c>
      <c r="E120" s="2">
        <f>IFERROR(__xludf.DUMMYFUNCTION("""COMPUTED_VALUE"""),48123.0)</f>
        <v>48123</v>
      </c>
      <c r="F120" s="2" t="str">
        <f>IFERROR(__xludf.DUMMYFUNCTION("""COMPUTED_VALUE"""),"IPLMARKETTING")</f>
        <v>IPLMARKETTING</v>
      </c>
      <c r="G120" s="2">
        <f t="shared" si="3"/>
        <v>5281740</v>
      </c>
      <c r="H120" s="2">
        <f t="shared" si="4"/>
        <v>6496605</v>
      </c>
      <c r="I120" s="2" t="str">
        <f>IF(or(B120='Regional Details'!$A$5,B120='Regional Details'!$A$6,B120='Regional Details'!$A$7,B120='Regional Details'!$A$8),'Regional Details'!$B$2,if(OR(B120='Regional Details'!$D$5,B120='Regional Details'!$D$6,B120='Regional Details'!$D$7,B120='Regional Details'!$D$8),'Regional Details'!$E$2,if(or(B120='Regional Details'!$G$5,B120='Regional Details'!$G$6,B120='Regional Details'!$G$7,B120='Regional Details'!$G$8),'Regional Details'!$H$2,'Regional Details'!$K$2)))</f>
        <v>South</v>
      </c>
      <c r="J120" s="2" t="str">
        <f>if(I120='Regional Details'!$B$2,'Regional Details'!$B$3,if(I120='Regional Details'!$E$2,'Regional Details'!$E$3,if(I120='Regional Details'!$H$2,'Regional Details'!$H$3,'Regional Details'!$K$3)))</f>
        <v>Anjali Krishna Murthy</v>
      </c>
      <c r="K120" s="8">
        <f t="array" ref="K120">IFERROR(XLOOKUP(B120,'Regional Details'!$A$5:$A$8,'Regional Details'!$B$5:$B$8),IFERROR(XLOOKUP(B120,'Regional Details'!$D$5:$D$8,'Regional Details'!$E$5:$E$8),IFERROR(xlookup(B120,'Regional Details'!$G$5:$G$8,'Regional Details'!$H$5:$H$8),XLOOKUP(B120,'Regional Details'!$J$5:$J$8,'Regional Details'!$K$5:$K$8))))</f>
        <v>0</v>
      </c>
      <c r="L120" s="2" t="str">
        <f>VLOOKUP(A120,MonthMapping!$A$2:$B$13,2,false)</f>
        <v>April</v>
      </c>
      <c r="M120" s="9">
        <f>if(C120=$C$2,Contribution_Old!$B$22,Contribution_Old!$B$23)</f>
        <v>55.84</v>
      </c>
      <c r="N120" s="9">
        <f>if(C120=$C$2,Contribution_New!$B$23,Contribution_New!$B$24)</f>
        <v>61.84</v>
      </c>
      <c r="O120" s="2">
        <f t="shared" ref="O120:P120" si="239">M120*D120</f>
        <v>2184684.16</v>
      </c>
      <c r="P120" s="2">
        <f t="shared" si="239"/>
        <v>2975926.32</v>
      </c>
      <c r="Q120" s="2">
        <f t="shared" ref="Q120:R120" si="240">G120-O120</f>
        <v>3097055.84</v>
      </c>
      <c r="R120" s="2">
        <f t="shared" si="240"/>
        <v>3520678.68</v>
      </c>
      <c r="S120" s="2"/>
      <c r="T120" s="2"/>
      <c r="U120" s="2"/>
      <c r="V120" s="2"/>
      <c r="W120" s="2"/>
      <c r="X120" s="2"/>
      <c r="Y120" s="2"/>
      <c r="Z120" s="2"/>
    </row>
    <row r="121">
      <c r="A121" s="2">
        <f>IFERROR(__xludf.DUMMYFUNCTION("""COMPUTED_VALUE"""),4.0)</f>
        <v>4</v>
      </c>
      <c r="B121" s="2" t="str">
        <f>IFERROR(__xludf.DUMMYFUNCTION("""COMPUTED_VALUE"""),"Hyderabad")</f>
        <v>Hyderabad</v>
      </c>
      <c r="C121" s="2" t="str">
        <f>IFERROR(__xludf.DUMMYFUNCTION("""COMPUTED_VALUE"""),"NutriKid")</f>
        <v>NutriKid</v>
      </c>
      <c r="D121" s="2">
        <f>IFERROR(__xludf.DUMMYFUNCTION("""COMPUTED_VALUE"""),38143.0)</f>
        <v>38143</v>
      </c>
      <c r="E121" s="2">
        <f>IFERROR(__xludf.DUMMYFUNCTION("""COMPUTED_VALUE"""),45772.0)</f>
        <v>45772</v>
      </c>
      <c r="F121" s="2" t="str">
        <f>IFERROR(__xludf.DUMMYFUNCTION("""COMPUTED_VALUE"""),"IPLMARKETTING")</f>
        <v>IPLMARKETTING</v>
      </c>
      <c r="G121" s="2">
        <f t="shared" si="3"/>
        <v>2288580</v>
      </c>
      <c r="H121" s="2">
        <f t="shared" si="4"/>
        <v>2746320</v>
      </c>
      <c r="I121" s="2" t="str">
        <f>IF(or(B121='Regional Details'!$A$5,B121='Regional Details'!$A$6,B121='Regional Details'!$A$7,B121='Regional Details'!$A$8),'Regional Details'!$B$2,if(OR(B121='Regional Details'!$D$5,B121='Regional Details'!$D$6,B121='Regional Details'!$D$7,B121='Regional Details'!$D$8),'Regional Details'!$E$2,if(or(B121='Regional Details'!$G$5,B121='Regional Details'!$G$6,B121='Regional Details'!$G$7,B121='Regional Details'!$G$8),'Regional Details'!$H$2,'Regional Details'!$K$2)))</f>
        <v>South</v>
      </c>
      <c r="J121" s="2" t="str">
        <f>if(I121='Regional Details'!$B$2,'Regional Details'!$B$3,if(I121='Regional Details'!$E$2,'Regional Details'!$E$3,if(I121='Regional Details'!$H$2,'Regional Details'!$H$3,'Regional Details'!$K$3)))</f>
        <v>Anjali Krishna Murthy</v>
      </c>
      <c r="K121" s="8">
        <f t="array" ref="K121">IFERROR(XLOOKUP(B121,'Regional Details'!$A$5:$A$8,'Regional Details'!$B$5:$B$8),IFERROR(XLOOKUP(B121,'Regional Details'!$D$5:$D$8,'Regional Details'!$E$5:$E$8),IFERROR(xlookup(B121,'Regional Details'!$G$5:$G$8,'Regional Details'!$H$5:$H$8),XLOOKUP(B121,'Regional Details'!$J$5:$J$8,'Regional Details'!$K$5:$K$8))))</f>
        <v>0</v>
      </c>
      <c r="L121" s="2" t="str">
        <f>VLOOKUP(A121,MonthMapping!$A$2:$B$13,2,false)</f>
        <v>April</v>
      </c>
      <c r="M121" s="9">
        <f>if(C121=$C$2,Contribution_Old!$B$22,Contribution_Old!$B$23)</f>
        <v>24.108</v>
      </c>
      <c r="N121" s="9">
        <f>if(C121=$C$2,Contribution_New!$B$23,Contribution_New!$B$24)</f>
        <v>30.108</v>
      </c>
      <c r="O121" s="2">
        <f t="shared" ref="O121:P121" si="241">M121*D121</f>
        <v>919551.444</v>
      </c>
      <c r="P121" s="2">
        <f t="shared" si="241"/>
        <v>1378103.376</v>
      </c>
      <c r="Q121" s="2">
        <f t="shared" ref="Q121:R121" si="242">G121-O121</f>
        <v>1369028.556</v>
      </c>
      <c r="R121" s="2">
        <f t="shared" si="242"/>
        <v>1368216.624</v>
      </c>
      <c r="S121" s="2"/>
      <c r="T121" s="2"/>
      <c r="U121" s="2"/>
      <c r="V121" s="2"/>
      <c r="W121" s="2"/>
      <c r="X121" s="2"/>
      <c r="Y121" s="2"/>
      <c r="Z121" s="2"/>
    </row>
    <row r="122">
      <c r="A122" s="2">
        <f>IFERROR(__xludf.DUMMYFUNCTION("""COMPUTED_VALUE"""),4.0)</f>
        <v>4</v>
      </c>
      <c r="B122" s="2" t="str">
        <f>IFERROR(__xludf.DUMMYFUNCTION("""COMPUTED_VALUE"""),"Dehradun")</f>
        <v>Dehradun</v>
      </c>
      <c r="C122" s="2" t="str">
        <f>IFERROR(__xludf.DUMMYFUNCTION("""COMPUTED_VALUE"""),"ZestVita")</f>
        <v>ZestVita</v>
      </c>
      <c r="D122" s="2">
        <f>IFERROR(__xludf.DUMMYFUNCTION("""COMPUTED_VALUE"""),23876.0)</f>
        <v>23876</v>
      </c>
      <c r="E122" s="2">
        <f>IFERROR(__xludf.DUMMYFUNCTION("""COMPUTED_VALUE"""),24592.0)</f>
        <v>24592</v>
      </c>
      <c r="F122" s="2" t="str">
        <f>IFERROR(__xludf.DUMMYFUNCTION("""COMPUTED_VALUE"""),"IPLMARKETTING")</f>
        <v>IPLMARKETTING</v>
      </c>
      <c r="G122" s="2">
        <f t="shared" si="3"/>
        <v>2820352.5</v>
      </c>
      <c r="H122" s="2">
        <f t="shared" si="4"/>
        <v>3319920</v>
      </c>
      <c r="I122" s="2" t="str">
        <f>IF(or(B122='Regional Details'!$A$5,B122='Regional Details'!$A$6,B122='Regional Details'!$A$7,B122='Regional Details'!$A$8),'Regional Details'!$B$2,if(OR(B122='Regional Details'!$D$5,B122='Regional Details'!$D$6,B122='Regional Details'!$D$7,B122='Regional Details'!$D$8),'Regional Details'!$E$2,if(or(B122='Regional Details'!$G$5,B122='Regional Details'!$G$6,B122='Regional Details'!$G$7,B122='Regional Details'!$G$8),'Regional Details'!$H$2,'Regional Details'!$K$2)))</f>
        <v>North</v>
      </c>
      <c r="J122" s="2" t="str">
        <f>if(I122='Regional Details'!$B$2,'Regional Details'!$B$3,if(I122='Regional Details'!$E$2,'Regional Details'!$E$3,if(I122='Regional Details'!$H$2,'Regional Details'!$H$3,'Regional Details'!$K$3)))</f>
        <v>Ajay Kumar</v>
      </c>
      <c r="K122" s="8">
        <f t="array" ref="K122">IFERROR(XLOOKUP(B122,'Regional Details'!$A$5:$A$8,'Regional Details'!$B$5:$B$8),IFERROR(XLOOKUP(B122,'Regional Details'!$D$5:$D$8,'Regional Details'!$E$5:$E$8),IFERROR(xlookup(B122,'Regional Details'!$G$5:$G$8,'Regional Details'!$H$5:$H$8),XLOOKUP(B122,'Regional Details'!$J$5:$J$8,'Regional Details'!$K$5:$K$8))))</f>
        <v>0.125</v>
      </c>
      <c r="L122" s="2" t="str">
        <f>VLOOKUP(A122,MonthMapping!$A$2:$B$13,2,false)</f>
        <v>April</v>
      </c>
      <c r="M122" s="9">
        <f>if(C122=$C$2,Contribution_Old!$B$22,Contribution_Old!$B$23)</f>
        <v>55.84</v>
      </c>
      <c r="N122" s="9">
        <f>if(C122=$C$2,Contribution_New!$B$23,Contribution_New!$B$24)</f>
        <v>61.84</v>
      </c>
      <c r="O122" s="2">
        <f t="shared" ref="O122:P122" si="243">M122*D122</f>
        <v>1333235.84</v>
      </c>
      <c r="P122" s="2">
        <f t="shared" si="243"/>
        <v>1520769.28</v>
      </c>
      <c r="Q122" s="2">
        <f t="shared" ref="Q122:R122" si="244">G122-O122</f>
        <v>1487116.66</v>
      </c>
      <c r="R122" s="2">
        <f t="shared" si="244"/>
        <v>1799150.72</v>
      </c>
      <c r="S122" s="2"/>
      <c r="T122" s="2"/>
      <c r="U122" s="2"/>
      <c r="V122" s="2"/>
      <c r="W122" s="2"/>
      <c r="X122" s="2"/>
      <c r="Y122" s="2"/>
      <c r="Z122" s="2"/>
    </row>
    <row r="123">
      <c r="A123" s="2">
        <f>IFERROR(__xludf.DUMMYFUNCTION("""COMPUTED_VALUE"""),4.0)</f>
        <v>4</v>
      </c>
      <c r="B123" s="2" t="str">
        <f>IFERROR(__xludf.DUMMYFUNCTION("""COMPUTED_VALUE"""),"Dehradun")</f>
        <v>Dehradun</v>
      </c>
      <c r="C123" s="2" t="str">
        <f>IFERROR(__xludf.DUMMYFUNCTION("""COMPUTED_VALUE"""),"NutriKid")</f>
        <v>NutriKid</v>
      </c>
      <c r="D123" s="2">
        <f>IFERROR(__xludf.DUMMYFUNCTION("""COMPUTED_VALUE"""),14828.0)</f>
        <v>14828</v>
      </c>
      <c r="E123" s="2">
        <f>IFERROR(__xludf.DUMMYFUNCTION("""COMPUTED_VALUE"""),16014.0)</f>
        <v>16014</v>
      </c>
      <c r="F123" s="2" t="str">
        <f>IFERROR(__xludf.DUMMYFUNCTION("""COMPUTED_VALUE"""),"IPLMARKETTING")</f>
        <v>IPLMARKETTING</v>
      </c>
      <c r="G123" s="2">
        <f t="shared" si="3"/>
        <v>778470</v>
      </c>
      <c r="H123" s="2">
        <f t="shared" si="4"/>
        <v>960840</v>
      </c>
      <c r="I123" s="2" t="str">
        <f>IF(or(B123='Regional Details'!$A$5,B123='Regional Details'!$A$6,B123='Regional Details'!$A$7,B123='Regional Details'!$A$8),'Regional Details'!$B$2,if(OR(B123='Regional Details'!$D$5,B123='Regional Details'!$D$6,B123='Regional Details'!$D$7,B123='Regional Details'!$D$8),'Regional Details'!$E$2,if(or(B123='Regional Details'!$G$5,B123='Regional Details'!$G$6,B123='Regional Details'!$G$7,B123='Regional Details'!$G$8),'Regional Details'!$H$2,'Regional Details'!$K$2)))</f>
        <v>North</v>
      </c>
      <c r="J123" s="2" t="str">
        <f>if(I123='Regional Details'!$B$2,'Regional Details'!$B$3,if(I123='Regional Details'!$E$2,'Regional Details'!$E$3,if(I123='Regional Details'!$H$2,'Regional Details'!$H$3,'Regional Details'!$K$3)))</f>
        <v>Ajay Kumar</v>
      </c>
      <c r="K123" s="8">
        <f t="array" ref="K123">IFERROR(XLOOKUP(B123,'Regional Details'!$A$5:$A$8,'Regional Details'!$B$5:$B$8),IFERROR(XLOOKUP(B123,'Regional Details'!$D$5:$D$8,'Regional Details'!$E$5:$E$8),IFERROR(xlookup(B123,'Regional Details'!$G$5:$G$8,'Regional Details'!$H$5:$H$8),XLOOKUP(B123,'Regional Details'!$J$5:$J$8,'Regional Details'!$K$5:$K$8))))</f>
        <v>0.125</v>
      </c>
      <c r="L123" s="2" t="str">
        <f>VLOOKUP(A123,MonthMapping!$A$2:$B$13,2,false)</f>
        <v>April</v>
      </c>
      <c r="M123" s="9">
        <f>if(C123=$C$2,Contribution_Old!$B$22,Contribution_Old!$B$23)</f>
        <v>24.108</v>
      </c>
      <c r="N123" s="9">
        <f>if(C123=$C$2,Contribution_New!$B$23,Contribution_New!$B$24)</f>
        <v>30.108</v>
      </c>
      <c r="O123" s="2">
        <f t="shared" ref="O123:P123" si="245">M123*D123</f>
        <v>357473.424</v>
      </c>
      <c r="P123" s="2">
        <f t="shared" si="245"/>
        <v>482149.512</v>
      </c>
      <c r="Q123" s="2">
        <f t="shared" ref="Q123:R123" si="246">G123-O123</f>
        <v>420996.576</v>
      </c>
      <c r="R123" s="2">
        <f t="shared" si="246"/>
        <v>478690.488</v>
      </c>
      <c r="S123" s="2"/>
      <c r="T123" s="2"/>
      <c r="U123" s="2"/>
      <c r="V123" s="2"/>
      <c r="W123" s="2"/>
      <c r="X123" s="2"/>
      <c r="Y123" s="2"/>
      <c r="Z123" s="2"/>
    </row>
    <row r="124">
      <c r="A124" s="2">
        <f>IFERROR(__xludf.DUMMYFUNCTION("""COMPUTED_VALUE"""),4.0)</f>
        <v>4</v>
      </c>
      <c r="B124" s="2" t="str">
        <f>IFERROR(__xludf.DUMMYFUNCTION("""COMPUTED_VALUE"""),"Kochi")</f>
        <v>Kochi</v>
      </c>
      <c r="C124" s="2" t="str">
        <f>IFERROR(__xludf.DUMMYFUNCTION("""COMPUTED_VALUE"""),"ZestVita")</f>
        <v>ZestVita</v>
      </c>
      <c r="D124" s="2">
        <f>IFERROR(__xludf.DUMMYFUNCTION("""COMPUTED_VALUE"""),25957.0)</f>
        <v>25957</v>
      </c>
      <c r="E124" s="2">
        <f>IFERROR(__xludf.DUMMYFUNCTION("""COMPUTED_VALUE"""),26995.0)</f>
        <v>26995</v>
      </c>
      <c r="F124" s="2" t="str">
        <f>IFERROR(__xludf.DUMMYFUNCTION("""COMPUTED_VALUE"""),"IPLMARKETTING")</f>
        <v>IPLMARKETTING</v>
      </c>
      <c r="G124" s="2">
        <f t="shared" si="3"/>
        <v>3153775.5</v>
      </c>
      <c r="H124" s="2">
        <f t="shared" si="4"/>
        <v>3644325</v>
      </c>
      <c r="I124" s="2" t="str">
        <f>IF(or(B124='Regional Details'!$A$5,B124='Regional Details'!$A$6,B124='Regional Details'!$A$7,B124='Regional Details'!$A$8),'Regional Details'!$B$2,if(OR(B124='Regional Details'!$D$5,B124='Regional Details'!$D$6,B124='Regional Details'!$D$7,B124='Regional Details'!$D$8),'Regional Details'!$E$2,if(or(B124='Regional Details'!$G$5,B124='Regional Details'!$G$6,B124='Regional Details'!$G$7,B124='Regional Details'!$G$8),'Regional Details'!$H$2,'Regional Details'!$K$2)))</f>
        <v>South</v>
      </c>
      <c r="J124" s="2" t="str">
        <f>if(I124='Regional Details'!$B$2,'Regional Details'!$B$3,if(I124='Regional Details'!$E$2,'Regional Details'!$E$3,if(I124='Regional Details'!$H$2,'Regional Details'!$H$3,'Regional Details'!$K$3)))</f>
        <v>Anjali Krishna Murthy</v>
      </c>
      <c r="K124" s="8">
        <f t="array" ref="K124">IFERROR(XLOOKUP(B124,'Regional Details'!$A$5:$A$8,'Regional Details'!$B$5:$B$8),IFERROR(XLOOKUP(B124,'Regional Details'!$D$5:$D$8,'Regional Details'!$E$5:$E$8),IFERROR(xlookup(B124,'Regional Details'!$G$5:$G$8,'Regional Details'!$H$5:$H$8),XLOOKUP(B124,'Regional Details'!$J$5:$J$8,'Regional Details'!$K$5:$K$8))))</f>
        <v>0.1</v>
      </c>
      <c r="L124" s="2" t="str">
        <f>VLOOKUP(A124,MonthMapping!$A$2:$B$13,2,false)</f>
        <v>April</v>
      </c>
      <c r="M124" s="9">
        <f>if(C124=$C$2,Contribution_Old!$B$22,Contribution_Old!$B$23)</f>
        <v>55.84</v>
      </c>
      <c r="N124" s="9">
        <f>if(C124=$C$2,Contribution_New!$B$23,Contribution_New!$B$24)</f>
        <v>61.84</v>
      </c>
      <c r="O124" s="2">
        <f t="shared" ref="O124:P124" si="247">M124*D124</f>
        <v>1449438.88</v>
      </c>
      <c r="P124" s="2">
        <f t="shared" si="247"/>
        <v>1669370.8</v>
      </c>
      <c r="Q124" s="2">
        <f t="shared" ref="Q124:R124" si="248">G124-O124</f>
        <v>1704336.62</v>
      </c>
      <c r="R124" s="2">
        <f t="shared" si="248"/>
        <v>1974954.2</v>
      </c>
      <c r="S124" s="2"/>
      <c r="T124" s="2"/>
      <c r="U124" s="2"/>
      <c r="V124" s="2"/>
      <c r="W124" s="2"/>
      <c r="X124" s="2"/>
      <c r="Y124" s="2"/>
      <c r="Z124" s="2"/>
    </row>
    <row r="125">
      <c r="A125" s="2">
        <f>IFERROR(__xludf.DUMMYFUNCTION("""COMPUTED_VALUE"""),4.0)</f>
        <v>4</v>
      </c>
      <c r="B125" s="2" t="str">
        <f>IFERROR(__xludf.DUMMYFUNCTION("""COMPUTED_VALUE"""),"Kochi")</f>
        <v>Kochi</v>
      </c>
      <c r="C125" s="2" t="str">
        <f>IFERROR(__xludf.DUMMYFUNCTION("""COMPUTED_VALUE"""),"NutriKid")</f>
        <v>NutriKid</v>
      </c>
      <c r="D125" s="2">
        <f>IFERROR(__xludf.DUMMYFUNCTION("""COMPUTED_VALUE"""),16492.0)</f>
        <v>16492</v>
      </c>
      <c r="E125" s="2">
        <f>IFERROR(__xludf.DUMMYFUNCTION("""COMPUTED_VALUE"""),17646.0)</f>
        <v>17646</v>
      </c>
      <c r="F125" s="2" t="str">
        <f>IFERROR(__xludf.DUMMYFUNCTION("""COMPUTED_VALUE"""),"IPLMARKETTING")</f>
        <v>IPLMARKETTING</v>
      </c>
      <c r="G125" s="2">
        <f t="shared" si="3"/>
        <v>890568</v>
      </c>
      <c r="H125" s="2">
        <f t="shared" si="4"/>
        <v>1058760</v>
      </c>
      <c r="I125" s="2" t="str">
        <f>IF(or(B125='Regional Details'!$A$5,B125='Regional Details'!$A$6,B125='Regional Details'!$A$7,B125='Regional Details'!$A$8),'Regional Details'!$B$2,if(OR(B125='Regional Details'!$D$5,B125='Regional Details'!$D$6,B125='Regional Details'!$D$7,B125='Regional Details'!$D$8),'Regional Details'!$E$2,if(or(B125='Regional Details'!$G$5,B125='Regional Details'!$G$6,B125='Regional Details'!$G$7,B125='Regional Details'!$G$8),'Regional Details'!$H$2,'Regional Details'!$K$2)))</f>
        <v>South</v>
      </c>
      <c r="J125" s="2" t="str">
        <f>if(I125='Regional Details'!$B$2,'Regional Details'!$B$3,if(I125='Regional Details'!$E$2,'Regional Details'!$E$3,if(I125='Regional Details'!$H$2,'Regional Details'!$H$3,'Regional Details'!$K$3)))</f>
        <v>Anjali Krishna Murthy</v>
      </c>
      <c r="K125" s="8">
        <f t="array" ref="K125">IFERROR(XLOOKUP(B125,'Regional Details'!$A$5:$A$8,'Regional Details'!$B$5:$B$8),IFERROR(XLOOKUP(B125,'Regional Details'!$D$5:$D$8,'Regional Details'!$E$5:$E$8),IFERROR(xlookup(B125,'Regional Details'!$G$5:$G$8,'Regional Details'!$H$5:$H$8),XLOOKUP(B125,'Regional Details'!$J$5:$J$8,'Regional Details'!$K$5:$K$8))))</f>
        <v>0.1</v>
      </c>
      <c r="L125" s="2" t="str">
        <f>VLOOKUP(A125,MonthMapping!$A$2:$B$13,2,false)</f>
        <v>April</v>
      </c>
      <c r="M125" s="9">
        <f>if(C125=$C$2,Contribution_Old!$B$22,Contribution_Old!$B$23)</f>
        <v>24.108</v>
      </c>
      <c r="N125" s="9">
        <f>if(C125=$C$2,Contribution_New!$B$23,Contribution_New!$B$24)</f>
        <v>30.108</v>
      </c>
      <c r="O125" s="2">
        <f t="shared" ref="O125:P125" si="249">M125*D125</f>
        <v>397589.136</v>
      </c>
      <c r="P125" s="2">
        <f t="shared" si="249"/>
        <v>531285.768</v>
      </c>
      <c r="Q125" s="2">
        <f t="shared" ref="Q125:R125" si="250">G125-O125</f>
        <v>492978.864</v>
      </c>
      <c r="R125" s="2">
        <f t="shared" si="250"/>
        <v>527474.232</v>
      </c>
      <c r="S125" s="2"/>
      <c r="T125" s="2"/>
      <c r="U125" s="2"/>
      <c r="V125" s="2"/>
      <c r="W125" s="2"/>
      <c r="X125" s="2"/>
      <c r="Y125" s="2"/>
      <c r="Z125" s="2"/>
    </row>
    <row r="126">
      <c r="A126" s="2">
        <f>IFERROR(__xludf.DUMMYFUNCTION("""COMPUTED_VALUE"""),4.0)</f>
        <v>4</v>
      </c>
      <c r="B126" s="2" t="str">
        <f>IFERROR(__xludf.DUMMYFUNCTION("""COMPUTED_VALUE"""),"Jaipur")</f>
        <v>Jaipur</v>
      </c>
      <c r="C126" s="2" t="str">
        <f>IFERROR(__xludf.DUMMYFUNCTION("""COMPUTED_VALUE"""),"ZestVita")</f>
        <v>ZestVita</v>
      </c>
      <c r="D126" s="2">
        <f>IFERROR(__xludf.DUMMYFUNCTION("""COMPUTED_VALUE"""),31626.0)</f>
        <v>31626</v>
      </c>
      <c r="E126" s="2">
        <f>IFERROR(__xludf.DUMMYFUNCTION("""COMPUTED_VALUE"""),38267.0)</f>
        <v>38267</v>
      </c>
      <c r="F126" s="2" t="str">
        <f>IFERROR(__xludf.DUMMYFUNCTION("""COMPUTED_VALUE"""),"IPLMARKETTING")</f>
        <v>IPLMARKETTING</v>
      </c>
      <c r="G126" s="2">
        <f t="shared" si="3"/>
        <v>4269510</v>
      </c>
      <c r="H126" s="2">
        <f t="shared" si="4"/>
        <v>5166045</v>
      </c>
      <c r="I126" s="2" t="str">
        <f>IF(or(B126='Regional Details'!$A$5,B126='Regional Details'!$A$6,B126='Regional Details'!$A$7,B126='Regional Details'!$A$8),'Regional Details'!$B$2,if(OR(B126='Regional Details'!$D$5,B126='Regional Details'!$D$6,B126='Regional Details'!$D$7,B126='Regional Details'!$D$8),'Regional Details'!$E$2,if(or(B126='Regional Details'!$G$5,B126='Regional Details'!$G$6,B126='Regional Details'!$G$7,B126='Regional Details'!$G$8),'Regional Details'!$H$2,'Regional Details'!$K$2)))</f>
        <v>West</v>
      </c>
      <c r="J126" s="2" t="str">
        <f>if(I126='Regional Details'!$B$2,'Regional Details'!$B$3,if(I126='Regional Details'!$E$2,'Regional Details'!$E$3,if(I126='Regional Details'!$H$2,'Regional Details'!$H$3,'Regional Details'!$K$3)))</f>
        <v>Ajay Ghosh</v>
      </c>
      <c r="K126" s="8">
        <f t="array" ref="K126">IFERROR(XLOOKUP(B126,'Regional Details'!$A$5:$A$8,'Regional Details'!$B$5:$B$8),IFERROR(XLOOKUP(B126,'Regional Details'!$D$5:$D$8,'Regional Details'!$E$5:$E$8),IFERROR(xlookup(B126,'Regional Details'!$G$5:$G$8,'Regional Details'!$H$5:$H$8),XLOOKUP(B126,'Regional Details'!$J$5:$J$8,'Regional Details'!$K$5:$K$8))))</f>
        <v>0</v>
      </c>
      <c r="L126" s="2" t="str">
        <f>VLOOKUP(A126,MonthMapping!$A$2:$B$13,2,false)</f>
        <v>April</v>
      </c>
      <c r="M126" s="9">
        <f>if(C126=$C$2,Contribution_Old!$B$22,Contribution_Old!$B$23)</f>
        <v>55.84</v>
      </c>
      <c r="N126" s="9">
        <f>if(C126=$C$2,Contribution_New!$B$23,Contribution_New!$B$24)</f>
        <v>61.84</v>
      </c>
      <c r="O126" s="2">
        <f t="shared" ref="O126:P126" si="251">M126*D126</f>
        <v>1765995.84</v>
      </c>
      <c r="P126" s="2">
        <f t="shared" si="251"/>
        <v>2366431.28</v>
      </c>
      <c r="Q126" s="2">
        <f t="shared" ref="Q126:R126" si="252">G126-O126</f>
        <v>2503514.16</v>
      </c>
      <c r="R126" s="2">
        <f t="shared" si="252"/>
        <v>2799613.72</v>
      </c>
      <c r="S126" s="2"/>
      <c r="T126" s="2"/>
      <c r="U126" s="2"/>
      <c r="V126" s="2"/>
      <c r="W126" s="2"/>
      <c r="X126" s="2"/>
      <c r="Y126" s="2"/>
      <c r="Z126" s="2"/>
    </row>
    <row r="127">
      <c r="A127" s="2">
        <f>IFERROR(__xludf.DUMMYFUNCTION("""COMPUTED_VALUE"""),4.0)</f>
        <v>4</v>
      </c>
      <c r="B127" s="2" t="str">
        <f>IFERROR(__xludf.DUMMYFUNCTION("""COMPUTED_VALUE"""),"Jaipur")</f>
        <v>Jaipur</v>
      </c>
      <c r="C127" s="2" t="str">
        <f>IFERROR(__xludf.DUMMYFUNCTION("""COMPUTED_VALUE"""),"NutriKid")</f>
        <v>NutriKid</v>
      </c>
      <c r="D127" s="2">
        <f>IFERROR(__xludf.DUMMYFUNCTION("""COMPUTED_VALUE"""),24413.0)</f>
        <v>24413</v>
      </c>
      <c r="E127" s="2">
        <f>IFERROR(__xludf.DUMMYFUNCTION("""COMPUTED_VALUE"""),30516.0)</f>
        <v>30516</v>
      </c>
      <c r="F127" s="2" t="str">
        <f>IFERROR(__xludf.DUMMYFUNCTION("""COMPUTED_VALUE"""),"IPLMARKETTING")</f>
        <v>IPLMARKETTING</v>
      </c>
      <c r="G127" s="2">
        <f t="shared" si="3"/>
        <v>1464780</v>
      </c>
      <c r="H127" s="2">
        <f t="shared" si="4"/>
        <v>1830960</v>
      </c>
      <c r="I127" s="2" t="str">
        <f>IF(or(B127='Regional Details'!$A$5,B127='Regional Details'!$A$6,B127='Regional Details'!$A$7,B127='Regional Details'!$A$8),'Regional Details'!$B$2,if(OR(B127='Regional Details'!$D$5,B127='Regional Details'!$D$6,B127='Regional Details'!$D$7,B127='Regional Details'!$D$8),'Regional Details'!$E$2,if(or(B127='Regional Details'!$G$5,B127='Regional Details'!$G$6,B127='Regional Details'!$G$7,B127='Regional Details'!$G$8),'Regional Details'!$H$2,'Regional Details'!$K$2)))</f>
        <v>West</v>
      </c>
      <c r="J127" s="2" t="str">
        <f>if(I127='Regional Details'!$B$2,'Regional Details'!$B$3,if(I127='Regional Details'!$E$2,'Regional Details'!$E$3,if(I127='Regional Details'!$H$2,'Regional Details'!$H$3,'Regional Details'!$K$3)))</f>
        <v>Ajay Ghosh</v>
      </c>
      <c r="K127" s="8">
        <f t="array" ref="K127">IFERROR(XLOOKUP(B127,'Regional Details'!$A$5:$A$8,'Regional Details'!$B$5:$B$8),IFERROR(XLOOKUP(B127,'Regional Details'!$D$5:$D$8,'Regional Details'!$E$5:$E$8),IFERROR(xlookup(B127,'Regional Details'!$G$5:$G$8,'Regional Details'!$H$5:$H$8),XLOOKUP(B127,'Regional Details'!$J$5:$J$8,'Regional Details'!$K$5:$K$8))))</f>
        <v>0</v>
      </c>
      <c r="L127" s="2" t="str">
        <f>VLOOKUP(A127,MonthMapping!$A$2:$B$13,2,false)</f>
        <v>April</v>
      </c>
      <c r="M127" s="9">
        <f>if(C127=$C$2,Contribution_Old!$B$22,Contribution_Old!$B$23)</f>
        <v>24.108</v>
      </c>
      <c r="N127" s="9">
        <f>if(C127=$C$2,Contribution_New!$B$23,Contribution_New!$B$24)</f>
        <v>30.108</v>
      </c>
      <c r="O127" s="2">
        <f t="shared" ref="O127:P127" si="253">M127*D127</f>
        <v>588548.604</v>
      </c>
      <c r="P127" s="2">
        <f t="shared" si="253"/>
        <v>918775.728</v>
      </c>
      <c r="Q127" s="2">
        <f t="shared" ref="Q127:R127" si="254">G127-O127</f>
        <v>876231.396</v>
      </c>
      <c r="R127" s="2">
        <f t="shared" si="254"/>
        <v>912184.272</v>
      </c>
      <c r="S127" s="2"/>
      <c r="T127" s="2"/>
      <c r="U127" s="2"/>
      <c r="V127" s="2"/>
      <c r="W127" s="2"/>
      <c r="X127" s="2"/>
      <c r="Y127" s="2"/>
      <c r="Z127" s="2"/>
    </row>
    <row r="128">
      <c r="A128" s="2">
        <f>IFERROR(__xludf.DUMMYFUNCTION("""COMPUTED_VALUE"""),4.0)</f>
        <v>4</v>
      </c>
      <c r="B128" s="2" t="str">
        <f>IFERROR(__xludf.DUMMYFUNCTION("""COMPUTED_VALUE"""),"Patna")</f>
        <v>Patna</v>
      </c>
      <c r="C128" s="2" t="str">
        <f>IFERROR(__xludf.DUMMYFUNCTION("""COMPUTED_VALUE"""),"ZestVita")</f>
        <v>ZestVita</v>
      </c>
      <c r="D128" s="2">
        <f>IFERROR(__xludf.DUMMYFUNCTION("""COMPUTED_VALUE"""),26794.0)</f>
        <v>26794</v>
      </c>
      <c r="E128" s="2">
        <f>IFERROR(__xludf.DUMMYFUNCTION("""COMPUTED_VALUE"""),30545.0)</f>
        <v>30545</v>
      </c>
      <c r="F128" s="2" t="str">
        <f>IFERROR(__xludf.DUMMYFUNCTION("""COMPUTED_VALUE"""),"IPLMARKETTING")</f>
        <v>IPLMARKETTING</v>
      </c>
      <c r="G128" s="2">
        <f t="shared" si="3"/>
        <v>3436330.5</v>
      </c>
      <c r="H128" s="2">
        <f t="shared" si="4"/>
        <v>4123575</v>
      </c>
      <c r="I128" s="2" t="str">
        <f>IF(or(B128='Regional Details'!$A$5,B128='Regional Details'!$A$6,B128='Regional Details'!$A$7,B128='Regional Details'!$A$8),'Regional Details'!$B$2,if(OR(B128='Regional Details'!$D$5,B128='Regional Details'!$D$6,B128='Regional Details'!$D$7,B128='Regional Details'!$D$8),'Regional Details'!$E$2,if(or(B128='Regional Details'!$G$5,B128='Regional Details'!$G$6,B128='Regional Details'!$G$7,B128='Regional Details'!$G$8),'Regional Details'!$H$2,'Regional Details'!$K$2)))</f>
        <v>East</v>
      </c>
      <c r="J128" s="2" t="str">
        <f>if(I128='Regional Details'!$B$2,'Regional Details'!$B$3,if(I128='Regional Details'!$E$2,'Regional Details'!$E$3,if(I128='Regional Details'!$H$2,'Regional Details'!$H$3,'Regional Details'!$K$3)))</f>
        <v>Tanvi Sharma</v>
      </c>
      <c r="K128" s="8">
        <f t="array" ref="K128">IFERROR(XLOOKUP(B128,'Regional Details'!$A$5:$A$8,'Regional Details'!$B$5:$B$8),IFERROR(XLOOKUP(B128,'Regional Details'!$D$5:$D$8,'Regional Details'!$E$5:$E$8),IFERROR(xlookup(B128,'Regional Details'!$G$5:$G$8,'Regional Details'!$H$5:$H$8),XLOOKUP(B128,'Regional Details'!$J$5:$J$8,'Regional Details'!$K$5:$K$8))))</f>
        <v>0.05</v>
      </c>
      <c r="L128" s="2" t="str">
        <f>VLOOKUP(A128,MonthMapping!$A$2:$B$13,2,false)</f>
        <v>April</v>
      </c>
      <c r="M128" s="9">
        <f>if(C128=$C$2,Contribution_Old!$B$22,Contribution_Old!$B$23)</f>
        <v>55.84</v>
      </c>
      <c r="N128" s="9">
        <f>if(C128=$C$2,Contribution_New!$B$23,Contribution_New!$B$24)</f>
        <v>61.84</v>
      </c>
      <c r="O128" s="2">
        <f t="shared" ref="O128:P128" si="255">M128*D128</f>
        <v>1496176.96</v>
      </c>
      <c r="P128" s="2">
        <f t="shared" si="255"/>
        <v>1888902.8</v>
      </c>
      <c r="Q128" s="2">
        <f t="shared" ref="Q128:R128" si="256">G128-O128</f>
        <v>1940153.54</v>
      </c>
      <c r="R128" s="2">
        <f t="shared" si="256"/>
        <v>2234672.2</v>
      </c>
      <c r="S128" s="2"/>
      <c r="T128" s="2"/>
      <c r="U128" s="2"/>
      <c r="V128" s="2"/>
      <c r="W128" s="2"/>
      <c r="X128" s="2"/>
      <c r="Y128" s="2"/>
      <c r="Z128" s="2"/>
    </row>
    <row r="129">
      <c r="A129" s="2">
        <f>IFERROR(__xludf.DUMMYFUNCTION("""COMPUTED_VALUE"""),4.0)</f>
        <v>4</v>
      </c>
      <c r="B129" s="2" t="str">
        <f>IFERROR(__xludf.DUMMYFUNCTION("""COMPUTED_VALUE"""),"Patna")</f>
        <v>Patna</v>
      </c>
      <c r="C129" s="2" t="str">
        <f>IFERROR(__xludf.DUMMYFUNCTION("""COMPUTED_VALUE"""),"NutriKid")</f>
        <v>NutriKid</v>
      </c>
      <c r="D129" s="2">
        <f>IFERROR(__xludf.DUMMYFUNCTION("""COMPUTED_VALUE"""),35383.0)</f>
        <v>35383</v>
      </c>
      <c r="E129" s="2">
        <f>IFERROR(__xludf.DUMMYFUNCTION("""COMPUTED_VALUE"""),42460.0)</f>
        <v>42460</v>
      </c>
      <c r="F129" s="2" t="str">
        <f>IFERROR(__xludf.DUMMYFUNCTION("""COMPUTED_VALUE"""),"IPLMARKETTING")</f>
        <v>IPLMARKETTING</v>
      </c>
      <c r="G129" s="2">
        <f t="shared" si="3"/>
        <v>2016831</v>
      </c>
      <c r="H129" s="2">
        <f t="shared" si="4"/>
        <v>2547600</v>
      </c>
      <c r="I129" s="2" t="str">
        <f>IF(or(B129='Regional Details'!$A$5,B129='Regional Details'!$A$6,B129='Regional Details'!$A$7,B129='Regional Details'!$A$8),'Regional Details'!$B$2,if(OR(B129='Regional Details'!$D$5,B129='Regional Details'!$D$6,B129='Regional Details'!$D$7,B129='Regional Details'!$D$8),'Regional Details'!$E$2,if(or(B129='Regional Details'!$G$5,B129='Regional Details'!$G$6,B129='Regional Details'!$G$7,B129='Regional Details'!$G$8),'Regional Details'!$H$2,'Regional Details'!$K$2)))</f>
        <v>East</v>
      </c>
      <c r="J129" s="2" t="str">
        <f>if(I129='Regional Details'!$B$2,'Regional Details'!$B$3,if(I129='Regional Details'!$E$2,'Regional Details'!$E$3,if(I129='Regional Details'!$H$2,'Regional Details'!$H$3,'Regional Details'!$K$3)))</f>
        <v>Tanvi Sharma</v>
      </c>
      <c r="K129" s="8">
        <f t="array" ref="K129">IFERROR(XLOOKUP(B129,'Regional Details'!$A$5:$A$8,'Regional Details'!$B$5:$B$8),IFERROR(XLOOKUP(B129,'Regional Details'!$D$5:$D$8,'Regional Details'!$E$5:$E$8),IFERROR(xlookup(B129,'Regional Details'!$G$5:$G$8,'Regional Details'!$H$5:$H$8),XLOOKUP(B129,'Regional Details'!$J$5:$J$8,'Regional Details'!$K$5:$K$8))))</f>
        <v>0.05</v>
      </c>
      <c r="L129" s="2" t="str">
        <f>VLOOKUP(A129,MonthMapping!$A$2:$B$13,2,false)</f>
        <v>April</v>
      </c>
      <c r="M129" s="9">
        <f>if(C129=$C$2,Contribution_Old!$B$22,Contribution_Old!$B$23)</f>
        <v>24.108</v>
      </c>
      <c r="N129" s="9">
        <f>if(C129=$C$2,Contribution_New!$B$23,Contribution_New!$B$24)</f>
        <v>30.108</v>
      </c>
      <c r="O129" s="2">
        <f t="shared" ref="O129:P129" si="257">M129*D129</f>
        <v>853013.364</v>
      </c>
      <c r="P129" s="2">
        <f t="shared" si="257"/>
        <v>1278385.68</v>
      </c>
      <c r="Q129" s="2">
        <f t="shared" ref="Q129:R129" si="258">G129-O129</f>
        <v>1163817.636</v>
      </c>
      <c r="R129" s="2">
        <f t="shared" si="258"/>
        <v>1269214.32</v>
      </c>
      <c r="S129" s="2"/>
      <c r="T129" s="2"/>
      <c r="U129" s="2"/>
      <c r="V129" s="2"/>
      <c r="W129" s="2"/>
      <c r="X129" s="2"/>
      <c r="Y129" s="2"/>
      <c r="Z129" s="2"/>
    </row>
    <row r="130">
      <c r="A130" s="2">
        <f>IFERROR(__xludf.DUMMYFUNCTION("""COMPUTED_VALUE"""),5.0)</f>
        <v>5</v>
      </c>
      <c r="B130" s="2" t="str">
        <f>IFERROR(__xludf.DUMMYFUNCTION("""COMPUTED_VALUE"""),"Delhi")</f>
        <v>Delhi</v>
      </c>
      <c r="C130" s="2" t="str">
        <f>IFERROR(__xludf.DUMMYFUNCTION("""COMPUTED_VALUE"""),"ZestVita")</f>
        <v>ZestVita</v>
      </c>
      <c r="D130" s="2">
        <f>IFERROR(__xludf.DUMMYFUNCTION("""COMPUTED_VALUE"""),38585.0)</f>
        <v>38585</v>
      </c>
      <c r="E130" s="2">
        <f>IFERROR(__xludf.DUMMYFUNCTION("""COMPUTED_VALUE"""),45916.0)</f>
        <v>45916</v>
      </c>
      <c r="F130" s="2" t="str">
        <f>IFERROR(__xludf.DUMMYFUNCTION("""COMPUTED_VALUE"""),"IPLMARKETTING")</f>
        <v>IPLMARKETTING</v>
      </c>
      <c r="G130" s="2">
        <f t="shared" si="3"/>
        <v>5208975</v>
      </c>
      <c r="H130" s="2">
        <f t="shared" si="4"/>
        <v>6198660</v>
      </c>
      <c r="I130" s="2" t="str">
        <f>IF(or(B130='Regional Details'!$A$5,B130='Regional Details'!$A$6,B130='Regional Details'!$A$7,B130='Regional Details'!$A$8),'Regional Details'!$B$2,if(OR(B130='Regional Details'!$D$5,B130='Regional Details'!$D$6,B130='Regional Details'!$D$7,B130='Regional Details'!$D$8),'Regional Details'!$E$2,if(or(B130='Regional Details'!$G$5,B130='Regional Details'!$G$6,B130='Regional Details'!$G$7,B130='Regional Details'!$G$8),'Regional Details'!$H$2,'Regional Details'!$K$2)))</f>
        <v>North</v>
      </c>
      <c r="J130" s="2" t="str">
        <f>if(I130='Regional Details'!$B$2,'Regional Details'!$B$3,if(I130='Regional Details'!$E$2,'Regional Details'!$E$3,if(I130='Regional Details'!$H$2,'Regional Details'!$H$3,'Regional Details'!$K$3)))</f>
        <v>Ajay Kumar</v>
      </c>
      <c r="K130" s="8">
        <f t="array" ref="K130">IFERROR(XLOOKUP(B130,'Regional Details'!$A$5:$A$8,'Regional Details'!$B$5:$B$8),IFERROR(XLOOKUP(B130,'Regional Details'!$D$5:$D$8,'Regional Details'!$E$5:$E$8),IFERROR(xlookup(B130,'Regional Details'!$G$5:$G$8,'Regional Details'!$H$5:$H$8),XLOOKUP(B130,'Regional Details'!$J$5:$J$8,'Regional Details'!$K$5:$K$8))))</f>
        <v>0</v>
      </c>
      <c r="L130" s="2" t="str">
        <f>VLOOKUP(A130,MonthMapping!$A$2:$B$13,2,false)</f>
        <v>May</v>
      </c>
      <c r="M130" s="9">
        <f>if(C130=$C$2,Contribution_Old!$B$22,Contribution_Old!$B$23)</f>
        <v>55.84</v>
      </c>
      <c r="N130" s="9">
        <f>if(C130=$C$2,Contribution_New!$B$23,Contribution_New!$B$24)</f>
        <v>61.84</v>
      </c>
      <c r="O130" s="2">
        <f t="shared" ref="O130:P130" si="259">M130*D130</f>
        <v>2154586.4</v>
      </c>
      <c r="P130" s="2">
        <f t="shared" si="259"/>
        <v>2839445.44</v>
      </c>
      <c r="Q130" s="2">
        <f t="shared" ref="Q130:R130" si="260">G130-O130</f>
        <v>3054388.6</v>
      </c>
      <c r="R130" s="2">
        <f t="shared" si="260"/>
        <v>3359214.56</v>
      </c>
      <c r="S130" s="2"/>
      <c r="T130" s="2"/>
      <c r="U130" s="2"/>
      <c r="V130" s="2"/>
      <c r="W130" s="2"/>
      <c r="X130" s="2"/>
      <c r="Y130" s="2"/>
      <c r="Z130" s="2"/>
    </row>
    <row r="131">
      <c r="A131" s="2">
        <f>IFERROR(__xludf.DUMMYFUNCTION("""COMPUTED_VALUE"""),5.0)</f>
        <v>5</v>
      </c>
      <c r="B131" s="2" t="str">
        <f>IFERROR(__xludf.DUMMYFUNCTION("""COMPUTED_VALUE"""),"Delhi")</f>
        <v>Delhi</v>
      </c>
      <c r="C131" s="2" t="str">
        <f>IFERROR(__xludf.DUMMYFUNCTION("""COMPUTED_VALUE"""),"NutriKid")</f>
        <v>NutriKid</v>
      </c>
      <c r="D131" s="2">
        <f>IFERROR(__xludf.DUMMYFUNCTION("""COMPUTED_VALUE"""),29886.0)</f>
        <v>29886</v>
      </c>
      <c r="E131" s="2">
        <f>IFERROR(__xludf.DUMMYFUNCTION("""COMPUTED_VALUE"""),34668.0)</f>
        <v>34668</v>
      </c>
      <c r="F131" s="2" t="str">
        <f>IFERROR(__xludf.DUMMYFUNCTION("""COMPUTED_VALUE"""),"IPLMARKETTING")</f>
        <v>IPLMARKETTING</v>
      </c>
      <c r="G131" s="2">
        <f t="shared" si="3"/>
        <v>1793160</v>
      </c>
      <c r="H131" s="2">
        <f t="shared" si="4"/>
        <v>2080080</v>
      </c>
      <c r="I131" s="2" t="str">
        <f>IF(or(B131='Regional Details'!$A$5,B131='Regional Details'!$A$6,B131='Regional Details'!$A$7,B131='Regional Details'!$A$8),'Regional Details'!$B$2,if(OR(B131='Regional Details'!$D$5,B131='Regional Details'!$D$6,B131='Regional Details'!$D$7,B131='Regional Details'!$D$8),'Regional Details'!$E$2,if(or(B131='Regional Details'!$G$5,B131='Regional Details'!$G$6,B131='Regional Details'!$G$7,B131='Regional Details'!$G$8),'Regional Details'!$H$2,'Regional Details'!$K$2)))</f>
        <v>North</v>
      </c>
      <c r="J131" s="2" t="str">
        <f>if(I131='Regional Details'!$B$2,'Regional Details'!$B$3,if(I131='Regional Details'!$E$2,'Regional Details'!$E$3,if(I131='Regional Details'!$H$2,'Regional Details'!$H$3,'Regional Details'!$K$3)))</f>
        <v>Ajay Kumar</v>
      </c>
      <c r="K131" s="8">
        <f t="array" ref="K131">IFERROR(XLOOKUP(B131,'Regional Details'!$A$5:$A$8,'Regional Details'!$B$5:$B$8),IFERROR(XLOOKUP(B131,'Regional Details'!$D$5:$D$8,'Regional Details'!$E$5:$E$8),IFERROR(xlookup(B131,'Regional Details'!$G$5:$G$8,'Regional Details'!$H$5:$H$8),XLOOKUP(B131,'Regional Details'!$J$5:$J$8,'Regional Details'!$K$5:$K$8))))</f>
        <v>0</v>
      </c>
      <c r="L131" s="2" t="str">
        <f>VLOOKUP(A131,MonthMapping!$A$2:$B$13,2,false)</f>
        <v>May</v>
      </c>
      <c r="M131" s="9">
        <f>if(C131=$C$2,Contribution_Old!$B$22,Contribution_Old!$B$23)</f>
        <v>24.108</v>
      </c>
      <c r="N131" s="9">
        <f>if(C131=$C$2,Contribution_New!$B$23,Contribution_New!$B$24)</f>
        <v>30.108</v>
      </c>
      <c r="O131" s="2">
        <f t="shared" ref="O131:P131" si="261">M131*D131</f>
        <v>720491.688</v>
      </c>
      <c r="P131" s="2">
        <f t="shared" si="261"/>
        <v>1043784.144</v>
      </c>
      <c r="Q131" s="2">
        <f t="shared" ref="Q131:R131" si="262">G131-O131</f>
        <v>1072668.312</v>
      </c>
      <c r="R131" s="2">
        <f t="shared" si="262"/>
        <v>1036295.856</v>
      </c>
      <c r="S131" s="2"/>
      <c r="T131" s="2"/>
      <c r="U131" s="2"/>
      <c r="V131" s="2"/>
      <c r="W131" s="2"/>
      <c r="X131" s="2"/>
      <c r="Y131" s="2"/>
      <c r="Z131" s="2"/>
    </row>
    <row r="132">
      <c r="A132" s="2">
        <f>IFERROR(__xludf.DUMMYFUNCTION("""COMPUTED_VALUE"""),5.0)</f>
        <v>5</v>
      </c>
      <c r="B132" s="2" t="str">
        <f>IFERROR(__xludf.DUMMYFUNCTION("""COMPUTED_VALUE"""),"Kolkata")</f>
        <v>Kolkata</v>
      </c>
      <c r="C132" s="2" t="str">
        <f>IFERROR(__xludf.DUMMYFUNCTION("""COMPUTED_VALUE"""),"ZestVita")</f>
        <v>ZestVita</v>
      </c>
      <c r="D132" s="2">
        <f>IFERROR(__xludf.DUMMYFUNCTION("""COMPUTED_VALUE"""),20585.0)</f>
        <v>20585</v>
      </c>
      <c r="E132" s="2">
        <f>IFERROR(__xludf.DUMMYFUNCTION("""COMPUTED_VALUE"""),23879.0)</f>
        <v>23879</v>
      </c>
      <c r="F132" s="2" t="str">
        <f>IFERROR(__xludf.DUMMYFUNCTION("""COMPUTED_VALUE"""),"IPLMARKETTING")</f>
        <v>IPLMARKETTING</v>
      </c>
      <c r="G132" s="2">
        <f t="shared" si="3"/>
        <v>2778975</v>
      </c>
      <c r="H132" s="2">
        <f t="shared" si="4"/>
        <v>3223665</v>
      </c>
      <c r="I132" s="2" t="str">
        <f>IF(or(B132='Regional Details'!$A$5,B132='Regional Details'!$A$6,B132='Regional Details'!$A$7,B132='Regional Details'!$A$8),'Regional Details'!$B$2,if(OR(B132='Regional Details'!$D$5,B132='Regional Details'!$D$6,B132='Regional Details'!$D$7,B132='Regional Details'!$D$8),'Regional Details'!$E$2,if(or(B132='Regional Details'!$G$5,B132='Regional Details'!$G$6,B132='Regional Details'!$G$7,B132='Regional Details'!$G$8),'Regional Details'!$H$2,'Regional Details'!$K$2)))</f>
        <v>East</v>
      </c>
      <c r="J132" s="2" t="str">
        <f>if(I132='Regional Details'!$B$2,'Regional Details'!$B$3,if(I132='Regional Details'!$E$2,'Regional Details'!$E$3,if(I132='Regional Details'!$H$2,'Regional Details'!$H$3,'Regional Details'!$K$3)))</f>
        <v>Tanvi Sharma</v>
      </c>
      <c r="K132" s="8">
        <f t="array" ref="K132">IFERROR(XLOOKUP(B132,'Regional Details'!$A$5:$A$8,'Regional Details'!$B$5:$B$8),IFERROR(XLOOKUP(B132,'Regional Details'!$D$5:$D$8,'Regional Details'!$E$5:$E$8),IFERROR(xlookup(B132,'Regional Details'!$G$5:$G$8,'Regional Details'!$H$5:$H$8),XLOOKUP(B132,'Regional Details'!$J$5:$J$8,'Regional Details'!$K$5:$K$8))))</f>
        <v>0</v>
      </c>
      <c r="L132" s="2" t="str">
        <f>VLOOKUP(A132,MonthMapping!$A$2:$B$13,2,false)</f>
        <v>May</v>
      </c>
      <c r="M132" s="9">
        <f>if(C132=$C$2,Contribution_Old!$B$22,Contribution_Old!$B$23)</f>
        <v>55.84</v>
      </c>
      <c r="N132" s="9">
        <f>if(C132=$C$2,Contribution_New!$B$23,Contribution_New!$B$24)</f>
        <v>61.84</v>
      </c>
      <c r="O132" s="2">
        <f t="shared" ref="O132:P132" si="263">M132*D132</f>
        <v>1149466.4</v>
      </c>
      <c r="P132" s="2">
        <f t="shared" si="263"/>
        <v>1476677.36</v>
      </c>
      <c r="Q132" s="2">
        <f t="shared" ref="Q132:R132" si="264">G132-O132</f>
        <v>1629508.6</v>
      </c>
      <c r="R132" s="2">
        <f t="shared" si="264"/>
        <v>1746987.64</v>
      </c>
      <c r="S132" s="2"/>
      <c r="T132" s="2"/>
      <c r="U132" s="2"/>
      <c r="V132" s="2"/>
      <c r="W132" s="2"/>
      <c r="X132" s="2"/>
      <c r="Y132" s="2"/>
      <c r="Z132" s="2"/>
    </row>
    <row r="133">
      <c r="A133" s="2">
        <f>IFERROR(__xludf.DUMMYFUNCTION("""COMPUTED_VALUE"""),5.0)</f>
        <v>5</v>
      </c>
      <c r="B133" s="2" t="str">
        <f>IFERROR(__xludf.DUMMYFUNCTION("""COMPUTED_VALUE"""),"Kolkata")</f>
        <v>Kolkata</v>
      </c>
      <c r="C133" s="2" t="str">
        <f>IFERROR(__xludf.DUMMYFUNCTION("""COMPUTED_VALUE"""),"NutriKid")</f>
        <v>NutriKid</v>
      </c>
      <c r="D133" s="2">
        <f>IFERROR(__xludf.DUMMYFUNCTION("""COMPUTED_VALUE"""),41511.0)</f>
        <v>41511</v>
      </c>
      <c r="E133" s="2">
        <f>IFERROR(__xludf.DUMMYFUNCTION("""COMPUTED_VALUE"""),48983.0)</f>
        <v>48983</v>
      </c>
      <c r="F133" s="2" t="str">
        <f>IFERROR(__xludf.DUMMYFUNCTION("""COMPUTED_VALUE"""),"IPLMARKETTING")</f>
        <v>IPLMARKETTING</v>
      </c>
      <c r="G133" s="2">
        <f t="shared" si="3"/>
        <v>2490660</v>
      </c>
      <c r="H133" s="2">
        <f t="shared" si="4"/>
        <v>2938980</v>
      </c>
      <c r="I133" s="2" t="str">
        <f>IF(or(B133='Regional Details'!$A$5,B133='Regional Details'!$A$6,B133='Regional Details'!$A$7,B133='Regional Details'!$A$8),'Regional Details'!$B$2,if(OR(B133='Regional Details'!$D$5,B133='Regional Details'!$D$6,B133='Regional Details'!$D$7,B133='Regional Details'!$D$8),'Regional Details'!$E$2,if(or(B133='Regional Details'!$G$5,B133='Regional Details'!$G$6,B133='Regional Details'!$G$7,B133='Regional Details'!$G$8),'Regional Details'!$H$2,'Regional Details'!$K$2)))</f>
        <v>East</v>
      </c>
      <c r="J133" s="2" t="str">
        <f>if(I133='Regional Details'!$B$2,'Regional Details'!$B$3,if(I133='Regional Details'!$E$2,'Regional Details'!$E$3,if(I133='Regional Details'!$H$2,'Regional Details'!$H$3,'Regional Details'!$K$3)))</f>
        <v>Tanvi Sharma</v>
      </c>
      <c r="K133" s="8">
        <f t="array" ref="K133">IFERROR(XLOOKUP(B133,'Regional Details'!$A$5:$A$8,'Regional Details'!$B$5:$B$8),IFERROR(XLOOKUP(B133,'Regional Details'!$D$5:$D$8,'Regional Details'!$E$5:$E$8),IFERROR(xlookup(B133,'Regional Details'!$G$5:$G$8,'Regional Details'!$H$5:$H$8),XLOOKUP(B133,'Regional Details'!$J$5:$J$8,'Regional Details'!$K$5:$K$8))))</f>
        <v>0</v>
      </c>
      <c r="L133" s="2" t="str">
        <f>VLOOKUP(A133,MonthMapping!$A$2:$B$13,2,false)</f>
        <v>May</v>
      </c>
      <c r="M133" s="9">
        <f>if(C133=$C$2,Contribution_Old!$B$22,Contribution_Old!$B$23)</f>
        <v>24.108</v>
      </c>
      <c r="N133" s="9">
        <f>if(C133=$C$2,Contribution_New!$B$23,Contribution_New!$B$24)</f>
        <v>30.108</v>
      </c>
      <c r="O133" s="2">
        <f t="shared" ref="O133:P133" si="265">M133*D133</f>
        <v>1000747.188</v>
      </c>
      <c r="P133" s="2">
        <f t="shared" si="265"/>
        <v>1474780.164</v>
      </c>
      <c r="Q133" s="2">
        <f t="shared" ref="Q133:R133" si="266">G133-O133</f>
        <v>1489912.812</v>
      </c>
      <c r="R133" s="2">
        <f t="shared" si="266"/>
        <v>1464199.836</v>
      </c>
      <c r="S133" s="2"/>
      <c r="T133" s="2"/>
      <c r="U133" s="2"/>
      <c r="V133" s="2"/>
      <c r="W133" s="2"/>
      <c r="X133" s="2"/>
      <c r="Y133" s="2"/>
      <c r="Z133" s="2"/>
    </row>
    <row r="134">
      <c r="A134" s="2">
        <f>IFERROR(__xludf.DUMMYFUNCTION("""COMPUTED_VALUE"""),5.0)</f>
        <v>5</v>
      </c>
      <c r="B134" s="2" t="str">
        <f>IFERROR(__xludf.DUMMYFUNCTION("""COMPUTED_VALUE"""),"Pune")</f>
        <v>Pune</v>
      </c>
      <c r="C134" s="2" t="str">
        <f>IFERROR(__xludf.DUMMYFUNCTION("""COMPUTED_VALUE"""),"ZestVita")</f>
        <v>ZestVita</v>
      </c>
      <c r="D134" s="2">
        <f>IFERROR(__xludf.DUMMYFUNCTION("""COMPUTED_VALUE"""),25282.0)</f>
        <v>25282</v>
      </c>
      <c r="E134" s="2">
        <f>IFERROR(__xludf.DUMMYFUNCTION("""COMPUTED_VALUE"""),31097.0)</f>
        <v>31097</v>
      </c>
      <c r="F134" s="2" t="str">
        <f>IFERROR(__xludf.DUMMYFUNCTION("""COMPUTED_VALUE"""),"IPLMARKETTING")</f>
        <v>IPLMARKETTING</v>
      </c>
      <c r="G134" s="2">
        <f t="shared" si="3"/>
        <v>3413070</v>
      </c>
      <c r="H134" s="2">
        <f t="shared" si="4"/>
        <v>4198095</v>
      </c>
      <c r="I134" s="2" t="str">
        <f>IF(or(B134='Regional Details'!$A$5,B134='Regional Details'!$A$6,B134='Regional Details'!$A$7,B134='Regional Details'!$A$8),'Regional Details'!$B$2,if(OR(B134='Regional Details'!$D$5,B134='Regional Details'!$D$6,B134='Regional Details'!$D$7,B134='Regional Details'!$D$8),'Regional Details'!$E$2,if(or(B134='Regional Details'!$G$5,B134='Regional Details'!$G$6,B134='Regional Details'!$G$7,B134='Regional Details'!$G$8),'Regional Details'!$H$2,'Regional Details'!$K$2)))</f>
        <v>West</v>
      </c>
      <c r="J134" s="2" t="str">
        <f>if(I134='Regional Details'!$B$2,'Regional Details'!$B$3,if(I134='Regional Details'!$E$2,'Regional Details'!$E$3,if(I134='Regional Details'!$H$2,'Regional Details'!$H$3,'Regional Details'!$K$3)))</f>
        <v>Ajay Ghosh</v>
      </c>
      <c r="K134" s="8">
        <f t="array" ref="K134">IFERROR(XLOOKUP(B134,'Regional Details'!$A$5:$A$8,'Regional Details'!$B$5:$B$8),IFERROR(XLOOKUP(B134,'Regional Details'!$D$5:$D$8,'Regional Details'!$E$5:$E$8),IFERROR(xlookup(B134,'Regional Details'!$G$5:$G$8,'Regional Details'!$H$5:$H$8),XLOOKUP(B134,'Regional Details'!$J$5:$J$8,'Regional Details'!$K$5:$K$8))))</f>
        <v>0</v>
      </c>
      <c r="L134" s="2" t="str">
        <f>VLOOKUP(A134,MonthMapping!$A$2:$B$13,2,false)</f>
        <v>May</v>
      </c>
      <c r="M134" s="9">
        <f>if(C134=$C$2,Contribution_Old!$B$22,Contribution_Old!$B$23)</f>
        <v>55.84</v>
      </c>
      <c r="N134" s="9">
        <f>if(C134=$C$2,Contribution_New!$B$23,Contribution_New!$B$24)</f>
        <v>61.84</v>
      </c>
      <c r="O134" s="2">
        <f t="shared" ref="O134:P134" si="267">M134*D134</f>
        <v>1411746.88</v>
      </c>
      <c r="P134" s="2">
        <f t="shared" si="267"/>
        <v>1923038.48</v>
      </c>
      <c r="Q134" s="2">
        <f t="shared" ref="Q134:R134" si="268">G134-O134</f>
        <v>2001323.12</v>
      </c>
      <c r="R134" s="2">
        <f t="shared" si="268"/>
        <v>2275056.52</v>
      </c>
      <c r="S134" s="2"/>
      <c r="T134" s="2"/>
      <c r="U134" s="2"/>
      <c r="V134" s="2"/>
      <c r="W134" s="2"/>
      <c r="X134" s="2"/>
      <c r="Y134" s="2"/>
      <c r="Z134" s="2"/>
    </row>
    <row r="135">
      <c r="A135" s="2">
        <f>IFERROR(__xludf.DUMMYFUNCTION("""COMPUTED_VALUE"""),5.0)</f>
        <v>5</v>
      </c>
      <c r="B135" s="2" t="str">
        <f>IFERROR(__xludf.DUMMYFUNCTION("""COMPUTED_VALUE"""),"Pune")</f>
        <v>Pune</v>
      </c>
      <c r="C135" s="2" t="str">
        <f>IFERROR(__xludf.DUMMYFUNCTION("""COMPUTED_VALUE"""),"NutriKid")</f>
        <v>NutriKid</v>
      </c>
      <c r="D135" s="2">
        <f>IFERROR(__xludf.DUMMYFUNCTION("""COMPUTED_VALUE"""),29857.0)</f>
        <v>29857</v>
      </c>
      <c r="E135" s="2">
        <f>IFERROR(__xludf.DUMMYFUNCTION("""COMPUTED_VALUE"""),34933.0)</f>
        <v>34933</v>
      </c>
      <c r="F135" s="2" t="str">
        <f>IFERROR(__xludf.DUMMYFUNCTION("""COMPUTED_VALUE"""),"IPLMARKETTING")</f>
        <v>IPLMARKETTING</v>
      </c>
      <c r="G135" s="2">
        <f t="shared" si="3"/>
        <v>1791420</v>
      </c>
      <c r="H135" s="2">
        <f t="shared" si="4"/>
        <v>2095980</v>
      </c>
      <c r="I135" s="2" t="str">
        <f>IF(or(B135='Regional Details'!$A$5,B135='Regional Details'!$A$6,B135='Regional Details'!$A$7,B135='Regional Details'!$A$8),'Regional Details'!$B$2,if(OR(B135='Regional Details'!$D$5,B135='Regional Details'!$D$6,B135='Regional Details'!$D$7,B135='Regional Details'!$D$8),'Regional Details'!$E$2,if(or(B135='Regional Details'!$G$5,B135='Regional Details'!$G$6,B135='Regional Details'!$G$7,B135='Regional Details'!$G$8),'Regional Details'!$H$2,'Regional Details'!$K$2)))</f>
        <v>West</v>
      </c>
      <c r="J135" s="2" t="str">
        <f>if(I135='Regional Details'!$B$2,'Regional Details'!$B$3,if(I135='Regional Details'!$E$2,'Regional Details'!$E$3,if(I135='Regional Details'!$H$2,'Regional Details'!$H$3,'Regional Details'!$K$3)))</f>
        <v>Ajay Ghosh</v>
      </c>
      <c r="K135" s="8">
        <f t="array" ref="K135">IFERROR(XLOOKUP(B135,'Regional Details'!$A$5:$A$8,'Regional Details'!$B$5:$B$8),IFERROR(XLOOKUP(B135,'Regional Details'!$D$5:$D$8,'Regional Details'!$E$5:$E$8),IFERROR(xlookup(B135,'Regional Details'!$G$5:$G$8,'Regional Details'!$H$5:$H$8),XLOOKUP(B135,'Regional Details'!$J$5:$J$8,'Regional Details'!$K$5:$K$8))))</f>
        <v>0</v>
      </c>
      <c r="L135" s="2" t="str">
        <f>VLOOKUP(A135,MonthMapping!$A$2:$B$13,2,false)</f>
        <v>May</v>
      </c>
      <c r="M135" s="9">
        <f>if(C135=$C$2,Contribution_Old!$B$22,Contribution_Old!$B$23)</f>
        <v>24.108</v>
      </c>
      <c r="N135" s="9">
        <f>if(C135=$C$2,Contribution_New!$B$23,Contribution_New!$B$24)</f>
        <v>30.108</v>
      </c>
      <c r="O135" s="2">
        <f t="shared" ref="O135:P135" si="269">M135*D135</f>
        <v>719792.556</v>
      </c>
      <c r="P135" s="2">
        <f t="shared" si="269"/>
        <v>1051762.764</v>
      </c>
      <c r="Q135" s="2">
        <f t="shared" ref="Q135:R135" si="270">G135-O135</f>
        <v>1071627.444</v>
      </c>
      <c r="R135" s="2">
        <f t="shared" si="270"/>
        <v>1044217.236</v>
      </c>
      <c r="S135" s="2"/>
      <c r="T135" s="2"/>
      <c r="U135" s="2"/>
      <c r="V135" s="2"/>
      <c r="W135" s="2"/>
      <c r="X135" s="2"/>
      <c r="Y135" s="2"/>
      <c r="Z135" s="2"/>
    </row>
    <row r="136">
      <c r="A136" s="2">
        <f>IFERROR(__xludf.DUMMYFUNCTION("""COMPUTED_VALUE"""),5.0)</f>
        <v>5</v>
      </c>
      <c r="B136" s="2" t="str">
        <f>IFERROR(__xludf.DUMMYFUNCTION("""COMPUTED_VALUE"""),"Bengaluru")</f>
        <v>Bengaluru</v>
      </c>
      <c r="C136" s="2" t="str">
        <f>IFERROR(__xludf.DUMMYFUNCTION("""COMPUTED_VALUE"""),"ZestVita")</f>
        <v>ZestVita</v>
      </c>
      <c r="D136" s="2">
        <f>IFERROR(__xludf.DUMMYFUNCTION("""COMPUTED_VALUE"""),47725.0)</f>
        <v>47725</v>
      </c>
      <c r="E136" s="2">
        <f>IFERROR(__xludf.DUMMYFUNCTION("""COMPUTED_VALUE"""),52975.0)</f>
        <v>52975</v>
      </c>
      <c r="F136" s="2" t="str">
        <f>IFERROR(__xludf.DUMMYFUNCTION("""COMPUTED_VALUE"""),"IPLMARKETTING")</f>
        <v>IPLMARKETTING</v>
      </c>
      <c r="G136" s="2">
        <f t="shared" si="3"/>
        <v>6442875</v>
      </c>
      <c r="H136" s="2">
        <f t="shared" si="4"/>
        <v>7151625</v>
      </c>
      <c r="I136" s="2" t="str">
        <f>IF(or(B136='Regional Details'!$A$5,B136='Regional Details'!$A$6,B136='Regional Details'!$A$7,B136='Regional Details'!$A$8),'Regional Details'!$B$2,if(OR(B136='Regional Details'!$D$5,B136='Regional Details'!$D$6,B136='Regional Details'!$D$7,B136='Regional Details'!$D$8),'Regional Details'!$E$2,if(or(B136='Regional Details'!$G$5,B136='Regional Details'!$G$6,B136='Regional Details'!$G$7,B136='Regional Details'!$G$8),'Regional Details'!$H$2,'Regional Details'!$K$2)))</f>
        <v>South</v>
      </c>
      <c r="J136" s="2" t="str">
        <f>if(I136='Regional Details'!$B$2,'Regional Details'!$B$3,if(I136='Regional Details'!$E$2,'Regional Details'!$E$3,if(I136='Regional Details'!$H$2,'Regional Details'!$H$3,'Regional Details'!$K$3)))</f>
        <v>Anjali Krishna Murthy</v>
      </c>
      <c r="K136" s="8">
        <f t="array" ref="K136">IFERROR(XLOOKUP(B136,'Regional Details'!$A$5:$A$8,'Regional Details'!$B$5:$B$8),IFERROR(XLOOKUP(B136,'Regional Details'!$D$5:$D$8,'Regional Details'!$E$5:$E$8),IFERROR(xlookup(B136,'Regional Details'!$G$5:$G$8,'Regional Details'!$H$5:$H$8),XLOOKUP(B136,'Regional Details'!$J$5:$J$8,'Regional Details'!$K$5:$K$8))))</f>
        <v>0</v>
      </c>
      <c r="L136" s="2" t="str">
        <f>VLOOKUP(A136,MonthMapping!$A$2:$B$13,2,false)</f>
        <v>May</v>
      </c>
      <c r="M136" s="9">
        <f>if(C136=$C$2,Contribution_Old!$B$22,Contribution_Old!$B$23)</f>
        <v>55.84</v>
      </c>
      <c r="N136" s="9">
        <f>if(C136=$C$2,Contribution_New!$B$23,Contribution_New!$B$24)</f>
        <v>61.84</v>
      </c>
      <c r="O136" s="2">
        <f t="shared" ref="O136:P136" si="271">M136*D136</f>
        <v>2664964</v>
      </c>
      <c r="P136" s="2">
        <f t="shared" si="271"/>
        <v>3275974</v>
      </c>
      <c r="Q136" s="2">
        <f t="shared" ref="Q136:R136" si="272">G136-O136</f>
        <v>3777911</v>
      </c>
      <c r="R136" s="2">
        <f t="shared" si="272"/>
        <v>3875651</v>
      </c>
      <c r="S136" s="2"/>
      <c r="T136" s="2"/>
      <c r="U136" s="2"/>
      <c r="V136" s="2"/>
      <c r="W136" s="2"/>
      <c r="X136" s="2"/>
      <c r="Y136" s="2"/>
      <c r="Z136" s="2"/>
    </row>
    <row r="137">
      <c r="A137" s="2">
        <f>IFERROR(__xludf.DUMMYFUNCTION("""COMPUTED_VALUE"""),5.0)</f>
        <v>5</v>
      </c>
      <c r="B137" s="2" t="str">
        <f>IFERROR(__xludf.DUMMYFUNCTION("""COMPUTED_VALUE"""),"Bengaluru")</f>
        <v>Bengaluru</v>
      </c>
      <c r="C137" s="2" t="str">
        <f>IFERROR(__xludf.DUMMYFUNCTION("""COMPUTED_VALUE"""),"NutriKid")</f>
        <v>NutriKid</v>
      </c>
      <c r="D137" s="2">
        <f>IFERROR(__xludf.DUMMYFUNCTION("""COMPUTED_VALUE"""),25451.0)</f>
        <v>25451</v>
      </c>
      <c r="E137" s="2">
        <f>IFERROR(__xludf.DUMMYFUNCTION("""COMPUTED_VALUE"""),28505.0)</f>
        <v>28505</v>
      </c>
      <c r="F137" s="2" t="str">
        <f>IFERROR(__xludf.DUMMYFUNCTION("""COMPUTED_VALUE"""),"IPLMARKETTING")</f>
        <v>IPLMARKETTING</v>
      </c>
      <c r="G137" s="2">
        <f t="shared" si="3"/>
        <v>1527060</v>
      </c>
      <c r="H137" s="2">
        <f t="shared" si="4"/>
        <v>1710300</v>
      </c>
      <c r="I137" s="2" t="str">
        <f>IF(or(B137='Regional Details'!$A$5,B137='Regional Details'!$A$6,B137='Regional Details'!$A$7,B137='Regional Details'!$A$8),'Regional Details'!$B$2,if(OR(B137='Regional Details'!$D$5,B137='Regional Details'!$D$6,B137='Regional Details'!$D$7,B137='Regional Details'!$D$8),'Regional Details'!$E$2,if(or(B137='Regional Details'!$G$5,B137='Regional Details'!$G$6,B137='Regional Details'!$G$7,B137='Regional Details'!$G$8),'Regional Details'!$H$2,'Regional Details'!$K$2)))</f>
        <v>South</v>
      </c>
      <c r="J137" s="2" t="str">
        <f>if(I137='Regional Details'!$B$2,'Regional Details'!$B$3,if(I137='Regional Details'!$E$2,'Regional Details'!$E$3,if(I137='Regional Details'!$H$2,'Regional Details'!$H$3,'Regional Details'!$K$3)))</f>
        <v>Anjali Krishna Murthy</v>
      </c>
      <c r="K137" s="8">
        <f t="array" ref="K137">IFERROR(XLOOKUP(B137,'Regional Details'!$A$5:$A$8,'Regional Details'!$B$5:$B$8),IFERROR(XLOOKUP(B137,'Regional Details'!$D$5:$D$8,'Regional Details'!$E$5:$E$8),IFERROR(xlookup(B137,'Regional Details'!$G$5:$G$8,'Regional Details'!$H$5:$H$8),XLOOKUP(B137,'Regional Details'!$J$5:$J$8,'Regional Details'!$K$5:$K$8))))</f>
        <v>0</v>
      </c>
      <c r="L137" s="2" t="str">
        <f>VLOOKUP(A137,MonthMapping!$A$2:$B$13,2,false)</f>
        <v>May</v>
      </c>
      <c r="M137" s="9">
        <f>if(C137=$C$2,Contribution_Old!$B$22,Contribution_Old!$B$23)</f>
        <v>24.108</v>
      </c>
      <c r="N137" s="9">
        <f>if(C137=$C$2,Contribution_New!$B$23,Contribution_New!$B$24)</f>
        <v>30.108</v>
      </c>
      <c r="O137" s="2">
        <f t="shared" ref="O137:P137" si="273">M137*D137</f>
        <v>613572.708</v>
      </c>
      <c r="P137" s="2">
        <f t="shared" si="273"/>
        <v>858228.54</v>
      </c>
      <c r="Q137" s="2">
        <f t="shared" ref="Q137:R137" si="274">G137-O137</f>
        <v>913487.292</v>
      </c>
      <c r="R137" s="2">
        <f t="shared" si="274"/>
        <v>852071.46</v>
      </c>
      <c r="S137" s="2"/>
      <c r="T137" s="2"/>
      <c r="U137" s="2"/>
      <c r="V137" s="2"/>
      <c r="W137" s="2"/>
      <c r="X137" s="2"/>
      <c r="Y137" s="2"/>
      <c r="Z137" s="2"/>
    </row>
    <row r="138">
      <c r="A138" s="2">
        <f>IFERROR(__xludf.DUMMYFUNCTION("""COMPUTED_VALUE"""),5.0)</f>
        <v>5</v>
      </c>
      <c r="B138" s="2" t="str">
        <f>IFERROR(__xludf.DUMMYFUNCTION("""COMPUTED_VALUE"""),"Chandigarh")</f>
        <v>Chandigarh</v>
      </c>
      <c r="C138" s="2" t="str">
        <f>IFERROR(__xludf.DUMMYFUNCTION("""COMPUTED_VALUE"""),"ZestVita")</f>
        <v>ZestVita</v>
      </c>
      <c r="D138" s="2">
        <f>IFERROR(__xludf.DUMMYFUNCTION("""COMPUTED_VALUE"""),41307.0)</f>
        <v>41307</v>
      </c>
      <c r="E138" s="2">
        <f>IFERROR(__xludf.DUMMYFUNCTION("""COMPUTED_VALUE"""),46677.0)</f>
        <v>46677</v>
      </c>
      <c r="F138" s="2" t="str">
        <f>IFERROR(__xludf.DUMMYFUNCTION("""COMPUTED_VALUE"""),"IPLMARKETTING")</f>
        <v>IPLMARKETTING</v>
      </c>
      <c r="G138" s="2">
        <f t="shared" si="3"/>
        <v>5576445</v>
      </c>
      <c r="H138" s="2">
        <f t="shared" si="4"/>
        <v>6301395</v>
      </c>
      <c r="I138" s="2" t="str">
        <f>IF(or(B138='Regional Details'!$A$5,B138='Regional Details'!$A$6,B138='Regional Details'!$A$7,B138='Regional Details'!$A$8),'Regional Details'!$B$2,if(OR(B138='Regional Details'!$D$5,B138='Regional Details'!$D$6,B138='Regional Details'!$D$7,B138='Regional Details'!$D$8),'Regional Details'!$E$2,if(or(B138='Regional Details'!$G$5,B138='Regional Details'!$G$6,B138='Regional Details'!$G$7,B138='Regional Details'!$G$8),'Regional Details'!$H$2,'Regional Details'!$K$2)))</f>
        <v>North</v>
      </c>
      <c r="J138" s="2" t="str">
        <f>if(I138='Regional Details'!$B$2,'Regional Details'!$B$3,if(I138='Regional Details'!$E$2,'Regional Details'!$E$3,if(I138='Regional Details'!$H$2,'Regional Details'!$H$3,'Regional Details'!$K$3)))</f>
        <v>Ajay Kumar</v>
      </c>
      <c r="K138" s="8">
        <f t="array" ref="K138">IFERROR(XLOOKUP(B138,'Regional Details'!$A$5:$A$8,'Regional Details'!$B$5:$B$8),IFERROR(XLOOKUP(B138,'Regional Details'!$D$5:$D$8,'Regional Details'!$E$5:$E$8),IFERROR(xlookup(B138,'Regional Details'!$G$5:$G$8,'Regional Details'!$H$5:$H$8),XLOOKUP(B138,'Regional Details'!$J$5:$J$8,'Regional Details'!$K$5:$K$8))))</f>
        <v>0</v>
      </c>
      <c r="L138" s="2" t="str">
        <f>VLOOKUP(A138,MonthMapping!$A$2:$B$13,2,false)</f>
        <v>May</v>
      </c>
      <c r="M138" s="9">
        <f>if(C138=$C$2,Contribution_Old!$B$22,Contribution_Old!$B$23)</f>
        <v>55.84</v>
      </c>
      <c r="N138" s="9">
        <f>if(C138=$C$2,Contribution_New!$B$23,Contribution_New!$B$24)</f>
        <v>61.84</v>
      </c>
      <c r="O138" s="2">
        <f t="shared" ref="O138:P138" si="275">M138*D138</f>
        <v>2306582.88</v>
      </c>
      <c r="P138" s="2">
        <f t="shared" si="275"/>
        <v>2886505.68</v>
      </c>
      <c r="Q138" s="2">
        <f t="shared" ref="Q138:R138" si="276">G138-O138</f>
        <v>3269862.12</v>
      </c>
      <c r="R138" s="2">
        <f t="shared" si="276"/>
        <v>3414889.32</v>
      </c>
      <c r="S138" s="2"/>
      <c r="T138" s="2"/>
      <c r="U138" s="2"/>
      <c r="V138" s="2"/>
      <c r="W138" s="2"/>
      <c r="X138" s="2"/>
      <c r="Y138" s="2"/>
      <c r="Z138" s="2"/>
    </row>
    <row r="139">
      <c r="A139" s="2">
        <f>IFERROR(__xludf.DUMMYFUNCTION("""COMPUTED_VALUE"""),5.0)</f>
        <v>5</v>
      </c>
      <c r="B139" s="2" t="str">
        <f>IFERROR(__xludf.DUMMYFUNCTION("""COMPUTED_VALUE"""),"Chandigarh")</f>
        <v>Chandigarh</v>
      </c>
      <c r="C139" s="2" t="str">
        <f>IFERROR(__xludf.DUMMYFUNCTION("""COMPUTED_VALUE"""),"NutriKid")</f>
        <v>NutriKid</v>
      </c>
      <c r="D139" s="2">
        <f>IFERROR(__xludf.DUMMYFUNCTION("""COMPUTED_VALUE"""),42764.0)</f>
        <v>42764</v>
      </c>
      <c r="E139" s="2">
        <f>IFERROR(__xludf.DUMMYFUNCTION("""COMPUTED_VALUE"""),50889.0)</f>
        <v>50889</v>
      </c>
      <c r="F139" s="2" t="str">
        <f>IFERROR(__xludf.DUMMYFUNCTION("""COMPUTED_VALUE"""),"IPLMARKETTING")</f>
        <v>IPLMARKETTING</v>
      </c>
      <c r="G139" s="2">
        <f t="shared" si="3"/>
        <v>2565840</v>
      </c>
      <c r="H139" s="2">
        <f t="shared" si="4"/>
        <v>3053340</v>
      </c>
      <c r="I139" s="2" t="str">
        <f>IF(or(B139='Regional Details'!$A$5,B139='Regional Details'!$A$6,B139='Regional Details'!$A$7,B139='Regional Details'!$A$8),'Regional Details'!$B$2,if(OR(B139='Regional Details'!$D$5,B139='Regional Details'!$D$6,B139='Regional Details'!$D$7,B139='Regional Details'!$D$8),'Regional Details'!$E$2,if(or(B139='Regional Details'!$G$5,B139='Regional Details'!$G$6,B139='Regional Details'!$G$7,B139='Regional Details'!$G$8),'Regional Details'!$H$2,'Regional Details'!$K$2)))</f>
        <v>North</v>
      </c>
      <c r="J139" s="2" t="str">
        <f>if(I139='Regional Details'!$B$2,'Regional Details'!$B$3,if(I139='Regional Details'!$E$2,'Regional Details'!$E$3,if(I139='Regional Details'!$H$2,'Regional Details'!$H$3,'Regional Details'!$K$3)))</f>
        <v>Ajay Kumar</v>
      </c>
      <c r="K139" s="8">
        <f t="array" ref="K139">IFERROR(XLOOKUP(B139,'Regional Details'!$A$5:$A$8,'Regional Details'!$B$5:$B$8),IFERROR(XLOOKUP(B139,'Regional Details'!$D$5:$D$8,'Regional Details'!$E$5:$E$8),IFERROR(xlookup(B139,'Regional Details'!$G$5:$G$8,'Regional Details'!$H$5:$H$8),XLOOKUP(B139,'Regional Details'!$J$5:$J$8,'Regional Details'!$K$5:$K$8))))</f>
        <v>0</v>
      </c>
      <c r="L139" s="2" t="str">
        <f>VLOOKUP(A139,MonthMapping!$A$2:$B$13,2,false)</f>
        <v>May</v>
      </c>
      <c r="M139" s="9">
        <f>if(C139=$C$2,Contribution_Old!$B$22,Contribution_Old!$B$23)</f>
        <v>24.108</v>
      </c>
      <c r="N139" s="9">
        <f>if(C139=$C$2,Contribution_New!$B$23,Contribution_New!$B$24)</f>
        <v>30.108</v>
      </c>
      <c r="O139" s="2">
        <f t="shared" ref="O139:P139" si="277">M139*D139</f>
        <v>1030954.512</v>
      </c>
      <c r="P139" s="2">
        <f t="shared" si="277"/>
        <v>1532166.012</v>
      </c>
      <c r="Q139" s="2">
        <f t="shared" ref="Q139:R139" si="278">G139-O139</f>
        <v>1534885.488</v>
      </c>
      <c r="R139" s="2">
        <f t="shared" si="278"/>
        <v>1521173.988</v>
      </c>
      <c r="S139" s="2"/>
      <c r="T139" s="2"/>
      <c r="U139" s="2"/>
      <c r="V139" s="2"/>
      <c r="W139" s="2"/>
      <c r="X139" s="2"/>
      <c r="Y139" s="2"/>
      <c r="Z139" s="2"/>
    </row>
    <row r="140">
      <c r="A140" s="2">
        <f>IFERROR(__xludf.DUMMYFUNCTION("""COMPUTED_VALUE"""),5.0)</f>
        <v>5</v>
      </c>
      <c r="B140" s="2" t="str">
        <f>IFERROR(__xludf.DUMMYFUNCTION("""COMPUTED_VALUE"""),"Bhubaneswar")</f>
        <v>Bhubaneswar</v>
      </c>
      <c r="C140" s="2" t="str">
        <f>IFERROR(__xludf.DUMMYFUNCTION("""COMPUTED_VALUE"""),"ZestVita")</f>
        <v>ZestVita</v>
      </c>
      <c r="D140" s="2">
        <f>IFERROR(__xludf.DUMMYFUNCTION("""COMPUTED_VALUE"""),15016.0)</f>
        <v>15016</v>
      </c>
      <c r="E140" s="2">
        <f>IFERROR(__xludf.DUMMYFUNCTION("""COMPUTED_VALUE"""),15917.0)</f>
        <v>15917</v>
      </c>
      <c r="F140" s="2" t="str">
        <f>IFERROR(__xludf.DUMMYFUNCTION("""COMPUTED_VALUE"""),"IPLMARKETTING")</f>
        <v>IPLMARKETTING</v>
      </c>
      <c r="G140" s="2">
        <f t="shared" si="3"/>
        <v>1773765</v>
      </c>
      <c r="H140" s="2">
        <f t="shared" si="4"/>
        <v>2148795</v>
      </c>
      <c r="I140" s="2" t="str">
        <f>IF(or(B140='Regional Details'!$A$5,B140='Regional Details'!$A$6,B140='Regional Details'!$A$7,B140='Regional Details'!$A$8),'Regional Details'!$B$2,if(OR(B140='Regional Details'!$D$5,B140='Regional Details'!$D$6,B140='Regional Details'!$D$7,B140='Regional Details'!$D$8),'Regional Details'!$E$2,if(or(B140='Regional Details'!$G$5,B140='Regional Details'!$G$6,B140='Regional Details'!$G$7,B140='Regional Details'!$G$8),'Regional Details'!$H$2,'Regional Details'!$K$2)))</f>
        <v>East</v>
      </c>
      <c r="J140" s="2" t="str">
        <f>if(I140='Regional Details'!$B$2,'Regional Details'!$B$3,if(I140='Regional Details'!$E$2,'Regional Details'!$E$3,if(I140='Regional Details'!$H$2,'Regional Details'!$H$3,'Regional Details'!$K$3)))</f>
        <v>Tanvi Sharma</v>
      </c>
      <c r="K140" s="8">
        <f t="array" ref="K140">IFERROR(XLOOKUP(B140,'Regional Details'!$A$5:$A$8,'Regional Details'!$B$5:$B$8),IFERROR(XLOOKUP(B140,'Regional Details'!$D$5:$D$8,'Regional Details'!$E$5:$E$8),IFERROR(xlookup(B140,'Regional Details'!$G$5:$G$8,'Regional Details'!$H$5:$H$8),XLOOKUP(B140,'Regional Details'!$J$5:$J$8,'Regional Details'!$K$5:$K$8))))</f>
        <v>0.125</v>
      </c>
      <c r="L140" s="2" t="str">
        <f>VLOOKUP(A140,MonthMapping!$A$2:$B$13,2,false)</f>
        <v>May</v>
      </c>
      <c r="M140" s="9">
        <f>if(C140=$C$2,Contribution_Old!$B$22,Contribution_Old!$B$23)</f>
        <v>55.84</v>
      </c>
      <c r="N140" s="9">
        <f>if(C140=$C$2,Contribution_New!$B$23,Contribution_New!$B$24)</f>
        <v>61.84</v>
      </c>
      <c r="O140" s="2">
        <f t="shared" ref="O140:P140" si="279">M140*D140</f>
        <v>838493.44</v>
      </c>
      <c r="P140" s="2">
        <f t="shared" si="279"/>
        <v>984307.28</v>
      </c>
      <c r="Q140" s="2">
        <f t="shared" ref="Q140:R140" si="280">G140-O140</f>
        <v>935271.56</v>
      </c>
      <c r="R140" s="2">
        <f t="shared" si="280"/>
        <v>1164487.72</v>
      </c>
      <c r="S140" s="2"/>
      <c r="T140" s="2"/>
      <c r="U140" s="2"/>
      <c r="V140" s="2"/>
      <c r="W140" s="2"/>
      <c r="X140" s="2"/>
      <c r="Y140" s="2"/>
      <c r="Z140" s="2"/>
    </row>
    <row r="141">
      <c r="A141" s="2">
        <f>IFERROR(__xludf.DUMMYFUNCTION("""COMPUTED_VALUE"""),5.0)</f>
        <v>5</v>
      </c>
      <c r="B141" s="2" t="str">
        <f>IFERROR(__xludf.DUMMYFUNCTION("""COMPUTED_VALUE"""),"Bhubaneswar")</f>
        <v>Bhubaneswar</v>
      </c>
      <c r="C141" s="2" t="str">
        <f>IFERROR(__xludf.DUMMYFUNCTION("""COMPUTED_VALUE"""),"NutriKid")</f>
        <v>NutriKid</v>
      </c>
      <c r="D141" s="2">
        <f>IFERROR(__xludf.DUMMYFUNCTION("""COMPUTED_VALUE"""),21463.0)</f>
        <v>21463</v>
      </c>
      <c r="E141" s="2">
        <f>IFERROR(__xludf.DUMMYFUNCTION("""COMPUTED_VALUE"""),22107.0)</f>
        <v>22107</v>
      </c>
      <c r="F141" s="2" t="str">
        <f>IFERROR(__xludf.DUMMYFUNCTION("""COMPUTED_VALUE"""),"IPLMARKETTING")</f>
        <v>IPLMARKETTING</v>
      </c>
      <c r="G141" s="2">
        <f t="shared" si="3"/>
        <v>1126807.5</v>
      </c>
      <c r="H141" s="2">
        <f t="shared" si="4"/>
        <v>1326420</v>
      </c>
      <c r="I141" s="2" t="str">
        <f>IF(or(B141='Regional Details'!$A$5,B141='Regional Details'!$A$6,B141='Regional Details'!$A$7,B141='Regional Details'!$A$8),'Regional Details'!$B$2,if(OR(B141='Regional Details'!$D$5,B141='Regional Details'!$D$6,B141='Regional Details'!$D$7,B141='Regional Details'!$D$8),'Regional Details'!$E$2,if(or(B141='Regional Details'!$G$5,B141='Regional Details'!$G$6,B141='Regional Details'!$G$7,B141='Regional Details'!$G$8),'Regional Details'!$H$2,'Regional Details'!$K$2)))</f>
        <v>East</v>
      </c>
      <c r="J141" s="2" t="str">
        <f>if(I141='Regional Details'!$B$2,'Regional Details'!$B$3,if(I141='Regional Details'!$E$2,'Regional Details'!$E$3,if(I141='Regional Details'!$H$2,'Regional Details'!$H$3,'Regional Details'!$K$3)))</f>
        <v>Tanvi Sharma</v>
      </c>
      <c r="K141" s="8">
        <f t="array" ref="K141">IFERROR(XLOOKUP(B141,'Regional Details'!$A$5:$A$8,'Regional Details'!$B$5:$B$8),IFERROR(XLOOKUP(B141,'Regional Details'!$D$5:$D$8,'Regional Details'!$E$5:$E$8),IFERROR(xlookup(B141,'Regional Details'!$G$5:$G$8,'Regional Details'!$H$5:$H$8),XLOOKUP(B141,'Regional Details'!$J$5:$J$8,'Regional Details'!$K$5:$K$8))))</f>
        <v>0.125</v>
      </c>
      <c r="L141" s="2" t="str">
        <f>VLOOKUP(A141,MonthMapping!$A$2:$B$13,2,false)</f>
        <v>May</v>
      </c>
      <c r="M141" s="9">
        <f>if(C141=$C$2,Contribution_Old!$B$22,Contribution_Old!$B$23)</f>
        <v>24.108</v>
      </c>
      <c r="N141" s="9">
        <f>if(C141=$C$2,Contribution_New!$B$23,Contribution_New!$B$24)</f>
        <v>30.108</v>
      </c>
      <c r="O141" s="2">
        <f t="shared" ref="O141:P141" si="281">M141*D141</f>
        <v>517430.004</v>
      </c>
      <c r="P141" s="2">
        <f t="shared" si="281"/>
        <v>665597.556</v>
      </c>
      <c r="Q141" s="2">
        <f t="shared" ref="Q141:R141" si="282">G141-O141</f>
        <v>609377.496</v>
      </c>
      <c r="R141" s="2">
        <f t="shared" si="282"/>
        <v>660822.444</v>
      </c>
      <c r="S141" s="2"/>
      <c r="T141" s="2"/>
      <c r="U141" s="2"/>
      <c r="V141" s="2"/>
      <c r="W141" s="2"/>
      <c r="X141" s="2"/>
      <c r="Y141" s="2"/>
      <c r="Z141" s="2"/>
    </row>
    <row r="142">
      <c r="A142" s="2">
        <f>IFERROR(__xludf.DUMMYFUNCTION("""COMPUTED_VALUE"""),5.0)</f>
        <v>5</v>
      </c>
      <c r="B142" s="2" t="str">
        <f>IFERROR(__xludf.DUMMYFUNCTION("""COMPUTED_VALUE"""),"Ahmedabad")</f>
        <v>Ahmedabad</v>
      </c>
      <c r="C142" s="2" t="str">
        <f>IFERROR(__xludf.DUMMYFUNCTION("""COMPUTED_VALUE"""),"ZestVita")</f>
        <v>ZestVita</v>
      </c>
      <c r="D142" s="2">
        <f>IFERROR(__xludf.DUMMYFUNCTION("""COMPUTED_VALUE"""),35672.0)</f>
        <v>35672</v>
      </c>
      <c r="E142" s="2">
        <f>IFERROR(__xludf.DUMMYFUNCTION("""COMPUTED_VALUE"""),44233.0)</f>
        <v>44233</v>
      </c>
      <c r="F142" s="2" t="str">
        <f>IFERROR(__xludf.DUMMYFUNCTION("""COMPUTED_VALUE"""),"IPLMARKETTING")</f>
        <v>IPLMARKETTING</v>
      </c>
      <c r="G142" s="2">
        <f t="shared" si="3"/>
        <v>4815720</v>
      </c>
      <c r="H142" s="2">
        <f t="shared" si="4"/>
        <v>5971455</v>
      </c>
      <c r="I142" s="2" t="str">
        <f>IF(or(B142='Regional Details'!$A$5,B142='Regional Details'!$A$6,B142='Regional Details'!$A$7,B142='Regional Details'!$A$8),'Regional Details'!$B$2,if(OR(B142='Regional Details'!$D$5,B142='Regional Details'!$D$6,B142='Regional Details'!$D$7,B142='Regional Details'!$D$8),'Regional Details'!$E$2,if(or(B142='Regional Details'!$G$5,B142='Regional Details'!$G$6,B142='Regional Details'!$G$7,B142='Regional Details'!$G$8),'Regional Details'!$H$2,'Regional Details'!$K$2)))</f>
        <v>West</v>
      </c>
      <c r="J142" s="2" t="str">
        <f>if(I142='Regional Details'!$B$2,'Regional Details'!$B$3,if(I142='Regional Details'!$E$2,'Regional Details'!$E$3,if(I142='Regional Details'!$H$2,'Regional Details'!$H$3,'Regional Details'!$K$3)))</f>
        <v>Ajay Ghosh</v>
      </c>
      <c r="K142" s="8">
        <f t="array" ref="K142">IFERROR(XLOOKUP(B142,'Regional Details'!$A$5:$A$8,'Regional Details'!$B$5:$B$8),IFERROR(XLOOKUP(B142,'Regional Details'!$D$5:$D$8,'Regional Details'!$E$5:$E$8),IFERROR(xlookup(B142,'Regional Details'!$G$5:$G$8,'Regional Details'!$H$5:$H$8),XLOOKUP(B142,'Regional Details'!$J$5:$J$8,'Regional Details'!$K$5:$K$8))))</f>
        <v>0</v>
      </c>
      <c r="L142" s="2" t="str">
        <f>VLOOKUP(A142,MonthMapping!$A$2:$B$13,2,false)</f>
        <v>May</v>
      </c>
      <c r="M142" s="9">
        <f>if(C142=$C$2,Contribution_Old!$B$22,Contribution_Old!$B$23)</f>
        <v>55.84</v>
      </c>
      <c r="N142" s="9">
        <f>if(C142=$C$2,Contribution_New!$B$23,Contribution_New!$B$24)</f>
        <v>61.84</v>
      </c>
      <c r="O142" s="2">
        <f t="shared" ref="O142:P142" si="283">M142*D142</f>
        <v>1991924.48</v>
      </c>
      <c r="P142" s="2">
        <f t="shared" si="283"/>
        <v>2735368.72</v>
      </c>
      <c r="Q142" s="2">
        <f t="shared" ref="Q142:R142" si="284">G142-O142</f>
        <v>2823795.52</v>
      </c>
      <c r="R142" s="2">
        <f t="shared" si="284"/>
        <v>3236086.28</v>
      </c>
      <c r="S142" s="2"/>
      <c r="T142" s="2"/>
      <c r="U142" s="2"/>
      <c r="V142" s="2"/>
      <c r="W142" s="2"/>
      <c r="X142" s="2"/>
      <c r="Y142" s="2"/>
      <c r="Z142" s="2"/>
    </row>
    <row r="143">
      <c r="A143" s="2">
        <f>IFERROR(__xludf.DUMMYFUNCTION("""COMPUTED_VALUE"""),5.0)</f>
        <v>5</v>
      </c>
      <c r="B143" s="2" t="str">
        <f>IFERROR(__xludf.DUMMYFUNCTION("""COMPUTED_VALUE"""),"Ahmedabad")</f>
        <v>Ahmedabad</v>
      </c>
      <c r="C143" s="2" t="str">
        <f>IFERROR(__xludf.DUMMYFUNCTION("""COMPUTED_VALUE"""),"NutriKid")</f>
        <v>NutriKid</v>
      </c>
      <c r="D143" s="2">
        <f>IFERROR(__xludf.DUMMYFUNCTION("""COMPUTED_VALUE"""),20920.0)</f>
        <v>20920</v>
      </c>
      <c r="E143" s="2">
        <f>IFERROR(__xludf.DUMMYFUNCTION("""COMPUTED_VALUE"""),23849.0)</f>
        <v>23849</v>
      </c>
      <c r="F143" s="2" t="str">
        <f>IFERROR(__xludf.DUMMYFUNCTION("""COMPUTED_VALUE"""),"IPLMARKETTING")</f>
        <v>IPLMARKETTING</v>
      </c>
      <c r="G143" s="2">
        <f t="shared" si="3"/>
        <v>1255200</v>
      </c>
      <c r="H143" s="2">
        <f t="shared" si="4"/>
        <v>1430940</v>
      </c>
      <c r="I143" s="2" t="str">
        <f>IF(or(B143='Regional Details'!$A$5,B143='Regional Details'!$A$6,B143='Regional Details'!$A$7,B143='Regional Details'!$A$8),'Regional Details'!$B$2,if(OR(B143='Regional Details'!$D$5,B143='Regional Details'!$D$6,B143='Regional Details'!$D$7,B143='Regional Details'!$D$8),'Regional Details'!$E$2,if(or(B143='Regional Details'!$G$5,B143='Regional Details'!$G$6,B143='Regional Details'!$G$7,B143='Regional Details'!$G$8),'Regional Details'!$H$2,'Regional Details'!$K$2)))</f>
        <v>West</v>
      </c>
      <c r="J143" s="2" t="str">
        <f>if(I143='Regional Details'!$B$2,'Regional Details'!$B$3,if(I143='Regional Details'!$E$2,'Regional Details'!$E$3,if(I143='Regional Details'!$H$2,'Regional Details'!$H$3,'Regional Details'!$K$3)))</f>
        <v>Ajay Ghosh</v>
      </c>
      <c r="K143" s="8">
        <f t="array" ref="K143">IFERROR(XLOOKUP(B143,'Regional Details'!$A$5:$A$8,'Regional Details'!$B$5:$B$8),IFERROR(XLOOKUP(B143,'Regional Details'!$D$5:$D$8,'Regional Details'!$E$5:$E$8),IFERROR(xlookup(B143,'Regional Details'!$G$5:$G$8,'Regional Details'!$H$5:$H$8),XLOOKUP(B143,'Regional Details'!$J$5:$J$8,'Regional Details'!$K$5:$K$8))))</f>
        <v>0</v>
      </c>
      <c r="L143" s="2" t="str">
        <f>VLOOKUP(A143,MonthMapping!$A$2:$B$13,2,false)</f>
        <v>May</v>
      </c>
      <c r="M143" s="9">
        <f>if(C143=$C$2,Contribution_Old!$B$22,Contribution_Old!$B$23)</f>
        <v>24.108</v>
      </c>
      <c r="N143" s="9">
        <f>if(C143=$C$2,Contribution_New!$B$23,Contribution_New!$B$24)</f>
        <v>30.108</v>
      </c>
      <c r="O143" s="2">
        <f t="shared" ref="O143:P143" si="285">M143*D143</f>
        <v>504339.36</v>
      </c>
      <c r="P143" s="2">
        <f t="shared" si="285"/>
        <v>718045.692</v>
      </c>
      <c r="Q143" s="2">
        <f t="shared" ref="Q143:R143" si="286">G143-O143</f>
        <v>750860.64</v>
      </c>
      <c r="R143" s="2">
        <f t="shared" si="286"/>
        <v>712894.308</v>
      </c>
      <c r="S143" s="2"/>
      <c r="T143" s="2"/>
      <c r="U143" s="2"/>
      <c r="V143" s="2"/>
      <c r="W143" s="2"/>
      <c r="X143" s="2"/>
      <c r="Y143" s="2"/>
      <c r="Z143" s="2"/>
    </row>
    <row r="144">
      <c r="A144" s="2">
        <f>IFERROR(__xludf.DUMMYFUNCTION("""COMPUTED_VALUE"""),5.0)</f>
        <v>5</v>
      </c>
      <c r="B144" s="2" t="str">
        <f>IFERROR(__xludf.DUMMYFUNCTION("""COMPUTED_VALUE"""),"Chennai")</f>
        <v>Chennai</v>
      </c>
      <c r="C144" s="2" t="str">
        <f>IFERROR(__xludf.DUMMYFUNCTION("""COMPUTED_VALUE"""),"ZestVita")</f>
        <v>ZestVita</v>
      </c>
      <c r="D144" s="2">
        <f>IFERROR(__xludf.DUMMYFUNCTION("""COMPUTED_VALUE"""),22601.0)</f>
        <v>22601</v>
      </c>
      <c r="E144" s="2">
        <f>IFERROR(__xludf.DUMMYFUNCTION("""COMPUTED_VALUE"""),25313.0)</f>
        <v>25313</v>
      </c>
      <c r="F144" s="2" t="str">
        <f>IFERROR(__xludf.DUMMYFUNCTION("""COMPUTED_VALUE"""),"IPLMARKETTING")</f>
        <v>IPLMARKETTING</v>
      </c>
      <c r="G144" s="2">
        <f t="shared" si="3"/>
        <v>3051135</v>
      </c>
      <c r="H144" s="2">
        <f t="shared" si="4"/>
        <v>3417255</v>
      </c>
      <c r="I144" s="2" t="str">
        <f>IF(or(B144='Regional Details'!$A$5,B144='Regional Details'!$A$6,B144='Regional Details'!$A$7,B144='Regional Details'!$A$8),'Regional Details'!$B$2,if(OR(B144='Regional Details'!$D$5,B144='Regional Details'!$D$6,B144='Regional Details'!$D$7,B144='Regional Details'!$D$8),'Regional Details'!$E$2,if(or(B144='Regional Details'!$G$5,B144='Regional Details'!$G$6,B144='Regional Details'!$G$7,B144='Regional Details'!$G$8),'Regional Details'!$H$2,'Regional Details'!$K$2)))</f>
        <v>South</v>
      </c>
      <c r="J144" s="2" t="str">
        <f>if(I144='Regional Details'!$B$2,'Regional Details'!$B$3,if(I144='Regional Details'!$E$2,'Regional Details'!$E$3,if(I144='Regional Details'!$H$2,'Regional Details'!$H$3,'Regional Details'!$K$3)))</f>
        <v>Anjali Krishna Murthy</v>
      </c>
      <c r="K144" s="8">
        <f t="array" ref="K144">IFERROR(XLOOKUP(B144,'Regional Details'!$A$5:$A$8,'Regional Details'!$B$5:$B$8),IFERROR(XLOOKUP(B144,'Regional Details'!$D$5:$D$8,'Regional Details'!$E$5:$E$8),IFERROR(xlookup(B144,'Regional Details'!$G$5:$G$8,'Regional Details'!$H$5:$H$8),XLOOKUP(B144,'Regional Details'!$J$5:$J$8,'Regional Details'!$K$5:$K$8))))</f>
        <v>0</v>
      </c>
      <c r="L144" s="2" t="str">
        <f>VLOOKUP(A144,MonthMapping!$A$2:$B$13,2,false)</f>
        <v>May</v>
      </c>
      <c r="M144" s="9">
        <f>if(C144=$C$2,Contribution_Old!$B$22,Contribution_Old!$B$23)</f>
        <v>55.84</v>
      </c>
      <c r="N144" s="9">
        <f>if(C144=$C$2,Contribution_New!$B$23,Contribution_New!$B$24)</f>
        <v>61.84</v>
      </c>
      <c r="O144" s="2">
        <f t="shared" ref="O144:P144" si="287">M144*D144</f>
        <v>1262039.84</v>
      </c>
      <c r="P144" s="2">
        <f t="shared" si="287"/>
        <v>1565355.92</v>
      </c>
      <c r="Q144" s="2">
        <f t="shared" ref="Q144:R144" si="288">G144-O144</f>
        <v>1789095.16</v>
      </c>
      <c r="R144" s="2">
        <f t="shared" si="288"/>
        <v>1851899.08</v>
      </c>
      <c r="S144" s="2"/>
      <c r="T144" s="2"/>
      <c r="U144" s="2"/>
      <c r="V144" s="2"/>
      <c r="W144" s="2"/>
      <c r="X144" s="2"/>
      <c r="Y144" s="2"/>
      <c r="Z144" s="2"/>
    </row>
    <row r="145">
      <c r="A145" s="2">
        <f>IFERROR(__xludf.DUMMYFUNCTION("""COMPUTED_VALUE"""),5.0)</f>
        <v>5</v>
      </c>
      <c r="B145" s="2" t="str">
        <f>IFERROR(__xludf.DUMMYFUNCTION("""COMPUTED_VALUE"""),"Chennai")</f>
        <v>Chennai</v>
      </c>
      <c r="C145" s="2" t="str">
        <f>IFERROR(__xludf.DUMMYFUNCTION("""COMPUTED_VALUE"""),"NutriKid")</f>
        <v>NutriKid</v>
      </c>
      <c r="D145" s="2">
        <f>IFERROR(__xludf.DUMMYFUNCTION("""COMPUTED_VALUE"""),24580.0)</f>
        <v>24580</v>
      </c>
      <c r="E145" s="2">
        <f>IFERROR(__xludf.DUMMYFUNCTION("""COMPUTED_VALUE"""),30233.0)</f>
        <v>30233</v>
      </c>
      <c r="F145" s="2" t="str">
        <f>IFERROR(__xludf.DUMMYFUNCTION("""COMPUTED_VALUE"""),"IPLMARKETTING")</f>
        <v>IPLMARKETTING</v>
      </c>
      <c r="G145" s="2">
        <f t="shared" si="3"/>
        <v>1474800</v>
      </c>
      <c r="H145" s="2">
        <f t="shared" si="4"/>
        <v>1813980</v>
      </c>
      <c r="I145" s="2" t="str">
        <f>IF(or(B145='Regional Details'!$A$5,B145='Regional Details'!$A$6,B145='Regional Details'!$A$7,B145='Regional Details'!$A$8),'Regional Details'!$B$2,if(OR(B145='Regional Details'!$D$5,B145='Regional Details'!$D$6,B145='Regional Details'!$D$7,B145='Regional Details'!$D$8),'Regional Details'!$E$2,if(or(B145='Regional Details'!$G$5,B145='Regional Details'!$G$6,B145='Regional Details'!$G$7,B145='Regional Details'!$G$8),'Regional Details'!$H$2,'Regional Details'!$K$2)))</f>
        <v>South</v>
      </c>
      <c r="J145" s="2" t="str">
        <f>if(I145='Regional Details'!$B$2,'Regional Details'!$B$3,if(I145='Regional Details'!$E$2,'Regional Details'!$E$3,if(I145='Regional Details'!$H$2,'Regional Details'!$H$3,'Regional Details'!$K$3)))</f>
        <v>Anjali Krishna Murthy</v>
      </c>
      <c r="K145" s="8">
        <f t="array" ref="K145">IFERROR(XLOOKUP(B145,'Regional Details'!$A$5:$A$8,'Regional Details'!$B$5:$B$8),IFERROR(XLOOKUP(B145,'Regional Details'!$D$5:$D$8,'Regional Details'!$E$5:$E$8),IFERROR(xlookup(B145,'Regional Details'!$G$5:$G$8,'Regional Details'!$H$5:$H$8),XLOOKUP(B145,'Regional Details'!$J$5:$J$8,'Regional Details'!$K$5:$K$8))))</f>
        <v>0</v>
      </c>
      <c r="L145" s="2" t="str">
        <f>VLOOKUP(A145,MonthMapping!$A$2:$B$13,2,false)</f>
        <v>May</v>
      </c>
      <c r="M145" s="9">
        <f>if(C145=$C$2,Contribution_Old!$B$22,Contribution_Old!$B$23)</f>
        <v>24.108</v>
      </c>
      <c r="N145" s="9">
        <f>if(C145=$C$2,Contribution_New!$B$23,Contribution_New!$B$24)</f>
        <v>30.108</v>
      </c>
      <c r="O145" s="2">
        <f t="shared" ref="O145:P145" si="289">M145*D145</f>
        <v>592574.64</v>
      </c>
      <c r="P145" s="2">
        <f t="shared" si="289"/>
        <v>910255.164</v>
      </c>
      <c r="Q145" s="2">
        <f t="shared" ref="Q145:R145" si="290">G145-O145</f>
        <v>882225.36</v>
      </c>
      <c r="R145" s="2">
        <f t="shared" si="290"/>
        <v>903724.836</v>
      </c>
      <c r="S145" s="2"/>
      <c r="T145" s="2"/>
      <c r="U145" s="2"/>
      <c r="V145" s="2"/>
      <c r="W145" s="2"/>
      <c r="X145" s="2"/>
      <c r="Y145" s="2"/>
      <c r="Z145" s="2"/>
    </row>
    <row r="146">
      <c r="A146" s="2">
        <f>IFERROR(__xludf.DUMMYFUNCTION("""COMPUTED_VALUE"""),5.0)</f>
        <v>5</v>
      </c>
      <c r="B146" s="2" t="str">
        <f>IFERROR(__xludf.DUMMYFUNCTION("""COMPUTED_VALUE"""),"Lucknow")</f>
        <v>Lucknow</v>
      </c>
      <c r="C146" s="2" t="str">
        <f>IFERROR(__xludf.DUMMYFUNCTION("""COMPUTED_VALUE"""),"ZestVita")</f>
        <v>ZestVita</v>
      </c>
      <c r="D146" s="2">
        <f>IFERROR(__xludf.DUMMYFUNCTION("""COMPUTED_VALUE"""),26118.0)</f>
        <v>26118</v>
      </c>
      <c r="E146" s="2">
        <f>IFERROR(__xludf.DUMMYFUNCTION("""COMPUTED_VALUE"""),32125.0)</f>
        <v>32125</v>
      </c>
      <c r="F146" s="2" t="str">
        <f>IFERROR(__xludf.DUMMYFUNCTION("""COMPUTED_VALUE"""),"IPLMARKETTING")</f>
        <v>IPLMARKETTING</v>
      </c>
      <c r="G146" s="2">
        <f t="shared" si="3"/>
        <v>3173337</v>
      </c>
      <c r="H146" s="2">
        <f t="shared" si="4"/>
        <v>4336875</v>
      </c>
      <c r="I146" s="2" t="str">
        <f>IF(or(B146='Regional Details'!$A$5,B146='Regional Details'!$A$6,B146='Regional Details'!$A$7,B146='Regional Details'!$A$8),'Regional Details'!$B$2,if(OR(B146='Regional Details'!$D$5,B146='Regional Details'!$D$6,B146='Regional Details'!$D$7,B146='Regional Details'!$D$8),'Regional Details'!$E$2,if(or(B146='Regional Details'!$G$5,B146='Regional Details'!$G$6,B146='Regional Details'!$G$7,B146='Regional Details'!$G$8),'Regional Details'!$H$2,'Regional Details'!$K$2)))</f>
        <v>North</v>
      </c>
      <c r="J146" s="2" t="str">
        <f>if(I146='Regional Details'!$B$2,'Regional Details'!$B$3,if(I146='Regional Details'!$E$2,'Regional Details'!$E$3,if(I146='Regional Details'!$H$2,'Regional Details'!$H$3,'Regional Details'!$K$3)))</f>
        <v>Ajay Kumar</v>
      </c>
      <c r="K146" s="8">
        <f t="array" ref="K146">IFERROR(XLOOKUP(B146,'Regional Details'!$A$5:$A$8,'Regional Details'!$B$5:$B$8),IFERROR(XLOOKUP(B146,'Regional Details'!$D$5:$D$8,'Regional Details'!$E$5:$E$8),IFERROR(xlookup(B146,'Regional Details'!$G$5:$G$8,'Regional Details'!$H$5:$H$8),XLOOKUP(B146,'Regional Details'!$J$5:$J$8,'Regional Details'!$K$5:$K$8))))</f>
        <v>0.1</v>
      </c>
      <c r="L146" s="2" t="str">
        <f>VLOOKUP(A146,MonthMapping!$A$2:$B$13,2,false)</f>
        <v>May</v>
      </c>
      <c r="M146" s="9">
        <f>if(C146=$C$2,Contribution_Old!$B$22,Contribution_Old!$B$23)</f>
        <v>55.84</v>
      </c>
      <c r="N146" s="9">
        <f>if(C146=$C$2,Contribution_New!$B$23,Contribution_New!$B$24)</f>
        <v>61.84</v>
      </c>
      <c r="O146" s="2">
        <f t="shared" ref="O146:P146" si="291">M146*D146</f>
        <v>1458429.12</v>
      </c>
      <c r="P146" s="2">
        <f t="shared" si="291"/>
        <v>1986610</v>
      </c>
      <c r="Q146" s="2">
        <f t="shared" ref="Q146:R146" si="292">G146-O146</f>
        <v>1714907.88</v>
      </c>
      <c r="R146" s="2">
        <f t="shared" si="292"/>
        <v>2350265</v>
      </c>
      <c r="S146" s="2"/>
      <c r="T146" s="2"/>
      <c r="U146" s="2"/>
      <c r="V146" s="2"/>
      <c r="W146" s="2"/>
      <c r="X146" s="2"/>
      <c r="Y146" s="2"/>
      <c r="Z146" s="2"/>
    </row>
    <row r="147">
      <c r="A147" s="2">
        <f>IFERROR(__xludf.DUMMYFUNCTION("""COMPUTED_VALUE"""),5.0)</f>
        <v>5</v>
      </c>
      <c r="B147" s="2" t="str">
        <f>IFERROR(__xludf.DUMMYFUNCTION("""COMPUTED_VALUE"""),"Lucknow")</f>
        <v>Lucknow</v>
      </c>
      <c r="C147" s="2" t="str">
        <f>IFERROR(__xludf.DUMMYFUNCTION("""COMPUTED_VALUE"""),"NutriKid")</f>
        <v>NutriKid</v>
      </c>
      <c r="D147" s="2">
        <f>IFERROR(__xludf.DUMMYFUNCTION("""COMPUTED_VALUE"""),23751.0)</f>
        <v>23751</v>
      </c>
      <c r="E147" s="2">
        <f>IFERROR(__xludf.DUMMYFUNCTION("""COMPUTED_VALUE"""),27551.0)</f>
        <v>27551</v>
      </c>
      <c r="F147" s="2" t="str">
        <f>IFERROR(__xludf.DUMMYFUNCTION("""COMPUTED_VALUE"""),"IPLMARKETTING")</f>
        <v>IPLMARKETTING</v>
      </c>
      <c r="G147" s="2">
        <f t="shared" si="3"/>
        <v>1282554</v>
      </c>
      <c r="H147" s="2">
        <f t="shared" si="4"/>
        <v>1653060</v>
      </c>
      <c r="I147" s="2" t="str">
        <f>IF(or(B147='Regional Details'!$A$5,B147='Regional Details'!$A$6,B147='Regional Details'!$A$7,B147='Regional Details'!$A$8),'Regional Details'!$B$2,if(OR(B147='Regional Details'!$D$5,B147='Regional Details'!$D$6,B147='Regional Details'!$D$7,B147='Regional Details'!$D$8),'Regional Details'!$E$2,if(or(B147='Regional Details'!$G$5,B147='Regional Details'!$G$6,B147='Regional Details'!$G$7,B147='Regional Details'!$G$8),'Regional Details'!$H$2,'Regional Details'!$K$2)))</f>
        <v>North</v>
      </c>
      <c r="J147" s="2" t="str">
        <f>if(I147='Regional Details'!$B$2,'Regional Details'!$B$3,if(I147='Regional Details'!$E$2,'Regional Details'!$E$3,if(I147='Regional Details'!$H$2,'Regional Details'!$H$3,'Regional Details'!$K$3)))</f>
        <v>Ajay Kumar</v>
      </c>
      <c r="K147" s="8">
        <f t="array" ref="K147">IFERROR(XLOOKUP(B147,'Regional Details'!$A$5:$A$8,'Regional Details'!$B$5:$B$8),IFERROR(XLOOKUP(B147,'Regional Details'!$D$5:$D$8,'Regional Details'!$E$5:$E$8),IFERROR(xlookup(B147,'Regional Details'!$G$5:$G$8,'Regional Details'!$H$5:$H$8),XLOOKUP(B147,'Regional Details'!$J$5:$J$8,'Regional Details'!$K$5:$K$8))))</f>
        <v>0.1</v>
      </c>
      <c r="L147" s="2" t="str">
        <f>VLOOKUP(A147,MonthMapping!$A$2:$B$13,2,false)</f>
        <v>May</v>
      </c>
      <c r="M147" s="9">
        <f>if(C147=$C$2,Contribution_Old!$B$22,Contribution_Old!$B$23)</f>
        <v>24.108</v>
      </c>
      <c r="N147" s="9">
        <f>if(C147=$C$2,Contribution_New!$B$23,Contribution_New!$B$24)</f>
        <v>30.108</v>
      </c>
      <c r="O147" s="2">
        <f t="shared" ref="O147:P147" si="293">M147*D147</f>
        <v>572589.108</v>
      </c>
      <c r="P147" s="2">
        <f t="shared" si="293"/>
        <v>829505.508</v>
      </c>
      <c r="Q147" s="2">
        <f t="shared" ref="Q147:R147" si="294">G147-O147</f>
        <v>709964.892</v>
      </c>
      <c r="R147" s="2">
        <f t="shared" si="294"/>
        <v>823554.492</v>
      </c>
      <c r="S147" s="2"/>
      <c r="T147" s="2"/>
      <c r="U147" s="2"/>
      <c r="V147" s="2"/>
      <c r="W147" s="2"/>
      <c r="X147" s="2"/>
      <c r="Y147" s="2"/>
      <c r="Z147" s="2"/>
    </row>
    <row r="148">
      <c r="A148" s="2">
        <f>IFERROR(__xludf.DUMMYFUNCTION("""COMPUTED_VALUE"""),5.0)</f>
        <v>5</v>
      </c>
      <c r="B148" s="2" t="str">
        <f>IFERROR(__xludf.DUMMYFUNCTION("""COMPUTED_VALUE"""),"Ranchi")</f>
        <v>Ranchi</v>
      </c>
      <c r="C148" s="2" t="str">
        <f>IFERROR(__xludf.DUMMYFUNCTION("""COMPUTED_VALUE"""),"ZestVita")</f>
        <v>ZestVita</v>
      </c>
      <c r="D148" s="2">
        <f>IFERROR(__xludf.DUMMYFUNCTION("""COMPUTED_VALUE"""),30378.0)</f>
        <v>30378</v>
      </c>
      <c r="E148" s="2">
        <f>IFERROR(__xludf.DUMMYFUNCTION("""COMPUTED_VALUE"""),32808.0)</f>
        <v>32808</v>
      </c>
      <c r="F148" s="2" t="str">
        <f>IFERROR(__xludf.DUMMYFUNCTION("""COMPUTED_VALUE"""),"IPLMARKETTING")</f>
        <v>IPLMARKETTING</v>
      </c>
      <c r="G148" s="2">
        <f t="shared" si="3"/>
        <v>3895978.5</v>
      </c>
      <c r="H148" s="2">
        <f t="shared" si="4"/>
        <v>4429080</v>
      </c>
      <c r="I148" s="2" t="str">
        <f>IF(or(B148='Regional Details'!$A$5,B148='Regional Details'!$A$6,B148='Regional Details'!$A$7,B148='Regional Details'!$A$8),'Regional Details'!$B$2,if(OR(B148='Regional Details'!$D$5,B148='Regional Details'!$D$6,B148='Regional Details'!$D$7,B148='Regional Details'!$D$8),'Regional Details'!$E$2,if(or(B148='Regional Details'!$G$5,B148='Regional Details'!$G$6,B148='Regional Details'!$G$7,B148='Regional Details'!$G$8),'Regional Details'!$H$2,'Regional Details'!$K$2)))</f>
        <v>East</v>
      </c>
      <c r="J148" s="2" t="str">
        <f>if(I148='Regional Details'!$B$2,'Regional Details'!$B$3,if(I148='Regional Details'!$E$2,'Regional Details'!$E$3,if(I148='Regional Details'!$H$2,'Regional Details'!$H$3,'Regional Details'!$K$3)))</f>
        <v>Tanvi Sharma</v>
      </c>
      <c r="K148" s="8">
        <f t="array" ref="K148">IFERROR(XLOOKUP(B148,'Regional Details'!$A$5:$A$8,'Regional Details'!$B$5:$B$8),IFERROR(XLOOKUP(B148,'Regional Details'!$D$5:$D$8,'Regional Details'!$E$5:$E$8),IFERROR(xlookup(B148,'Regional Details'!$G$5:$G$8,'Regional Details'!$H$5:$H$8),XLOOKUP(B148,'Regional Details'!$J$5:$J$8,'Regional Details'!$K$5:$K$8))))</f>
        <v>0.05</v>
      </c>
      <c r="L148" s="2" t="str">
        <f>VLOOKUP(A148,MonthMapping!$A$2:$B$13,2,false)</f>
        <v>May</v>
      </c>
      <c r="M148" s="9">
        <f>if(C148=$C$2,Contribution_Old!$B$22,Contribution_Old!$B$23)</f>
        <v>55.84</v>
      </c>
      <c r="N148" s="9">
        <f>if(C148=$C$2,Contribution_New!$B$23,Contribution_New!$B$24)</f>
        <v>61.84</v>
      </c>
      <c r="O148" s="2">
        <f t="shared" ref="O148:P148" si="295">M148*D148</f>
        <v>1696307.52</v>
      </c>
      <c r="P148" s="2">
        <f t="shared" si="295"/>
        <v>2028846.72</v>
      </c>
      <c r="Q148" s="2">
        <f t="shared" ref="Q148:R148" si="296">G148-O148</f>
        <v>2199670.98</v>
      </c>
      <c r="R148" s="2">
        <f t="shared" si="296"/>
        <v>2400233.28</v>
      </c>
      <c r="S148" s="2"/>
      <c r="T148" s="2"/>
      <c r="U148" s="2"/>
      <c r="V148" s="2"/>
      <c r="W148" s="2"/>
      <c r="X148" s="2"/>
      <c r="Y148" s="2"/>
      <c r="Z148" s="2"/>
    </row>
    <row r="149">
      <c r="A149" s="2">
        <f>IFERROR(__xludf.DUMMYFUNCTION("""COMPUTED_VALUE"""),5.0)</f>
        <v>5</v>
      </c>
      <c r="B149" s="2" t="str">
        <f>IFERROR(__xludf.DUMMYFUNCTION("""COMPUTED_VALUE"""),"Ranchi")</f>
        <v>Ranchi</v>
      </c>
      <c r="C149" s="2" t="str">
        <f>IFERROR(__xludf.DUMMYFUNCTION("""COMPUTED_VALUE"""),"NutriKid")</f>
        <v>NutriKid</v>
      </c>
      <c r="D149" s="2">
        <f>IFERROR(__xludf.DUMMYFUNCTION("""COMPUTED_VALUE"""),20625.0)</f>
        <v>20625</v>
      </c>
      <c r="E149" s="2">
        <f>IFERROR(__xludf.DUMMYFUNCTION("""COMPUTED_VALUE"""),21450.0)</f>
        <v>21450</v>
      </c>
      <c r="F149" s="2" t="str">
        <f>IFERROR(__xludf.DUMMYFUNCTION("""COMPUTED_VALUE"""),"IPLMARKETTING")</f>
        <v>IPLMARKETTING</v>
      </c>
      <c r="G149" s="2">
        <f t="shared" si="3"/>
        <v>1175625</v>
      </c>
      <c r="H149" s="2">
        <f t="shared" si="4"/>
        <v>1287000</v>
      </c>
      <c r="I149" s="2" t="str">
        <f>IF(or(B149='Regional Details'!$A$5,B149='Regional Details'!$A$6,B149='Regional Details'!$A$7,B149='Regional Details'!$A$8),'Regional Details'!$B$2,if(OR(B149='Regional Details'!$D$5,B149='Regional Details'!$D$6,B149='Regional Details'!$D$7,B149='Regional Details'!$D$8),'Regional Details'!$E$2,if(or(B149='Regional Details'!$G$5,B149='Regional Details'!$G$6,B149='Regional Details'!$G$7,B149='Regional Details'!$G$8),'Regional Details'!$H$2,'Regional Details'!$K$2)))</f>
        <v>East</v>
      </c>
      <c r="J149" s="2" t="str">
        <f>if(I149='Regional Details'!$B$2,'Regional Details'!$B$3,if(I149='Regional Details'!$E$2,'Regional Details'!$E$3,if(I149='Regional Details'!$H$2,'Regional Details'!$H$3,'Regional Details'!$K$3)))</f>
        <v>Tanvi Sharma</v>
      </c>
      <c r="K149" s="8">
        <f t="array" ref="K149">IFERROR(XLOOKUP(B149,'Regional Details'!$A$5:$A$8,'Regional Details'!$B$5:$B$8),IFERROR(XLOOKUP(B149,'Regional Details'!$D$5:$D$8,'Regional Details'!$E$5:$E$8),IFERROR(xlookup(B149,'Regional Details'!$G$5:$G$8,'Regional Details'!$H$5:$H$8),XLOOKUP(B149,'Regional Details'!$J$5:$J$8,'Regional Details'!$K$5:$K$8))))</f>
        <v>0.05</v>
      </c>
      <c r="L149" s="2" t="str">
        <f>VLOOKUP(A149,MonthMapping!$A$2:$B$13,2,false)</f>
        <v>May</v>
      </c>
      <c r="M149" s="9">
        <f>if(C149=$C$2,Contribution_Old!$B$22,Contribution_Old!$B$23)</f>
        <v>24.108</v>
      </c>
      <c r="N149" s="9">
        <f>if(C149=$C$2,Contribution_New!$B$23,Contribution_New!$B$24)</f>
        <v>30.108</v>
      </c>
      <c r="O149" s="2">
        <f t="shared" ref="O149:P149" si="297">M149*D149</f>
        <v>497227.5</v>
      </c>
      <c r="P149" s="2">
        <f t="shared" si="297"/>
        <v>645816.6</v>
      </c>
      <c r="Q149" s="2">
        <f t="shared" ref="Q149:R149" si="298">G149-O149</f>
        <v>678397.5</v>
      </c>
      <c r="R149" s="2">
        <f t="shared" si="298"/>
        <v>641183.4</v>
      </c>
      <c r="S149" s="2"/>
      <c r="T149" s="2"/>
      <c r="U149" s="2"/>
      <c r="V149" s="2"/>
      <c r="W149" s="2"/>
      <c r="X149" s="2"/>
      <c r="Y149" s="2"/>
      <c r="Z149" s="2"/>
    </row>
    <row r="150">
      <c r="A150" s="2">
        <f>IFERROR(__xludf.DUMMYFUNCTION("""COMPUTED_VALUE"""),5.0)</f>
        <v>5</v>
      </c>
      <c r="B150" s="2" t="str">
        <f>IFERROR(__xludf.DUMMYFUNCTION("""COMPUTED_VALUE"""),"Surat")</f>
        <v>Surat</v>
      </c>
      <c r="C150" s="2" t="str">
        <f>IFERROR(__xludf.DUMMYFUNCTION("""COMPUTED_VALUE"""),"ZestVita")</f>
        <v>ZestVita</v>
      </c>
      <c r="D150" s="2">
        <f>IFERROR(__xludf.DUMMYFUNCTION("""COMPUTED_VALUE"""),32290.0)</f>
        <v>32290</v>
      </c>
      <c r="E150" s="2">
        <f>IFERROR(__xludf.DUMMYFUNCTION("""COMPUTED_VALUE"""),33582.0)</f>
        <v>33582</v>
      </c>
      <c r="F150" s="2" t="str">
        <f>IFERROR(__xludf.DUMMYFUNCTION("""COMPUTED_VALUE"""),"IPLMARKETTING")</f>
        <v>IPLMARKETTING</v>
      </c>
      <c r="G150" s="2">
        <f t="shared" si="3"/>
        <v>4141192.5</v>
      </c>
      <c r="H150" s="2">
        <f t="shared" si="4"/>
        <v>4533570</v>
      </c>
      <c r="I150" s="2" t="str">
        <f>IF(or(B150='Regional Details'!$A$5,B150='Regional Details'!$A$6,B150='Regional Details'!$A$7,B150='Regional Details'!$A$8),'Regional Details'!$B$2,if(OR(B150='Regional Details'!$D$5,B150='Regional Details'!$D$6,B150='Regional Details'!$D$7,B150='Regional Details'!$D$8),'Regional Details'!$E$2,if(or(B150='Regional Details'!$G$5,B150='Regional Details'!$G$6,B150='Regional Details'!$G$7,B150='Regional Details'!$G$8),'Regional Details'!$H$2,'Regional Details'!$K$2)))</f>
        <v>West</v>
      </c>
      <c r="J150" s="2" t="str">
        <f>if(I150='Regional Details'!$B$2,'Regional Details'!$B$3,if(I150='Regional Details'!$E$2,'Regional Details'!$E$3,if(I150='Regional Details'!$H$2,'Regional Details'!$H$3,'Regional Details'!$K$3)))</f>
        <v>Ajay Ghosh</v>
      </c>
      <c r="K150" s="8">
        <f t="array" ref="K150">IFERROR(XLOOKUP(B150,'Regional Details'!$A$5:$A$8,'Regional Details'!$B$5:$B$8),IFERROR(XLOOKUP(B150,'Regional Details'!$D$5:$D$8,'Regional Details'!$E$5:$E$8),IFERROR(xlookup(B150,'Regional Details'!$G$5:$G$8,'Regional Details'!$H$5:$H$8),XLOOKUP(B150,'Regional Details'!$J$5:$J$8,'Regional Details'!$K$5:$K$8))))</f>
        <v>0.05</v>
      </c>
      <c r="L150" s="2" t="str">
        <f>VLOOKUP(A150,MonthMapping!$A$2:$B$13,2,false)</f>
        <v>May</v>
      </c>
      <c r="M150" s="9">
        <f>if(C150=$C$2,Contribution_Old!$B$22,Contribution_Old!$B$23)</f>
        <v>55.84</v>
      </c>
      <c r="N150" s="9">
        <f>if(C150=$C$2,Contribution_New!$B$23,Contribution_New!$B$24)</f>
        <v>61.84</v>
      </c>
      <c r="O150" s="2">
        <f t="shared" ref="O150:P150" si="299">M150*D150</f>
        <v>1803073.6</v>
      </c>
      <c r="P150" s="2">
        <f t="shared" si="299"/>
        <v>2076710.88</v>
      </c>
      <c r="Q150" s="2">
        <f t="shared" ref="Q150:R150" si="300">G150-O150</f>
        <v>2338118.9</v>
      </c>
      <c r="R150" s="2">
        <f t="shared" si="300"/>
        <v>2456859.12</v>
      </c>
      <c r="S150" s="2"/>
      <c r="T150" s="2"/>
      <c r="U150" s="2"/>
      <c r="V150" s="2"/>
      <c r="W150" s="2"/>
      <c r="X150" s="2"/>
      <c r="Y150" s="2"/>
      <c r="Z150" s="2"/>
    </row>
    <row r="151">
      <c r="A151" s="2">
        <f>IFERROR(__xludf.DUMMYFUNCTION("""COMPUTED_VALUE"""),5.0)</f>
        <v>5</v>
      </c>
      <c r="B151" s="2" t="str">
        <f>IFERROR(__xludf.DUMMYFUNCTION("""COMPUTED_VALUE"""),"Surat")</f>
        <v>Surat</v>
      </c>
      <c r="C151" s="2" t="str">
        <f>IFERROR(__xludf.DUMMYFUNCTION("""COMPUTED_VALUE"""),"NutriKid")</f>
        <v>NutriKid</v>
      </c>
      <c r="D151" s="2">
        <f>IFERROR(__xludf.DUMMYFUNCTION("""COMPUTED_VALUE"""),26189.0)</f>
        <v>26189</v>
      </c>
      <c r="E151" s="2">
        <f>IFERROR(__xludf.DUMMYFUNCTION("""COMPUTED_VALUE"""),27498.0)</f>
        <v>27498</v>
      </c>
      <c r="F151" s="2" t="str">
        <f>IFERROR(__xludf.DUMMYFUNCTION("""COMPUTED_VALUE"""),"IPLMARKETTING")</f>
        <v>IPLMARKETTING</v>
      </c>
      <c r="G151" s="2">
        <f t="shared" si="3"/>
        <v>1492773</v>
      </c>
      <c r="H151" s="2">
        <f t="shared" si="4"/>
        <v>1649880</v>
      </c>
      <c r="I151" s="2" t="str">
        <f>IF(or(B151='Regional Details'!$A$5,B151='Regional Details'!$A$6,B151='Regional Details'!$A$7,B151='Regional Details'!$A$8),'Regional Details'!$B$2,if(OR(B151='Regional Details'!$D$5,B151='Regional Details'!$D$6,B151='Regional Details'!$D$7,B151='Regional Details'!$D$8),'Regional Details'!$E$2,if(or(B151='Regional Details'!$G$5,B151='Regional Details'!$G$6,B151='Regional Details'!$G$7,B151='Regional Details'!$G$8),'Regional Details'!$H$2,'Regional Details'!$K$2)))</f>
        <v>West</v>
      </c>
      <c r="J151" s="2" t="str">
        <f>if(I151='Regional Details'!$B$2,'Regional Details'!$B$3,if(I151='Regional Details'!$E$2,'Regional Details'!$E$3,if(I151='Regional Details'!$H$2,'Regional Details'!$H$3,'Regional Details'!$K$3)))</f>
        <v>Ajay Ghosh</v>
      </c>
      <c r="K151" s="8">
        <f t="array" ref="K151">IFERROR(XLOOKUP(B151,'Regional Details'!$A$5:$A$8,'Regional Details'!$B$5:$B$8),IFERROR(XLOOKUP(B151,'Regional Details'!$D$5:$D$8,'Regional Details'!$E$5:$E$8),IFERROR(xlookup(B151,'Regional Details'!$G$5:$G$8,'Regional Details'!$H$5:$H$8),XLOOKUP(B151,'Regional Details'!$J$5:$J$8,'Regional Details'!$K$5:$K$8))))</f>
        <v>0.05</v>
      </c>
      <c r="L151" s="2" t="str">
        <f>VLOOKUP(A151,MonthMapping!$A$2:$B$13,2,false)</f>
        <v>May</v>
      </c>
      <c r="M151" s="9">
        <f>if(C151=$C$2,Contribution_Old!$B$22,Contribution_Old!$B$23)</f>
        <v>24.108</v>
      </c>
      <c r="N151" s="9">
        <f>if(C151=$C$2,Contribution_New!$B$23,Contribution_New!$B$24)</f>
        <v>30.108</v>
      </c>
      <c r="O151" s="2">
        <f t="shared" ref="O151:P151" si="301">M151*D151</f>
        <v>631364.412</v>
      </c>
      <c r="P151" s="2">
        <f t="shared" si="301"/>
        <v>827909.784</v>
      </c>
      <c r="Q151" s="2">
        <f t="shared" ref="Q151:R151" si="302">G151-O151</f>
        <v>861408.588</v>
      </c>
      <c r="R151" s="2">
        <f t="shared" si="302"/>
        <v>821970.216</v>
      </c>
      <c r="S151" s="2"/>
      <c r="T151" s="2"/>
      <c r="U151" s="2"/>
      <c r="V151" s="2"/>
      <c r="W151" s="2"/>
      <c r="X151" s="2"/>
      <c r="Y151" s="2"/>
      <c r="Z151" s="2"/>
    </row>
    <row r="152">
      <c r="A152" s="2">
        <f>IFERROR(__xludf.DUMMYFUNCTION("""COMPUTED_VALUE"""),5.0)</f>
        <v>5</v>
      </c>
      <c r="B152" s="2" t="str">
        <f>IFERROR(__xludf.DUMMYFUNCTION("""COMPUTED_VALUE"""),"Hyderabad")</f>
        <v>Hyderabad</v>
      </c>
      <c r="C152" s="2" t="str">
        <f>IFERROR(__xludf.DUMMYFUNCTION("""COMPUTED_VALUE"""),"ZestVita")</f>
        <v>ZestVita</v>
      </c>
      <c r="D152" s="2">
        <f>IFERROR(__xludf.DUMMYFUNCTION("""COMPUTED_VALUE"""),44993.0)</f>
        <v>44993</v>
      </c>
      <c r="E152" s="2">
        <f>IFERROR(__xludf.DUMMYFUNCTION("""COMPUTED_VALUE"""),53542.0)</f>
        <v>53542</v>
      </c>
      <c r="F152" s="2" t="str">
        <f>IFERROR(__xludf.DUMMYFUNCTION("""COMPUTED_VALUE"""),"IPLMARKETTING")</f>
        <v>IPLMARKETTING</v>
      </c>
      <c r="G152" s="2">
        <f t="shared" si="3"/>
        <v>6074055</v>
      </c>
      <c r="H152" s="2">
        <f t="shared" si="4"/>
        <v>7228170</v>
      </c>
      <c r="I152" s="2" t="str">
        <f>IF(or(B152='Regional Details'!$A$5,B152='Regional Details'!$A$6,B152='Regional Details'!$A$7,B152='Regional Details'!$A$8),'Regional Details'!$B$2,if(OR(B152='Regional Details'!$D$5,B152='Regional Details'!$D$6,B152='Regional Details'!$D$7,B152='Regional Details'!$D$8),'Regional Details'!$E$2,if(or(B152='Regional Details'!$G$5,B152='Regional Details'!$G$6,B152='Regional Details'!$G$7,B152='Regional Details'!$G$8),'Regional Details'!$H$2,'Regional Details'!$K$2)))</f>
        <v>South</v>
      </c>
      <c r="J152" s="2" t="str">
        <f>if(I152='Regional Details'!$B$2,'Regional Details'!$B$3,if(I152='Regional Details'!$E$2,'Regional Details'!$E$3,if(I152='Regional Details'!$H$2,'Regional Details'!$H$3,'Regional Details'!$K$3)))</f>
        <v>Anjali Krishna Murthy</v>
      </c>
      <c r="K152" s="8">
        <f t="array" ref="K152">IFERROR(XLOOKUP(B152,'Regional Details'!$A$5:$A$8,'Regional Details'!$B$5:$B$8),IFERROR(XLOOKUP(B152,'Regional Details'!$D$5:$D$8,'Regional Details'!$E$5:$E$8),IFERROR(xlookup(B152,'Regional Details'!$G$5:$G$8,'Regional Details'!$H$5:$H$8),XLOOKUP(B152,'Regional Details'!$J$5:$J$8,'Regional Details'!$K$5:$K$8))))</f>
        <v>0</v>
      </c>
      <c r="L152" s="2" t="str">
        <f>VLOOKUP(A152,MonthMapping!$A$2:$B$13,2,false)</f>
        <v>May</v>
      </c>
      <c r="M152" s="9">
        <f>if(C152=$C$2,Contribution_Old!$B$22,Contribution_Old!$B$23)</f>
        <v>55.84</v>
      </c>
      <c r="N152" s="9">
        <f>if(C152=$C$2,Contribution_New!$B$23,Contribution_New!$B$24)</f>
        <v>61.84</v>
      </c>
      <c r="O152" s="2">
        <f t="shared" ref="O152:P152" si="303">M152*D152</f>
        <v>2512409.12</v>
      </c>
      <c r="P152" s="2">
        <f t="shared" si="303"/>
        <v>3311037.28</v>
      </c>
      <c r="Q152" s="2">
        <f t="shared" ref="Q152:R152" si="304">G152-O152</f>
        <v>3561645.88</v>
      </c>
      <c r="R152" s="2">
        <f t="shared" si="304"/>
        <v>3917132.72</v>
      </c>
      <c r="S152" s="2"/>
      <c r="T152" s="2"/>
      <c r="U152" s="2"/>
      <c r="V152" s="2"/>
      <c r="W152" s="2"/>
      <c r="X152" s="2"/>
      <c r="Y152" s="2"/>
      <c r="Z152" s="2"/>
    </row>
    <row r="153">
      <c r="A153" s="2">
        <f>IFERROR(__xludf.DUMMYFUNCTION("""COMPUTED_VALUE"""),5.0)</f>
        <v>5</v>
      </c>
      <c r="B153" s="2" t="str">
        <f>IFERROR(__xludf.DUMMYFUNCTION("""COMPUTED_VALUE"""),"Hyderabad")</f>
        <v>Hyderabad</v>
      </c>
      <c r="C153" s="2" t="str">
        <f>IFERROR(__xludf.DUMMYFUNCTION("""COMPUTED_VALUE"""),"NutriKid")</f>
        <v>NutriKid</v>
      </c>
      <c r="D153" s="2">
        <f>IFERROR(__xludf.DUMMYFUNCTION("""COMPUTED_VALUE"""),44627.0)</f>
        <v>44627</v>
      </c>
      <c r="E153" s="2">
        <f>IFERROR(__xludf.DUMMYFUNCTION("""COMPUTED_VALUE"""),52214.0)</f>
        <v>52214</v>
      </c>
      <c r="F153" s="2" t="str">
        <f>IFERROR(__xludf.DUMMYFUNCTION("""COMPUTED_VALUE"""),"IPLMARKETTING")</f>
        <v>IPLMARKETTING</v>
      </c>
      <c r="G153" s="2">
        <f t="shared" si="3"/>
        <v>2677620</v>
      </c>
      <c r="H153" s="2">
        <f t="shared" si="4"/>
        <v>3132840</v>
      </c>
      <c r="I153" s="2" t="str">
        <f>IF(or(B153='Regional Details'!$A$5,B153='Regional Details'!$A$6,B153='Regional Details'!$A$7,B153='Regional Details'!$A$8),'Regional Details'!$B$2,if(OR(B153='Regional Details'!$D$5,B153='Regional Details'!$D$6,B153='Regional Details'!$D$7,B153='Regional Details'!$D$8),'Regional Details'!$E$2,if(or(B153='Regional Details'!$G$5,B153='Regional Details'!$G$6,B153='Regional Details'!$G$7,B153='Regional Details'!$G$8),'Regional Details'!$H$2,'Regional Details'!$K$2)))</f>
        <v>South</v>
      </c>
      <c r="J153" s="2" t="str">
        <f>if(I153='Regional Details'!$B$2,'Regional Details'!$B$3,if(I153='Regional Details'!$E$2,'Regional Details'!$E$3,if(I153='Regional Details'!$H$2,'Regional Details'!$H$3,'Regional Details'!$K$3)))</f>
        <v>Anjali Krishna Murthy</v>
      </c>
      <c r="K153" s="8">
        <f t="array" ref="K153">IFERROR(XLOOKUP(B153,'Regional Details'!$A$5:$A$8,'Regional Details'!$B$5:$B$8),IFERROR(XLOOKUP(B153,'Regional Details'!$D$5:$D$8,'Regional Details'!$E$5:$E$8),IFERROR(xlookup(B153,'Regional Details'!$G$5:$G$8,'Regional Details'!$H$5:$H$8),XLOOKUP(B153,'Regional Details'!$J$5:$J$8,'Regional Details'!$K$5:$K$8))))</f>
        <v>0</v>
      </c>
      <c r="L153" s="2" t="str">
        <f>VLOOKUP(A153,MonthMapping!$A$2:$B$13,2,false)</f>
        <v>May</v>
      </c>
      <c r="M153" s="9">
        <f>if(C153=$C$2,Contribution_Old!$B$22,Contribution_Old!$B$23)</f>
        <v>24.108</v>
      </c>
      <c r="N153" s="9">
        <f>if(C153=$C$2,Contribution_New!$B$23,Contribution_New!$B$24)</f>
        <v>30.108</v>
      </c>
      <c r="O153" s="2">
        <f t="shared" ref="O153:P153" si="305">M153*D153</f>
        <v>1075867.716</v>
      </c>
      <c r="P153" s="2">
        <f t="shared" si="305"/>
        <v>1572059.112</v>
      </c>
      <c r="Q153" s="2">
        <f t="shared" ref="Q153:R153" si="306">G153-O153</f>
        <v>1601752.284</v>
      </c>
      <c r="R153" s="2">
        <f t="shared" si="306"/>
        <v>1560780.888</v>
      </c>
      <c r="S153" s="2"/>
      <c r="T153" s="2"/>
      <c r="U153" s="2"/>
      <c r="V153" s="2"/>
      <c r="W153" s="2"/>
      <c r="X153" s="2"/>
      <c r="Y153" s="2"/>
      <c r="Z153" s="2"/>
    </row>
    <row r="154">
      <c r="A154" s="2">
        <f>IFERROR(__xludf.DUMMYFUNCTION("""COMPUTED_VALUE"""),5.0)</f>
        <v>5</v>
      </c>
      <c r="B154" s="2" t="str">
        <f>IFERROR(__xludf.DUMMYFUNCTION("""COMPUTED_VALUE"""),"Dehradun")</f>
        <v>Dehradun</v>
      </c>
      <c r="C154" s="2" t="str">
        <f>IFERROR(__xludf.DUMMYFUNCTION("""COMPUTED_VALUE"""),"ZestVita")</f>
        <v>ZestVita</v>
      </c>
      <c r="D154" s="2">
        <f>IFERROR(__xludf.DUMMYFUNCTION("""COMPUTED_VALUE"""),24831.0)</f>
        <v>24831</v>
      </c>
      <c r="E154" s="2">
        <f>IFERROR(__xludf.DUMMYFUNCTION("""COMPUTED_VALUE"""),25328.0)</f>
        <v>25328</v>
      </c>
      <c r="F154" s="2" t="str">
        <f>IFERROR(__xludf.DUMMYFUNCTION("""COMPUTED_VALUE"""),"IPLMARKETTING")</f>
        <v>IPLMARKETTING</v>
      </c>
      <c r="G154" s="2">
        <f t="shared" si="3"/>
        <v>2933161.875</v>
      </c>
      <c r="H154" s="2">
        <f t="shared" si="4"/>
        <v>3419280</v>
      </c>
      <c r="I154" s="2" t="str">
        <f>IF(or(B154='Regional Details'!$A$5,B154='Regional Details'!$A$6,B154='Regional Details'!$A$7,B154='Regional Details'!$A$8),'Regional Details'!$B$2,if(OR(B154='Regional Details'!$D$5,B154='Regional Details'!$D$6,B154='Regional Details'!$D$7,B154='Regional Details'!$D$8),'Regional Details'!$E$2,if(or(B154='Regional Details'!$G$5,B154='Regional Details'!$G$6,B154='Regional Details'!$G$7,B154='Regional Details'!$G$8),'Regional Details'!$H$2,'Regional Details'!$K$2)))</f>
        <v>North</v>
      </c>
      <c r="J154" s="2" t="str">
        <f>if(I154='Regional Details'!$B$2,'Regional Details'!$B$3,if(I154='Regional Details'!$E$2,'Regional Details'!$E$3,if(I154='Regional Details'!$H$2,'Regional Details'!$H$3,'Regional Details'!$K$3)))</f>
        <v>Ajay Kumar</v>
      </c>
      <c r="K154" s="8">
        <f t="array" ref="K154">IFERROR(XLOOKUP(B154,'Regional Details'!$A$5:$A$8,'Regional Details'!$B$5:$B$8),IFERROR(XLOOKUP(B154,'Regional Details'!$D$5:$D$8,'Regional Details'!$E$5:$E$8),IFERROR(xlookup(B154,'Regional Details'!$G$5:$G$8,'Regional Details'!$H$5:$H$8),XLOOKUP(B154,'Regional Details'!$J$5:$J$8,'Regional Details'!$K$5:$K$8))))</f>
        <v>0.125</v>
      </c>
      <c r="L154" s="2" t="str">
        <f>VLOOKUP(A154,MonthMapping!$A$2:$B$13,2,false)</f>
        <v>May</v>
      </c>
      <c r="M154" s="9">
        <f>if(C154=$C$2,Contribution_Old!$B$22,Contribution_Old!$B$23)</f>
        <v>55.84</v>
      </c>
      <c r="N154" s="9">
        <f>if(C154=$C$2,Contribution_New!$B$23,Contribution_New!$B$24)</f>
        <v>61.84</v>
      </c>
      <c r="O154" s="2">
        <f t="shared" ref="O154:P154" si="307">M154*D154</f>
        <v>1386563.04</v>
      </c>
      <c r="P154" s="2">
        <f t="shared" si="307"/>
        <v>1566283.52</v>
      </c>
      <c r="Q154" s="2">
        <f t="shared" ref="Q154:R154" si="308">G154-O154</f>
        <v>1546598.835</v>
      </c>
      <c r="R154" s="2">
        <f t="shared" si="308"/>
        <v>1852996.48</v>
      </c>
      <c r="S154" s="2"/>
      <c r="T154" s="2"/>
      <c r="U154" s="2"/>
      <c r="V154" s="2"/>
      <c r="W154" s="2"/>
      <c r="X154" s="2"/>
      <c r="Y154" s="2"/>
      <c r="Z154" s="2"/>
    </row>
    <row r="155">
      <c r="A155" s="2">
        <f>IFERROR(__xludf.DUMMYFUNCTION("""COMPUTED_VALUE"""),5.0)</f>
        <v>5</v>
      </c>
      <c r="B155" s="2" t="str">
        <f>IFERROR(__xludf.DUMMYFUNCTION("""COMPUTED_VALUE"""),"Dehradun")</f>
        <v>Dehradun</v>
      </c>
      <c r="C155" s="2" t="str">
        <f>IFERROR(__xludf.DUMMYFUNCTION("""COMPUTED_VALUE"""),"NutriKid")</f>
        <v>NutriKid</v>
      </c>
      <c r="D155" s="2">
        <f>IFERROR(__xludf.DUMMYFUNCTION("""COMPUTED_VALUE"""),15421.0)</f>
        <v>15421</v>
      </c>
      <c r="E155" s="2">
        <f>IFERROR(__xludf.DUMMYFUNCTION("""COMPUTED_VALUE"""),16346.0)</f>
        <v>16346</v>
      </c>
      <c r="F155" s="2" t="str">
        <f>IFERROR(__xludf.DUMMYFUNCTION("""COMPUTED_VALUE"""),"IPLMARKETTING")</f>
        <v>IPLMARKETTING</v>
      </c>
      <c r="G155" s="2">
        <f t="shared" si="3"/>
        <v>809602.5</v>
      </c>
      <c r="H155" s="2">
        <f t="shared" si="4"/>
        <v>980760</v>
      </c>
      <c r="I155" s="2" t="str">
        <f>IF(or(B155='Regional Details'!$A$5,B155='Regional Details'!$A$6,B155='Regional Details'!$A$7,B155='Regional Details'!$A$8),'Regional Details'!$B$2,if(OR(B155='Regional Details'!$D$5,B155='Regional Details'!$D$6,B155='Regional Details'!$D$7,B155='Regional Details'!$D$8),'Regional Details'!$E$2,if(or(B155='Regional Details'!$G$5,B155='Regional Details'!$G$6,B155='Regional Details'!$G$7,B155='Regional Details'!$G$8),'Regional Details'!$H$2,'Regional Details'!$K$2)))</f>
        <v>North</v>
      </c>
      <c r="J155" s="2" t="str">
        <f>if(I155='Regional Details'!$B$2,'Regional Details'!$B$3,if(I155='Regional Details'!$E$2,'Regional Details'!$E$3,if(I155='Regional Details'!$H$2,'Regional Details'!$H$3,'Regional Details'!$K$3)))</f>
        <v>Ajay Kumar</v>
      </c>
      <c r="K155" s="8">
        <f t="array" ref="K155">IFERROR(XLOOKUP(B155,'Regional Details'!$A$5:$A$8,'Regional Details'!$B$5:$B$8),IFERROR(XLOOKUP(B155,'Regional Details'!$D$5:$D$8,'Regional Details'!$E$5:$E$8),IFERROR(xlookup(B155,'Regional Details'!$G$5:$G$8,'Regional Details'!$H$5:$H$8),XLOOKUP(B155,'Regional Details'!$J$5:$J$8,'Regional Details'!$K$5:$K$8))))</f>
        <v>0.125</v>
      </c>
      <c r="L155" s="2" t="str">
        <f>VLOOKUP(A155,MonthMapping!$A$2:$B$13,2,false)</f>
        <v>May</v>
      </c>
      <c r="M155" s="9">
        <f>if(C155=$C$2,Contribution_Old!$B$22,Contribution_Old!$B$23)</f>
        <v>24.108</v>
      </c>
      <c r="N155" s="9">
        <f>if(C155=$C$2,Contribution_New!$B$23,Contribution_New!$B$24)</f>
        <v>30.108</v>
      </c>
      <c r="O155" s="2">
        <f t="shared" ref="O155:P155" si="309">M155*D155</f>
        <v>371769.468</v>
      </c>
      <c r="P155" s="2">
        <f t="shared" si="309"/>
        <v>492145.368</v>
      </c>
      <c r="Q155" s="2">
        <f t="shared" ref="Q155:R155" si="310">G155-O155</f>
        <v>437833.032</v>
      </c>
      <c r="R155" s="2">
        <f t="shared" si="310"/>
        <v>488614.632</v>
      </c>
      <c r="S155" s="2"/>
      <c r="T155" s="2"/>
      <c r="U155" s="2"/>
      <c r="V155" s="2"/>
      <c r="W155" s="2"/>
      <c r="X155" s="2"/>
      <c r="Y155" s="2"/>
      <c r="Z155" s="2"/>
    </row>
    <row r="156">
      <c r="A156" s="2">
        <f>IFERROR(__xludf.DUMMYFUNCTION("""COMPUTED_VALUE"""),5.0)</f>
        <v>5</v>
      </c>
      <c r="B156" s="2" t="str">
        <f>IFERROR(__xludf.DUMMYFUNCTION("""COMPUTED_VALUE"""),"Kochi")</f>
        <v>Kochi</v>
      </c>
      <c r="C156" s="2" t="str">
        <f>IFERROR(__xludf.DUMMYFUNCTION("""COMPUTED_VALUE"""),"ZestVita")</f>
        <v>ZestVita</v>
      </c>
      <c r="D156" s="2">
        <f>IFERROR(__xludf.DUMMYFUNCTION("""COMPUTED_VALUE"""),26736.0)</f>
        <v>26736</v>
      </c>
      <c r="E156" s="2">
        <f>IFERROR(__xludf.DUMMYFUNCTION("""COMPUTED_VALUE"""),28340.0)</f>
        <v>28340</v>
      </c>
      <c r="F156" s="2" t="str">
        <f>IFERROR(__xludf.DUMMYFUNCTION("""COMPUTED_VALUE"""),"IPLMARKETTING")</f>
        <v>IPLMARKETTING</v>
      </c>
      <c r="G156" s="2">
        <f t="shared" si="3"/>
        <v>3248424</v>
      </c>
      <c r="H156" s="2">
        <f t="shared" si="4"/>
        <v>3825900</v>
      </c>
      <c r="I156" s="2" t="str">
        <f>IF(or(B156='Regional Details'!$A$5,B156='Regional Details'!$A$6,B156='Regional Details'!$A$7,B156='Regional Details'!$A$8),'Regional Details'!$B$2,if(OR(B156='Regional Details'!$D$5,B156='Regional Details'!$D$6,B156='Regional Details'!$D$7,B156='Regional Details'!$D$8),'Regional Details'!$E$2,if(or(B156='Regional Details'!$G$5,B156='Regional Details'!$G$6,B156='Regional Details'!$G$7,B156='Regional Details'!$G$8),'Regional Details'!$H$2,'Regional Details'!$K$2)))</f>
        <v>South</v>
      </c>
      <c r="J156" s="2" t="str">
        <f>if(I156='Regional Details'!$B$2,'Regional Details'!$B$3,if(I156='Regional Details'!$E$2,'Regional Details'!$E$3,if(I156='Regional Details'!$H$2,'Regional Details'!$H$3,'Regional Details'!$K$3)))</f>
        <v>Anjali Krishna Murthy</v>
      </c>
      <c r="K156" s="8">
        <f t="array" ref="K156">IFERROR(XLOOKUP(B156,'Regional Details'!$A$5:$A$8,'Regional Details'!$B$5:$B$8),IFERROR(XLOOKUP(B156,'Regional Details'!$D$5:$D$8,'Regional Details'!$E$5:$E$8),IFERROR(xlookup(B156,'Regional Details'!$G$5:$G$8,'Regional Details'!$H$5:$H$8),XLOOKUP(B156,'Regional Details'!$J$5:$J$8,'Regional Details'!$K$5:$K$8))))</f>
        <v>0.1</v>
      </c>
      <c r="L156" s="2" t="str">
        <f>VLOOKUP(A156,MonthMapping!$A$2:$B$13,2,false)</f>
        <v>May</v>
      </c>
      <c r="M156" s="9">
        <f>if(C156=$C$2,Contribution_Old!$B$22,Contribution_Old!$B$23)</f>
        <v>55.84</v>
      </c>
      <c r="N156" s="9">
        <f>if(C156=$C$2,Contribution_New!$B$23,Contribution_New!$B$24)</f>
        <v>61.84</v>
      </c>
      <c r="O156" s="2">
        <f t="shared" ref="O156:P156" si="311">M156*D156</f>
        <v>1492938.24</v>
      </c>
      <c r="P156" s="2">
        <f t="shared" si="311"/>
        <v>1752545.6</v>
      </c>
      <c r="Q156" s="2">
        <f t="shared" ref="Q156:R156" si="312">G156-O156</f>
        <v>1755485.76</v>
      </c>
      <c r="R156" s="2">
        <f t="shared" si="312"/>
        <v>2073354.4</v>
      </c>
      <c r="S156" s="2"/>
      <c r="T156" s="2"/>
      <c r="U156" s="2"/>
      <c r="V156" s="2"/>
      <c r="W156" s="2"/>
      <c r="X156" s="2"/>
      <c r="Y156" s="2"/>
      <c r="Z156" s="2"/>
    </row>
    <row r="157">
      <c r="A157" s="2">
        <f>IFERROR(__xludf.DUMMYFUNCTION("""COMPUTED_VALUE"""),5.0)</f>
        <v>5</v>
      </c>
      <c r="B157" s="2" t="str">
        <f>IFERROR(__xludf.DUMMYFUNCTION("""COMPUTED_VALUE"""),"Kochi")</f>
        <v>Kochi</v>
      </c>
      <c r="C157" s="2" t="str">
        <f>IFERROR(__xludf.DUMMYFUNCTION("""COMPUTED_VALUE"""),"NutriKid")</f>
        <v>NutriKid</v>
      </c>
      <c r="D157" s="2">
        <f>IFERROR(__xludf.DUMMYFUNCTION("""COMPUTED_VALUE"""),17646.0)</f>
        <v>17646</v>
      </c>
      <c r="E157" s="2">
        <f>IFERROR(__xludf.DUMMYFUNCTION("""COMPUTED_VALUE"""),18528.0)</f>
        <v>18528</v>
      </c>
      <c r="F157" s="2" t="str">
        <f>IFERROR(__xludf.DUMMYFUNCTION("""COMPUTED_VALUE"""),"IPLMARKETTING")</f>
        <v>IPLMARKETTING</v>
      </c>
      <c r="G157" s="2">
        <f t="shared" si="3"/>
        <v>952884</v>
      </c>
      <c r="H157" s="2">
        <f t="shared" si="4"/>
        <v>1111680</v>
      </c>
      <c r="I157" s="2" t="str">
        <f>IF(or(B157='Regional Details'!$A$5,B157='Regional Details'!$A$6,B157='Regional Details'!$A$7,B157='Regional Details'!$A$8),'Regional Details'!$B$2,if(OR(B157='Regional Details'!$D$5,B157='Regional Details'!$D$6,B157='Regional Details'!$D$7,B157='Regional Details'!$D$8),'Regional Details'!$E$2,if(or(B157='Regional Details'!$G$5,B157='Regional Details'!$G$6,B157='Regional Details'!$G$7,B157='Regional Details'!$G$8),'Regional Details'!$H$2,'Regional Details'!$K$2)))</f>
        <v>South</v>
      </c>
      <c r="J157" s="2" t="str">
        <f>if(I157='Regional Details'!$B$2,'Regional Details'!$B$3,if(I157='Regional Details'!$E$2,'Regional Details'!$E$3,if(I157='Regional Details'!$H$2,'Regional Details'!$H$3,'Regional Details'!$K$3)))</f>
        <v>Anjali Krishna Murthy</v>
      </c>
      <c r="K157" s="8">
        <f t="array" ref="K157">IFERROR(XLOOKUP(B157,'Regional Details'!$A$5:$A$8,'Regional Details'!$B$5:$B$8),IFERROR(XLOOKUP(B157,'Regional Details'!$D$5:$D$8,'Regional Details'!$E$5:$E$8),IFERROR(xlookup(B157,'Regional Details'!$G$5:$G$8,'Regional Details'!$H$5:$H$8),XLOOKUP(B157,'Regional Details'!$J$5:$J$8,'Regional Details'!$K$5:$K$8))))</f>
        <v>0.1</v>
      </c>
      <c r="L157" s="2" t="str">
        <f>VLOOKUP(A157,MonthMapping!$A$2:$B$13,2,false)</f>
        <v>May</v>
      </c>
      <c r="M157" s="9">
        <f>if(C157=$C$2,Contribution_Old!$B$22,Contribution_Old!$B$23)</f>
        <v>24.108</v>
      </c>
      <c r="N157" s="9">
        <f>if(C157=$C$2,Contribution_New!$B$23,Contribution_New!$B$24)</f>
        <v>30.108</v>
      </c>
      <c r="O157" s="2">
        <f t="shared" ref="O157:P157" si="313">M157*D157</f>
        <v>425409.768</v>
      </c>
      <c r="P157" s="2">
        <f t="shared" si="313"/>
        <v>557841.024</v>
      </c>
      <c r="Q157" s="2">
        <f t="shared" ref="Q157:R157" si="314">G157-O157</f>
        <v>527474.232</v>
      </c>
      <c r="R157" s="2">
        <f t="shared" si="314"/>
        <v>553838.976</v>
      </c>
      <c r="S157" s="2"/>
      <c r="T157" s="2"/>
      <c r="U157" s="2"/>
      <c r="V157" s="2"/>
      <c r="W157" s="2"/>
      <c r="X157" s="2"/>
      <c r="Y157" s="2"/>
      <c r="Z157" s="2"/>
    </row>
    <row r="158">
      <c r="A158" s="2">
        <f>IFERROR(__xludf.DUMMYFUNCTION("""COMPUTED_VALUE"""),5.0)</f>
        <v>5</v>
      </c>
      <c r="B158" s="2" t="str">
        <f>IFERROR(__xludf.DUMMYFUNCTION("""COMPUTED_VALUE"""),"Jaipur")</f>
        <v>Jaipur</v>
      </c>
      <c r="C158" s="2" t="str">
        <f>IFERROR(__xludf.DUMMYFUNCTION("""COMPUTED_VALUE"""),"ZestVita")</f>
        <v>ZestVita</v>
      </c>
      <c r="D158" s="2">
        <f>IFERROR(__xludf.DUMMYFUNCTION("""COMPUTED_VALUE"""),36686.0)</f>
        <v>36686</v>
      </c>
      <c r="E158" s="2">
        <f>IFERROR(__xludf.DUMMYFUNCTION("""COMPUTED_VALUE"""),45858.0)</f>
        <v>45858</v>
      </c>
      <c r="F158" s="2" t="str">
        <f>IFERROR(__xludf.DUMMYFUNCTION("""COMPUTED_VALUE"""),"IPLMARKETTING")</f>
        <v>IPLMARKETTING</v>
      </c>
      <c r="G158" s="2">
        <f t="shared" si="3"/>
        <v>4952610</v>
      </c>
      <c r="H158" s="2">
        <f t="shared" si="4"/>
        <v>6190830</v>
      </c>
      <c r="I158" s="2" t="str">
        <f>IF(or(B158='Regional Details'!$A$5,B158='Regional Details'!$A$6,B158='Regional Details'!$A$7,B158='Regional Details'!$A$8),'Regional Details'!$B$2,if(OR(B158='Regional Details'!$D$5,B158='Regional Details'!$D$6,B158='Regional Details'!$D$7,B158='Regional Details'!$D$8),'Regional Details'!$E$2,if(or(B158='Regional Details'!$G$5,B158='Regional Details'!$G$6,B158='Regional Details'!$G$7,B158='Regional Details'!$G$8),'Regional Details'!$H$2,'Regional Details'!$K$2)))</f>
        <v>West</v>
      </c>
      <c r="J158" s="2" t="str">
        <f>if(I158='Regional Details'!$B$2,'Regional Details'!$B$3,if(I158='Regional Details'!$E$2,'Regional Details'!$E$3,if(I158='Regional Details'!$H$2,'Regional Details'!$H$3,'Regional Details'!$K$3)))</f>
        <v>Ajay Ghosh</v>
      </c>
      <c r="K158" s="8">
        <f t="array" ref="K158">IFERROR(XLOOKUP(B158,'Regional Details'!$A$5:$A$8,'Regional Details'!$B$5:$B$8),IFERROR(XLOOKUP(B158,'Regional Details'!$D$5:$D$8,'Regional Details'!$E$5:$E$8),IFERROR(xlookup(B158,'Regional Details'!$G$5:$G$8,'Regional Details'!$H$5:$H$8),XLOOKUP(B158,'Regional Details'!$J$5:$J$8,'Regional Details'!$K$5:$K$8))))</f>
        <v>0</v>
      </c>
      <c r="L158" s="2" t="str">
        <f>VLOOKUP(A158,MonthMapping!$A$2:$B$13,2,false)</f>
        <v>May</v>
      </c>
      <c r="M158" s="9">
        <f>if(C158=$C$2,Contribution_Old!$B$22,Contribution_Old!$B$23)</f>
        <v>55.84</v>
      </c>
      <c r="N158" s="9">
        <f>if(C158=$C$2,Contribution_New!$B$23,Contribution_New!$B$24)</f>
        <v>61.84</v>
      </c>
      <c r="O158" s="2">
        <f t="shared" ref="O158:P158" si="315">M158*D158</f>
        <v>2048546.24</v>
      </c>
      <c r="P158" s="2">
        <f t="shared" si="315"/>
        <v>2835858.72</v>
      </c>
      <c r="Q158" s="2">
        <f t="shared" ref="Q158:R158" si="316">G158-O158</f>
        <v>2904063.76</v>
      </c>
      <c r="R158" s="2">
        <f t="shared" si="316"/>
        <v>3354971.28</v>
      </c>
      <c r="S158" s="2"/>
      <c r="T158" s="2"/>
      <c r="U158" s="2"/>
      <c r="V158" s="2"/>
      <c r="W158" s="2"/>
      <c r="X158" s="2"/>
      <c r="Y158" s="2"/>
      <c r="Z158" s="2"/>
    </row>
    <row r="159">
      <c r="A159" s="2">
        <f>IFERROR(__xludf.DUMMYFUNCTION("""COMPUTED_VALUE"""),5.0)</f>
        <v>5</v>
      </c>
      <c r="B159" s="2" t="str">
        <f>IFERROR(__xludf.DUMMYFUNCTION("""COMPUTED_VALUE"""),"Jaipur")</f>
        <v>Jaipur</v>
      </c>
      <c r="C159" s="2" t="str">
        <f>IFERROR(__xludf.DUMMYFUNCTION("""COMPUTED_VALUE"""),"NutriKid")</f>
        <v>NutriKid</v>
      </c>
      <c r="D159" s="2">
        <f>IFERROR(__xludf.DUMMYFUNCTION("""COMPUTED_VALUE"""),28563.0)</f>
        <v>28563</v>
      </c>
      <c r="E159" s="2">
        <f>IFERROR(__xludf.DUMMYFUNCTION("""COMPUTED_VALUE"""),35132.0)</f>
        <v>35132</v>
      </c>
      <c r="F159" s="2" t="str">
        <f>IFERROR(__xludf.DUMMYFUNCTION("""COMPUTED_VALUE"""),"IPLMARKETTING")</f>
        <v>IPLMARKETTING</v>
      </c>
      <c r="G159" s="2">
        <f t="shared" si="3"/>
        <v>1713780</v>
      </c>
      <c r="H159" s="2">
        <f t="shared" si="4"/>
        <v>2107920</v>
      </c>
      <c r="I159" s="2" t="str">
        <f>IF(or(B159='Regional Details'!$A$5,B159='Regional Details'!$A$6,B159='Regional Details'!$A$7,B159='Regional Details'!$A$8),'Regional Details'!$B$2,if(OR(B159='Regional Details'!$D$5,B159='Regional Details'!$D$6,B159='Regional Details'!$D$7,B159='Regional Details'!$D$8),'Regional Details'!$E$2,if(or(B159='Regional Details'!$G$5,B159='Regional Details'!$G$6,B159='Regional Details'!$G$7,B159='Regional Details'!$G$8),'Regional Details'!$H$2,'Regional Details'!$K$2)))</f>
        <v>West</v>
      </c>
      <c r="J159" s="2" t="str">
        <f>if(I159='Regional Details'!$B$2,'Regional Details'!$B$3,if(I159='Regional Details'!$E$2,'Regional Details'!$E$3,if(I159='Regional Details'!$H$2,'Regional Details'!$H$3,'Regional Details'!$K$3)))</f>
        <v>Ajay Ghosh</v>
      </c>
      <c r="K159" s="8">
        <f t="array" ref="K159">IFERROR(XLOOKUP(B159,'Regional Details'!$A$5:$A$8,'Regional Details'!$B$5:$B$8),IFERROR(XLOOKUP(B159,'Regional Details'!$D$5:$D$8,'Regional Details'!$E$5:$E$8),IFERROR(xlookup(B159,'Regional Details'!$G$5:$G$8,'Regional Details'!$H$5:$H$8),XLOOKUP(B159,'Regional Details'!$J$5:$J$8,'Regional Details'!$K$5:$K$8))))</f>
        <v>0</v>
      </c>
      <c r="L159" s="2" t="str">
        <f>VLOOKUP(A159,MonthMapping!$A$2:$B$13,2,false)</f>
        <v>May</v>
      </c>
      <c r="M159" s="9">
        <f>if(C159=$C$2,Contribution_Old!$B$22,Contribution_Old!$B$23)</f>
        <v>24.108</v>
      </c>
      <c r="N159" s="9">
        <f>if(C159=$C$2,Contribution_New!$B$23,Contribution_New!$B$24)</f>
        <v>30.108</v>
      </c>
      <c r="O159" s="2">
        <f t="shared" ref="O159:P159" si="317">M159*D159</f>
        <v>688596.804</v>
      </c>
      <c r="P159" s="2">
        <f t="shared" si="317"/>
        <v>1057754.256</v>
      </c>
      <c r="Q159" s="2">
        <f t="shared" ref="Q159:R159" si="318">G159-O159</f>
        <v>1025183.196</v>
      </c>
      <c r="R159" s="2">
        <f t="shared" si="318"/>
        <v>1050165.744</v>
      </c>
      <c r="S159" s="2"/>
      <c r="T159" s="2"/>
      <c r="U159" s="2"/>
      <c r="V159" s="2"/>
      <c r="W159" s="2"/>
      <c r="X159" s="2"/>
      <c r="Y159" s="2"/>
      <c r="Z159" s="2"/>
    </row>
    <row r="160">
      <c r="A160" s="2">
        <f>IFERROR(__xludf.DUMMYFUNCTION("""COMPUTED_VALUE"""),5.0)</f>
        <v>5</v>
      </c>
      <c r="B160" s="2" t="str">
        <f>IFERROR(__xludf.DUMMYFUNCTION("""COMPUTED_VALUE"""),"Patna")</f>
        <v>Patna</v>
      </c>
      <c r="C160" s="2" t="str">
        <f>IFERROR(__xludf.DUMMYFUNCTION("""COMPUTED_VALUE"""),"ZestVita")</f>
        <v>ZestVita</v>
      </c>
      <c r="D160" s="2">
        <f>IFERROR(__xludf.DUMMYFUNCTION("""COMPUTED_VALUE"""),31617.0)</f>
        <v>31617</v>
      </c>
      <c r="E160" s="2">
        <f>IFERROR(__xludf.DUMMYFUNCTION("""COMPUTED_VALUE"""),38257.0)</f>
        <v>38257</v>
      </c>
      <c r="F160" s="2" t="str">
        <f>IFERROR(__xludf.DUMMYFUNCTION("""COMPUTED_VALUE"""),"IPLMARKETTING")</f>
        <v>IPLMARKETTING</v>
      </c>
      <c r="G160" s="2">
        <f t="shared" si="3"/>
        <v>4054880.25</v>
      </c>
      <c r="H160" s="2">
        <f t="shared" si="4"/>
        <v>5164695</v>
      </c>
      <c r="I160" s="2" t="str">
        <f>IF(or(B160='Regional Details'!$A$5,B160='Regional Details'!$A$6,B160='Regional Details'!$A$7,B160='Regional Details'!$A$8),'Regional Details'!$B$2,if(OR(B160='Regional Details'!$D$5,B160='Regional Details'!$D$6,B160='Regional Details'!$D$7,B160='Regional Details'!$D$8),'Regional Details'!$E$2,if(or(B160='Regional Details'!$G$5,B160='Regional Details'!$G$6,B160='Regional Details'!$G$7,B160='Regional Details'!$G$8),'Regional Details'!$H$2,'Regional Details'!$K$2)))</f>
        <v>East</v>
      </c>
      <c r="J160" s="2" t="str">
        <f>if(I160='Regional Details'!$B$2,'Regional Details'!$B$3,if(I160='Regional Details'!$E$2,'Regional Details'!$E$3,if(I160='Regional Details'!$H$2,'Regional Details'!$H$3,'Regional Details'!$K$3)))</f>
        <v>Tanvi Sharma</v>
      </c>
      <c r="K160" s="8">
        <f t="array" ref="K160">IFERROR(XLOOKUP(B160,'Regional Details'!$A$5:$A$8,'Regional Details'!$B$5:$B$8),IFERROR(XLOOKUP(B160,'Regional Details'!$D$5:$D$8,'Regional Details'!$E$5:$E$8),IFERROR(xlookup(B160,'Regional Details'!$G$5:$G$8,'Regional Details'!$H$5:$H$8),XLOOKUP(B160,'Regional Details'!$J$5:$J$8,'Regional Details'!$K$5:$K$8))))</f>
        <v>0.05</v>
      </c>
      <c r="L160" s="2" t="str">
        <f>VLOOKUP(A160,MonthMapping!$A$2:$B$13,2,false)</f>
        <v>May</v>
      </c>
      <c r="M160" s="9">
        <f>if(C160=$C$2,Contribution_Old!$B$22,Contribution_Old!$B$23)</f>
        <v>55.84</v>
      </c>
      <c r="N160" s="9">
        <f>if(C160=$C$2,Contribution_New!$B$23,Contribution_New!$B$24)</f>
        <v>61.84</v>
      </c>
      <c r="O160" s="2">
        <f t="shared" ref="O160:P160" si="319">M160*D160</f>
        <v>1765493.28</v>
      </c>
      <c r="P160" s="2">
        <f t="shared" si="319"/>
        <v>2365812.88</v>
      </c>
      <c r="Q160" s="2">
        <f t="shared" ref="Q160:R160" si="320">G160-O160</f>
        <v>2289386.97</v>
      </c>
      <c r="R160" s="2">
        <f t="shared" si="320"/>
        <v>2798882.12</v>
      </c>
      <c r="S160" s="2"/>
      <c r="T160" s="2"/>
      <c r="U160" s="2"/>
      <c r="V160" s="2"/>
      <c r="W160" s="2"/>
      <c r="X160" s="2"/>
      <c r="Y160" s="2"/>
      <c r="Z160" s="2"/>
    </row>
    <row r="161">
      <c r="A161" s="2">
        <f>IFERROR(__xludf.DUMMYFUNCTION("""COMPUTED_VALUE"""),5.0)</f>
        <v>5</v>
      </c>
      <c r="B161" s="2" t="str">
        <f>IFERROR(__xludf.DUMMYFUNCTION("""COMPUTED_VALUE"""),"Patna")</f>
        <v>Patna</v>
      </c>
      <c r="C161" s="2" t="str">
        <f>IFERROR(__xludf.DUMMYFUNCTION("""COMPUTED_VALUE"""),"NutriKid")</f>
        <v>NutriKid</v>
      </c>
      <c r="D161" s="2">
        <f>IFERROR(__xludf.DUMMYFUNCTION("""COMPUTED_VALUE"""),40690.0)</f>
        <v>40690</v>
      </c>
      <c r="E161" s="2">
        <f>IFERROR(__xludf.DUMMYFUNCTION("""COMPUTED_VALUE"""),46387.0)</f>
        <v>46387</v>
      </c>
      <c r="F161" s="2" t="str">
        <f>IFERROR(__xludf.DUMMYFUNCTION("""COMPUTED_VALUE"""),"IPLMARKETTING")</f>
        <v>IPLMARKETTING</v>
      </c>
      <c r="G161" s="2">
        <f t="shared" si="3"/>
        <v>2319330</v>
      </c>
      <c r="H161" s="2">
        <f t="shared" si="4"/>
        <v>2783220</v>
      </c>
      <c r="I161" s="2" t="str">
        <f>IF(or(B161='Regional Details'!$A$5,B161='Regional Details'!$A$6,B161='Regional Details'!$A$7,B161='Regional Details'!$A$8),'Regional Details'!$B$2,if(OR(B161='Regional Details'!$D$5,B161='Regional Details'!$D$6,B161='Regional Details'!$D$7,B161='Regional Details'!$D$8),'Regional Details'!$E$2,if(or(B161='Regional Details'!$G$5,B161='Regional Details'!$G$6,B161='Regional Details'!$G$7,B161='Regional Details'!$G$8),'Regional Details'!$H$2,'Regional Details'!$K$2)))</f>
        <v>East</v>
      </c>
      <c r="J161" s="2" t="str">
        <f>if(I161='Regional Details'!$B$2,'Regional Details'!$B$3,if(I161='Regional Details'!$E$2,'Regional Details'!$E$3,if(I161='Regional Details'!$H$2,'Regional Details'!$H$3,'Regional Details'!$K$3)))</f>
        <v>Tanvi Sharma</v>
      </c>
      <c r="K161" s="8">
        <f t="array" ref="K161">IFERROR(XLOOKUP(B161,'Regional Details'!$A$5:$A$8,'Regional Details'!$B$5:$B$8),IFERROR(XLOOKUP(B161,'Regional Details'!$D$5:$D$8,'Regional Details'!$E$5:$E$8),IFERROR(xlookup(B161,'Regional Details'!$G$5:$G$8,'Regional Details'!$H$5:$H$8),XLOOKUP(B161,'Regional Details'!$J$5:$J$8,'Regional Details'!$K$5:$K$8))))</f>
        <v>0.05</v>
      </c>
      <c r="L161" s="2" t="str">
        <f>VLOOKUP(A161,MonthMapping!$A$2:$B$13,2,false)</f>
        <v>May</v>
      </c>
      <c r="M161" s="9">
        <f>if(C161=$C$2,Contribution_Old!$B$22,Contribution_Old!$B$23)</f>
        <v>24.108</v>
      </c>
      <c r="N161" s="9">
        <f>if(C161=$C$2,Contribution_New!$B$23,Contribution_New!$B$24)</f>
        <v>30.108</v>
      </c>
      <c r="O161" s="2">
        <f t="shared" ref="O161:P161" si="321">M161*D161</f>
        <v>980954.52</v>
      </c>
      <c r="P161" s="2">
        <f t="shared" si="321"/>
        <v>1396619.796</v>
      </c>
      <c r="Q161" s="2">
        <f t="shared" ref="Q161:R161" si="322">G161-O161</f>
        <v>1338375.48</v>
      </c>
      <c r="R161" s="2">
        <f t="shared" si="322"/>
        <v>1386600.204</v>
      </c>
      <c r="S161" s="2"/>
      <c r="T161" s="2"/>
      <c r="U161" s="2"/>
      <c r="V161" s="2"/>
      <c r="W161" s="2"/>
      <c r="X161" s="2"/>
      <c r="Y161" s="2"/>
      <c r="Z161" s="2"/>
    </row>
    <row r="162">
      <c r="A162" s="2">
        <f>IFERROR(__xludf.DUMMYFUNCTION("""COMPUTED_VALUE"""),6.0)</f>
        <v>6</v>
      </c>
      <c r="B162" s="2" t="str">
        <f>IFERROR(__xludf.DUMMYFUNCTION("""COMPUTED_VALUE"""),"Delhi")</f>
        <v>Delhi</v>
      </c>
      <c r="C162" s="2" t="str">
        <f>IFERROR(__xludf.DUMMYFUNCTION("""COMPUTED_VALUE"""),"ZestVita")</f>
        <v>ZestVita</v>
      </c>
      <c r="D162" s="2">
        <f>IFERROR(__xludf.DUMMYFUNCTION("""COMPUTED_VALUE"""),45144.0)</f>
        <v>45144</v>
      </c>
      <c r="E162" s="2">
        <f>IFERROR(__xludf.DUMMYFUNCTION("""COMPUTED_VALUE"""),54173.0)</f>
        <v>54173</v>
      </c>
      <c r="F162" s="2" t="str">
        <f>IFERROR(__xludf.DUMMYFUNCTION("""COMPUTED_VALUE"""),"IPLMARKETTING")</f>
        <v>IPLMARKETTING</v>
      </c>
      <c r="G162" s="2">
        <f t="shared" si="3"/>
        <v>6094440</v>
      </c>
      <c r="H162" s="2">
        <f t="shared" si="4"/>
        <v>7313355</v>
      </c>
      <c r="I162" s="2" t="str">
        <f>IF(or(B162='Regional Details'!$A$5,B162='Regional Details'!$A$6,B162='Regional Details'!$A$7,B162='Regional Details'!$A$8),'Regional Details'!$B$2,if(OR(B162='Regional Details'!$D$5,B162='Regional Details'!$D$6,B162='Regional Details'!$D$7,B162='Regional Details'!$D$8),'Regional Details'!$E$2,if(or(B162='Regional Details'!$G$5,B162='Regional Details'!$G$6,B162='Regional Details'!$G$7,B162='Regional Details'!$G$8),'Regional Details'!$H$2,'Regional Details'!$K$2)))</f>
        <v>North</v>
      </c>
      <c r="J162" s="2" t="str">
        <f>if(I162='Regional Details'!$B$2,'Regional Details'!$B$3,if(I162='Regional Details'!$E$2,'Regional Details'!$E$3,if(I162='Regional Details'!$H$2,'Regional Details'!$H$3,'Regional Details'!$K$3)))</f>
        <v>Ajay Kumar</v>
      </c>
      <c r="K162" s="8">
        <f t="array" ref="K162">IFERROR(XLOOKUP(B162,'Regional Details'!$A$5:$A$8,'Regional Details'!$B$5:$B$8),IFERROR(XLOOKUP(B162,'Regional Details'!$D$5:$D$8,'Regional Details'!$E$5:$E$8),IFERROR(xlookup(B162,'Regional Details'!$G$5:$G$8,'Regional Details'!$H$5:$H$8),XLOOKUP(B162,'Regional Details'!$J$5:$J$8,'Regional Details'!$K$5:$K$8))))</f>
        <v>0</v>
      </c>
      <c r="L162" s="2" t="str">
        <f>VLOOKUP(A162,MonthMapping!$A$2:$B$13,2,false)</f>
        <v>June</v>
      </c>
      <c r="M162" s="9">
        <f>if(C162=$C$2,Contribution_Old!$B$22,Contribution_Old!$B$23)</f>
        <v>55.84</v>
      </c>
      <c r="N162" s="9">
        <f>if(C162=$C$2,Contribution_New!$B$23,Contribution_New!$B$24)</f>
        <v>61.84</v>
      </c>
      <c r="O162" s="2">
        <f t="shared" ref="O162:P162" si="323">M162*D162</f>
        <v>2520840.96</v>
      </c>
      <c r="P162" s="2">
        <f t="shared" si="323"/>
        <v>3350058.32</v>
      </c>
      <c r="Q162" s="2">
        <f t="shared" ref="Q162:R162" si="324">G162-O162</f>
        <v>3573599.04</v>
      </c>
      <c r="R162" s="2">
        <f t="shared" si="324"/>
        <v>3963296.68</v>
      </c>
      <c r="S162" s="2"/>
      <c r="T162" s="2"/>
      <c r="U162" s="2"/>
      <c r="V162" s="2"/>
      <c r="W162" s="2"/>
      <c r="X162" s="2"/>
      <c r="Y162" s="2"/>
      <c r="Z162" s="2"/>
    </row>
    <row r="163">
      <c r="A163" s="2">
        <f>IFERROR(__xludf.DUMMYFUNCTION("""COMPUTED_VALUE"""),6.0)</f>
        <v>6</v>
      </c>
      <c r="B163" s="2" t="str">
        <f>IFERROR(__xludf.DUMMYFUNCTION("""COMPUTED_VALUE"""),"Delhi")</f>
        <v>Delhi</v>
      </c>
      <c r="C163" s="2" t="str">
        <f>IFERROR(__xludf.DUMMYFUNCTION("""COMPUTED_VALUE"""),"NutriKid")</f>
        <v>NutriKid</v>
      </c>
      <c r="D163" s="2">
        <f>IFERROR(__xludf.DUMMYFUNCTION("""COMPUTED_VALUE"""),34369.0)</f>
        <v>34369</v>
      </c>
      <c r="E163" s="2">
        <f>IFERROR(__xludf.DUMMYFUNCTION("""COMPUTED_VALUE"""),38493.0)</f>
        <v>38493</v>
      </c>
      <c r="F163" s="2" t="str">
        <f>IFERROR(__xludf.DUMMYFUNCTION("""COMPUTED_VALUE"""),"IPLMARKETTING")</f>
        <v>IPLMARKETTING</v>
      </c>
      <c r="G163" s="2">
        <f t="shared" si="3"/>
        <v>2062140</v>
      </c>
      <c r="H163" s="2">
        <f t="shared" si="4"/>
        <v>2309580</v>
      </c>
      <c r="I163" s="2" t="str">
        <f>IF(or(B163='Regional Details'!$A$5,B163='Regional Details'!$A$6,B163='Regional Details'!$A$7,B163='Regional Details'!$A$8),'Regional Details'!$B$2,if(OR(B163='Regional Details'!$D$5,B163='Regional Details'!$D$6,B163='Regional Details'!$D$7,B163='Regional Details'!$D$8),'Regional Details'!$E$2,if(or(B163='Regional Details'!$G$5,B163='Regional Details'!$G$6,B163='Regional Details'!$G$7,B163='Regional Details'!$G$8),'Regional Details'!$H$2,'Regional Details'!$K$2)))</f>
        <v>North</v>
      </c>
      <c r="J163" s="2" t="str">
        <f>if(I163='Regional Details'!$B$2,'Regional Details'!$B$3,if(I163='Regional Details'!$E$2,'Regional Details'!$E$3,if(I163='Regional Details'!$H$2,'Regional Details'!$H$3,'Regional Details'!$K$3)))</f>
        <v>Ajay Kumar</v>
      </c>
      <c r="K163" s="8">
        <f t="array" ref="K163">IFERROR(XLOOKUP(B163,'Regional Details'!$A$5:$A$8,'Regional Details'!$B$5:$B$8),IFERROR(XLOOKUP(B163,'Regional Details'!$D$5:$D$8,'Regional Details'!$E$5:$E$8),IFERROR(xlookup(B163,'Regional Details'!$G$5:$G$8,'Regional Details'!$H$5:$H$8),XLOOKUP(B163,'Regional Details'!$J$5:$J$8,'Regional Details'!$K$5:$K$8))))</f>
        <v>0</v>
      </c>
      <c r="L163" s="2" t="str">
        <f>VLOOKUP(A163,MonthMapping!$A$2:$B$13,2,false)</f>
        <v>June</v>
      </c>
      <c r="M163" s="9">
        <f>if(C163=$C$2,Contribution_Old!$B$22,Contribution_Old!$B$23)</f>
        <v>24.108</v>
      </c>
      <c r="N163" s="9">
        <f>if(C163=$C$2,Contribution_New!$B$23,Contribution_New!$B$24)</f>
        <v>30.108</v>
      </c>
      <c r="O163" s="2">
        <f t="shared" ref="O163:P163" si="325">M163*D163</f>
        <v>828567.852</v>
      </c>
      <c r="P163" s="2">
        <f t="shared" si="325"/>
        <v>1158947.244</v>
      </c>
      <c r="Q163" s="2">
        <f t="shared" ref="Q163:R163" si="326">G163-O163</f>
        <v>1233572.148</v>
      </c>
      <c r="R163" s="2">
        <f t="shared" si="326"/>
        <v>1150632.756</v>
      </c>
      <c r="S163" s="2"/>
      <c r="T163" s="2"/>
      <c r="U163" s="2"/>
      <c r="V163" s="2"/>
      <c r="W163" s="2"/>
      <c r="X163" s="2"/>
      <c r="Y163" s="2"/>
      <c r="Z163" s="2"/>
    </row>
    <row r="164">
      <c r="A164" s="2">
        <f>IFERROR(__xludf.DUMMYFUNCTION("""COMPUTED_VALUE"""),6.0)</f>
        <v>6</v>
      </c>
      <c r="B164" s="2" t="str">
        <f>IFERROR(__xludf.DUMMYFUNCTION("""COMPUTED_VALUE"""),"Kolkata")</f>
        <v>Kolkata</v>
      </c>
      <c r="C164" s="2" t="str">
        <f>IFERROR(__xludf.DUMMYFUNCTION("""COMPUTED_VALUE"""),"ZestVita")</f>
        <v>ZestVita</v>
      </c>
      <c r="D164" s="2">
        <f>IFERROR(__xludf.DUMMYFUNCTION("""COMPUTED_VALUE"""),23879.0)</f>
        <v>23879</v>
      </c>
      <c r="E164" s="2">
        <f>IFERROR(__xludf.DUMMYFUNCTION("""COMPUTED_VALUE"""),29610.0)</f>
        <v>29610</v>
      </c>
      <c r="F164" s="2" t="str">
        <f>IFERROR(__xludf.DUMMYFUNCTION("""COMPUTED_VALUE"""),"IPLMARKETTING")</f>
        <v>IPLMARKETTING</v>
      </c>
      <c r="G164" s="2">
        <f t="shared" si="3"/>
        <v>3223665</v>
      </c>
      <c r="H164" s="2">
        <f t="shared" si="4"/>
        <v>3997350</v>
      </c>
      <c r="I164" s="2" t="str">
        <f>IF(or(B164='Regional Details'!$A$5,B164='Regional Details'!$A$6,B164='Regional Details'!$A$7,B164='Regional Details'!$A$8),'Regional Details'!$B$2,if(OR(B164='Regional Details'!$D$5,B164='Regional Details'!$D$6,B164='Regional Details'!$D$7,B164='Regional Details'!$D$8),'Regional Details'!$E$2,if(or(B164='Regional Details'!$G$5,B164='Regional Details'!$G$6,B164='Regional Details'!$G$7,B164='Regional Details'!$G$8),'Regional Details'!$H$2,'Regional Details'!$K$2)))</f>
        <v>East</v>
      </c>
      <c r="J164" s="2" t="str">
        <f>if(I164='Regional Details'!$B$2,'Regional Details'!$B$3,if(I164='Regional Details'!$E$2,'Regional Details'!$E$3,if(I164='Regional Details'!$H$2,'Regional Details'!$H$3,'Regional Details'!$K$3)))</f>
        <v>Tanvi Sharma</v>
      </c>
      <c r="K164" s="8">
        <f t="array" ref="K164">IFERROR(XLOOKUP(B164,'Regional Details'!$A$5:$A$8,'Regional Details'!$B$5:$B$8),IFERROR(XLOOKUP(B164,'Regional Details'!$D$5:$D$8,'Regional Details'!$E$5:$E$8),IFERROR(xlookup(B164,'Regional Details'!$G$5:$G$8,'Regional Details'!$H$5:$H$8),XLOOKUP(B164,'Regional Details'!$J$5:$J$8,'Regional Details'!$K$5:$K$8))))</f>
        <v>0</v>
      </c>
      <c r="L164" s="2" t="str">
        <f>VLOOKUP(A164,MonthMapping!$A$2:$B$13,2,false)</f>
        <v>June</v>
      </c>
      <c r="M164" s="9">
        <f>if(C164=$C$2,Contribution_Old!$B$22,Contribution_Old!$B$23)</f>
        <v>55.84</v>
      </c>
      <c r="N164" s="9">
        <f>if(C164=$C$2,Contribution_New!$B$23,Contribution_New!$B$24)</f>
        <v>61.84</v>
      </c>
      <c r="O164" s="2">
        <f t="shared" ref="O164:P164" si="327">M164*D164</f>
        <v>1333403.36</v>
      </c>
      <c r="P164" s="2">
        <f t="shared" si="327"/>
        <v>1831082.4</v>
      </c>
      <c r="Q164" s="2">
        <f t="shared" ref="Q164:R164" si="328">G164-O164</f>
        <v>1890261.64</v>
      </c>
      <c r="R164" s="2">
        <f t="shared" si="328"/>
        <v>2166267.6</v>
      </c>
      <c r="S164" s="2"/>
      <c r="T164" s="2"/>
      <c r="U164" s="2"/>
      <c r="V164" s="2"/>
      <c r="W164" s="2"/>
      <c r="X164" s="2"/>
      <c r="Y164" s="2"/>
      <c r="Z164" s="2"/>
    </row>
    <row r="165">
      <c r="A165" s="2">
        <f>IFERROR(__xludf.DUMMYFUNCTION("""COMPUTED_VALUE"""),6.0)</f>
        <v>6</v>
      </c>
      <c r="B165" s="2" t="str">
        <f>IFERROR(__xludf.DUMMYFUNCTION("""COMPUTED_VALUE"""),"Kolkata")</f>
        <v>Kolkata</v>
      </c>
      <c r="C165" s="2" t="str">
        <f>IFERROR(__xludf.DUMMYFUNCTION("""COMPUTED_VALUE"""),"NutriKid")</f>
        <v>NutriKid</v>
      </c>
      <c r="D165" s="2">
        <f>IFERROR(__xludf.DUMMYFUNCTION("""COMPUTED_VALUE"""),48568.0)</f>
        <v>48568</v>
      </c>
      <c r="E165" s="2">
        <f>IFERROR(__xludf.DUMMYFUNCTION("""COMPUTED_VALUE"""),58767.0)</f>
        <v>58767</v>
      </c>
      <c r="F165" s="2" t="str">
        <f>IFERROR(__xludf.DUMMYFUNCTION("""COMPUTED_VALUE"""),"IPLMARKETTING")</f>
        <v>IPLMARKETTING</v>
      </c>
      <c r="G165" s="2">
        <f t="shared" si="3"/>
        <v>2914080</v>
      </c>
      <c r="H165" s="2">
        <f t="shared" si="4"/>
        <v>3526020</v>
      </c>
      <c r="I165" s="2" t="str">
        <f>IF(or(B165='Regional Details'!$A$5,B165='Regional Details'!$A$6,B165='Regional Details'!$A$7,B165='Regional Details'!$A$8),'Regional Details'!$B$2,if(OR(B165='Regional Details'!$D$5,B165='Regional Details'!$D$6,B165='Regional Details'!$D$7,B165='Regional Details'!$D$8),'Regional Details'!$E$2,if(or(B165='Regional Details'!$G$5,B165='Regional Details'!$G$6,B165='Regional Details'!$G$7,B165='Regional Details'!$G$8),'Regional Details'!$H$2,'Regional Details'!$K$2)))</f>
        <v>East</v>
      </c>
      <c r="J165" s="2" t="str">
        <f>if(I165='Regional Details'!$B$2,'Regional Details'!$B$3,if(I165='Regional Details'!$E$2,'Regional Details'!$E$3,if(I165='Regional Details'!$H$2,'Regional Details'!$H$3,'Regional Details'!$K$3)))</f>
        <v>Tanvi Sharma</v>
      </c>
      <c r="K165" s="8">
        <f t="array" ref="K165">IFERROR(XLOOKUP(B165,'Regional Details'!$A$5:$A$8,'Regional Details'!$B$5:$B$8),IFERROR(XLOOKUP(B165,'Regional Details'!$D$5:$D$8,'Regional Details'!$E$5:$E$8),IFERROR(xlookup(B165,'Regional Details'!$G$5:$G$8,'Regional Details'!$H$5:$H$8),XLOOKUP(B165,'Regional Details'!$J$5:$J$8,'Regional Details'!$K$5:$K$8))))</f>
        <v>0</v>
      </c>
      <c r="L165" s="2" t="str">
        <f>VLOOKUP(A165,MonthMapping!$A$2:$B$13,2,false)</f>
        <v>June</v>
      </c>
      <c r="M165" s="9">
        <f>if(C165=$C$2,Contribution_Old!$B$22,Contribution_Old!$B$23)</f>
        <v>24.108</v>
      </c>
      <c r="N165" s="9">
        <f>if(C165=$C$2,Contribution_New!$B$23,Contribution_New!$B$24)</f>
        <v>30.108</v>
      </c>
      <c r="O165" s="2">
        <f t="shared" ref="O165:P165" si="329">M165*D165</f>
        <v>1170877.344</v>
      </c>
      <c r="P165" s="2">
        <f t="shared" si="329"/>
        <v>1769356.836</v>
      </c>
      <c r="Q165" s="2">
        <f t="shared" ref="Q165:R165" si="330">G165-O165</f>
        <v>1743202.656</v>
      </c>
      <c r="R165" s="2">
        <f t="shared" si="330"/>
        <v>1756663.164</v>
      </c>
      <c r="S165" s="2"/>
      <c r="T165" s="2"/>
      <c r="U165" s="2"/>
      <c r="V165" s="2"/>
      <c r="W165" s="2"/>
      <c r="X165" s="2"/>
      <c r="Y165" s="2"/>
      <c r="Z165" s="2"/>
    </row>
    <row r="166">
      <c r="A166" s="2">
        <f>IFERROR(__xludf.DUMMYFUNCTION("""COMPUTED_VALUE"""),6.0)</f>
        <v>6</v>
      </c>
      <c r="B166" s="2" t="str">
        <f>IFERROR(__xludf.DUMMYFUNCTION("""COMPUTED_VALUE"""),"Pune")</f>
        <v>Pune</v>
      </c>
      <c r="C166" s="2" t="str">
        <f>IFERROR(__xludf.DUMMYFUNCTION("""COMPUTED_VALUE"""),"ZestVita")</f>
        <v>ZestVita</v>
      </c>
      <c r="D166" s="2">
        <f>IFERROR(__xludf.DUMMYFUNCTION("""COMPUTED_VALUE"""),29074.0)</f>
        <v>29074</v>
      </c>
      <c r="E166" s="2">
        <f>IFERROR(__xludf.DUMMYFUNCTION("""COMPUTED_VALUE"""),36052.0)</f>
        <v>36052</v>
      </c>
      <c r="F166" s="2" t="str">
        <f>IFERROR(__xludf.DUMMYFUNCTION("""COMPUTED_VALUE"""),"IPLMARKETTING")</f>
        <v>IPLMARKETTING</v>
      </c>
      <c r="G166" s="2">
        <f t="shared" si="3"/>
        <v>3924990</v>
      </c>
      <c r="H166" s="2">
        <f t="shared" si="4"/>
        <v>4867020</v>
      </c>
      <c r="I166" s="2" t="str">
        <f>IF(or(B166='Regional Details'!$A$5,B166='Regional Details'!$A$6,B166='Regional Details'!$A$7,B166='Regional Details'!$A$8),'Regional Details'!$B$2,if(OR(B166='Regional Details'!$D$5,B166='Regional Details'!$D$6,B166='Regional Details'!$D$7,B166='Regional Details'!$D$8),'Regional Details'!$E$2,if(or(B166='Regional Details'!$G$5,B166='Regional Details'!$G$6,B166='Regional Details'!$G$7,B166='Regional Details'!$G$8),'Regional Details'!$H$2,'Regional Details'!$K$2)))</f>
        <v>West</v>
      </c>
      <c r="J166" s="2" t="str">
        <f>if(I166='Regional Details'!$B$2,'Regional Details'!$B$3,if(I166='Regional Details'!$E$2,'Regional Details'!$E$3,if(I166='Regional Details'!$H$2,'Regional Details'!$H$3,'Regional Details'!$K$3)))</f>
        <v>Ajay Ghosh</v>
      </c>
      <c r="K166" s="8">
        <f t="array" ref="K166">IFERROR(XLOOKUP(B166,'Regional Details'!$A$5:$A$8,'Regional Details'!$B$5:$B$8),IFERROR(XLOOKUP(B166,'Regional Details'!$D$5:$D$8,'Regional Details'!$E$5:$E$8),IFERROR(xlookup(B166,'Regional Details'!$G$5:$G$8,'Regional Details'!$H$5:$H$8),XLOOKUP(B166,'Regional Details'!$J$5:$J$8,'Regional Details'!$K$5:$K$8))))</f>
        <v>0</v>
      </c>
      <c r="L166" s="2" t="str">
        <f>VLOOKUP(A166,MonthMapping!$A$2:$B$13,2,false)</f>
        <v>June</v>
      </c>
      <c r="M166" s="9">
        <f>if(C166=$C$2,Contribution_Old!$B$22,Contribution_Old!$B$23)</f>
        <v>55.84</v>
      </c>
      <c r="N166" s="9">
        <f>if(C166=$C$2,Contribution_New!$B$23,Contribution_New!$B$24)</f>
        <v>61.84</v>
      </c>
      <c r="O166" s="2">
        <f t="shared" ref="O166:P166" si="331">M166*D166</f>
        <v>1623492.16</v>
      </c>
      <c r="P166" s="2">
        <f t="shared" si="331"/>
        <v>2229455.68</v>
      </c>
      <c r="Q166" s="2">
        <f t="shared" ref="Q166:R166" si="332">G166-O166</f>
        <v>2301497.84</v>
      </c>
      <c r="R166" s="2">
        <f t="shared" si="332"/>
        <v>2637564.32</v>
      </c>
      <c r="S166" s="2"/>
      <c r="T166" s="2"/>
      <c r="U166" s="2"/>
      <c r="V166" s="2"/>
      <c r="W166" s="2"/>
      <c r="X166" s="2"/>
      <c r="Y166" s="2"/>
      <c r="Z166" s="2"/>
    </row>
    <row r="167">
      <c r="A167" s="2">
        <f>IFERROR(__xludf.DUMMYFUNCTION("""COMPUTED_VALUE"""),6.0)</f>
        <v>6</v>
      </c>
      <c r="B167" s="2" t="str">
        <f>IFERROR(__xludf.DUMMYFUNCTION("""COMPUTED_VALUE"""),"Pune")</f>
        <v>Pune</v>
      </c>
      <c r="C167" s="2" t="str">
        <f>IFERROR(__xludf.DUMMYFUNCTION("""COMPUTED_VALUE"""),"NutriKid")</f>
        <v>NutriKid</v>
      </c>
      <c r="D167" s="2">
        <f>IFERROR(__xludf.DUMMYFUNCTION("""COMPUTED_VALUE"""),34634.0)</f>
        <v>34634</v>
      </c>
      <c r="E167" s="2">
        <f>IFERROR(__xludf.DUMMYFUNCTION("""COMPUTED_VALUE"""),41907.0)</f>
        <v>41907</v>
      </c>
      <c r="F167" s="2" t="str">
        <f>IFERROR(__xludf.DUMMYFUNCTION("""COMPUTED_VALUE"""),"IPLMARKETTING")</f>
        <v>IPLMARKETTING</v>
      </c>
      <c r="G167" s="2">
        <f t="shared" si="3"/>
        <v>2078040</v>
      </c>
      <c r="H167" s="2">
        <f t="shared" si="4"/>
        <v>2514420</v>
      </c>
      <c r="I167" s="2" t="str">
        <f>IF(or(B167='Regional Details'!$A$5,B167='Regional Details'!$A$6,B167='Regional Details'!$A$7,B167='Regional Details'!$A$8),'Regional Details'!$B$2,if(OR(B167='Regional Details'!$D$5,B167='Regional Details'!$D$6,B167='Regional Details'!$D$7,B167='Regional Details'!$D$8),'Regional Details'!$E$2,if(or(B167='Regional Details'!$G$5,B167='Regional Details'!$G$6,B167='Regional Details'!$G$7,B167='Regional Details'!$G$8),'Regional Details'!$H$2,'Regional Details'!$K$2)))</f>
        <v>West</v>
      </c>
      <c r="J167" s="2" t="str">
        <f>if(I167='Regional Details'!$B$2,'Regional Details'!$B$3,if(I167='Regional Details'!$E$2,'Regional Details'!$E$3,if(I167='Regional Details'!$H$2,'Regional Details'!$H$3,'Regional Details'!$K$3)))</f>
        <v>Ajay Ghosh</v>
      </c>
      <c r="K167" s="8">
        <f t="array" ref="K167">IFERROR(XLOOKUP(B167,'Regional Details'!$A$5:$A$8,'Regional Details'!$B$5:$B$8),IFERROR(XLOOKUP(B167,'Regional Details'!$D$5:$D$8,'Regional Details'!$E$5:$E$8),IFERROR(xlookup(B167,'Regional Details'!$G$5:$G$8,'Regional Details'!$H$5:$H$8),XLOOKUP(B167,'Regional Details'!$J$5:$J$8,'Regional Details'!$K$5:$K$8))))</f>
        <v>0</v>
      </c>
      <c r="L167" s="2" t="str">
        <f>VLOOKUP(A167,MonthMapping!$A$2:$B$13,2,false)</f>
        <v>June</v>
      </c>
      <c r="M167" s="9">
        <f>if(C167=$C$2,Contribution_Old!$B$22,Contribution_Old!$B$23)</f>
        <v>24.108</v>
      </c>
      <c r="N167" s="9">
        <f>if(C167=$C$2,Contribution_New!$B$23,Contribution_New!$B$24)</f>
        <v>30.108</v>
      </c>
      <c r="O167" s="2">
        <f t="shared" ref="O167:P167" si="333">M167*D167</f>
        <v>834956.472</v>
      </c>
      <c r="P167" s="2">
        <f t="shared" si="333"/>
        <v>1261735.956</v>
      </c>
      <c r="Q167" s="2">
        <f t="shared" ref="Q167:R167" si="334">G167-O167</f>
        <v>1243083.528</v>
      </c>
      <c r="R167" s="2">
        <f t="shared" si="334"/>
        <v>1252684.044</v>
      </c>
      <c r="S167" s="2"/>
      <c r="T167" s="2"/>
      <c r="U167" s="2"/>
      <c r="V167" s="2"/>
      <c r="W167" s="2"/>
      <c r="X167" s="2"/>
      <c r="Y167" s="2"/>
      <c r="Z167" s="2"/>
    </row>
    <row r="168">
      <c r="A168" s="2">
        <f>IFERROR(__xludf.DUMMYFUNCTION("""COMPUTED_VALUE"""),6.0)</f>
        <v>6</v>
      </c>
      <c r="B168" s="2" t="str">
        <f>IFERROR(__xludf.DUMMYFUNCTION("""COMPUTED_VALUE"""),"Bengaluru")</f>
        <v>Bengaluru</v>
      </c>
      <c r="C168" s="2" t="str">
        <f>IFERROR(__xludf.DUMMYFUNCTION("""COMPUTED_VALUE"""),"ZestVita")</f>
        <v>ZestVita</v>
      </c>
      <c r="D168" s="2">
        <f>IFERROR(__xludf.DUMMYFUNCTION("""COMPUTED_VALUE"""),54884.0)</f>
        <v>54884</v>
      </c>
      <c r="E168" s="2">
        <f>IFERROR(__xludf.DUMMYFUNCTION("""COMPUTED_VALUE"""),60921.0)</f>
        <v>60921</v>
      </c>
      <c r="F168" s="2" t="str">
        <f>IFERROR(__xludf.DUMMYFUNCTION("""COMPUTED_VALUE"""),"IPLMARKETTING")</f>
        <v>IPLMARKETTING</v>
      </c>
      <c r="G168" s="2">
        <f t="shared" si="3"/>
        <v>7409340</v>
      </c>
      <c r="H168" s="2">
        <f t="shared" si="4"/>
        <v>8224335</v>
      </c>
      <c r="I168" s="2" t="str">
        <f>IF(or(B168='Regional Details'!$A$5,B168='Regional Details'!$A$6,B168='Regional Details'!$A$7,B168='Regional Details'!$A$8),'Regional Details'!$B$2,if(OR(B168='Regional Details'!$D$5,B168='Regional Details'!$D$6,B168='Regional Details'!$D$7,B168='Regional Details'!$D$8),'Regional Details'!$E$2,if(or(B168='Regional Details'!$G$5,B168='Regional Details'!$G$6,B168='Regional Details'!$G$7,B168='Regional Details'!$G$8),'Regional Details'!$H$2,'Regional Details'!$K$2)))</f>
        <v>South</v>
      </c>
      <c r="J168" s="2" t="str">
        <f>if(I168='Regional Details'!$B$2,'Regional Details'!$B$3,if(I168='Regional Details'!$E$2,'Regional Details'!$E$3,if(I168='Regional Details'!$H$2,'Regional Details'!$H$3,'Regional Details'!$K$3)))</f>
        <v>Anjali Krishna Murthy</v>
      </c>
      <c r="K168" s="8">
        <f t="array" ref="K168">IFERROR(XLOOKUP(B168,'Regional Details'!$A$5:$A$8,'Regional Details'!$B$5:$B$8),IFERROR(XLOOKUP(B168,'Regional Details'!$D$5:$D$8,'Regional Details'!$E$5:$E$8),IFERROR(xlookup(B168,'Regional Details'!$G$5:$G$8,'Regional Details'!$H$5:$H$8),XLOOKUP(B168,'Regional Details'!$J$5:$J$8,'Regional Details'!$K$5:$K$8))))</f>
        <v>0</v>
      </c>
      <c r="L168" s="2" t="str">
        <f>VLOOKUP(A168,MonthMapping!$A$2:$B$13,2,false)</f>
        <v>June</v>
      </c>
      <c r="M168" s="9">
        <f>if(C168=$C$2,Contribution_Old!$B$22,Contribution_Old!$B$23)</f>
        <v>55.84</v>
      </c>
      <c r="N168" s="9">
        <f>if(C168=$C$2,Contribution_New!$B$23,Contribution_New!$B$24)</f>
        <v>61.84</v>
      </c>
      <c r="O168" s="2">
        <f t="shared" ref="O168:P168" si="335">M168*D168</f>
        <v>3064722.56</v>
      </c>
      <c r="P168" s="2">
        <f t="shared" si="335"/>
        <v>3767354.64</v>
      </c>
      <c r="Q168" s="2">
        <f t="shared" ref="Q168:R168" si="336">G168-O168</f>
        <v>4344617.44</v>
      </c>
      <c r="R168" s="2">
        <f t="shared" si="336"/>
        <v>4456980.36</v>
      </c>
      <c r="S168" s="2"/>
      <c r="T168" s="2"/>
      <c r="U168" s="2"/>
      <c r="V168" s="2"/>
      <c r="W168" s="2"/>
      <c r="X168" s="2"/>
      <c r="Y168" s="2"/>
      <c r="Z168" s="2"/>
    </row>
    <row r="169">
      <c r="A169" s="2">
        <f>IFERROR(__xludf.DUMMYFUNCTION("""COMPUTED_VALUE"""),6.0)</f>
        <v>6</v>
      </c>
      <c r="B169" s="2" t="str">
        <f>IFERROR(__xludf.DUMMYFUNCTION("""COMPUTED_VALUE"""),"Bengaluru")</f>
        <v>Bengaluru</v>
      </c>
      <c r="C169" s="2" t="str">
        <f>IFERROR(__xludf.DUMMYFUNCTION("""COMPUTED_VALUE"""),"NutriKid")</f>
        <v>NutriKid</v>
      </c>
      <c r="D169" s="2">
        <f>IFERROR(__xludf.DUMMYFUNCTION("""COMPUTED_VALUE"""),29269.0)</f>
        <v>29269</v>
      </c>
      <c r="E169" s="2">
        <f>IFERROR(__xludf.DUMMYFUNCTION("""COMPUTED_VALUE"""),35708.0)</f>
        <v>35708</v>
      </c>
      <c r="F169" s="2" t="str">
        <f>IFERROR(__xludf.DUMMYFUNCTION("""COMPUTED_VALUE"""),"IPLMARKETTING")</f>
        <v>IPLMARKETTING</v>
      </c>
      <c r="G169" s="2">
        <f t="shared" si="3"/>
        <v>1756140</v>
      </c>
      <c r="H169" s="2">
        <f t="shared" si="4"/>
        <v>2142480</v>
      </c>
      <c r="I169" s="2" t="str">
        <f>IF(or(B169='Regional Details'!$A$5,B169='Regional Details'!$A$6,B169='Regional Details'!$A$7,B169='Regional Details'!$A$8),'Regional Details'!$B$2,if(OR(B169='Regional Details'!$D$5,B169='Regional Details'!$D$6,B169='Regional Details'!$D$7,B169='Regional Details'!$D$8),'Regional Details'!$E$2,if(or(B169='Regional Details'!$G$5,B169='Regional Details'!$G$6,B169='Regional Details'!$G$7,B169='Regional Details'!$G$8),'Regional Details'!$H$2,'Regional Details'!$K$2)))</f>
        <v>South</v>
      </c>
      <c r="J169" s="2" t="str">
        <f>if(I169='Regional Details'!$B$2,'Regional Details'!$B$3,if(I169='Regional Details'!$E$2,'Regional Details'!$E$3,if(I169='Regional Details'!$H$2,'Regional Details'!$H$3,'Regional Details'!$K$3)))</f>
        <v>Anjali Krishna Murthy</v>
      </c>
      <c r="K169" s="8">
        <f t="array" ref="K169">IFERROR(XLOOKUP(B169,'Regional Details'!$A$5:$A$8,'Regional Details'!$B$5:$B$8),IFERROR(XLOOKUP(B169,'Regional Details'!$D$5:$D$8,'Regional Details'!$E$5:$E$8),IFERROR(xlookup(B169,'Regional Details'!$G$5:$G$8,'Regional Details'!$H$5:$H$8),XLOOKUP(B169,'Regional Details'!$J$5:$J$8,'Regional Details'!$K$5:$K$8))))</f>
        <v>0</v>
      </c>
      <c r="L169" s="2" t="str">
        <f>VLOOKUP(A169,MonthMapping!$A$2:$B$13,2,false)</f>
        <v>June</v>
      </c>
      <c r="M169" s="9">
        <f>if(C169=$C$2,Contribution_Old!$B$22,Contribution_Old!$B$23)</f>
        <v>24.108</v>
      </c>
      <c r="N169" s="9">
        <f>if(C169=$C$2,Contribution_New!$B$23,Contribution_New!$B$24)</f>
        <v>30.108</v>
      </c>
      <c r="O169" s="2">
        <f t="shared" ref="O169:P169" si="337">M169*D169</f>
        <v>705617.052</v>
      </c>
      <c r="P169" s="2">
        <f t="shared" si="337"/>
        <v>1075096.464</v>
      </c>
      <c r="Q169" s="2">
        <f t="shared" ref="Q169:R169" si="338">G169-O169</f>
        <v>1050522.948</v>
      </c>
      <c r="R169" s="2">
        <f t="shared" si="338"/>
        <v>1067383.536</v>
      </c>
      <c r="S169" s="2"/>
      <c r="T169" s="2"/>
      <c r="U169" s="2"/>
      <c r="V169" s="2"/>
      <c r="W169" s="2"/>
      <c r="X169" s="2"/>
      <c r="Y169" s="2"/>
      <c r="Z169" s="2"/>
    </row>
    <row r="170">
      <c r="A170" s="2">
        <f>IFERROR(__xludf.DUMMYFUNCTION("""COMPUTED_VALUE"""),6.0)</f>
        <v>6</v>
      </c>
      <c r="B170" s="2" t="str">
        <f>IFERROR(__xludf.DUMMYFUNCTION("""COMPUTED_VALUE"""),"Chandigarh")</f>
        <v>Chandigarh</v>
      </c>
      <c r="C170" s="2" t="str">
        <f>IFERROR(__xludf.DUMMYFUNCTION("""COMPUTED_VALUE"""),"ZestVita")</f>
        <v>ZestVita</v>
      </c>
      <c r="D170" s="2">
        <f>IFERROR(__xludf.DUMMYFUNCTION("""COMPUTED_VALUE"""),48329.0)</f>
        <v>48329</v>
      </c>
      <c r="E170" s="2">
        <f>IFERROR(__xludf.DUMMYFUNCTION("""COMPUTED_VALUE"""),59928.0)</f>
        <v>59928</v>
      </c>
      <c r="F170" s="2" t="str">
        <f>IFERROR(__xludf.DUMMYFUNCTION("""COMPUTED_VALUE"""),"IPLMARKETTING")</f>
        <v>IPLMARKETTING</v>
      </c>
      <c r="G170" s="2">
        <f t="shared" si="3"/>
        <v>6524415</v>
      </c>
      <c r="H170" s="2">
        <f t="shared" si="4"/>
        <v>8090280</v>
      </c>
      <c r="I170" s="2" t="str">
        <f>IF(or(B170='Regional Details'!$A$5,B170='Regional Details'!$A$6,B170='Regional Details'!$A$7,B170='Regional Details'!$A$8),'Regional Details'!$B$2,if(OR(B170='Regional Details'!$D$5,B170='Regional Details'!$D$6,B170='Regional Details'!$D$7,B170='Regional Details'!$D$8),'Regional Details'!$E$2,if(or(B170='Regional Details'!$G$5,B170='Regional Details'!$G$6,B170='Regional Details'!$G$7,B170='Regional Details'!$G$8),'Regional Details'!$H$2,'Regional Details'!$K$2)))</f>
        <v>North</v>
      </c>
      <c r="J170" s="2" t="str">
        <f>if(I170='Regional Details'!$B$2,'Regional Details'!$B$3,if(I170='Regional Details'!$E$2,'Regional Details'!$E$3,if(I170='Regional Details'!$H$2,'Regional Details'!$H$3,'Regional Details'!$K$3)))</f>
        <v>Ajay Kumar</v>
      </c>
      <c r="K170" s="8">
        <f t="array" ref="K170">IFERROR(XLOOKUP(B170,'Regional Details'!$A$5:$A$8,'Regional Details'!$B$5:$B$8),IFERROR(XLOOKUP(B170,'Regional Details'!$D$5:$D$8,'Regional Details'!$E$5:$E$8),IFERROR(xlookup(B170,'Regional Details'!$G$5:$G$8,'Regional Details'!$H$5:$H$8),XLOOKUP(B170,'Regional Details'!$J$5:$J$8,'Regional Details'!$K$5:$K$8))))</f>
        <v>0</v>
      </c>
      <c r="L170" s="2" t="str">
        <f>VLOOKUP(A170,MonthMapping!$A$2:$B$13,2,false)</f>
        <v>June</v>
      </c>
      <c r="M170" s="9">
        <f>if(C170=$C$2,Contribution_Old!$B$22,Contribution_Old!$B$23)</f>
        <v>55.84</v>
      </c>
      <c r="N170" s="9">
        <f>if(C170=$C$2,Contribution_New!$B$23,Contribution_New!$B$24)</f>
        <v>61.84</v>
      </c>
      <c r="O170" s="2">
        <f t="shared" ref="O170:P170" si="339">M170*D170</f>
        <v>2698691.36</v>
      </c>
      <c r="P170" s="2">
        <f t="shared" si="339"/>
        <v>3705947.52</v>
      </c>
      <c r="Q170" s="2">
        <f t="shared" ref="Q170:R170" si="340">G170-O170</f>
        <v>3825723.64</v>
      </c>
      <c r="R170" s="2">
        <f t="shared" si="340"/>
        <v>4384332.48</v>
      </c>
      <c r="S170" s="2"/>
      <c r="T170" s="2"/>
      <c r="U170" s="2"/>
      <c r="V170" s="2"/>
      <c r="W170" s="2"/>
      <c r="X170" s="2"/>
      <c r="Y170" s="2"/>
      <c r="Z170" s="2"/>
    </row>
    <row r="171">
      <c r="A171" s="2">
        <f>IFERROR(__xludf.DUMMYFUNCTION("""COMPUTED_VALUE"""),6.0)</f>
        <v>6</v>
      </c>
      <c r="B171" s="2" t="str">
        <f>IFERROR(__xludf.DUMMYFUNCTION("""COMPUTED_VALUE"""),"Chandigarh")</f>
        <v>Chandigarh</v>
      </c>
      <c r="C171" s="2" t="str">
        <f>IFERROR(__xludf.DUMMYFUNCTION("""COMPUTED_VALUE"""),"NutriKid")</f>
        <v>NutriKid</v>
      </c>
      <c r="D171" s="2">
        <f>IFERROR(__xludf.DUMMYFUNCTION("""COMPUTED_VALUE"""),49606.0)</f>
        <v>49606</v>
      </c>
      <c r="E171" s="2">
        <f>IFERROR(__xludf.DUMMYFUNCTION("""COMPUTED_VALUE"""),62008.0)</f>
        <v>62008</v>
      </c>
      <c r="F171" s="2" t="str">
        <f>IFERROR(__xludf.DUMMYFUNCTION("""COMPUTED_VALUE"""),"IPLMARKETTING")</f>
        <v>IPLMARKETTING</v>
      </c>
      <c r="G171" s="2">
        <f t="shared" si="3"/>
        <v>2976360</v>
      </c>
      <c r="H171" s="2">
        <f t="shared" si="4"/>
        <v>3720480</v>
      </c>
      <c r="I171" s="2" t="str">
        <f>IF(or(B171='Regional Details'!$A$5,B171='Regional Details'!$A$6,B171='Regional Details'!$A$7,B171='Regional Details'!$A$8),'Regional Details'!$B$2,if(OR(B171='Regional Details'!$D$5,B171='Regional Details'!$D$6,B171='Regional Details'!$D$7,B171='Regional Details'!$D$8),'Regional Details'!$E$2,if(or(B171='Regional Details'!$G$5,B171='Regional Details'!$G$6,B171='Regional Details'!$G$7,B171='Regional Details'!$G$8),'Regional Details'!$H$2,'Regional Details'!$K$2)))</f>
        <v>North</v>
      </c>
      <c r="J171" s="2" t="str">
        <f>if(I171='Regional Details'!$B$2,'Regional Details'!$B$3,if(I171='Regional Details'!$E$2,'Regional Details'!$E$3,if(I171='Regional Details'!$H$2,'Regional Details'!$H$3,'Regional Details'!$K$3)))</f>
        <v>Ajay Kumar</v>
      </c>
      <c r="K171" s="8">
        <f t="array" ref="K171">IFERROR(XLOOKUP(B171,'Regional Details'!$A$5:$A$8,'Regional Details'!$B$5:$B$8),IFERROR(XLOOKUP(B171,'Regional Details'!$D$5:$D$8,'Regional Details'!$E$5:$E$8),IFERROR(xlookup(B171,'Regional Details'!$G$5:$G$8,'Regional Details'!$H$5:$H$8),XLOOKUP(B171,'Regional Details'!$J$5:$J$8,'Regional Details'!$K$5:$K$8))))</f>
        <v>0</v>
      </c>
      <c r="L171" s="2" t="str">
        <f>VLOOKUP(A171,MonthMapping!$A$2:$B$13,2,false)</f>
        <v>June</v>
      </c>
      <c r="M171" s="9">
        <f>if(C171=$C$2,Contribution_Old!$B$22,Contribution_Old!$B$23)</f>
        <v>24.108</v>
      </c>
      <c r="N171" s="9">
        <f>if(C171=$C$2,Contribution_New!$B$23,Contribution_New!$B$24)</f>
        <v>30.108</v>
      </c>
      <c r="O171" s="2">
        <f t="shared" ref="O171:P171" si="341">M171*D171</f>
        <v>1195901.448</v>
      </c>
      <c r="P171" s="2">
        <f t="shared" si="341"/>
        <v>1866936.864</v>
      </c>
      <c r="Q171" s="2">
        <f t="shared" ref="Q171:R171" si="342">G171-O171</f>
        <v>1780458.552</v>
      </c>
      <c r="R171" s="2">
        <f t="shared" si="342"/>
        <v>1853543.136</v>
      </c>
      <c r="S171" s="2"/>
      <c r="T171" s="2"/>
      <c r="U171" s="2"/>
      <c r="V171" s="2"/>
      <c r="W171" s="2"/>
      <c r="X171" s="2"/>
      <c r="Y171" s="2"/>
      <c r="Z171" s="2"/>
    </row>
    <row r="172">
      <c r="A172" s="2">
        <f>IFERROR(__xludf.DUMMYFUNCTION("""COMPUTED_VALUE"""),6.0)</f>
        <v>6</v>
      </c>
      <c r="B172" s="2" t="str">
        <f>IFERROR(__xludf.DUMMYFUNCTION("""COMPUTED_VALUE"""),"Bhubaneswar")</f>
        <v>Bhubaneswar</v>
      </c>
      <c r="C172" s="2" t="str">
        <f>IFERROR(__xludf.DUMMYFUNCTION("""COMPUTED_VALUE"""),"ZestVita")</f>
        <v>ZestVita</v>
      </c>
      <c r="D172" s="2">
        <f>IFERROR(__xludf.DUMMYFUNCTION("""COMPUTED_VALUE"""),15617.0)</f>
        <v>15617</v>
      </c>
      <c r="E172" s="2">
        <f>IFERROR(__xludf.DUMMYFUNCTION("""COMPUTED_VALUE"""),16242.0)</f>
        <v>16242</v>
      </c>
      <c r="F172" s="2" t="str">
        <f>IFERROR(__xludf.DUMMYFUNCTION("""COMPUTED_VALUE"""),"IPLMARKETTING")</f>
        <v>IPLMARKETTING</v>
      </c>
      <c r="G172" s="2">
        <f t="shared" si="3"/>
        <v>1844758.125</v>
      </c>
      <c r="H172" s="2">
        <f t="shared" si="4"/>
        <v>2192670</v>
      </c>
      <c r="I172" s="2" t="str">
        <f>IF(or(B172='Regional Details'!$A$5,B172='Regional Details'!$A$6,B172='Regional Details'!$A$7,B172='Regional Details'!$A$8),'Regional Details'!$B$2,if(OR(B172='Regional Details'!$D$5,B172='Regional Details'!$D$6,B172='Regional Details'!$D$7,B172='Regional Details'!$D$8),'Regional Details'!$E$2,if(or(B172='Regional Details'!$G$5,B172='Regional Details'!$G$6,B172='Regional Details'!$G$7,B172='Regional Details'!$G$8),'Regional Details'!$H$2,'Regional Details'!$K$2)))</f>
        <v>East</v>
      </c>
      <c r="J172" s="2" t="str">
        <f>if(I172='Regional Details'!$B$2,'Regional Details'!$B$3,if(I172='Regional Details'!$E$2,'Regional Details'!$E$3,if(I172='Regional Details'!$H$2,'Regional Details'!$H$3,'Regional Details'!$K$3)))</f>
        <v>Tanvi Sharma</v>
      </c>
      <c r="K172" s="8">
        <f t="array" ref="K172">IFERROR(XLOOKUP(B172,'Regional Details'!$A$5:$A$8,'Regional Details'!$B$5:$B$8),IFERROR(XLOOKUP(B172,'Regional Details'!$D$5:$D$8,'Regional Details'!$E$5:$E$8),IFERROR(xlookup(B172,'Regional Details'!$G$5:$G$8,'Regional Details'!$H$5:$H$8),XLOOKUP(B172,'Regional Details'!$J$5:$J$8,'Regional Details'!$K$5:$K$8))))</f>
        <v>0.125</v>
      </c>
      <c r="L172" s="2" t="str">
        <f>VLOOKUP(A172,MonthMapping!$A$2:$B$13,2,false)</f>
        <v>June</v>
      </c>
      <c r="M172" s="9">
        <f>if(C172=$C$2,Contribution_Old!$B$22,Contribution_Old!$B$23)</f>
        <v>55.84</v>
      </c>
      <c r="N172" s="9">
        <f>if(C172=$C$2,Contribution_New!$B$23,Contribution_New!$B$24)</f>
        <v>61.84</v>
      </c>
      <c r="O172" s="2">
        <f t="shared" ref="O172:P172" si="343">M172*D172</f>
        <v>872053.28</v>
      </c>
      <c r="P172" s="2">
        <f t="shared" si="343"/>
        <v>1004405.28</v>
      </c>
      <c r="Q172" s="2">
        <f t="shared" ref="Q172:R172" si="344">G172-O172</f>
        <v>972704.845</v>
      </c>
      <c r="R172" s="2">
        <f t="shared" si="344"/>
        <v>1188264.72</v>
      </c>
      <c r="S172" s="2"/>
      <c r="T172" s="2"/>
      <c r="U172" s="2"/>
      <c r="V172" s="2"/>
      <c r="W172" s="2"/>
      <c r="X172" s="2"/>
      <c r="Y172" s="2"/>
      <c r="Z172" s="2"/>
    </row>
    <row r="173">
      <c r="A173" s="2">
        <f>IFERROR(__xludf.DUMMYFUNCTION("""COMPUTED_VALUE"""),6.0)</f>
        <v>6</v>
      </c>
      <c r="B173" s="2" t="str">
        <f>IFERROR(__xludf.DUMMYFUNCTION("""COMPUTED_VALUE"""),"Bhubaneswar")</f>
        <v>Bhubaneswar</v>
      </c>
      <c r="C173" s="2" t="str">
        <f>IFERROR(__xludf.DUMMYFUNCTION("""COMPUTED_VALUE"""),"NutriKid")</f>
        <v>NutriKid</v>
      </c>
      <c r="D173" s="2">
        <f>IFERROR(__xludf.DUMMYFUNCTION("""COMPUTED_VALUE"""),22965.0)</f>
        <v>22965</v>
      </c>
      <c r="E173" s="2">
        <f>IFERROR(__xludf.DUMMYFUNCTION("""COMPUTED_VALUE"""),23884.0)</f>
        <v>23884</v>
      </c>
      <c r="F173" s="2" t="str">
        <f>IFERROR(__xludf.DUMMYFUNCTION("""COMPUTED_VALUE"""),"IPLMARKETTING")</f>
        <v>IPLMARKETTING</v>
      </c>
      <c r="G173" s="2">
        <f t="shared" si="3"/>
        <v>1205662.5</v>
      </c>
      <c r="H173" s="2">
        <f t="shared" si="4"/>
        <v>1433040</v>
      </c>
      <c r="I173" s="2" t="str">
        <f>IF(or(B173='Regional Details'!$A$5,B173='Regional Details'!$A$6,B173='Regional Details'!$A$7,B173='Regional Details'!$A$8),'Regional Details'!$B$2,if(OR(B173='Regional Details'!$D$5,B173='Regional Details'!$D$6,B173='Regional Details'!$D$7,B173='Regional Details'!$D$8),'Regional Details'!$E$2,if(or(B173='Regional Details'!$G$5,B173='Regional Details'!$G$6,B173='Regional Details'!$G$7,B173='Regional Details'!$G$8),'Regional Details'!$H$2,'Regional Details'!$K$2)))</f>
        <v>East</v>
      </c>
      <c r="J173" s="2" t="str">
        <f>if(I173='Regional Details'!$B$2,'Regional Details'!$B$3,if(I173='Regional Details'!$E$2,'Regional Details'!$E$3,if(I173='Regional Details'!$H$2,'Regional Details'!$H$3,'Regional Details'!$K$3)))</f>
        <v>Tanvi Sharma</v>
      </c>
      <c r="K173" s="8">
        <f t="array" ref="K173">IFERROR(XLOOKUP(B173,'Regional Details'!$A$5:$A$8,'Regional Details'!$B$5:$B$8),IFERROR(XLOOKUP(B173,'Regional Details'!$D$5:$D$8,'Regional Details'!$E$5:$E$8),IFERROR(xlookup(B173,'Regional Details'!$G$5:$G$8,'Regional Details'!$H$5:$H$8),XLOOKUP(B173,'Regional Details'!$J$5:$J$8,'Regional Details'!$K$5:$K$8))))</f>
        <v>0.125</v>
      </c>
      <c r="L173" s="2" t="str">
        <f>VLOOKUP(A173,MonthMapping!$A$2:$B$13,2,false)</f>
        <v>June</v>
      </c>
      <c r="M173" s="9">
        <f>if(C173=$C$2,Contribution_Old!$B$22,Contribution_Old!$B$23)</f>
        <v>24.108</v>
      </c>
      <c r="N173" s="9">
        <f>if(C173=$C$2,Contribution_New!$B$23,Contribution_New!$B$24)</f>
        <v>30.108</v>
      </c>
      <c r="O173" s="2">
        <f t="shared" ref="O173:P173" si="345">M173*D173</f>
        <v>553640.22</v>
      </c>
      <c r="P173" s="2">
        <f t="shared" si="345"/>
        <v>719099.472</v>
      </c>
      <c r="Q173" s="2">
        <f t="shared" ref="Q173:R173" si="346">G173-O173</f>
        <v>652022.28</v>
      </c>
      <c r="R173" s="2">
        <f t="shared" si="346"/>
        <v>713940.528</v>
      </c>
      <c r="S173" s="2"/>
      <c r="T173" s="2"/>
      <c r="U173" s="2"/>
      <c r="V173" s="2"/>
      <c r="W173" s="2"/>
      <c r="X173" s="2"/>
      <c r="Y173" s="2"/>
      <c r="Z173" s="2"/>
    </row>
    <row r="174">
      <c r="A174" s="2">
        <f>IFERROR(__xludf.DUMMYFUNCTION("""COMPUTED_VALUE"""),6.0)</f>
        <v>6</v>
      </c>
      <c r="B174" s="2" t="str">
        <f>IFERROR(__xludf.DUMMYFUNCTION("""COMPUTED_VALUE"""),"Ahmedabad")</f>
        <v>Ahmedabad</v>
      </c>
      <c r="C174" s="2" t="str">
        <f>IFERROR(__xludf.DUMMYFUNCTION("""COMPUTED_VALUE"""),"ZestVita")</f>
        <v>ZestVita</v>
      </c>
      <c r="D174" s="2">
        <f>IFERROR(__xludf.DUMMYFUNCTION("""COMPUTED_VALUE"""),41023.0)</f>
        <v>41023</v>
      </c>
      <c r="E174" s="2">
        <f>IFERROR(__xludf.DUMMYFUNCTION("""COMPUTED_VALUE"""),46766.0)</f>
        <v>46766</v>
      </c>
      <c r="F174" s="2" t="str">
        <f>IFERROR(__xludf.DUMMYFUNCTION("""COMPUTED_VALUE"""),"IPLMARKETTING")</f>
        <v>IPLMARKETTING</v>
      </c>
      <c r="G174" s="2">
        <f t="shared" si="3"/>
        <v>5538105</v>
      </c>
      <c r="H174" s="2">
        <f t="shared" si="4"/>
        <v>6313410</v>
      </c>
      <c r="I174" s="2" t="str">
        <f>IF(or(B174='Regional Details'!$A$5,B174='Regional Details'!$A$6,B174='Regional Details'!$A$7,B174='Regional Details'!$A$8),'Regional Details'!$B$2,if(OR(B174='Regional Details'!$D$5,B174='Regional Details'!$D$6,B174='Regional Details'!$D$7,B174='Regional Details'!$D$8),'Regional Details'!$E$2,if(or(B174='Regional Details'!$G$5,B174='Regional Details'!$G$6,B174='Regional Details'!$G$7,B174='Regional Details'!$G$8),'Regional Details'!$H$2,'Regional Details'!$K$2)))</f>
        <v>West</v>
      </c>
      <c r="J174" s="2" t="str">
        <f>if(I174='Regional Details'!$B$2,'Regional Details'!$B$3,if(I174='Regional Details'!$E$2,'Regional Details'!$E$3,if(I174='Regional Details'!$H$2,'Regional Details'!$H$3,'Regional Details'!$K$3)))</f>
        <v>Ajay Ghosh</v>
      </c>
      <c r="K174" s="8">
        <f t="array" ref="K174">IFERROR(XLOOKUP(B174,'Regional Details'!$A$5:$A$8,'Regional Details'!$B$5:$B$8),IFERROR(XLOOKUP(B174,'Regional Details'!$D$5:$D$8,'Regional Details'!$E$5:$E$8),IFERROR(xlookup(B174,'Regional Details'!$G$5:$G$8,'Regional Details'!$H$5:$H$8),XLOOKUP(B174,'Regional Details'!$J$5:$J$8,'Regional Details'!$K$5:$K$8))))</f>
        <v>0</v>
      </c>
      <c r="L174" s="2" t="str">
        <f>VLOOKUP(A174,MonthMapping!$A$2:$B$13,2,false)</f>
        <v>June</v>
      </c>
      <c r="M174" s="9">
        <f>if(C174=$C$2,Contribution_Old!$B$22,Contribution_Old!$B$23)</f>
        <v>55.84</v>
      </c>
      <c r="N174" s="9">
        <f>if(C174=$C$2,Contribution_New!$B$23,Contribution_New!$B$24)</f>
        <v>61.84</v>
      </c>
      <c r="O174" s="2">
        <f t="shared" ref="O174:P174" si="347">M174*D174</f>
        <v>2290724.32</v>
      </c>
      <c r="P174" s="2">
        <f t="shared" si="347"/>
        <v>2892009.44</v>
      </c>
      <c r="Q174" s="2">
        <f t="shared" ref="Q174:R174" si="348">G174-O174</f>
        <v>3247380.68</v>
      </c>
      <c r="R174" s="2">
        <f t="shared" si="348"/>
        <v>3421400.56</v>
      </c>
      <c r="S174" s="2"/>
      <c r="T174" s="2"/>
      <c r="U174" s="2"/>
      <c r="V174" s="2"/>
      <c r="W174" s="2"/>
      <c r="X174" s="2"/>
      <c r="Y174" s="2"/>
      <c r="Z174" s="2"/>
    </row>
    <row r="175">
      <c r="A175" s="2">
        <f>IFERROR(__xludf.DUMMYFUNCTION("""COMPUTED_VALUE"""),6.0)</f>
        <v>6</v>
      </c>
      <c r="B175" s="2" t="str">
        <f>IFERROR(__xludf.DUMMYFUNCTION("""COMPUTED_VALUE"""),"Ahmedabad")</f>
        <v>Ahmedabad</v>
      </c>
      <c r="C175" s="2" t="str">
        <f>IFERROR(__xludf.DUMMYFUNCTION("""COMPUTED_VALUE"""),"NutriKid")</f>
        <v>NutriKid</v>
      </c>
      <c r="D175" s="2">
        <f>IFERROR(__xludf.DUMMYFUNCTION("""COMPUTED_VALUE"""),24476.0)</f>
        <v>24476</v>
      </c>
      <c r="E175" s="2">
        <f>IFERROR(__xludf.DUMMYFUNCTION("""COMPUTED_VALUE"""),29126.0)</f>
        <v>29126</v>
      </c>
      <c r="F175" s="2" t="str">
        <f>IFERROR(__xludf.DUMMYFUNCTION("""COMPUTED_VALUE"""),"IPLMARKETTING")</f>
        <v>IPLMARKETTING</v>
      </c>
      <c r="G175" s="2">
        <f t="shared" si="3"/>
        <v>1468560</v>
      </c>
      <c r="H175" s="2">
        <f t="shared" si="4"/>
        <v>1747560</v>
      </c>
      <c r="I175" s="2" t="str">
        <f>IF(or(B175='Regional Details'!$A$5,B175='Regional Details'!$A$6,B175='Regional Details'!$A$7,B175='Regional Details'!$A$8),'Regional Details'!$B$2,if(OR(B175='Regional Details'!$D$5,B175='Regional Details'!$D$6,B175='Regional Details'!$D$7,B175='Regional Details'!$D$8),'Regional Details'!$E$2,if(or(B175='Regional Details'!$G$5,B175='Regional Details'!$G$6,B175='Regional Details'!$G$7,B175='Regional Details'!$G$8),'Regional Details'!$H$2,'Regional Details'!$K$2)))</f>
        <v>West</v>
      </c>
      <c r="J175" s="2" t="str">
        <f>if(I175='Regional Details'!$B$2,'Regional Details'!$B$3,if(I175='Regional Details'!$E$2,'Regional Details'!$E$3,if(I175='Regional Details'!$H$2,'Regional Details'!$H$3,'Regional Details'!$K$3)))</f>
        <v>Ajay Ghosh</v>
      </c>
      <c r="K175" s="8">
        <f t="array" ref="K175">IFERROR(XLOOKUP(B175,'Regional Details'!$A$5:$A$8,'Regional Details'!$B$5:$B$8),IFERROR(XLOOKUP(B175,'Regional Details'!$D$5:$D$8,'Regional Details'!$E$5:$E$8),IFERROR(xlookup(B175,'Regional Details'!$G$5:$G$8,'Regional Details'!$H$5:$H$8),XLOOKUP(B175,'Regional Details'!$J$5:$J$8,'Regional Details'!$K$5:$K$8))))</f>
        <v>0</v>
      </c>
      <c r="L175" s="2" t="str">
        <f>VLOOKUP(A175,MonthMapping!$A$2:$B$13,2,false)</f>
        <v>June</v>
      </c>
      <c r="M175" s="9">
        <f>if(C175=$C$2,Contribution_Old!$B$22,Contribution_Old!$B$23)</f>
        <v>24.108</v>
      </c>
      <c r="N175" s="9">
        <f>if(C175=$C$2,Contribution_New!$B$23,Contribution_New!$B$24)</f>
        <v>30.108</v>
      </c>
      <c r="O175" s="2">
        <f t="shared" ref="O175:P175" si="349">M175*D175</f>
        <v>590067.408</v>
      </c>
      <c r="P175" s="2">
        <f t="shared" si="349"/>
        <v>876925.608</v>
      </c>
      <c r="Q175" s="2">
        <f t="shared" ref="Q175:R175" si="350">G175-O175</f>
        <v>878492.592</v>
      </c>
      <c r="R175" s="2">
        <f t="shared" si="350"/>
        <v>870634.392</v>
      </c>
      <c r="S175" s="2"/>
      <c r="T175" s="2"/>
      <c r="U175" s="2"/>
      <c r="V175" s="2"/>
      <c r="W175" s="2"/>
      <c r="X175" s="2"/>
      <c r="Y175" s="2"/>
      <c r="Z175" s="2"/>
    </row>
    <row r="176">
      <c r="A176" s="2">
        <f>IFERROR(__xludf.DUMMYFUNCTION("""COMPUTED_VALUE"""),6.0)</f>
        <v>6</v>
      </c>
      <c r="B176" s="2" t="str">
        <f>IFERROR(__xludf.DUMMYFUNCTION("""COMPUTED_VALUE"""),"Chennai")</f>
        <v>Chennai</v>
      </c>
      <c r="C176" s="2" t="str">
        <f>IFERROR(__xludf.DUMMYFUNCTION("""COMPUTED_VALUE"""),"ZestVita")</f>
        <v>ZestVita</v>
      </c>
      <c r="D176" s="2">
        <f>IFERROR(__xludf.DUMMYFUNCTION("""COMPUTED_VALUE"""),26217.0)</f>
        <v>26217</v>
      </c>
      <c r="E176" s="2">
        <f>IFERROR(__xludf.DUMMYFUNCTION("""COMPUTED_VALUE"""),32509.0)</f>
        <v>32509</v>
      </c>
      <c r="F176" s="2" t="str">
        <f>IFERROR(__xludf.DUMMYFUNCTION("""COMPUTED_VALUE"""),"IPLMARKETTING")</f>
        <v>IPLMARKETTING</v>
      </c>
      <c r="G176" s="2">
        <f t="shared" si="3"/>
        <v>3539295</v>
      </c>
      <c r="H176" s="2">
        <f t="shared" si="4"/>
        <v>4388715</v>
      </c>
      <c r="I176" s="2" t="str">
        <f>IF(or(B176='Regional Details'!$A$5,B176='Regional Details'!$A$6,B176='Regional Details'!$A$7,B176='Regional Details'!$A$8),'Regional Details'!$B$2,if(OR(B176='Regional Details'!$D$5,B176='Regional Details'!$D$6,B176='Regional Details'!$D$7,B176='Regional Details'!$D$8),'Regional Details'!$E$2,if(or(B176='Regional Details'!$G$5,B176='Regional Details'!$G$6,B176='Regional Details'!$G$7,B176='Regional Details'!$G$8),'Regional Details'!$H$2,'Regional Details'!$K$2)))</f>
        <v>South</v>
      </c>
      <c r="J176" s="2" t="str">
        <f>if(I176='Regional Details'!$B$2,'Regional Details'!$B$3,if(I176='Regional Details'!$E$2,'Regional Details'!$E$3,if(I176='Regional Details'!$H$2,'Regional Details'!$H$3,'Regional Details'!$K$3)))</f>
        <v>Anjali Krishna Murthy</v>
      </c>
      <c r="K176" s="8">
        <f t="array" ref="K176">IFERROR(XLOOKUP(B176,'Regional Details'!$A$5:$A$8,'Regional Details'!$B$5:$B$8),IFERROR(XLOOKUP(B176,'Regional Details'!$D$5:$D$8,'Regional Details'!$E$5:$E$8),IFERROR(xlookup(B176,'Regional Details'!$G$5:$G$8,'Regional Details'!$H$5:$H$8),XLOOKUP(B176,'Regional Details'!$J$5:$J$8,'Regional Details'!$K$5:$K$8))))</f>
        <v>0</v>
      </c>
      <c r="L176" s="2" t="str">
        <f>VLOOKUP(A176,MonthMapping!$A$2:$B$13,2,false)</f>
        <v>June</v>
      </c>
      <c r="M176" s="9">
        <f>if(C176=$C$2,Contribution_Old!$B$22,Contribution_Old!$B$23)</f>
        <v>55.84</v>
      </c>
      <c r="N176" s="9">
        <f>if(C176=$C$2,Contribution_New!$B$23,Contribution_New!$B$24)</f>
        <v>61.84</v>
      </c>
      <c r="O176" s="2">
        <f t="shared" ref="O176:P176" si="351">M176*D176</f>
        <v>1463957.28</v>
      </c>
      <c r="P176" s="2">
        <f t="shared" si="351"/>
        <v>2010356.56</v>
      </c>
      <c r="Q176" s="2">
        <f t="shared" ref="Q176:R176" si="352">G176-O176</f>
        <v>2075337.72</v>
      </c>
      <c r="R176" s="2">
        <f t="shared" si="352"/>
        <v>2378358.44</v>
      </c>
      <c r="S176" s="2"/>
      <c r="T176" s="2"/>
      <c r="U176" s="2"/>
      <c r="V176" s="2"/>
      <c r="W176" s="2"/>
      <c r="X176" s="2"/>
      <c r="Y176" s="2"/>
      <c r="Z176" s="2"/>
    </row>
    <row r="177">
      <c r="A177" s="2">
        <f>IFERROR(__xludf.DUMMYFUNCTION("""COMPUTED_VALUE"""),6.0)</f>
        <v>6</v>
      </c>
      <c r="B177" s="2" t="str">
        <f>IFERROR(__xludf.DUMMYFUNCTION("""COMPUTED_VALUE"""),"Chennai")</f>
        <v>Chennai</v>
      </c>
      <c r="C177" s="2" t="str">
        <f>IFERROR(__xludf.DUMMYFUNCTION("""COMPUTED_VALUE"""),"NutriKid")</f>
        <v>NutriKid</v>
      </c>
      <c r="D177" s="2">
        <f>IFERROR(__xludf.DUMMYFUNCTION("""COMPUTED_VALUE"""),28267.0)</f>
        <v>28267</v>
      </c>
      <c r="E177" s="2">
        <f>IFERROR(__xludf.DUMMYFUNCTION("""COMPUTED_VALUE"""),33638.0)</f>
        <v>33638</v>
      </c>
      <c r="F177" s="2" t="str">
        <f>IFERROR(__xludf.DUMMYFUNCTION("""COMPUTED_VALUE"""),"IPLMARKETTING")</f>
        <v>IPLMARKETTING</v>
      </c>
      <c r="G177" s="2">
        <f t="shared" si="3"/>
        <v>1696020</v>
      </c>
      <c r="H177" s="2">
        <f t="shared" si="4"/>
        <v>2018280</v>
      </c>
      <c r="I177" s="2" t="str">
        <f>IF(or(B177='Regional Details'!$A$5,B177='Regional Details'!$A$6,B177='Regional Details'!$A$7,B177='Regional Details'!$A$8),'Regional Details'!$B$2,if(OR(B177='Regional Details'!$D$5,B177='Regional Details'!$D$6,B177='Regional Details'!$D$7,B177='Regional Details'!$D$8),'Regional Details'!$E$2,if(or(B177='Regional Details'!$G$5,B177='Regional Details'!$G$6,B177='Regional Details'!$G$7,B177='Regional Details'!$G$8),'Regional Details'!$H$2,'Regional Details'!$K$2)))</f>
        <v>South</v>
      </c>
      <c r="J177" s="2" t="str">
        <f>if(I177='Regional Details'!$B$2,'Regional Details'!$B$3,if(I177='Regional Details'!$E$2,'Regional Details'!$E$3,if(I177='Regional Details'!$H$2,'Regional Details'!$H$3,'Regional Details'!$K$3)))</f>
        <v>Anjali Krishna Murthy</v>
      </c>
      <c r="K177" s="8">
        <f t="array" ref="K177">IFERROR(XLOOKUP(B177,'Regional Details'!$A$5:$A$8,'Regional Details'!$B$5:$B$8),IFERROR(XLOOKUP(B177,'Regional Details'!$D$5:$D$8,'Regional Details'!$E$5:$E$8),IFERROR(xlookup(B177,'Regional Details'!$G$5:$G$8,'Regional Details'!$H$5:$H$8),XLOOKUP(B177,'Regional Details'!$J$5:$J$8,'Regional Details'!$K$5:$K$8))))</f>
        <v>0</v>
      </c>
      <c r="L177" s="2" t="str">
        <f>VLOOKUP(A177,MonthMapping!$A$2:$B$13,2,false)</f>
        <v>June</v>
      </c>
      <c r="M177" s="9">
        <f>if(C177=$C$2,Contribution_Old!$B$22,Contribution_Old!$B$23)</f>
        <v>24.108</v>
      </c>
      <c r="N177" s="9">
        <f>if(C177=$C$2,Contribution_New!$B$23,Contribution_New!$B$24)</f>
        <v>30.108</v>
      </c>
      <c r="O177" s="2">
        <f t="shared" ref="O177:P177" si="353">M177*D177</f>
        <v>681460.836</v>
      </c>
      <c r="P177" s="2">
        <f t="shared" si="353"/>
        <v>1012772.904</v>
      </c>
      <c r="Q177" s="2">
        <f t="shared" ref="Q177:R177" si="354">G177-O177</f>
        <v>1014559.164</v>
      </c>
      <c r="R177" s="2">
        <f t="shared" si="354"/>
        <v>1005507.096</v>
      </c>
      <c r="S177" s="2"/>
      <c r="T177" s="2"/>
      <c r="U177" s="2"/>
      <c r="V177" s="2"/>
      <c r="W177" s="2"/>
      <c r="X177" s="2"/>
      <c r="Y177" s="2"/>
      <c r="Z177" s="2"/>
    </row>
    <row r="178">
      <c r="A178" s="2">
        <f>IFERROR(__xludf.DUMMYFUNCTION("""COMPUTED_VALUE"""),6.0)</f>
        <v>6</v>
      </c>
      <c r="B178" s="2" t="str">
        <f>IFERROR(__xludf.DUMMYFUNCTION("""COMPUTED_VALUE"""),"Lucknow")</f>
        <v>Lucknow</v>
      </c>
      <c r="C178" s="2" t="str">
        <f>IFERROR(__xludf.DUMMYFUNCTION("""COMPUTED_VALUE"""),"ZestVita")</f>
        <v>ZestVita</v>
      </c>
      <c r="D178" s="2">
        <f>IFERROR(__xludf.DUMMYFUNCTION("""COMPUTED_VALUE"""),26640.0)</f>
        <v>26640</v>
      </c>
      <c r="E178" s="2">
        <f>IFERROR(__xludf.DUMMYFUNCTION("""COMPUTED_VALUE"""),31702.0)</f>
        <v>31702</v>
      </c>
      <c r="F178" s="2" t="str">
        <f>IFERROR(__xludf.DUMMYFUNCTION("""COMPUTED_VALUE"""),"IPLMARKETTING")</f>
        <v>IPLMARKETTING</v>
      </c>
      <c r="G178" s="2">
        <f t="shared" si="3"/>
        <v>3236760</v>
      </c>
      <c r="H178" s="2">
        <f t="shared" si="4"/>
        <v>4279770</v>
      </c>
      <c r="I178" s="2" t="str">
        <f>IF(or(B178='Regional Details'!$A$5,B178='Regional Details'!$A$6,B178='Regional Details'!$A$7,B178='Regional Details'!$A$8),'Regional Details'!$B$2,if(OR(B178='Regional Details'!$D$5,B178='Regional Details'!$D$6,B178='Regional Details'!$D$7,B178='Regional Details'!$D$8),'Regional Details'!$E$2,if(or(B178='Regional Details'!$G$5,B178='Regional Details'!$G$6,B178='Regional Details'!$G$7,B178='Regional Details'!$G$8),'Regional Details'!$H$2,'Regional Details'!$K$2)))</f>
        <v>North</v>
      </c>
      <c r="J178" s="2" t="str">
        <f>if(I178='Regional Details'!$B$2,'Regional Details'!$B$3,if(I178='Regional Details'!$E$2,'Regional Details'!$E$3,if(I178='Regional Details'!$H$2,'Regional Details'!$H$3,'Regional Details'!$K$3)))</f>
        <v>Ajay Kumar</v>
      </c>
      <c r="K178" s="8">
        <f t="array" ref="K178">IFERROR(XLOOKUP(B178,'Regional Details'!$A$5:$A$8,'Regional Details'!$B$5:$B$8),IFERROR(XLOOKUP(B178,'Regional Details'!$D$5:$D$8,'Regional Details'!$E$5:$E$8),IFERROR(xlookup(B178,'Regional Details'!$G$5:$G$8,'Regional Details'!$H$5:$H$8),XLOOKUP(B178,'Regional Details'!$J$5:$J$8,'Regional Details'!$K$5:$K$8))))</f>
        <v>0.1</v>
      </c>
      <c r="L178" s="2" t="str">
        <f>VLOOKUP(A178,MonthMapping!$A$2:$B$13,2,false)</f>
        <v>June</v>
      </c>
      <c r="M178" s="9">
        <f>if(C178=$C$2,Contribution_Old!$B$22,Contribution_Old!$B$23)</f>
        <v>55.84</v>
      </c>
      <c r="N178" s="9">
        <f>if(C178=$C$2,Contribution_New!$B$23,Contribution_New!$B$24)</f>
        <v>61.84</v>
      </c>
      <c r="O178" s="2">
        <f t="shared" ref="O178:P178" si="355">M178*D178</f>
        <v>1487577.6</v>
      </c>
      <c r="P178" s="2">
        <f t="shared" si="355"/>
        <v>1960451.68</v>
      </c>
      <c r="Q178" s="2">
        <f t="shared" ref="Q178:R178" si="356">G178-O178</f>
        <v>1749182.4</v>
      </c>
      <c r="R178" s="2">
        <f t="shared" si="356"/>
        <v>2319318.32</v>
      </c>
      <c r="S178" s="2"/>
      <c r="T178" s="2"/>
      <c r="U178" s="2"/>
      <c r="V178" s="2"/>
      <c r="W178" s="2"/>
      <c r="X178" s="2"/>
      <c r="Y178" s="2"/>
      <c r="Z178" s="2"/>
    </row>
    <row r="179">
      <c r="A179" s="2">
        <f>IFERROR(__xludf.DUMMYFUNCTION("""COMPUTED_VALUE"""),6.0)</f>
        <v>6</v>
      </c>
      <c r="B179" s="2" t="str">
        <f>IFERROR(__xludf.DUMMYFUNCTION("""COMPUTED_VALUE"""),"Lucknow")</f>
        <v>Lucknow</v>
      </c>
      <c r="C179" s="2" t="str">
        <f>IFERROR(__xludf.DUMMYFUNCTION("""COMPUTED_VALUE"""),"NutriKid")</f>
        <v>NutriKid</v>
      </c>
      <c r="D179" s="2">
        <f>IFERROR(__xludf.DUMMYFUNCTION("""COMPUTED_VALUE"""),25414.0)</f>
        <v>25414</v>
      </c>
      <c r="E179" s="2">
        <f>IFERROR(__xludf.DUMMYFUNCTION("""COMPUTED_VALUE"""),28210.0)</f>
        <v>28210</v>
      </c>
      <c r="F179" s="2" t="str">
        <f>IFERROR(__xludf.DUMMYFUNCTION("""COMPUTED_VALUE"""),"IPLMARKETTING")</f>
        <v>IPLMARKETTING</v>
      </c>
      <c r="G179" s="2">
        <f t="shared" si="3"/>
        <v>1372356</v>
      </c>
      <c r="H179" s="2">
        <f t="shared" si="4"/>
        <v>1692600</v>
      </c>
      <c r="I179" s="2" t="str">
        <f>IF(or(B179='Regional Details'!$A$5,B179='Regional Details'!$A$6,B179='Regional Details'!$A$7,B179='Regional Details'!$A$8),'Regional Details'!$B$2,if(OR(B179='Regional Details'!$D$5,B179='Regional Details'!$D$6,B179='Regional Details'!$D$7,B179='Regional Details'!$D$8),'Regional Details'!$E$2,if(or(B179='Regional Details'!$G$5,B179='Regional Details'!$G$6,B179='Regional Details'!$G$7,B179='Regional Details'!$G$8),'Regional Details'!$H$2,'Regional Details'!$K$2)))</f>
        <v>North</v>
      </c>
      <c r="J179" s="2" t="str">
        <f>if(I179='Regional Details'!$B$2,'Regional Details'!$B$3,if(I179='Regional Details'!$E$2,'Regional Details'!$E$3,if(I179='Regional Details'!$H$2,'Regional Details'!$H$3,'Regional Details'!$K$3)))</f>
        <v>Ajay Kumar</v>
      </c>
      <c r="K179" s="8">
        <f t="array" ref="K179">IFERROR(XLOOKUP(B179,'Regional Details'!$A$5:$A$8,'Regional Details'!$B$5:$B$8),IFERROR(XLOOKUP(B179,'Regional Details'!$D$5:$D$8,'Regional Details'!$E$5:$E$8),IFERROR(xlookup(B179,'Regional Details'!$G$5:$G$8,'Regional Details'!$H$5:$H$8),XLOOKUP(B179,'Regional Details'!$J$5:$J$8,'Regional Details'!$K$5:$K$8))))</f>
        <v>0.1</v>
      </c>
      <c r="L179" s="2" t="str">
        <f>VLOOKUP(A179,MonthMapping!$A$2:$B$13,2,false)</f>
        <v>June</v>
      </c>
      <c r="M179" s="9">
        <f>if(C179=$C$2,Contribution_Old!$B$22,Contribution_Old!$B$23)</f>
        <v>24.108</v>
      </c>
      <c r="N179" s="9">
        <f>if(C179=$C$2,Contribution_New!$B$23,Contribution_New!$B$24)</f>
        <v>30.108</v>
      </c>
      <c r="O179" s="2">
        <f t="shared" ref="O179:P179" si="357">M179*D179</f>
        <v>612680.712</v>
      </c>
      <c r="P179" s="2">
        <f t="shared" si="357"/>
        <v>849346.68</v>
      </c>
      <c r="Q179" s="2">
        <f t="shared" ref="Q179:R179" si="358">G179-O179</f>
        <v>759675.288</v>
      </c>
      <c r="R179" s="2">
        <f t="shared" si="358"/>
        <v>843253.32</v>
      </c>
      <c r="S179" s="2"/>
      <c r="T179" s="2"/>
      <c r="U179" s="2"/>
      <c r="V179" s="2"/>
      <c r="W179" s="2"/>
      <c r="X179" s="2"/>
      <c r="Y179" s="2"/>
      <c r="Z179" s="2"/>
    </row>
    <row r="180">
      <c r="A180" s="2">
        <f>IFERROR(__xludf.DUMMYFUNCTION("""COMPUTED_VALUE"""),6.0)</f>
        <v>6</v>
      </c>
      <c r="B180" s="2" t="str">
        <f>IFERROR(__xludf.DUMMYFUNCTION("""COMPUTED_VALUE"""),"Ranchi")</f>
        <v>Ranchi</v>
      </c>
      <c r="C180" s="2" t="str">
        <f>IFERROR(__xludf.DUMMYFUNCTION("""COMPUTED_VALUE"""),"ZestVita")</f>
        <v>ZestVita</v>
      </c>
      <c r="D180" s="2">
        <f>IFERROR(__xludf.DUMMYFUNCTION("""COMPUTED_VALUE"""),30986.0)</f>
        <v>30986</v>
      </c>
      <c r="E180" s="2">
        <f>IFERROR(__xludf.DUMMYFUNCTION("""COMPUTED_VALUE"""),32535.0)</f>
        <v>32535</v>
      </c>
      <c r="F180" s="2" t="str">
        <f>IFERROR(__xludf.DUMMYFUNCTION("""COMPUTED_VALUE"""),"IPLMARKETTING")</f>
        <v>IPLMARKETTING</v>
      </c>
      <c r="G180" s="2">
        <f t="shared" si="3"/>
        <v>3973954.5</v>
      </c>
      <c r="H180" s="2">
        <f t="shared" si="4"/>
        <v>4392225</v>
      </c>
      <c r="I180" s="2" t="str">
        <f>IF(or(B180='Regional Details'!$A$5,B180='Regional Details'!$A$6,B180='Regional Details'!$A$7,B180='Regional Details'!$A$8),'Regional Details'!$B$2,if(OR(B180='Regional Details'!$D$5,B180='Regional Details'!$D$6,B180='Regional Details'!$D$7,B180='Regional Details'!$D$8),'Regional Details'!$E$2,if(or(B180='Regional Details'!$G$5,B180='Regional Details'!$G$6,B180='Regional Details'!$G$7,B180='Regional Details'!$G$8),'Regional Details'!$H$2,'Regional Details'!$K$2)))</f>
        <v>East</v>
      </c>
      <c r="J180" s="2" t="str">
        <f>if(I180='Regional Details'!$B$2,'Regional Details'!$B$3,if(I180='Regional Details'!$E$2,'Regional Details'!$E$3,if(I180='Regional Details'!$H$2,'Regional Details'!$H$3,'Regional Details'!$K$3)))</f>
        <v>Tanvi Sharma</v>
      </c>
      <c r="K180" s="8">
        <f t="array" ref="K180">IFERROR(XLOOKUP(B180,'Regional Details'!$A$5:$A$8,'Regional Details'!$B$5:$B$8),IFERROR(XLOOKUP(B180,'Regional Details'!$D$5:$D$8,'Regional Details'!$E$5:$E$8),IFERROR(xlookup(B180,'Regional Details'!$G$5:$G$8,'Regional Details'!$H$5:$H$8),XLOOKUP(B180,'Regional Details'!$J$5:$J$8,'Regional Details'!$K$5:$K$8))))</f>
        <v>0.05</v>
      </c>
      <c r="L180" s="2" t="str">
        <f>VLOOKUP(A180,MonthMapping!$A$2:$B$13,2,false)</f>
        <v>June</v>
      </c>
      <c r="M180" s="9">
        <f>if(C180=$C$2,Contribution_Old!$B$22,Contribution_Old!$B$23)</f>
        <v>55.84</v>
      </c>
      <c r="N180" s="9">
        <f>if(C180=$C$2,Contribution_New!$B$23,Contribution_New!$B$24)</f>
        <v>61.84</v>
      </c>
      <c r="O180" s="2">
        <f t="shared" ref="O180:P180" si="359">M180*D180</f>
        <v>1730258.24</v>
      </c>
      <c r="P180" s="2">
        <f t="shared" si="359"/>
        <v>2011964.4</v>
      </c>
      <c r="Q180" s="2">
        <f t="shared" ref="Q180:R180" si="360">G180-O180</f>
        <v>2243696.26</v>
      </c>
      <c r="R180" s="2">
        <f t="shared" si="360"/>
        <v>2380260.6</v>
      </c>
      <c r="S180" s="2"/>
      <c r="T180" s="2"/>
      <c r="U180" s="2"/>
      <c r="V180" s="2"/>
      <c r="W180" s="2"/>
      <c r="X180" s="2"/>
      <c r="Y180" s="2"/>
      <c r="Z180" s="2"/>
    </row>
    <row r="181">
      <c r="A181" s="2">
        <f>IFERROR(__xludf.DUMMYFUNCTION("""COMPUTED_VALUE"""),6.0)</f>
        <v>6</v>
      </c>
      <c r="B181" s="2" t="str">
        <f>IFERROR(__xludf.DUMMYFUNCTION("""COMPUTED_VALUE"""),"Ranchi")</f>
        <v>Ranchi</v>
      </c>
      <c r="C181" s="2" t="str">
        <f>IFERROR(__xludf.DUMMYFUNCTION("""COMPUTED_VALUE"""),"NutriKid")</f>
        <v>NutriKid</v>
      </c>
      <c r="D181" s="2">
        <f>IFERROR(__xludf.DUMMYFUNCTION("""COMPUTED_VALUE"""),22275.0)</f>
        <v>22275</v>
      </c>
      <c r="E181" s="2">
        <f>IFERROR(__xludf.DUMMYFUNCTION("""COMPUTED_VALUE"""),23389.0)</f>
        <v>23389</v>
      </c>
      <c r="F181" s="2" t="str">
        <f>IFERROR(__xludf.DUMMYFUNCTION("""COMPUTED_VALUE"""),"IPLMARKETTING")</f>
        <v>IPLMARKETTING</v>
      </c>
      <c r="G181" s="2">
        <f t="shared" si="3"/>
        <v>1269675</v>
      </c>
      <c r="H181" s="2">
        <f t="shared" si="4"/>
        <v>1403340</v>
      </c>
      <c r="I181" s="2" t="str">
        <f>IF(or(B181='Regional Details'!$A$5,B181='Regional Details'!$A$6,B181='Regional Details'!$A$7,B181='Regional Details'!$A$8),'Regional Details'!$B$2,if(OR(B181='Regional Details'!$D$5,B181='Regional Details'!$D$6,B181='Regional Details'!$D$7,B181='Regional Details'!$D$8),'Regional Details'!$E$2,if(or(B181='Regional Details'!$G$5,B181='Regional Details'!$G$6,B181='Regional Details'!$G$7,B181='Regional Details'!$G$8),'Regional Details'!$H$2,'Regional Details'!$K$2)))</f>
        <v>East</v>
      </c>
      <c r="J181" s="2" t="str">
        <f>if(I181='Regional Details'!$B$2,'Regional Details'!$B$3,if(I181='Regional Details'!$E$2,'Regional Details'!$E$3,if(I181='Regional Details'!$H$2,'Regional Details'!$H$3,'Regional Details'!$K$3)))</f>
        <v>Tanvi Sharma</v>
      </c>
      <c r="K181" s="8">
        <f t="array" ref="K181">IFERROR(XLOOKUP(B181,'Regional Details'!$A$5:$A$8,'Regional Details'!$B$5:$B$8),IFERROR(XLOOKUP(B181,'Regional Details'!$D$5:$D$8,'Regional Details'!$E$5:$E$8),IFERROR(xlookup(B181,'Regional Details'!$G$5:$G$8,'Regional Details'!$H$5:$H$8),XLOOKUP(B181,'Regional Details'!$J$5:$J$8,'Regional Details'!$K$5:$K$8))))</f>
        <v>0.05</v>
      </c>
      <c r="L181" s="2" t="str">
        <f>VLOOKUP(A181,MonthMapping!$A$2:$B$13,2,false)</f>
        <v>June</v>
      </c>
      <c r="M181" s="9">
        <f>if(C181=$C$2,Contribution_Old!$B$22,Contribution_Old!$B$23)</f>
        <v>24.108</v>
      </c>
      <c r="N181" s="9">
        <f>if(C181=$C$2,Contribution_New!$B$23,Contribution_New!$B$24)</f>
        <v>30.108</v>
      </c>
      <c r="O181" s="2">
        <f t="shared" ref="O181:P181" si="361">M181*D181</f>
        <v>537005.7</v>
      </c>
      <c r="P181" s="2">
        <f t="shared" si="361"/>
        <v>704196.012</v>
      </c>
      <c r="Q181" s="2">
        <f t="shared" ref="Q181:R181" si="362">G181-O181</f>
        <v>732669.3</v>
      </c>
      <c r="R181" s="2">
        <f t="shared" si="362"/>
        <v>699143.988</v>
      </c>
      <c r="S181" s="2"/>
      <c r="T181" s="2"/>
      <c r="U181" s="2"/>
      <c r="V181" s="2"/>
      <c r="W181" s="2"/>
      <c r="X181" s="2"/>
      <c r="Y181" s="2"/>
      <c r="Z181" s="2"/>
    </row>
    <row r="182">
      <c r="A182" s="2">
        <f>IFERROR(__xludf.DUMMYFUNCTION("""COMPUTED_VALUE"""),6.0)</f>
        <v>6</v>
      </c>
      <c r="B182" s="2" t="str">
        <f>IFERROR(__xludf.DUMMYFUNCTION("""COMPUTED_VALUE"""),"Surat")</f>
        <v>Surat</v>
      </c>
      <c r="C182" s="2" t="str">
        <f>IFERROR(__xludf.DUMMYFUNCTION("""COMPUTED_VALUE"""),"ZestVita")</f>
        <v>ZestVita</v>
      </c>
      <c r="D182" s="2">
        <f>IFERROR(__xludf.DUMMYFUNCTION("""COMPUTED_VALUE"""),37779.0)</f>
        <v>37779</v>
      </c>
      <c r="E182" s="2">
        <f>IFERROR(__xludf.DUMMYFUNCTION("""COMPUTED_VALUE"""),40801.0)</f>
        <v>40801</v>
      </c>
      <c r="F182" s="2" t="str">
        <f>IFERROR(__xludf.DUMMYFUNCTION("""COMPUTED_VALUE"""),"IPLMARKETTING")</f>
        <v>IPLMARKETTING</v>
      </c>
      <c r="G182" s="2">
        <f t="shared" si="3"/>
        <v>4845156.75</v>
      </c>
      <c r="H182" s="2">
        <f t="shared" si="4"/>
        <v>5508135</v>
      </c>
      <c r="I182" s="2" t="str">
        <f>IF(or(B182='Regional Details'!$A$5,B182='Regional Details'!$A$6,B182='Regional Details'!$A$7,B182='Regional Details'!$A$8),'Regional Details'!$B$2,if(OR(B182='Regional Details'!$D$5,B182='Regional Details'!$D$6,B182='Regional Details'!$D$7,B182='Regional Details'!$D$8),'Regional Details'!$E$2,if(or(B182='Regional Details'!$G$5,B182='Regional Details'!$G$6,B182='Regional Details'!$G$7,B182='Regional Details'!$G$8),'Regional Details'!$H$2,'Regional Details'!$K$2)))</f>
        <v>West</v>
      </c>
      <c r="J182" s="2" t="str">
        <f>if(I182='Regional Details'!$B$2,'Regional Details'!$B$3,if(I182='Regional Details'!$E$2,'Regional Details'!$E$3,if(I182='Regional Details'!$H$2,'Regional Details'!$H$3,'Regional Details'!$K$3)))</f>
        <v>Ajay Ghosh</v>
      </c>
      <c r="K182" s="8">
        <f t="array" ref="K182">IFERROR(XLOOKUP(B182,'Regional Details'!$A$5:$A$8,'Regional Details'!$B$5:$B$8),IFERROR(XLOOKUP(B182,'Regional Details'!$D$5:$D$8,'Regional Details'!$E$5:$E$8),IFERROR(xlookup(B182,'Regional Details'!$G$5:$G$8,'Regional Details'!$H$5:$H$8),XLOOKUP(B182,'Regional Details'!$J$5:$J$8,'Regional Details'!$K$5:$K$8))))</f>
        <v>0.05</v>
      </c>
      <c r="L182" s="2" t="str">
        <f>VLOOKUP(A182,MonthMapping!$A$2:$B$13,2,false)</f>
        <v>June</v>
      </c>
      <c r="M182" s="9">
        <f>if(C182=$C$2,Contribution_Old!$B$22,Contribution_Old!$B$23)</f>
        <v>55.84</v>
      </c>
      <c r="N182" s="9">
        <f>if(C182=$C$2,Contribution_New!$B$23,Contribution_New!$B$24)</f>
        <v>61.84</v>
      </c>
      <c r="O182" s="2">
        <f t="shared" ref="O182:P182" si="363">M182*D182</f>
        <v>2109579.36</v>
      </c>
      <c r="P182" s="2">
        <f t="shared" si="363"/>
        <v>2523133.84</v>
      </c>
      <c r="Q182" s="2">
        <f t="shared" ref="Q182:R182" si="364">G182-O182</f>
        <v>2735577.39</v>
      </c>
      <c r="R182" s="2">
        <f t="shared" si="364"/>
        <v>2985001.16</v>
      </c>
      <c r="S182" s="2"/>
      <c r="T182" s="2"/>
      <c r="U182" s="2"/>
      <c r="V182" s="2"/>
      <c r="W182" s="2"/>
      <c r="X182" s="2"/>
      <c r="Y182" s="2"/>
      <c r="Z182" s="2"/>
    </row>
    <row r="183">
      <c r="A183" s="2">
        <f>IFERROR(__xludf.DUMMYFUNCTION("""COMPUTED_VALUE"""),6.0)</f>
        <v>6</v>
      </c>
      <c r="B183" s="2" t="str">
        <f>IFERROR(__xludf.DUMMYFUNCTION("""COMPUTED_VALUE"""),"Surat")</f>
        <v>Surat</v>
      </c>
      <c r="C183" s="2" t="str">
        <f>IFERROR(__xludf.DUMMYFUNCTION("""COMPUTED_VALUE"""),"NutriKid")</f>
        <v>NutriKid</v>
      </c>
      <c r="D183" s="2">
        <f>IFERROR(__xludf.DUMMYFUNCTION("""COMPUTED_VALUE"""),30903.0)</f>
        <v>30903</v>
      </c>
      <c r="E183" s="2">
        <f>IFERROR(__xludf.DUMMYFUNCTION("""COMPUTED_VALUE"""),32757.0)</f>
        <v>32757</v>
      </c>
      <c r="F183" s="2" t="str">
        <f>IFERROR(__xludf.DUMMYFUNCTION("""COMPUTED_VALUE"""),"IPLMARKETTING")</f>
        <v>IPLMARKETTING</v>
      </c>
      <c r="G183" s="2">
        <f t="shared" si="3"/>
        <v>1761471</v>
      </c>
      <c r="H183" s="2">
        <f t="shared" si="4"/>
        <v>1965420</v>
      </c>
      <c r="I183" s="2" t="str">
        <f>IF(or(B183='Regional Details'!$A$5,B183='Regional Details'!$A$6,B183='Regional Details'!$A$7,B183='Regional Details'!$A$8),'Regional Details'!$B$2,if(OR(B183='Regional Details'!$D$5,B183='Regional Details'!$D$6,B183='Regional Details'!$D$7,B183='Regional Details'!$D$8),'Regional Details'!$E$2,if(or(B183='Regional Details'!$G$5,B183='Regional Details'!$G$6,B183='Regional Details'!$G$7,B183='Regional Details'!$G$8),'Regional Details'!$H$2,'Regional Details'!$K$2)))</f>
        <v>West</v>
      </c>
      <c r="J183" s="2" t="str">
        <f>if(I183='Regional Details'!$B$2,'Regional Details'!$B$3,if(I183='Regional Details'!$E$2,'Regional Details'!$E$3,if(I183='Regional Details'!$H$2,'Regional Details'!$H$3,'Regional Details'!$K$3)))</f>
        <v>Ajay Ghosh</v>
      </c>
      <c r="K183" s="8">
        <f t="array" ref="K183">IFERROR(XLOOKUP(B183,'Regional Details'!$A$5:$A$8,'Regional Details'!$B$5:$B$8),IFERROR(XLOOKUP(B183,'Regional Details'!$D$5:$D$8,'Regional Details'!$E$5:$E$8),IFERROR(xlookup(B183,'Regional Details'!$G$5:$G$8,'Regional Details'!$H$5:$H$8),XLOOKUP(B183,'Regional Details'!$J$5:$J$8,'Regional Details'!$K$5:$K$8))))</f>
        <v>0.05</v>
      </c>
      <c r="L183" s="2" t="str">
        <f>VLOOKUP(A183,MonthMapping!$A$2:$B$13,2,false)</f>
        <v>June</v>
      </c>
      <c r="M183" s="9">
        <f>if(C183=$C$2,Contribution_Old!$B$22,Contribution_Old!$B$23)</f>
        <v>24.108</v>
      </c>
      <c r="N183" s="9">
        <f>if(C183=$C$2,Contribution_New!$B$23,Contribution_New!$B$24)</f>
        <v>30.108</v>
      </c>
      <c r="O183" s="2">
        <f t="shared" ref="O183:P183" si="365">M183*D183</f>
        <v>745009.524</v>
      </c>
      <c r="P183" s="2">
        <f t="shared" si="365"/>
        <v>986247.756</v>
      </c>
      <c r="Q183" s="2">
        <f t="shared" ref="Q183:R183" si="366">G183-O183</f>
        <v>1016461.476</v>
      </c>
      <c r="R183" s="2">
        <f t="shared" si="366"/>
        <v>979172.244</v>
      </c>
      <c r="S183" s="2"/>
      <c r="T183" s="2"/>
      <c r="U183" s="2"/>
      <c r="V183" s="2"/>
      <c r="W183" s="2"/>
      <c r="X183" s="2"/>
      <c r="Y183" s="2"/>
      <c r="Z183" s="2"/>
    </row>
    <row r="184">
      <c r="A184" s="2">
        <f>IFERROR(__xludf.DUMMYFUNCTION("""COMPUTED_VALUE"""),6.0)</f>
        <v>6</v>
      </c>
      <c r="B184" s="2" t="str">
        <f>IFERROR(__xludf.DUMMYFUNCTION("""COMPUTED_VALUE"""),"Hyderabad")</f>
        <v>Hyderabad</v>
      </c>
      <c r="C184" s="2" t="str">
        <f>IFERROR(__xludf.DUMMYFUNCTION("""COMPUTED_VALUE"""),"ZestVita")</f>
        <v>ZestVita</v>
      </c>
      <c r="D184" s="2">
        <f>IFERROR(__xludf.DUMMYFUNCTION("""COMPUTED_VALUE"""),52642.0)</f>
        <v>52642</v>
      </c>
      <c r="E184" s="2">
        <f>IFERROR(__xludf.DUMMYFUNCTION("""COMPUTED_VALUE"""),62644.0)</f>
        <v>62644</v>
      </c>
      <c r="F184" s="2" t="str">
        <f>IFERROR(__xludf.DUMMYFUNCTION("""COMPUTED_VALUE"""),"IPLMARKETTING")</f>
        <v>IPLMARKETTING</v>
      </c>
      <c r="G184" s="2">
        <f t="shared" si="3"/>
        <v>7106670</v>
      </c>
      <c r="H184" s="2">
        <f t="shared" si="4"/>
        <v>8456940</v>
      </c>
      <c r="I184" s="2" t="str">
        <f>IF(or(B184='Regional Details'!$A$5,B184='Regional Details'!$A$6,B184='Regional Details'!$A$7,B184='Regional Details'!$A$8),'Regional Details'!$B$2,if(OR(B184='Regional Details'!$D$5,B184='Regional Details'!$D$6,B184='Regional Details'!$D$7,B184='Regional Details'!$D$8),'Regional Details'!$E$2,if(or(B184='Regional Details'!$G$5,B184='Regional Details'!$G$6,B184='Regional Details'!$G$7,B184='Regional Details'!$G$8),'Regional Details'!$H$2,'Regional Details'!$K$2)))</f>
        <v>South</v>
      </c>
      <c r="J184" s="2" t="str">
        <f>if(I184='Regional Details'!$B$2,'Regional Details'!$B$3,if(I184='Regional Details'!$E$2,'Regional Details'!$E$3,if(I184='Regional Details'!$H$2,'Regional Details'!$H$3,'Regional Details'!$K$3)))</f>
        <v>Anjali Krishna Murthy</v>
      </c>
      <c r="K184" s="8">
        <f t="array" ref="K184">IFERROR(XLOOKUP(B184,'Regional Details'!$A$5:$A$8,'Regional Details'!$B$5:$B$8),IFERROR(XLOOKUP(B184,'Regional Details'!$D$5:$D$8,'Regional Details'!$E$5:$E$8),IFERROR(xlookup(B184,'Regional Details'!$G$5:$G$8,'Regional Details'!$H$5:$H$8),XLOOKUP(B184,'Regional Details'!$J$5:$J$8,'Regional Details'!$K$5:$K$8))))</f>
        <v>0</v>
      </c>
      <c r="L184" s="2" t="str">
        <f>VLOOKUP(A184,MonthMapping!$A$2:$B$13,2,false)</f>
        <v>June</v>
      </c>
      <c r="M184" s="9">
        <f>if(C184=$C$2,Contribution_Old!$B$22,Contribution_Old!$B$23)</f>
        <v>55.84</v>
      </c>
      <c r="N184" s="9">
        <f>if(C184=$C$2,Contribution_New!$B$23,Contribution_New!$B$24)</f>
        <v>61.84</v>
      </c>
      <c r="O184" s="2">
        <f t="shared" ref="O184:P184" si="367">M184*D184</f>
        <v>2939529.28</v>
      </c>
      <c r="P184" s="2">
        <f t="shared" si="367"/>
        <v>3873904.96</v>
      </c>
      <c r="Q184" s="2">
        <f t="shared" ref="Q184:R184" si="368">G184-O184</f>
        <v>4167140.72</v>
      </c>
      <c r="R184" s="2">
        <f t="shared" si="368"/>
        <v>4583035.04</v>
      </c>
      <c r="S184" s="2"/>
      <c r="T184" s="2"/>
      <c r="U184" s="2"/>
      <c r="V184" s="2"/>
      <c r="W184" s="2"/>
      <c r="X184" s="2"/>
      <c r="Y184" s="2"/>
      <c r="Z184" s="2"/>
    </row>
    <row r="185">
      <c r="A185" s="2">
        <f>IFERROR(__xludf.DUMMYFUNCTION("""COMPUTED_VALUE"""),6.0)</f>
        <v>6</v>
      </c>
      <c r="B185" s="2" t="str">
        <f>IFERROR(__xludf.DUMMYFUNCTION("""COMPUTED_VALUE"""),"Hyderabad")</f>
        <v>Hyderabad</v>
      </c>
      <c r="C185" s="2" t="str">
        <f>IFERROR(__xludf.DUMMYFUNCTION("""COMPUTED_VALUE"""),"NutriKid")</f>
        <v>NutriKid</v>
      </c>
      <c r="D185" s="2">
        <f>IFERROR(__xludf.DUMMYFUNCTION("""COMPUTED_VALUE"""),52660.0)</f>
        <v>52660</v>
      </c>
      <c r="E185" s="2">
        <f>IFERROR(__xludf.DUMMYFUNCTION("""COMPUTED_VALUE"""),60032.0)</f>
        <v>60032</v>
      </c>
      <c r="F185" s="2" t="str">
        <f>IFERROR(__xludf.DUMMYFUNCTION("""COMPUTED_VALUE"""),"IPLMARKETTING")</f>
        <v>IPLMARKETTING</v>
      </c>
      <c r="G185" s="2">
        <f t="shared" si="3"/>
        <v>3159600</v>
      </c>
      <c r="H185" s="2">
        <f t="shared" si="4"/>
        <v>3601920</v>
      </c>
      <c r="I185" s="2" t="str">
        <f>IF(or(B185='Regional Details'!$A$5,B185='Regional Details'!$A$6,B185='Regional Details'!$A$7,B185='Regional Details'!$A$8),'Regional Details'!$B$2,if(OR(B185='Regional Details'!$D$5,B185='Regional Details'!$D$6,B185='Regional Details'!$D$7,B185='Regional Details'!$D$8),'Regional Details'!$E$2,if(or(B185='Regional Details'!$G$5,B185='Regional Details'!$G$6,B185='Regional Details'!$G$7,B185='Regional Details'!$G$8),'Regional Details'!$H$2,'Regional Details'!$K$2)))</f>
        <v>South</v>
      </c>
      <c r="J185" s="2" t="str">
        <f>if(I185='Regional Details'!$B$2,'Regional Details'!$B$3,if(I185='Regional Details'!$E$2,'Regional Details'!$E$3,if(I185='Regional Details'!$H$2,'Regional Details'!$H$3,'Regional Details'!$K$3)))</f>
        <v>Anjali Krishna Murthy</v>
      </c>
      <c r="K185" s="8">
        <f t="array" ref="K185">IFERROR(XLOOKUP(B185,'Regional Details'!$A$5:$A$8,'Regional Details'!$B$5:$B$8),IFERROR(XLOOKUP(B185,'Regional Details'!$D$5:$D$8,'Regional Details'!$E$5:$E$8),IFERROR(xlookup(B185,'Regional Details'!$G$5:$G$8,'Regional Details'!$H$5:$H$8),XLOOKUP(B185,'Regional Details'!$J$5:$J$8,'Regional Details'!$K$5:$K$8))))</f>
        <v>0</v>
      </c>
      <c r="L185" s="2" t="str">
        <f>VLOOKUP(A185,MonthMapping!$A$2:$B$13,2,false)</f>
        <v>June</v>
      </c>
      <c r="M185" s="9">
        <f>if(C185=$C$2,Contribution_Old!$B$22,Contribution_Old!$B$23)</f>
        <v>24.108</v>
      </c>
      <c r="N185" s="9">
        <f>if(C185=$C$2,Contribution_New!$B$23,Contribution_New!$B$24)</f>
        <v>30.108</v>
      </c>
      <c r="O185" s="2">
        <f t="shared" ref="O185:P185" si="369">M185*D185</f>
        <v>1269527.28</v>
      </c>
      <c r="P185" s="2">
        <f t="shared" si="369"/>
        <v>1807443.456</v>
      </c>
      <c r="Q185" s="2">
        <f t="shared" ref="Q185:R185" si="370">G185-O185</f>
        <v>1890072.72</v>
      </c>
      <c r="R185" s="2">
        <f t="shared" si="370"/>
        <v>1794476.544</v>
      </c>
      <c r="S185" s="2"/>
      <c r="T185" s="2"/>
      <c r="U185" s="2"/>
      <c r="V185" s="2"/>
      <c r="W185" s="2"/>
      <c r="X185" s="2"/>
      <c r="Y185" s="2"/>
      <c r="Z185" s="2"/>
    </row>
    <row r="186">
      <c r="A186" s="2">
        <f>IFERROR(__xludf.DUMMYFUNCTION("""COMPUTED_VALUE"""),6.0)</f>
        <v>6</v>
      </c>
      <c r="B186" s="2" t="str">
        <f>IFERROR(__xludf.DUMMYFUNCTION("""COMPUTED_VALUE"""),"Dehradun")</f>
        <v>Dehradun</v>
      </c>
      <c r="C186" s="2" t="str">
        <f>IFERROR(__xludf.DUMMYFUNCTION("""COMPUTED_VALUE"""),"ZestVita")</f>
        <v>ZestVita</v>
      </c>
      <c r="D186" s="2">
        <f>IFERROR(__xludf.DUMMYFUNCTION("""COMPUTED_VALUE"""),25328.0)</f>
        <v>25328</v>
      </c>
      <c r="E186" s="2">
        <f>IFERROR(__xludf.DUMMYFUNCTION("""COMPUTED_VALUE"""),25835.0)</f>
        <v>25835</v>
      </c>
      <c r="F186" s="2" t="str">
        <f>IFERROR(__xludf.DUMMYFUNCTION("""COMPUTED_VALUE"""),"IPLMARKETTING")</f>
        <v>IPLMARKETTING</v>
      </c>
      <c r="G186" s="2">
        <f t="shared" si="3"/>
        <v>2991870</v>
      </c>
      <c r="H186" s="2">
        <f t="shared" si="4"/>
        <v>3487725</v>
      </c>
      <c r="I186" s="2" t="str">
        <f>IF(or(B186='Regional Details'!$A$5,B186='Regional Details'!$A$6,B186='Regional Details'!$A$7,B186='Regional Details'!$A$8),'Regional Details'!$B$2,if(OR(B186='Regional Details'!$D$5,B186='Regional Details'!$D$6,B186='Regional Details'!$D$7,B186='Regional Details'!$D$8),'Regional Details'!$E$2,if(or(B186='Regional Details'!$G$5,B186='Regional Details'!$G$6,B186='Regional Details'!$G$7,B186='Regional Details'!$G$8),'Regional Details'!$H$2,'Regional Details'!$K$2)))</f>
        <v>North</v>
      </c>
      <c r="J186" s="2" t="str">
        <f>if(I186='Regional Details'!$B$2,'Regional Details'!$B$3,if(I186='Regional Details'!$E$2,'Regional Details'!$E$3,if(I186='Regional Details'!$H$2,'Regional Details'!$H$3,'Regional Details'!$K$3)))</f>
        <v>Ajay Kumar</v>
      </c>
      <c r="K186" s="8">
        <f t="array" ref="K186">IFERROR(XLOOKUP(B186,'Regional Details'!$A$5:$A$8,'Regional Details'!$B$5:$B$8),IFERROR(XLOOKUP(B186,'Regional Details'!$D$5:$D$8,'Regional Details'!$E$5:$E$8),IFERROR(xlookup(B186,'Regional Details'!$G$5:$G$8,'Regional Details'!$H$5:$H$8),XLOOKUP(B186,'Regional Details'!$J$5:$J$8,'Regional Details'!$K$5:$K$8))))</f>
        <v>0.125</v>
      </c>
      <c r="L186" s="2" t="str">
        <f>VLOOKUP(A186,MonthMapping!$A$2:$B$13,2,false)</f>
        <v>June</v>
      </c>
      <c r="M186" s="9">
        <f>if(C186=$C$2,Contribution_Old!$B$22,Contribution_Old!$B$23)</f>
        <v>55.84</v>
      </c>
      <c r="N186" s="9">
        <f>if(C186=$C$2,Contribution_New!$B$23,Contribution_New!$B$24)</f>
        <v>61.84</v>
      </c>
      <c r="O186" s="2">
        <f t="shared" ref="O186:P186" si="371">M186*D186</f>
        <v>1414315.52</v>
      </c>
      <c r="P186" s="2">
        <f t="shared" si="371"/>
        <v>1597636.4</v>
      </c>
      <c r="Q186" s="2">
        <f t="shared" ref="Q186:R186" si="372">G186-O186</f>
        <v>1577554.48</v>
      </c>
      <c r="R186" s="2">
        <f t="shared" si="372"/>
        <v>1890088.6</v>
      </c>
      <c r="S186" s="2"/>
      <c r="T186" s="2"/>
      <c r="U186" s="2"/>
      <c r="V186" s="2"/>
      <c r="W186" s="2"/>
      <c r="X186" s="2"/>
      <c r="Y186" s="2"/>
      <c r="Z186" s="2"/>
    </row>
    <row r="187">
      <c r="A187" s="2">
        <f>IFERROR(__xludf.DUMMYFUNCTION("""COMPUTED_VALUE"""),6.0)</f>
        <v>6</v>
      </c>
      <c r="B187" s="2" t="str">
        <f>IFERROR(__xludf.DUMMYFUNCTION("""COMPUTED_VALUE"""),"Dehradun")</f>
        <v>Dehradun</v>
      </c>
      <c r="C187" s="2" t="str">
        <f>IFERROR(__xludf.DUMMYFUNCTION("""COMPUTED_VALUE"""),"NutriKid")</f>
        <v>NutriKid</v>
      </c>
      <c r="D187" s="2">
        <f>IFERROR(__xludf.DUMMYFUNCTION("""COMPUTED_VALUE"""),15729.0)</f>
        <v>15729</v>
      </c>
      <c r="E187" s="2">
        <f>IFERROR(__xludf.DUMMYFUNCTION("""COMPUTED_VALUE"""),16044.0)</f>
        <v>16044</v>
      </c>
      <c r="F187" s="2" t="str">
        <f>IFERROR(__xludf.DUMMYFUNCTION("""COMPUTED_VALUE"""),"IPLMARKETTING")</f>
        <v>IPLMARKETTING</v>
      </c>
      <c r="G187" s="2">
        <f t="shared" si="3"/>
        <v>825772.5</v>
      </c>
      <c r="H187" s="2">
        <f t="shared" si="4"/>
        <v>962640</v>
      </c>
      <c r="I187" s="2" t="str">
        <f>IF(or(B187='Regional Details'!$A$5,B187='Regional Details'!$A$6,B187='Regional Details'!$A$7,B187='Regional Details'!$A$8),'Regional Details'!$B$2,if(OR(B187='Regional Details'!$D$5,B187='Regional Details'!$D$6,B187='Regional Details'!$D$7,B187='Regional Details'!$D$8),'Regional Details'!$E$2,if(or(B187='Regional Details'!$G$5,B187='Regional Details'!$G$6,B187='Regional Details'!$G$7,B187='Regional Details'!$G$8),'Regional Details'!$H$2,'Regional Details'!$K$2)))</f>
        <v>North</v>
      </c>
      <c r="J187" s="2" t="str">
        <f>if(I187='Regional Details'!$B$2,'Regional Details'!$B$3,if(I187='Regional Details'!$E$2,'Regional Details'!$E$3,if(I187='Regional Details'!$H$2,'Regional Details'!$H$3,'Regional Details'!$K$3)))</f>
        <v>Ajay Kumar</v>
      </c>
      <c r="K187" s="8">
        <f t="array" ref="K187">IFERROR(XLOOKUP(B187,'Regional Details'!$A$5:$A$8,'Regional Details'!$B$5:$B$8),IFERROR(XLOOKUP(B187,'Regional Details'!$D$5:$D$8,'Regional Details'!$E$5:$E$8),IFERROR(xlookup(B187,'Regional Details'!$G$5:$G$8,'Regional Details'!$H$5:$H$8),XLOOKUP(B187,'Regional Details'!$J$5:$J$8,'Regional Details'!$K$5:$K$8))))</f>
        <v>0.125</v>
      </c>
      <c r="L187" s="2" t="str">
        <f>VLOOKUP(A187,MonthMapping!$A$2:$B$13,2,false)</f>
        <v>June</v>
      </c>
      <c r="M187" s="9">
        <f>if(C187=$C$2,Contribution_Old!$B$22,Contribution_Old!$B$23)</f>
        <v>24.108</v>
      </c>
      <c r="N187" s="9">
        <f>if(C187=$C$2,Contribution_New!$B$23,Contribution_New!$B$24)</f>
        <v>30.108</v>
      </c>
      <c r="O187" s="2">
        <f t="shared" ref="O187:P187" si="373">M187*D187</f>
        <v>379194.732</v>
      </c>
      <c r="P187" s="2">
        <f t="shared" si="373"/>
        <v>483052.752</v>
      </c>
      <c r="Q187" s="2">
        <f t="shared" ref="Q187:R187" si="374">G187-O187</f>
        <v>446577.768</v>
      </c>
      <c r="R187" s="2">
        <f t="shared" si="374"/>
        <v>479587.248</v>
      </c>
      <c r="S187" s="2"/>
      <c r="T187" s="2"/>
      <c r="U187" s="2"/>
      <c r="V187" s="2"/>
      <c r="W187" s="2"/>
      <c r="X187" s="2"/>
      <c r="Y187" s="2"/>
      <c r="Z187" s="2"/>
    </row>
    <row r="188">
      <c r="A188" s="2">
        <f>IFERROR(__xludf.DUMMYFUNCTION("""COMPUTED_VALUE"""),6.0)</f>
        <v>6</v>
      </c>
      <c r="B188" s="2" t="str">
        <f>IFERROR(__xludf.DUMMYFUNCTION("""COMPUTED_VALUE"""),"Kochi")</f>
        <v>Kochi</v>
      </c>
      <c r="C188" s="2" t="str">
        <f>IFERROR(__xludf.DUMMYFUNCTION("""COMPUTED_VALUE"""),"ZestVita")</f>
        <v>ZestVita</v>
      </c>
      <c r="D188" s="2">
        <f>IFERROR(__xludf.DUMMYFUNCTION("""COMPUTED_VALUE"""),27805.0)</f>
        <v>27805</v>
      </c>
      <c r="E188" s="2">
        <f>IFERROR(__xludf.DUMMYFUNCTION("""COMPUTED_VALUE"""),28917.0)</f>
        <v>28917</v>
      </c>
      <c r="F188" s="2" t="str">
        <f>IFERROR(__xludf.DUMMYFUNCTION("""COMPUTED_VALUE"""),"IPLMARKETTING")</f>
        <v>IPLMARKETTING</v>
      </c>
      <c r="G188" s="2">
        <f t="shared" si="3"/>
        <v>3378307.5</v>
      </c>
      <c r="H188" s="2">
        <f t="shared" si="4"/>
        <v>3903795</v>
      </c>
      <c r="I188" s="2" t="str">
        <f>IF(or(B188='Regional Details'!$A$5,B188='Regional Details'!$A$6,B188='Regional Details'!$A$7,B188='Regional Details'!$A$8),'Regional Details'!$B$2,if(OR(B188='Regional Details'!$D$5,B188='Regional Details'!$D$6,B188='Regional Details'!$D$7,B188='Regional Details'!$D$8),'Regional Details'!$E$2,if(or(B188='Regional Details'!$G$5,B188='Regional Details'!$G$6,B188='Regional Details'!$G$7,B188='Regional Details'!$G$8),'Regional Details'!$H$2,'Regional Details'!$K$2)))</f>
        <v>South</v>
      </c>
      <c r="J188" s="2" t="str">
        <f>if(I188='Regional Details'!$B$2,'Regional Details'!$B$3,if(I188='Regional Details'!$E$2,'Regional Details'!$E$3,if(I188='Regional Details'!$H$2,'Regional Details'!$H$3,'Regional Details'!$K$3)))</f>
        <v>Anjali Krishna Murthy</v>
      </c>
      <c r="K188" s="8">
        <f t="array" ref="K188">IFERROR(XLOOKUP(B188,'Regional Details'!$A$5:$A$8,'Regional Details'!$B$5:$B$8),IFERROR(XLOOKUP(B188,'Regional Details'!$D$5:$D$8,'Regional Details'!$E$5:$E$8),IFERROR(xlookup(B188,'Regional Details'!$G$5:$G$8,'Regional Details'!$H$5:$H$8),XLOOKUP(B188,'Regional Details'!$J$5:$J$8,'Regional Details'!$K$5:$K$8))))</f>
        <v>0.1</v>
      </c>
      <c r="L188" s="2" t="str">
        <f>VLOOKUP(A188,MonthMapping!$A$2:$B$13,2,false)</f>
        <v>June</v>
      </c>
      <c r="M188" s="9">
        <f>if(C188=$C$2,Contribution_Old!$B$22,Contribution_Old!$B$23)</f>
        <v>55.84</v>
      </c>
      <c r="N188" s="9">
        <f>if(C188=$C$2,Contribution_New!$B$23,Contribution_New!$B$24)</f>
        <v>61.84</v>
      </c>
      <c r="O188" s="2">
        <f t="shared" ref="O188:P188" si="375">M188*D188</f>
        <v>1552631.2</v>
      </c>
      <c r="P188" s="2">
        <f t="shared" si="375"/>
        <v>1788227.28</v>
      </c>
      <c r="Q188" s="2">
        <f t="shared" ref="Q188:R188" si="376">G188-O188</f>
        <v>1825676.3</v>
      </c>
      <c r="R188" s="2">
        <f t="shared" si="376"/>
        <v>2115567.72</v>
      </c>
      <c r="S188" s="2"/>
      <c r="T188" s="2"/>
      <c r="U188" s="2"/>
      <c r="V188" s="2"/>
      <c r="W188" s="2"/>
      <c r="X188" s="2"/>
      <c r="Y188" s="2"/>
      <c r="Z188" s="2"/>
    </row>
    <row r="189">
      <c r="A189" s="2">
        <f>IFERROR(__xludf.DUMMYFUNCTION("""COMPUTED_VALUE"""),6.0)</f>
        <v>6</v>
      </c>
      <c r="B189" s="2" t="str">
        <f>IFERROR(__xludf.DUMMYFUNCTION("""COMPUTED_VALUE"""),"Kochi")</f>
        <v>Kochi</v>
      </c>
      <c r="C189" s="2" t="str">
        <f>IFERROR(__xludf.DUMMYFUNCTION("""COMPUTED_VALUE"""),"NutriKid")</f>
        <v>NutriKid</v>
      </c>
      <c r="D189" s="2">
        <f>IFERROR(__xludf.DUMMYFUNCTION("""COMPUTED_VALUE"""),18175.0)</f>
        <v>18175</v>
      </c>
      <c r="E189" s="2">
        <f>IFERROR(__xludf.DUMMYFUNCTION("""COMPUTED_VALUE"""),19266.0)</f>
        <v>19266</v>
      </c>
      <c r="F189" s="2" t="str">
        <f>IFERROR(__xludf.DUMMYFUNCTION("""COMPUTED_VALUE"""),"IPLMARKETTING")</f>
        <v>IPLMARKETTING</v>
      </c>
      <c r="G189" s="2">
        <f t="shared" si="3"/>
        <v>981450</v>
      </c>
      <c r="H189" s="2">
        <f t="shared" si="4"/>
        <v>1155960</v>
      </c>
      <c r="I189" s="2" t="str">
        <f>IF(or(B189='Regional Details'!$A$5,B189='Regional Details'!$A$6,B189='Regional Details'!$A$7,B189='Regional Details'!$A$8),'Regional Details'!$B$2,if(OR(B189='Regional Details'!$D$5,B189='Regional Details'!$D$6,B189='Regional Details'!$D$7,B189='Regional Details'!$D$8),'Regional Details'!$E$2,if(or(B189='Regional Details'!$G$5,B189='Regional Details'!$G$6,B189='Regional Details'!$G$7,B189='Regional Details'!$G$8),'Regional Details'!$H$2,'Regional Details'!$K$2)))</f>
        <v>South</v>
      </c>
      <c r="J189" s="2" t="str">
        <f>if(I189='Regional Details'!$B$2,'Regional Details'!$B$3,if(I189='Regional Details'!$E$2,'Regional Details'!$E$3,if(I189='Regional Details'!$H$2,'Regional Details'!$H$3,'Regional Details'!$K$3)))</f>
        <v>Anjali Krishna Murthy</v>
      </c>
      <c r="K189" s="8">
        <f t="array" ref="K189">IFERROR(XLOOKUP(B189,'Regional Details'!$A$5:$A$8,'Regional Details'!$B$5:$B$8),IFERROR(XLOOKUP(B189,'Regional Details'!$D$5:$D$8,'Regional Details'!$E$5:$E$8),IFERROR(xlookup(B189,'Regional Details'!$G$5:$G$8,'Regional Details'!$H$5:$H$8),XLOOKUP(B189,'Regional Details'!$J$5:$J$8,'Regional Details'!$K$5:$K$8))))</f>
        <v>0.1</v>
      </c>
      <c r="L189" s="2" t="str">
        <f>VLOOKUP(A189,MonthMapping!$A$2:$B$13,2,false)</f>
        <v>June</v>
      </c>
      <c r="M189" s="9">
        <f>if(C189=$C$2,Contribution_Old!$B$22,Contribution_Old!$B$23)</f>
        <v>24.108</v>
      </c>
      <c r="N189" s="9">
        <f>if(C189=$C$2,Contribution_New!$B$23,Contribution_New!$B$24)</f>
        <v>30.108</v>
      </c>
      <c r="O189" s="2">
        <f t="shared" ref="O189:P189" si="377">M189*D189</f>
        <v>438162.9</v>
      </c>
      <c r="P189" s="2">
        <f t="shared" si="377"/>
        <v>580060.728</v>
      </c>
      <c r="Q189" s="2">
        <f t="shared" ref="Q189:R189" si="378">G189-O189</f>
        <v>543287.1</v>
      </c>
      <c r="R189" s="2">
        <f t="shared" si="378"/>
        <v>575899.272</v>
      </c>
      <c r="S189" s="2"/>
      <c r="T189" s="2"/>
      <c r="U189" s="2"/>
      <c r="V189" s="2"/>
      <c r="W189" s="2"/>
      <c r="X189" s="2"/>
      <c r="Y189" s="2"/>
      <c r="Z189" s="2"/>
    </row>
    <row r="190">
      <c r="A190" s="2">
        <f>IFERROR(__xludf.DUMMYFUNCTION("""COMPUTED_VALUE"""),6.0)</f>
        <v>6</v>
      </c>
      <c r="B190" s="2" t="str">
        <f>IFERROR(__xludf.DUMMYFUNCTION("""COMPUTED_VALUE"""),"Jaipur")</f>
        <v>Jaipur</v>
      </c>
      <c r="C190" s="2" t="str">
        <f>IFERROR(__xludf.DUMMYFUNCTION("""COMPUTED_VALUE"""),"ZestVita")</f>
        <v>ZestVita</v>
      </c>
      <c r="D190" s="2">
        <f>IFERROR(__xludf.DUMMYFUNCTION("""COMPUTED_VALUE"""),43289.0)</f>
        <v>43289</v>
      </c>
      <c r="E190" s="2">
        <f>IFERROR(__xludf.DUMMYFUNCTION("""COMPUTED_VALUE"""),51514.0)</f>
        <v>51514</v>
      </c>
      <c r="F190" s="2" t="str">
        <f>IFERROR(__xludf.DUMMYFUNCTION("""COMPUTED_VALUE"""),"IPLMARKETTING")</f>
        <v>IPLMARKETTING</v>
      </c>
      <c r="G190" s="2">
        <f t="shared" si="3"/>
        <v>5844015</v>
      </c>
      <c r="H190" s="2">
        <f t="shared" si="4"/>
        <v>6954390</v>
      </c>
      <c r="I190" s="2" t="str">
        <f>IF(or(B190='Regional Details'!$A$5,B190='Regional Details'!$A$6,B190='Regional Details'!$A$7,B190='Regional Details'!$A$8),'Regional Details'!$B$2,if(OR(B190='Regional Details'!$D$5,B190='Regional Details'!$D$6,B190='Regional Details'!$D$7,B190='Regional Details'!$D$8),'Regional Details'!$E$2,if(or(B190='Regional Details'!$G$5,B190='Regional Details'!$G$6,B190='Regional Details'!$G$7,B190='Regional Details'!$G$8),'Regional Details'!$H$2,'Regional Details'!$K$2)))</f>
        <v>West</v>
      </c>
      <c r="J190" s="2" t="str">
        <f>if(I190='Regional Details'!$B$2,'Regional Details'!$B$3,if(I190='Regional Details'!$E$2,'Regional Details'!$E$3,if(I190='Regional Details'!$H$2,'Regional Details'!$H$3,'Regional Details'!$K$3)))</f>
        <v>Ajay Ghosh</v>
      </c>
      <c r="K190" s="8">
        <f t="array" ref="K190">IFERROR(XLOOKUP(B190,'Regional Details'!$A$5:$A$8,'Regional Details'!$B$5:$B$8),IFERROR(XLOOKUP(B190,'Regional Details'!$D$5:$D$8,'Regional Details'!$E$5:$E$8),IFERROR(xlookup(B190,'Regional Details'!$G$5:$G$8,'Regional Details'!$H$5:$H$8),XLOOKUP(B190,'Regional Details'!$J$5:$J$8,'Regional Details'!$K$5:$K$8))))</f>
        <v>0</v>
      </c>
      <c r="L190" s="2" t="str">
        <f>VLOOKUP(A190,MonthMapping!$A$2:$B$13,2,false)</f>
        <v>June</v>
      </c>
      <c r="M190" s="9">
        <f>if(C190=$C$2,Contribution_Old!$B$22,Contribution_Old!$B$23)</f>
        <v>55.84</v>
      </c>
      <c r="N190" s="9">
        <f>if(C190=$C$2,Contribution_New!$B$23,Contribution_New!$B$24)</f>
        <v>61.84</v>
      </c>
      <c r="O190" s="2">
        <f t="shared" ref="O190:P190" si="379">M190*D190</f>
        <v>2417257.76</v>
      </c>
      <c r="P190" s="2">
        <f t="shared" si="379"/>
        <v>3185625.76</v>
      </c>
      <c r="Q190" s="2">
        <f t="shared" ref="Q190:R190" si="380">G190-O190</f>
        <v>3426757.24</v>
      </c>
      <c r="R190" s="2">
        <f t="shared" si="380"/>
        <v>3768764.24</v>
      </c>
      <c r="S190" s="2"/>
      <c r="T190" s="2"/>
      <c r="U190" s="2"/>
      <c r="V190" s="2"/>
      <c r="W190" s="2"/>
      <c r="X190" s="2"/>
      <c r="Y190" s="2"/>
      <c r="Z190" s="2"/>
    </row>
    <row r="191">
      <c r="A191" s="2">
        <f>IFERROR(__xludf.DUMMYFUNCTION("""COMPUTED_VALUE"""),6.0)</f>
        <v>6</v>
      </c>
      <c r="B191" s="2" t="str">
        <f>IFERROR(__xludf.DUMMYFUNCTION("""COMPUTED_VALUE"""),"Jaipur")</f>
        <v>Jaipur</v>
      </c>
      <c r="C191" s="2" t="str">
        <f>IFERROR(__xludf.DUMMYFUNCTION("""COMPUTED_VALUE"""),"NutriKid")</f>
        <v>NutriKid</v>
      </c>
      <c r="D191" s="2">
        <f>IFERROR(__xludf.DUMMYFUNCTION("""COMPUTED_VALUE"""),33419.0)</f>
        <v>33419</v>
      </c>
      <c r="E191" s="2">
        <f>IFERROR(__xludf.DUMMYFUNCTION("""COMPUTED_VALUE"""),41105.0)</f>
        <v>41105</v>
      </c>
      <c r="F191" s="2" t="str">
        <f>IFERROR(__xludf.DUMMYFUNCTION("""COMPUTED_VALUE"""),"IPLMARKETTING")</f>
        <v>IPLMARKETTING</v>
      </c>
      <c r="G191" s="2">
        <f t="shared" si="3"/>
        <v>2005140</v>
      </c>
      <c r="H191" s="2">
        <f t="shared" si="4"/>
        <v>2466300</v>
      </c>
      <c r="I191" s="2" t="str">
        <f>IF(or(B191='Regional Details'!$A$5,B191='Regional Details'!$A$6,B191='Regional Details'!$A$7,B191='Regional Details'!$A$8),'Regional Details'!$B$2,if(OR(B191='Regional Details'!$D$5,B191='Regional Details'!$D$6,B191='Regional Details'!$D$7,B191='Regional Details'!$D$8),'Regional Details'!$E$2,if(or(B191='Regional Details'!$G$5,B191='Regional Details'!$G$6,B191='Regional Details'!$G$7,B191='Regional Details'!$G$8),'Regional Details'!$H$2,'Regional Details'!$K$2)))</f>
        <v>West</v>
      </c>
      <c r="J191" s="2" t="str">
        <f>if(I191='Regional Details'!$B$2,'Regional Details'!$B$3,if(I191='Regional Details'!$E$2,'Regional Details'!$E$3,if(I191='Regional Details'!$H$2,'Regional Details'!$H$3,'Regional Details'!$K$3)))</f>
        <v>Ajay Ghosh</v>
      </c>
      <c r="K191" s="8">
        <f t="array" ref="K191">IFERROR(XLOOKUP(B191,'Regional Details'!$A$5:$A$8,'Regional Details'!$B$5:$B$8),IFERROR(XLOOKUP(B191,'Regional Details'!$D$5:$D$8,'Regional Details'!$E$5:$E$8),IFERROR(xlookup(B191,'Regional Details'!$G$5:$G$8,'Regional Details'!$H$5:$H$8),XLOOKUP(B191,'Regional Details'!$J$5:$J$8,'Regional Details'!$K$5:$K$8))))</f>
        <v>0</v>
      </c>
      <c r="L191" s="2" t="str">
        <f>VLOOKUP(A191,MonthMapping!$A$2:$B$13,2,false)</f>
        <v>June</v>
      </c>
      <c r="M191" s="9">
        <f>if(C191=$C$2,Contribution_Old!$B$22,Contribution_Old!$B$23)</f>
        <v>24.108</v>
      </c>
      <c r="N191" s="9">
        <f>if(C191=$C$2,Contribution_New!$B$23,Contribution_New!$B$24)</f>
        <v>30.108</v>
      </c>
      <c r="O191" s="2">
        <f t="shared" ref="O191:P191" si="381">M191*D191</f>
        <v>805665.252</v>
      </c>
      <c r="P191" s="2">
        <f t="shared" si="381"/>
        <v>1237589.34</v>
      </c>
      <c r="Q191" s="2">
        <f t="shared" ref="Q191:R191" si="382">G191-O191</f>
        <v>1199474.748</v>
      </c>
      <c r="R191" s="2">
        <f t="shared" si="382"/>
        <v>1228710.66</v>
      </c>
      <c r="S191" s="2"/>
      <c r="T191" s="2"/>
      <c r="U191" s="2"/>
      <c r="V191" s="2"/>
      <c r="W191" s="2"/>
      <c r="X191" s="2"/>
      <c r="Y191" s="2"/>
      <c r="Z191" s="2"/>
    </row>
    <row r="192">
      <c r="A192" s="2">
        <f>IFERROR(__xludf.DUMMYFUNCTION("""COMPUTED_VALUE"""),6.0)</f>
        <v>6</v>
      </c>
      <c r="B192" s="2" t="str">
        <f>IFERROR(__xludf.DUMMYFUNCTION("""COMPUTED_VALUE"""),"Patna")</f>
        <v>Patna</v>
      </c>
      <c r="C192" s="2" t="str">
        <f>IFERROR(__xludf.DUMMYFUNCTION("""COMPUTED_VALUE"""),"ZestVita")</f>
        <v>ZestVita</v>
      </c>
      <c r="D192" s="2">
        <f>IFERROR(__xludf.DUMMYFUNCTION("""COMPUTED_VALUE"""),36992.0)</f>
        <v>36992</v>
      </c>
      <c r="E192" s="2">
        <f>IFERROR(__xludf.DUMMYFUNCTION("""COMPUTED_VALUE"""),45130.0)</f>
        <v>45130</v>
      </c>
      <c r="F192" s="2" t="str">
        <f>IFERROR(__xludf.DUMMYFUNCTION("""COMPUTED_VALUE"""),"IPLMARKETTING")</f>
        <v>IPLMARKETTING</v>
      </c>
      <c r="G192" s="2">
        <f t="shared" si="3"/>
        <v>4744224</v>
      </c>
      <c r="H192" s="2">
        <f t="shared" si="4"/>
        <v>6092550</v>
      </c>
      <c r="I192" s="2" t="str">
        <f>IF(or(B192='Regional Details'!$A$5,B192='Regional Details'!$A$6,B192='Regional Details'!$A$7,B192='Regional Details'!$A$8),'Regional Details'!$B$2,if(OR(B192='Regional Details'!$D$5,B192='Regional Details'!$D$6,B192='Regional Details'!$D$7,B192='Regional Details'!$D$8),'Regional Details'!$E$2,if(or(B192='Regional Details'!$G$5,B192='Regional Details'!$G$6,B192='Regional Details'!$G$7,B192='Regional Details'!$G$8),'Regional Details'!$H$2,'Regional Details'!$K$2)))</f>
        <v>East</v>
      </c>
      <c r="J192" s="2" t="str">
        <f>if(I192='Regional Details'!$B$2,'Regional Details'!$B$3,if(I192='Regional Details'!$E$2,'Regional Details'!$E$3,if(I192='Regional Details'!$H$2,'Regional Details'!$H$3,'Regional Details'!$K$3)))</f>
        <v>Tanvi Sharma</v>
      </c>
      <c r="K192" s="8">
        <f t="array" ref="K192">IFERROR(XLOOKUP(B192,'Regional Details'!$A$5:$A$8,'Regional Details'!$B$5:$B$8),IFERROR(XLOOKUP(B192,'Regional Details'!$D$5:$D$8,'Regional Details'!$E$5:$E$8),IFERROR(xlookup(B192,'Regional Details'!$G$5:$G$8,'Regional Details'!$H$5:$H$8),XLOOKUP(B192,'Regional Details'!$J$5:$J$8,'Regional Details'!$K$5:$K$8))))</f>
        <v>0.05</v>
      </c>
      <c r="L192" s="2" t="str">
        <f>VLOOKUP(A192,MonthMapping!$A$2:$B$13,2,false)</f>
        <v>June</v>
      </c>
      <c r="M192" s="9">
        <f>if(C192=$C$2,Contribution_Old!$B$22,Contribution_Old!$B$23)</f>
        <v>55.84</v>
      </c>
      <c r="N192" s="9">
        <f>if(C192=$C$2,Contribution_New!$B$23,Contribution_New!$B$24)</f>
        <v>61.84</v>
      </c>
      <c r="O192" s="2">
        <f t="shared" ref="O192:P192" si="383">M192*D192</f>
        <v>2065633.28</v>
      </c>
      <c r="P192" s="2">
        <f t="shared" si="383"/>
        <v>2790839.2</v>
      </c>
      <c r="Q192" s="2">
        <f t="shared" ref="Q192:R192" si="384">G192-O192</f>
        <v>2678590.72</v>
      </c>
      <c r="R192" s="2">
        <f t="shared" si="384"/>
        <v>3301710.8</v>
      </c>
      <c r="S192" s="2"/>
      <c r="T192" s="2"/>
      <c r="U192" s="2"/>
      <c r="V192" s="2"/>
      <c r="W192" s="2"/>
      <c r="X192" s="2"/>
      <c r="Y192" s="2"/>
      <c r="Z192" s="2"/>
    </row>
    <row r="193">
      <c r="A193" s="2">
        <f>IFERROR(__xludf.DUMMYFUNCTION("""COMPUTED_VALUE"""),6.0)</f>
        <v>6</v>
      </c>
      <c r="B193" s="2" t="str">
        <f>IFERROR(__xludf.DUMMYFUNCTION("""COMPUTED_VALUE"""),"Patna")</f>
        <v>Patna</v>
      </c>
      <c r="C193" s="2" t="str">
        <f>IFERROR(__xludf.DUMMYFUNCTION("""COMPUTED_VALUE"""),"NutriKid")</f>
        <v>NutriKid</v>
      </c>
      <c r="D193" s="2">
        <f>IFERROR(__xludf.DUMMYFUNCTION("""COMPUTED_VALUE"""),47607.0)</f>
        <v>47607</v>
      </c>
      <c r="E193" s="2">
        <f>IFERROR(__xludf.DUMMYFUNCTION("""COMPUTED_VALUE"""),53320.0)</f>
        <v>53320</v>
      </c>
      <c r="F193" s="2" t="str">
        <f>IFERROR(__xludf.DUMMYFUNCTION("""COMPUTED_VALUE"""),"IPLMARKETTING")</f>
        <v>IPLMARKETTING</v>
      </c>
      <c r="G193" s="2">
        <f t="shared" si="3"/>
        <v>2713599</v>
      </c>
      <c r="H193" s="2">
        <f t="shared" si="4"/>
        <v>3199200</v>
      </c>
      <c r="I193" s="2" t="str">
        <f>IF(or(B193='Regional Details'!$A$5,B193='Regional Details'!$A$6,B193='Regional Details'!$A$7,B193='Regional Details'!$A$8),'Regional Details'!$B$2,if(OR(B193='Regional Details'!$D$5,B193='Regional Details'!$D$6,B193='Regional Details'!$D$7,B193='Regional Details'!$D$8),'Regional Details'!$E$2,if(or(B193='Regional Details'!$G$5,B193='Regional Details'!$G$6,B193='Regional Details'!$G$7,B193='Regional Details'!$G$8),'Regional Details'!$H$2,'Regional Details'!$K$2)))</f>
        <v>East</v>
      </c>
      <c r="J193" s="2" t="str">
        <f>if(I193='Regional Details'!$B$2,'Regional Details'!$B$3,if(I193='Regional Details'!$E$2,'Regional Details'!$E$3,if(I193='Regional Details'!$H$2,'Regional Details'!$H$3,'Regional Details'!$K$3)))</f>
        <v>Tanvi Sharma</v>
      </c>
      <c r="K193" s="8">
        <f t="array" ref="K193">IFERROR(XLOOKUP(B193,'Regional Details'!$A$5:$A$8,'Regional Details'!$B$5:$B$8),IFERROR(XLOOKUP(B193,'Regional Details'!$D$5:$D$8,'Regional Details'!$E$5:$E$8),IFERROR(xlookup(B193,'Regional Details'!$G$5:$G$8,'Regional Details'!$H$5:$H$8),XLOOKUP(B193,'Regional Details'!$J$5:$J$8,'Regional Details'!$K$5:$K$8))))</f>
        <v>0.05</v>
      </c>
      <c r="L193" s="2" t="str">
        <f>VLOOKUP(A193,MonthMapping!$A$2:$B$13,2,false)</f>
        <v>June</v>
      </c>
      <c r="M193" s="9">
        <f>if(C193=$C$2,Contribution_Old!$B$22,Contribution_Old!$B$23)</f>
        <v>24.108</v>
      </c>
      <c r="N193" s="9">
        <f>if(C193=$C$2,Contribution_New!$B$23,Contribution_New!$B$24)</f>
        <v>30.108</v>
      </c>
      <c r="O193" s="2">
        <f t="shared" ref="O193:P193" si="385">M193*D193</f>
        <v>1147709.556</v>
      </c>
      <c r="P193" s="2">
        <f t="shared" si="385"/>
        <v>1605358.56</v>
      </c>
      <c r="Q193" s="2">
        <f t="shared" ref="Q193:R193" si="386">G193-O193</f>
        <v>1565889.444</v>
      </c>
      <c r="R193" s="2">
        <f t="shared" si="386"/>
        <v>1593841.44</v>
      </c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8.88"/>
  </cols>
  <sheetData>
    <row r="1">
      <c r="A1" s="10" t="s">
        <v>273</v>
      </c>
      <c r="B1" s="11"/>
      <c r="C1" s="11"/>
      <c r="D1" s="11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 t="s">
        <v>214</v>
      </c>
      <c r="B2" s="14" t="s">
        <v>216</v>
      </c>
      <c r="C2" s="11"/>
      <c r="D2" s="11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3" t="s">
        <v>209</v>
      </c>
      <c r="B3" s="14" t="s">
        <v>274</v>
      </c>
      <c r="C3" s="11"/>
      <c r="D3" s="11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275</v>
      </c>
      <c r="B4" s="16" t="s">
        <v>276</v>
      </c>
      <c r="C4" s="12"/>
      <c r="D4" s="16" t="s">
        <v>277</v>
      </c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7"/>
      <c r="B5" s="18" t="s">
        <v>278</v>
      </c>
      <c r="C5" s="18" t="s">
        <v>279</v>
      </c>
      <c r="D5" s="18" t="s">
        <v>278</v>
      </c>
      <c r="E5" s="18" t="s">
        <v>279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9" t="str">
        <f>IFERROR(__xludf.DUMMYFUNCTION("UNIQUE(filter(CleanedData!B2:B193,CleanedData!$I$2:$I$193=$B$2))"),"Kolkata")</f>
        <v>Kolkata</v>
      </c>
      <c r="B6" s="19">
        <f>if($B$3="Overall", SUMIFS(CleanedData!$D$2:$D$193,CleanedData!$B$2:$B$193,$A6,CleanedData!$I$2:$I$193,$B$2),SUMIFS(CleanedData!$D$2:$D$193,CleanedData!$B$2:$B$193,$A6,CleanedData!$I$2:$I$193,$B$2,CleanedData!$C$2:$C$193,$B$3))</f>
        <v>203343</v>
      </c>
      <c r="C6" s="19">
        <f>if($B$3="Overall", SUMIFS(CleanedData!$G$2:$G$193,CleanedData!$B$2:$B$193,$A6,CleanedData!$I$2:$I$193,$B$2),SUMIFS(CleanedData!$G$2:$G$193,CleanedData!$B$2:$B$193,$A6,CleanedData!$I$2:$I$193,$B$2,CleanedData!$C$2:$C$193,$B$3))</f>
        <v>12200580</v>
      </c>
      <c r="D6" s="19">
        <f>if($B$3="Overall", SUMIFS(CleanedData!$E$2:$E$193,CleanedData!$B$2:$B$193,$A6,CleanedData!$I$2:$I$193,$B$2),SUMIFS(CleanedData!$E$2:$E$193,CleanedData!$B$2:$B$193,$A6,CleanedData!$I$2:$I$193,$B$2,CleanedData!$C$2:$C$193,$B$3))</f>
        <v>243217</v>
      </c>
      <c r="E6" s="19">
        <f>if($B$3="Overall", SUMIFS(CleanedData!$H$2:$H$193,CleanedData!$B$2:$B$193,$A6,CleanedData!$I$2:$I$193,$B$2),SUMIFS(CleanedData!$H$2:$H$193,CleanedData!$B$2:$B$193,$A6,CleanedData!$I$2:$I$193,$B$2,CleanedData!$C$2:$C$193,$B$3))</f>
        <v>14593020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9" t="str">
        <f>IFERROR(__xludf.DUMMYFUNCTION("""COMPUTED_VALUE"""),"Bhubaneswar")</f>
        <v>Bhubaneswar</v>
      </c>
      <c r="B7" s="19">
        <f>if($B$3="Overall", SUMIFS(CleanedData!$D$2:$D$193,CleanedData!$B$2:$B$193,$A7,CleanedData!$I$2:$I$193,$B$2),SUMIFS(CleanedData!$D$2:$D$193,CleanedData!$B$2:$B$193,$A7,CleanedData!$I$2:$I$193,$B$2,CleanedData!$C$2:$C$193,$B$3))</f>
        <v>118969</v>
      </c>
      <c r="C7" s="19">
        <f>if($B$3="Overall", SUMIFS(CleanedData!$G$2:$G$193,CleanedData!$B$2:$B$193,$A7,CleanedData!$I$2:$I$193,$B$2),SUMIFS(CleanedData!$G$2:$G$193,CleanedData!$B$2:$B$193,$A7,CleanedData!$I$2:$I$193,$B$2,CleanedData!$C$2:$C$193,$B$3))</f>
        <v>6245872.5</v>
      </c>
      <c r="D7" s="19">
        <f>if($B$3="Overall", SUMIFS(CleanedData!$E$2:$E$193,CleanedData!$B$2:$B$193,$A7,CleanedData!$I$2:$I$193,$B$2),SUMIFS(CleanedData!$E$2:$E$193,CleanedData!$B$2:$B$193,$A7,CleanedData!$I$2:$I$193,$B$2,CleanedData!$C$2:$C$193,$B$3))</f>
        <v>124162</v>
      </c>
      <c r="E7" s="19">
        <f>if($B$3="Overall", SUMIFS(CleanedData!$H$2:$H$193,CleanedData!$B$2:$B$193,$A7,CleanedData!$I$2:$I$193,$B$2),SUMIFS(CleanedData!$H$2:$H$193,CleanedData!$B$2:$B$193,$A7,CleanedData!$I$2:$I$193,$B$2,CleanedData!$C$2:$C$193,$B$3))</f>
        <v>7449720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 t="str">
        <f>IFERROR(__xludf.DUMMYFUNCTION("""COMPUTED_VALUE"""),"Ranchi")</f>
        <v>Ranchi</v>
      </c>
      <c r="B8" s="19">
        <f>if($B$3="Overall", SUMIFS(CleanedData!$D$2:$D$193,CleanedData!$B$2:$B$193,$A8,CleanedData!$I$2:$I$193,$B$2),SUMIFS(CleanedData!$D$2:$D$193,CleanedData!$B$2:$B$193,$A8,CleanedData!$I$2:$I$193,$B$2,CleanedData!$C$2:$C$193,$B$3))</f>
        <v>112261</v>
      </c>
      <c r="C8" s="19">
        <f>if($B$3="Overall", SUMIFS(CleanedData!$G$2:$G$193,CleanedData!$B$2:$B$193,$A8,CleanedData!$I$2:$I$193,$B$2),SUMIFS(CleanedData!$G$2:$G$193,CleanedData!$B$2:$B$193,$A8,CleanedData!$I$2:$I$193,$B$2,CleanedData!$C$2:$C$193,$B$3))</f>
        <v>6398877</v>
      </c>
      <c r="D8" s="19">
        <f>if($B$3="Overall", SUMIFS(CleanedData!$E$2:$E$193,CleanedData!$B$2:$B$193,$A8,CleanedData!$I$2:$I$193,$B$2),SUMIFS(CleanedData!$E$2:$E$193,CleanedData!$B$2:$B$193,$A8,CleanedData!$I$2:$I$193,$B$2,CleanedData!$C$2:$C$193,$B$3))</f>
        <v>117040</v>
      </c>
      <c r="E8" s="19">
        <f>if($B$3="Overall", SUMIFS(CleanedData!$H$2:$H$193,CleanedData!$B$2:$B$193,$A8,CleanedData!$I$2:$I$193,$B$2),SUMIFS(CleanedData!$H$2:$H$193,CleanedData!$B$2:$B$193,$A8,CleanedData!$I$2:$I$193,$B$2,CleanedData!$C$2:$C$193,$B$3))</f>
        <v>7022400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9" t="str">
        <f>IFERROR(__xludf.DUMMYFUNCTION("""COMPUTED_VALUE"""),"Patna")</f>
        <v>Patna</v>
      </c>
      <c r="B9" s="19">
        <f>if($B$3="Overall", SUMIFS(CleanedData!$D$2:$D$193,CleanedData!$B$2:$B$193,$A9,CleanedData!$I$2:$I$193,$B$2),SUMIFS(CleanedData!$D$2:$D$193,CleanedData!$B$2:$B$193,$A9,CleanedData!$I$2:$I$193,$B$2,CleanedData!$C$2:$C$193,$B$3))</f>
        <v>203345</v>
      </c>
      <c r="C9" s="19">
        <f>if($B$3="Overall", SUMIFS(CleanedData!$G$2:$G$193,CleanedData!$B$2:$B$193,$A9,CleanedData!$I$2:$I$193,$B$2),SUMIFS(CleanedData!$G$2:$G$193,CleanedData!$B$2:$B$193,$A9,CleanedData!$I$2:$I$193,$B$2,CleanedData!$C$2:$C$193,$B$3))</f>
        <v>11590665</v>
      </c>
      <c r="D9" s="19">
        <f>if($B$3="Overall", SUMIFS(CleanedData!$E$2:$E$193,CleanedData!$B$2:$B$193,$A9,CleanedData!$I$2:$I$193,$B$2),SUMIFS(CleanedData!$E$2:$E$193,CleanedData!$B$2:$B$193,$A9,CleanedData!$I$2:$I$193,$B$2,CleanedData!$C$2:$C$193,$B$3))</f>
        <v>238665</v>
      </c>
      <c r="E9" s="19">
        <f>if($B$3="Overall", SUMIFS(CleanedData!$H$2:$H$193,CleanedData!$B$2:$B$193,$A9,CleanedData!$I$2:$I$193,$B$2),SUMIFS(CleanedData!$H$2:$H$193,CleanedData!$B$2:$B$193,$A9,CleanedData!$I$2:$I$193,$B$2,CleanedData!$C$2:$C$193,$B$3))</f>
        <v>14319900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 t="s">
        <v>280</v>
      </c>
      <c r="B10" s="21">
        <f t="shared" ref="B10:E10" si="1">sum(B6:B9)</f>
        <v>637918</v>
      </c>
      <c r="C10" s="21">
        <f t="shared" si="1"/>
        <v>36435994.5</v>
      </c>
      <c r="D10" s="21">
        <f t="shared" si="1"/>
        <v>723084</v>
      </c>
      <c r="E10" s="21">
        <f t="shared" si="1"/>
        <v>43385040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2" t="s">
        <v>281</v>
      </c>
      <c r="B13" s="11"/>
      <c r="C13" s="11"/>
      <c r="D13" s="11"/>
      <c r="E13" s="11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 t="s">
        <v>200</v>
      </c>
      <c r="B14" s="14" t="s">
        <v>226</v>
      </c>
      <c r="C14" s="11"/>
      <c r="D14" s="11"/>
      <c r="E14" s="11"/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 t="s">
        <v>209</v>
      </c>
      <c r="B15" s="14" t="s">
        <v>274</v>
      </c>
      <c r="C15" s="11"/>
      <c r="D15" s="11"/>
      <c r="E15" s="11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282</v>
      </c>
      <c r="B16" s="16" t="s">
        <v>276</v>
      </c>
      <c r="C16" s="12"/>
      <c r="D16" s="16" t="s">
        <v>277</v>
      </c>
      <c r="E16" s="12"/>
      <c r="F16" s="23" t="s">
        <v>283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/>
      <c r="B17" s="18" t="s">
        <v>278</v>
      </c>
      <c r="C17" s="18" t="s">
        <v>279</v>
      </c>
      <c r="D17" s="18" t="s">
        <v>278</v>
      </c>
      <c r="E17" s="18" t="s">
        <v>279</v>
      </c>
      <c r="F17" s="1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9" t="str">
        <f>IFERROR(__xludf.DUMMYFUNCTION("UNIQUE(CleanedData!L2:L193)"),"January")</f>
        <v>January</v>
      </c>
      <c r="B18" s="19">
        <f>if($B$15="Overall",SUMIFS(CleanedData!$D$2:$D$193,CleanedData!$L$2:$L$193,$A18,CleanedData!$B$2:$B$193,$B$14), SUMIFS(CleanedData!$D$2:$D$193,CleanedData!$L$2:$L$193,$A18,CleanedData!$B$2:$B$193,$B$14,CleanedData!$C$2:$C$193,$B$15))</f>
        <v>15799</v>
      </c>
      <c r="C18" s="19">
        <f>if($B$15="Overall",SUMIFS(CleanedData!$G$2:$G$193,CleanedData!$L$2:$L$193,$A18,CleanedData!$B$2:$B$193,$B$14), SUMIFS(CleanedData!$G$2:$G$193,CleanedData!$L$2:$L$193,$A18,CleanedData!$B$2:$B$193,$B$14,CleanedData!$C$2:$C$193,$B$15))</f>
        <v>947940</v>
      </c>
      <c r="D18" s="19">
        <f>if($B$15="Overall",SUMIFS(CleanedData!$E$2:$E$193,CleanedData!$L$2:$L$193,$A18,CleanedData!$B$2:$B$193,$B$14), SUMIFS(CleanedData!$E$2:$E$193,CleanedData!$L$2:$L$193,$A18,CleanedData!$B$2:$B$193,$B$14,CleanedData!$C$2:$C$193,$B$15))</f>
        <v>19275</v>
      </c>
      <c r="E18" s="19">
        <f>if($B$15="Overall",SUMIFS(CleanedData!$H$2:$H$193,CleanedData!$L$2:$L$193,$A18,CleanedData!$B$2:$B$193,$B$14),SUMIFS(CleanedData!$H$2:$H$193,CleanedData!$L$2:$L$193,$A18,CleanedData!$B$2:$B$193,$B$14,CleanedData!$C$2:$C$193,$B$15))</f>
        <v>1156500</v>
      </c>
      <c r="F18" s="24">
        <f t="shared" ref="F18:F23" si="2">(D18-B18)/B18</f>
        <v>0.2200139249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9" t="str">
        <f>IFERROR(__xludf.DUMMYFUNCTION("""COMPUTED_VALUE"""),"February")</f>
        <v>February</v>
      </c>
      <c r="B19" s="19">
        <f>if($B$15="Overall",SUMIFS(CleanedData!$D$2:$D$193,CleanedData!$L$2:$L$193,$A19,CleanedData!$B$2:$B$193,$B$14), SUMIFS(CleanedData!$D$2:$D$193,CleanedData!$L$2:$L$193,$A19,CleanedData!$B$2:$B$193,$B$14,CleanedData!$C$2:$C$193,$B$15))</f>
        <v>18643</v>
      </c>
      <c r="C19" s="19">
        <f>if($B$15="Overall",SUMIFS(CleanedData!$G$2:$G$193,CleanedData!$L$2:$L$193,$A19,CleanedData!$B$2:$B$193,$B$14), SUMIFS(CleanedData!$G$2:$G$193,CleanedData!$L$2:$L$193,$A19,CleanedData!$B$2:$B$193,$B$14,CleanedData!$C$2:$C$193,$B$15))</f>
        <v>1118580</v>
      </c>
      <c r="D19" s="19">
        <f>if($B$15="Overall",SUMIFS(CleanedData!$E$2:$E$193,CleanedData!$L$2:$L$193,$A19,CleanedData!$B$2:$B$193,$B$14), SUMIFS(CleanedData!$E$2:$E$193,CleanedData!$L$2:$L$193,$A19,CleanedData!$B$2:$B$193,$B$14,CleanedData!$C$2:$C$193,$B$15))</f>
        <v>21626</v>
      </c>
      <c r="E19" s="19">
        <f>if($B$15="Overall",SUMIFS(CleanedData!$H$2:$H$193,CleanedData!$L$2:$L$193,$A19,CleanedData!$B$2:$B$193,$B$14),SUMIFS(CleanedData!$H$2:$H$193,CleanedData!$L$2:$L$193,$A19,CleanedData!$B$2:$B$193,$B$14,CleanedData!$C$2:$C$193,$B$15))</f>
        <v>1297560</v>
      </c>
      <c r="F19" s="24">
        <f t="shared" si="2"/>
        <v>0.1600064367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9" t="str">
        <f>IFERROR(__xludf.DUMMYFUNCTION("""COMPUTED_VALUE"""),"March")</f>
        <v>March</v>
      </c>
      <c r="B20" s="19">
        <f>if($B$15="Overall",SUMIFS(CleanedData!$D$2:$D$193,CleanedData!$L$2:$L$193,$A20,CleanedData!$B$2:$B$193,$B$14), SUMIFS(CleanedData!$D$2:$D$193,CleanedData!$L$2:$L$193,$A20,CleanedData!$B$2:$B$193,$B$14,CleanedData!$C$2:$C$193,$B$15))</f>
        <v>21999</v>
      </c>
      <c r="C20" s="19">
        <f>if($B$15="Overall",SUMIFS(CleanedData!$G$2:$G$193,CleanedData!$L$2:$L$193,$A20,CleanedData!$B$2:$B$193,$B$14), SUMIFS(CleanedData!$G$2:$G$193,CleanedData!$L$2:$L$193,$A20,CleanedData!$B$2:$B$193,$B$14,CleanedData!$C$2:$C$193,$B$15))</f>
        <v>1319940</v>
      </c>
      <c r="D20" s="19">
        <f>if($B$15="Overall",SUMIFS(CleanedData!$E$2:$E$193,CleanedData!$L$2:$L$193,$A20,CleanedData!$B$2:$B$193,$B$14), SUMIFS(CleanedData!$E$2:$E$193,CleanedData!$L$2:$L$193,$A20,CleanedData!$B$2:$B$193,$B$14,CleanedData!$C$2:$C$193,$B$15))</f>
        <v>24199</v>
      </c>
      <c r="E20" s="19">
        <f>if($B$15="Overall",SUMIFS(CleanedData!$H$2:$H$193,CleanedData!$L$2:$L$193,$A20,CleanedData!$B$2:$B$193,$B$14),SUMIFS(CleanedData!$H$2:$H$193,CleanedData!$L$2:$L$193,$A20,CleanedData!$B$2:$B$193,$B$14,CleanedData!$C$2:$C$193,$B$15))</f>
        <v>1451940</v>
      </c>
      <c r="F20" s="24">
        <f t="shared" si="2"/>
        <v>0.1000045457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9" t="str">
        <f>IFERROR(__xludf.DUMMYFUNCTION("""COMPUTED_VALUE"""),"April")</f>
        <v>April</v>
      </c>
      <c r="B21" s="19">
        <f>if($B$15="Overall",SUMIFS(CleanedData!$D$2:$D$193,CleanedData!$L$2:$L$193,$A21,CleanedData!$B$2:$B$193,$B$14), SUMIFS(CleanedData!$D$2:$D$193,CleanedData!$L$2:$L$193,$A21,CleanedData!$B$2:$B$193,$B$14,CleanedData!$C$2:$C$193,$B$15))</f>
        <v>25739</v>
      </c>
      <c r="C21" s="19">
        <f>if($B$15="Overall",SUMIFS(CleanedData!$G$2:$G$193,CleanedData!$L$2:$L$193,$A21,CleanedData!$B$2:$B$193,$B$14), SUMIFS(CleanedData!$G$2:$G$193,CleanedData!$L$2:$L$193,$A21,CleanedData!$B$2:$B$193,$B$14,CleanedData!$C$2:$C$193,$B$15))</f>
        <v>1544340</v>
      </c>
      <c r="D21" s="19">
        <f>if($B$15="Overall",SUMIFS(CleanedData!$E$2:$E$193,CleanedData!$L$2:$L$193,$A21,CleanedData!$B$2:$B$193,$B$14), SUMIFS(CleanedData!$E$2:$E$193,CleanedData!$L$2:$L$193,$A21,CleanedData!$B$2:$B$193,$B$14,CleanedData!$C$2:$C$193,$B$15))</f>
        <v>28570</v>
      </c>
      <c r="E21" s="19">
        <f>if($B$15="Overall",SUMIFS(CleanedData!$H$2:$H$193,CleanedData!$L$2:$L$193,$A21,CleanedData!$B$2:$B$193,$B$14),SUMIFS(CleanedData!$H$2:$H$193,CleanedData!$L$2:$L$193,$A21,CleanedData!$B$2:$B$193,$B$14,CleanedData!$C$2:$C$193,$B$15))</f>
        <v>1714200</v>
      </c>
      <c r="F21" s="24">
        <f t="shared" si="2"/>
        <v>0.1099887331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9" t="str">
        <f>IFERROR(__xludf.DUMMYFUNCTION("""COMPUTED_VALUE"""),"May")</f>
        <v>May</v>
      </c>
      <c r="B22" s="19">
        <f>if($B$15="Overall",SUMIFS(CleanedData!$D$2:$D$193,CleanedData!$L$2:$L$193,$A22,CleanedData!$B$2:$B$193,$B$14), SUMIFS(CleanedData!$D$2:$D$193,CleanedData!$L$2:$L$193,$A22,CleanedData!$B$2:$B$193,$B$14,CleanedData!$C$2:$C$193,$B$15))</f>
        <v>29857</v>
      </c>
      <c r="C22" s="19">
        <f>if($B$15="Overall",SUMIFS(CleanedData!$G$2:$G$193,CleanedData!$L$2:$L$193,$A22,CleanedData!$B$2:$B$193,$B$14), SUMIFS(CleanedData!$G$2:$G$193,CleanedData!$L$2:$L$193,$A22,CleanedData!$B$2:$B$193,$B$14,CleanedData!$C$2:$C$193,$B$15))</f>
        <v>1791420</v>
      </c>
      <c r="D22" s="19">
        <f>if($B$15="Overall",SUMIFS(CleanedData!$E$2:$E$193,CleanedData!$L$2:$L$193,$A22,CleanedData!$B$2:$B$193,$B$14), SUMIFS(CleanedData!$E$2:$E$193,CleanedData!$L$2:$L$193,$A22,CleanedData!$B$2:$B$193,$B$14,CleanedData!$C$2:$C$193,$B$15))</f>
        <v>34933</v>
      </c>
      <c r="E22" s="19">
        <f>if($B$15="Overall",SUMIFS(CleanedData!$H$2:$H$193,CleanedData!$L$2:$L$193,$A22,CleanedData!$B$2:$B$193,$B$14),SUMIFS(CleanedData!$H$2:$H$193,CleanedData!$L$2:$L$193,$A22,CleanedData!$B$2:$B$193,$B$14,CleanedData!$C$2:$C$193,$B$15))</f>
        <v>2095980</v>
      </c>
      <c r="F22" s="24">
        <f t="shared" si="2"/>
        <v>0.1700103828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9" t="str">
        <f>IFERROR(__xludf.DUMMYFUNCTION("""COMPUTED_VALUE"""),"June")</f>
        <v>June</v>
      </c>
      <c r="B23" s="19">
        <f>if($B$15="Overall",SUMIFS(CleanedData!$D$2:$D$193,CleanedData!$L$2:$L$193,$A23,CleanedData!$B$2:$B$193,$B$14), SUMIFS(CleanedData!$D$2:$D$193,CleanedData!$L$2:$L$193,$A23,CleanedData!$B$2:$B$193,$B$14,CleanedData!$C$2:$C$193,$B$15))</f>
        <v>34634</v>
      </c>
      <c r="C23" s="19">
        <f>if($B$15="Overall",SUMIFS(CleanedData!$G$2:$G$193,CleanedData!$L$2:$L$193,$A23,CleanedData!$B$2:$B$193,$B$14), SUMIFS(CleanedData!$G$2:$G$193,CleanedData!$L$2:$L$193,$A23,CleanedData!$B$2:$B$193,$B$14,CleanedData!$C$2:$C$193,$B$15))</f>
        <v>2078040</v>
      </c>
      <c r="D23" s="19">
        <f>if($B$15="Overall",SUMIFS(CleanedData!$E$2:$E$193,CleanedData!$L$2:$L$193,$A23,CleanedData!$B$2:$B$193,$B$14), SUMIFS(CleanedData!$E$2:$E$193,CleanedData!$L$2:$L$193,$A23,CleanedData!$B$2:$B$193,$B$14,CleanedData!$C$2:$C$193,$B$15))</f>
        <v>41907</v>
      </c>
      <c r="E23" s="19">
        <f>if($B$15="Overall",SUMIFS(CleanedData!$H$2:$H$193,CleanedData!$L$2:$L$193,$A23,CleanedData!$B$2:$B$193,$B$14),SUMIFS(CleanedData!$H$2:$H$193,CleanedData!$L$2:$L$193,$A23,CleanedData!$B$2:$B$193,$B$14,CleanedData!$C$2:$C$193,$B$15))</f>
        <v>2514420</v>
      </c>
      <c r="F23" s="24">
        <f t="shared" si="2"/>
        <v>0.2099959577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3">
    <mergeCell ref="B14:F14"/>
    <mergeCell ref="B15:F15"/>
    <mergeCell ref="A16:A17"/>
    <mergeCell ref="B16:C16"/>
    <mergeCell ref="D16:E16"/>
    <mergeCell ref="F16:F17"/>
    <mergeCell ref="A1:E1"/>
    <mergeCell ref="B2:E2"/>
    <mergeCell ref="B3:E3"/>
    <mergeCell ref="A4:A5"/>
    <mergeCell ref="B4:C4"/>
    <mergeCell ref="D4:E4"/>
    <mergeCell ref="A13:F13"/>
  </mergeCells>
  <dataValidations>
    <dataValidation type="list" allowBlank="1" showErrorMessage="1" sqref="B2">
      <formula1>CleanedData!$I$2:$I$193</formula1>
    </dataValidation>
    <dataValidation type="list" allowBlank="1" showErrorMessage="1" sqref="B14">
      <formula1>CleanedData!$B$2:$B$193</formula1>
    </dataValidation>
    <dataValidation type="list" allowBlank="1" showErrorMessage="1" sqref="B3 B15">
      <formula1>"ZestVita,NutriKid,Overall"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4" width="27.75"/>
  </cols>
  <sheetData>
    <row r="1">
      <c r="A1" s="25" t="s">
        <v>284</v>
      </c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209</v>
      </c>
      <c r="B2" s="28" t="s">
        <v>285</v>
      </c>
      <c r="C2" s="28" t="s">
        <v>286</v>
      </c>
      <c r="D2" s="25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 t="s">
        <v>287</v>
      </c>
      <c r="B3" s="30">
        <v>300.0</v>
      </c>
      <c r="C3" s="30">
        <v>135.0</v>
      </c>
      <c r="D3" s="31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2" t="s">
        <v>274</v>
      </c>
      <c r="B4" s="32">
        <v>200.0</v>
      </c>
      <c r="C4" s="32">
        <v>60.0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8" t="s">
        <v>288</v>
      </c>
      <c r="B6" s="26"/>
      <c r="C6" s="3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8" t="s">
        <v>287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34" t="s">
        <v>289</v>
      </c>
      <c r="B8" s="35" t="s">
        <v>290</v>
      </c>
      <c r="C8" s="35" t="s">
        <v>291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32" t="s">
        <v>292</v>
      </c>
      <c r="B9" s="32">
        <v>8.0</v>
      </c>
      <c r="C9" s="36">
        <v>0.35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32" t="s">
        <v>293</v>
      </c>
      <c r="B10" s="32">
        <v>50.0</v>
      </c>
      <c r="C10" s="36">
        <v>0.35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32" t="s">
        <v>294</v>
      </c>
      <c r="B11" s="32">
        <v>400.0</v>
      </c>
      <c r="C11" s="36">
        <v>0.1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2" t="s">
        <v>295</v>
      </c>
      <c r="B12" s="32">
        <v>300.0</v>
      </c>
      <c r="C12" s="36">
        <v>0.1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2" t="s">
        <v>296</v>
      </c>
      <c r="B13" s="32">
        <v>90.0</v>
      </c>
      <c r="C13" s="36">
        <v>0.05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2" t="s">
        <v>297</v>
      </c>
      <c r="B14" s="32">
        <v>1100.0</v>
      </c>
      <c r="C14" s="36">
        <v>0.02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2" t="s">
        <v>298</v>
      </c>
      <c r="B15" s="32">
        <v>1200.0</v>
      </c>
      <c r="C15" s="36">
        <v>0.03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2"/>
      <c r="B16" s="27"/>
      <c r="C16" s="3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2"/>
      <c r="B17" s="27"/>
      <c r="C17" s="3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8" t="s">
        <v>288</v>
      </c>
      <c r="B18" s="26"/>
      <c r="C18" s="33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8" t="s">
        <v>274</v>
      </c>
      <c r="C19" s="38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34" t="s">
        <v>289</v>
      </c>
      <c r="B20" s="35" t="s">
        <v>290</v>
      </c>
      <c r="C20" s="39" t="s">
        <v>291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40" t="s">
        <v>292</v>
      </c>
      <c r="B21" s="32">
        <v>8.0</v>
      </c>
      <c r="C21" s="36">
        <v>0.42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40" t="s">
        <v>296</v>
      </c>
      <c r="B22" s="32">
        <v>90.0</v>
      </c>
      <c r="C22" s="36">
        <v>0.06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40" t="s">
        <v>298</v>
      </c>
      <c r="B23" s="32">
        <v>1200.0</v>
      </c>
      <c r="C23" s="36">
        <v>0.03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40" t="s">
        <v>299</v>
      </c>
      <c r="B24" s="32">
        <v>80.0</v>
      </c>
      <c r="C24" s="36">
        <v>0.2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40" t="s">
        <v>300</v>
      </c>
      <c r="B25" s="32">
        <v>40.0</v>
      </c>
      <c r="C25" s="36">
        <v>0.15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0" t="s">
        <v>301</v>
      </c>
      <c r="B26" s="32">
        <v>29.0</v>
      </c>
      <c r="C26" s="36">
        <v>0.07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40" t="s">
        <v>302</v>
      </c>
      <c r="B27" s="32">
        <v>25.0</v>
      </c>
      <c r="C27" s="36">
        <v>0.07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1"/>
      <c r="B28" s="42"/>
      <c r="C28" s="43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41"/>
      <c r="B29" s="42" t="s">
        <v>303</v>
      </c>
      <c r="C29" s="43" t="s">
        <v>304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44" t="s">
        <v>305</v>
      </c>
      <c r="B30" s="45">
        <v>2.0</v>
      </c>
      <c r="C30" s="46">
        <v>5.0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47" t="s">
        <v>306</v>
      </c>
      <c r="B31" s="45">
        <v>8.0</v>
      </c>
      <c r="C31" s="46">
        <v>11.0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48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48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7" t="s">
        <v>307</v>
      </c>
      <c r="B34" s="41"/>
      <c r="C34" s="48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0" t="s">
        <v>308</v>
      </c>
      <c r="B35" s="49">
        <v>150000.0</v>
      </c>
      <c r="C35" s="48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0" t="s">
        <v>309</v>
      </c>
      <c r="B36" s="49">
        <v>75000.0</v>
      </c>
      <c r="C36" s="48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48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44" t="s">
        <v>310</v>
      </c>
      <c r="B38" s="44" t="s">
        <v>311</v>
      </c>
      <c r="C38" s="50" t="s">
        <v>312</v>
      </c>
      <c r="D38" s="41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51" t="s">
        <v>313</v>
      </c>
      <c r="B39" s="52">
        <v>85725.0</v>
      </c>
      <c r="C39" s="53">
        <v>0.1</v>
      </c>
      <c r="D39" s="40" t="s">
        <v>314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48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48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44" t="s">
        <v>315</v>
      </c>
      <c r="B42" s="42" t="s">
        <v>316</v>
      </c>
      <c r="C42" s="48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40" t="s">
        <v>317</v>
      </c>
      <c r="B43" s="49">
        <v>1.0E7</v>
      </c>
      <c r="C43" s="4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40" t="s">
        <v>318</v>
      </c>
      <c r="B44" s="52">
        <v>100000.0</v>
      </c>
      <c r="C44" s="48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51" t="s">
        <v>319</v>
      </c>
      <c r="B45" s="52">
        <v>1200000.0</v>
      </c>
      <c r="C45" s="36">
        <v>0.12</v>
      </c>
      <c r="D45" s="32" t="s">
        <v>320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48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48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48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48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4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48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4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48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48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4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4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4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48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48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 t="s">
        <v>321</v>
      </c>
    </row>
    <row r="2">
      <c r="A2" s="55" t="s">
        <v>287</v>
      </c>
      <c r="B2" s="56" t="s">
        <v>241</v>
      </c>
      <c r="C2" s="56" t="s">
        <v>242</v>
      </c>
      <c r="D2" s="56" t="s">
        <v>243</v>
      </c>
      <c r="E2" s="56" t="s">
        <v>244</v>
      </c>
      <c r="F2" s="56" t="s">
        <v>245</v>
      </c>
      <c r="G2" s="56" t="s">
        <v>246</v>
      </c>
    </row>
    <row r="3">
      <c r="A3" s="40" t="s">
        <v>276</v>
      </c>
      <c r="B3" s="45">
        <f>SUMIFS(CleanedData!$D$2:$D$193,CleanedData!$C$2:$C$193,$A$2,CleanedData!$L$2:$L$193,B$2)</f>
        <v>309397</v>
      </c>
      <c r="C3" s="45">
        <f>SUMIFS(CleanedData!$D$2:$D$193,CleanedData!$C$2:$C$193,$A$2,CleanedData!$L$2:$L$193,C$2)</f>
        <v>348728</v>
      </c>
      <c r="D3" s="45">
        <f>SUMIFS(CleanedData!$D$2:$D$193,CleanedData!$C$2:$C$193,$A$2,CleanedData!$L$2:$L$193,D$2)</f>
        <v>393862</v>
      </c>
      <c r="E3" s="45">
        <f>SUMIFS(CleanedData!$D$2:$D$193,CleanedData!$C$2:$C$193,$A$2,CleanedData!$L$2:$L$193,E$2)</f>
        <v>442908</v>
      </c>
      <c r="F3" s="45">
        <f>SUMIFS(CleanedData!$D$2:$D$193,CleanedData!$C$2:$C$193,$A$2,CleanedData!$L$2:$L$193,F$2)</f>
        <v>500422</v>
      </c>
      <c r="G3" s="45">
        <f>SUMIFS(CleanedData!$D$2:$D$193,CleanedData!$C$2:$C$193,$A$2,CleanedData!$L$2:$L$193,G$2)</f>
        <v>565628</v>
      </c>
    </row>
    <row r="4">
      <c r="A4" s="40" t="s">
        <v>277</v>
      </c>
      <c r="B4" s="45">
        <f>SUMIFS(CleanedData!$E$2:$E$193,CleanedData!$C$2:$C$193,$A$2,CleanedData!$L$2:$L$193,B$2)</f>
        <v>350453</v>
      </c>
      <c r="C4" s="45">
        <f>SUMIFS(CleanedData!$E$2:$E$193,CleanedData!$C$2:$C$193,$A$2,CleanedData!$L$2:$L$193,C$2)</f>
        <v>393986</v>
      </c>
      <c r="D4" s="45">
        <f>SUMIFS(CleanedData!$E$2:$E$193,CleanedData!$C$2:$C$193,$A$2,CleanedData!$L$2:$L$193,D$2)</f>
        <v>455401</v>
      </c>
      <c r="E4" s="45">
        <f>SUMIFS(CleanedData!$E$2:$E$193,CleanedData!$C$2:$C$193,$A$2,CleanedData!$L$2:$L$193,E$2)</f>
        <v>510037</v>
      </c>
      <c r="F4" s="45">
        <f>SUMIFS(CleanedData!$E$2:$E$193,CleanedData!$C$2:$C$193,$A$2,CleanedData!$L$2:$L$193,F$2)</f>
        <v>575847</v>
      </c>
      <c r="G4" s="45">
        <f>SUMIFS(CleanedData!$E$2:$E$193,CleanedData!$C$2:$C$193,$A$2,CleanedData!$L$2:$L$193,G$2)</f>
        <v>655279</v>
      </c>
    </row>
    <row r="5">
      <c r="A5" s="57"/>
      <c r="B5" s="41"/>
      <c r="C5" s="41"/>
      <c r="D5" s="41"/>
      <c r="E5" s="41"/>
      <c r="F5" s="41"/>
      <c r="G5" s="41"/>
    </row>
    <row r="6">
      <c r="A6" s="55" t="s">
        <v>274</v>
      </c>
      <c r="B6" s="41"/>
      <c r="C6" s="41"/>
      <c r="D6" s="41"/>
      <c r="E6" s="41"/>
      <c r="F6" s="41"/>
      <c r="G6" s="41"/>
    </row>
    <row r="7">
      <c r="A7" s="40" t="s">
        <v>276</v>
      </c>
      <c r="B7" s="45">
        <f>SUMIFS(CleanedData!$D$2:$D$193,CleanedData!$C$2:$C$193,$A$6,CleanedData!$L$2:$L$193,B$2)</f>
        <v>273222</v>
      </c>
      <c r="C7" s="45">
        <f>SUMIFS(CleanedData!$D$2:$D$193,CleanedData!$C$2:$C$193,$A$6,CleanedData!$L$2:$L$193,C$2)</f>
        <v>307880</v>
      </c>
      <c r="D7" s="45">
        <f>SUMIFS(CleanedData!$D$2:$D$193,CleanedData!$C$2:$C$193,$A$6,CleanedData!$L$2:$L$193,D$2)</f>
        <v>348993</v>
      </c>
      <c r="E7" s="45">
        <f>SUMIFS(CleanedData!$D$2:$D$193,CleanedData!$C$2:$C$193,$A$6,CleanedData!$L$2:$L$193,E$2)</f>
        <v>397553</v>
      </c>
      <c r="F7" s="45">
        <f>SUMIFS(CleanedData!$D$2:$D$193,CleanedData!$C$2:$C$193,$A$6,CleanedData!$L$2:$L$193,F$2)</f>
        <v>453944</v>
      </c>
      <c r="G7" s="45">
        <f>SUMIFS(CleanedData!$D$2:$D$193,CleanedData!$C$2:$C$193,$A$6,CleanedData!$L$2:$L$193,G$2)</f>
        <v>518336</v>
      </c>
    </row>
    <row r="8">
      <c r="A8" s="40" t="s">
        <v>277</v>
      </c>
      <c r="B8" s="45">
        <f>SUMIFS(CleanedData!$E$2:$E$193,CleanedData!$C$2:$C$193,$A$6,CleanedData!$L$2:$L$193,B$2)</f>
        <v>315855</v>
      </c>
      <c r="C8" s="45">
        <f>SUMIFS(CleanedData!$E$2:$E$193,CleanedData!$C$2:$C$193,$A$6,CleanedData!$L$2:$L$193,C$2)</f>
        <v>352265</v>
      </c>
      <c r="D8" s="45">
        <f>SUMIFS(CleanedData!$E$2:$E$193,CleanedData!$C$2:$C$193,$A$6,CleanedData!$L$2:$L$193,D$2)</f>
        <v>401237</v>
      </c>
      <c r="E8" s="45">
        <f>SUMIFS(CleanedData!$E$2:$E$193,CleanedData!$C$2:$C$193,$A$6,CleanedData!$L$2:$L$193,E$2)</f>
        <v>462085</v>
      </c>
      <c r="F8" s="45">
        <f>SUMIFS(CleanedData!$E$2:$E$193,CleanedData!$C$2:$C$193,$A$6,CleanedData!$L$2:$L$193,F$2)</f>
        <v>519273</v>
      </c>
      <c r="G8" s="45">
        <f>SUMIFS(CleanedData!$E$2:$E$193,CleanedData!$C$2:$C$193,$A$6,CleanedData!$L$2:$L$193,G$2)</f>
        <v>597654</v>
      </c>
    </row>
    <row r="9">
      <c r="A9" s="41"/>
      <c r="B9" s="41"/>
      <c r="C9" s="41"/>
      <c r="D9" s="41"/>
      <c r="E9" s="41"/>
      <c r="F9" s="41"/>
      <c r="G9" s="41"/>
    </row>
    <row r="10">
      <c r="A10" s="58"/>
    </row>
    <row r="11">
      <c r="A11" s="59"/>
      <c r="B11" s="60"/>
      <c r="C11" s="60"/>
      <c r="D11" s="60"/>
      <c r="E11" s="60"/>
      <c r="F11" s="60"/>
      <c r="G11" s="60"/>
    </row>
    <row r="12">
      <c r="A12" s="59"/>
      <c r="B12" s="61"/>
      <c r="C12" s="61"/>
      <c r="D12" s="61"/>
      <c r="E12" s="61"/>
      <c r="F12" s="61"/>
      <c r="G12" s="61"/>
    </row>
    <row r="13">
      <c r="A13" s="59"/>
      <c r="B13" s="61"/>
      <c r="C13" s="61"/>
      <c r="D13" s="61"/>
      <c r="E13" s="61"/>
      <c r="F13" s="61"/>
      <c r="G13" s="61"/>
    </row>
    <row r="14">
      <c r="A14" s="41"/>
      <c r="B14" s="41"/>
      <c r="C14" s="41"/>
      <c r="D14" s="41"/>
      <c r="E14" s="41"/>
      <c r="F14" s="41"/>
      <c r="G14" s="41"/>
    </row>
    <row r="15">
      <c r="B15" s="41"/>
      <c r="C15" s="41"/>
      <c r="D15" s="41"/>
      <c r="E15" s="41"/>
      <c r="F15" s="41"/>
      <c r="G15" s="41"/>
    </row>
    <row r="16">
      <c r="A16" s="40"/>
      <c r="B16" s="45"/>
      <c r="C16" s="45"/>
      <c r="D16" s="45"/>
      <c r="E16" s="45"/>
      <c r="F16" s="45"/>
      <c r="G16" s="45"/>
    </row>
    <row r="17">
      <c r="A17" s="40"/>
      <c r="B17" s="45"/>
      <c r="C17" s="45"/>
      <c r="D17" s="45"/>
      <c r="E17" s="45"/>
      <c r="F17" s="45"/>
      <c r="G17" s="45"/>
    </row>
  </sheetData>
  <mergeCells count="2">
    <mergeCell ref="A1:G1"/>
    <mergeCell ref="A10:G1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62"/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245</v>
      </c>
      <c r="G1" s="56" t="s">
        <v>246</v>
      </c>
    </row>
    <row r="2">
      <c r="A2" s="59" t="s">
        <v>287</v>
      </c>
      <c r="B2" s="41"/>
      <c r="C2" s="41"/>
      <c r="D2" s="41"/>
      <c r="E2" s="41"/>
      <c r="F2" s="41"/>
      <c r="G2" s="41"/>
    </row>
    <row r="3">
      <c r="A3" s="47" t="s">
        <v>322</v>
      </c>
      <c r="B3" s="41"/>
      <c r="C3" s="41"/>
      <c r="D3" s="41"/>
      <c r="E3" s="41"/>
      <c r="F3" s="41"/>
      <c r="G3" s="41"/>
    </row>
    <row r="4">
      <c r="A4" s="32" t="s">
        <v>292</v>
      </c>
      <c r="B4" s="45">
        <f>Assumptions!$B$3*Assumptions!$C9</f>
        <v>105</v>
      </c>
      <c r="C4" s="45">
        <f>Assumptions!$B$3*Assumptions!$C9</f>
        <v>105</v>
      </c>
      <c r="D4" s="45">
        <f>Assumptions!$B$3*Assumptions!$C9</f>
        <v>105</v>
      </c>
      <c r="E4" s="45">
        <f>Assumptions!$B$3*Assumptions!$C9</f>
        <v>105</v>
      </c>
      <c r="F4" s="45">
        <f>Assumptions!$B$3*Assumptions!$C9</f>
        <v>105</v>
      </c>
      <c r="G4" s="45">
        <f>Assumptions!$B$3*Assumptions!$C9</f>
        <v>105</v>
      </c>
    </row>
    <row r="5">
      <c r="A5" s="32" t="s">
        <v>293</v>
      </c>
      <c r="B5" s="45">
        <f>Assumptions!$B$3*Assumptions!$C10</f>
        <v>105</v>
      </c>
      <c r="C5" s="45">
        <f>Assumptions!$B$3*Assumptions!$C10</f>
        <v>105</v>
      </c>
      <c r="D5" s="45">
        <f>Assumptions!$B$3*Assumptions!$C10</f>
        <v>105</v>
      </c>
      <c r="E5" s="45">
        <f>Assumptions!$B$3*Assumptions!$C10</f>
        <v>105</v>
      </c>
      <c r="F5" s="45">
        <f>Assumptions!$B$3*Assumptions!$C10</f>
        <v>105</v>
      </c>
      <c r="G5" s="45">
        <f>Assumptions!$B$3*Assumptions!$C10</f>
        <v>105</v>
      </c>
    </row>
    <row r="6">
      <c r="A6" s="32" t="s">
        <v>294</v>
      </c>
      <c r="B6" s="45">
        <f>Assumptions!$B$3*Assumptions!$C11</f>
        <v>30</v>
      </c>
      <c r="C6" s="45">
        <f>Assumptions!$B$3*Assumptions!$C11</f>
        <v>30</v>
      </c>
      <c r="D6" s="45">
        <f>Assumptions!$B$3*Assumptions!$C11</f>
        <v>30</v>
      </c>
      <c r="E6" s="45">
        <f>Assumptions!$B$3*Assumptions!$C11</f>
        <v>30</v>
      </c>
      <c r="F6" s="45">
        <f>Assumptions!$B$3*Assumptions!$C11</f>
        <v>30</v>
      </c>
      <c r="G6" s="45">
        <f>Assumptions!$B$3*Assumptions!$C11</f>
        <v>30</v>
      </c>
    </row>
    <row r="7">
      <c r="A7" s="32" t="s">
        <v>295</v>
      </c>
      <c r="B7" s="45">
        <f>Assumptions!$B$3*Assumptions!$C12</f>
        <v>30</v>
      </c>
      <c r="C7" s="45">
        <f>Assumptions!$B$3*Assumptions!$C12</f>
        <v>30</v>
      </c>
      <c r="D7" s="45">
        <f>Assumptions!$B$3*Assumptions!$C12</f>
        <v>30</v>
      </c>
      <c r="E7" s="45">
        <f>Assumptions!$B$3*Assumptions!$C12</f>
        <v>30</v>
      </c>
      <c r="F7" s="45">
        <f>Assumptions!$B$3*Assumptions!$C12</f>
        <v>30</v>
      </c>
      <c r="G7" s="45">
        <f>Assumptions!$B$3*Assumptions!$C12</f>
        <v>30</v>
      </c>
    </row>
    <row r="8">
      <c r="A8" s="32" t="s">
        <v>296</v>
      </c>
      <c r="B8" s="45">
        <f>Assumptions!$B$3*Assumptions!$C13</f>
        <v>15</v>
      </c>
      <c r="C8" s="45">
        <f>Assumptions!$B$3*Assumptions!$C13</f>
        <v>15</v>
      </c>
      <c r="D8" s="45">
        <f>Assumptions!$B$3*Assumptions!$C13</f>
        <v>15</v>
      </c>
      <c r="E8" s="45">
        <f>Assumptions!$B$3*Assumptions!$C13</f>
        <v>15</v>
      </c>
      <c r="F8" s="45">
        <f>Assumptions!$B$3*Assumptions!$C13</f>
        <v>15</v>
      </c>
      <c r="G8" s="45">
        <f>Assumptions!$B$3*Assumptions!$C13</f>
        <v>15</v>
      </c>
    </row>
    <row r="9">
      <c r="A9" s="32" t="s">
        <v>297</v>
      </c>
      <c r="B9" s="45">
        <f>Assumptions!$B$3*Assumptions!$C14</f>
        <v>6</v>
      </c>
      <c r="C9" s="45">
        <f>Assumptions!$B$3*Assumptions!$C14</f>
        <v>6</v>
      </c>
      <c r="D9" s="45">
        <f>Assumptions!$B$3*Assumptions!$C14</f>
        <v>6</v>
      </c>
      <c r="E9" s="45">
        <f>Assumptions!$B$3*Assumptions!$C14</f>
        <v>6</v>
      </c>
      <c r="F9" s="45">
        <f>Assumptions!$B$3*Assumptions!$C14</f>
        <v>6</v>
      </c>
      <c r="G9" s="45">
        <f>Assumptions!$B$3*Assumptions!$C14</f>
        <v>6</v>
      </c>
    </row>
    <row r="10">
      <c r="A10" s="32" t="s">
        <v>298</v>
      </c>
      <c r="B10" s="45">
        <f>Assumptions!$B$3*Assumptions!$C15</f>
        <v>9</v>
      </c>
      <c r="C10" s="45">
        <f>Assumptions!$B$3*Assumptions!$C15</f>
        <v>9</v>
      </c>
      <c r="D10" s="45">
        <f>Assumptions!$B$3*Assumptions!$C15</f>
        <v>9</v>
      </c>
      <c r="E10" s="45">
        <f>Assumptions!$B$3*Assumptions!$C15</f>
        <v>9</v>
      </c>
      <c r="F10" s="45">
        <f>Assumptions!$B$3*Assumptions!$C15</f>
        <v>9</v>
      </c>
      <c r="G10" s="45">
        <f>Assumptions!$B$3*Assumptions!$C15</f>
        <v>9</v>
      </c>
    </row>
    <row r="11">
      <c r="A11" s="41"/>
      <c r="B11" s="41"/>
      <c r="C11" s="41"/>
      <c r="D11" s="41"/>
      <c r="E11" s="41"/>
      <c r="F11" s="41"/>
      <c r="G11" s="41"/>
    </row>
    <row r="12">
      <c r="A12" s="41"/>
      <c r="B12" s="41"/>
      <c r="C12" s="41"/>
      <c r="D12" s="41"/>
      <c r="E12" s="41"/>
      <c r="F12" s="41"/>
      <c r="G12" s="41"/>
    </row>
    <row r="13">
      <c r="A13" s="47" t="s">
        <v>323</v>
      </c>
      <c r="B13" s="41"/>
      <c r="C13" s="41"/>
      <c r="D13" s="41"/>
      <c r="E13" s="41"/>
      <c r="F13" s="41"/>
      <c r="G13" s="41"/>
    </row>
    <row r="14">
      <c r="A14" s="40" t="s">
        <v>276</v>
      </c>
      <c r="B14" s="45">
        <f>'Sales Quantity'!B3</f>
        <v>309397</v>
      </c>
      <c r="C14" s="45">
        <f>'Sales Quantity'!C3</f>
        <v>348728</v>
      </c>
      <c r="D14" s="45">
        <f>'Sales Quantity'!D3</f>
        <v>393862</v>
      </c>
      <c r="E14" s="45">
        <f>'Sales Quantity'!E3</f>
        <v>442908</v>
      </c>
      <c r="F14" s="45">
        <f>'Sales Quantity'!F3</f>
        <v>500422</v>
      </c>
      <c r="G14" s="45">
        <f>'Sales Quantity'!G3</f>
        <v>565628</v>
      </c>
    </row>
    <row r="15">
      <c r="A15" s="40" t="s">
        <v>277</v>
      </c>
      <c r="B15" s="45">
        <f>'Sales Quantity'!B4</f>
        <v>350453</v>
      </c>
      <c r="C15" s="45">
        <f>'Sales Quantity'!C4</f>
        <v>393986</v>
      </c>
      <c r="D15" s="45">
        <f>'Sales Quantity'!D4</f>
        <v>455401</v>
      </c>
      <c r="E15" s="45">
        <f>'Sales Quantity'!E4</f>
        <v>510037</v>
      </c>
      <c r="F15" s="45">
        <f>'Sales Quantity'!F4</f>
        <v>575847</v>
      </c>
      <c r="G15" s="45">
        <f>'Sales Quantity'!G4</f>
        <v>655279</v>
      </c>
    </row>
    <row r="16">
      <c r="A16" s="41"/>
      <c r="B16" s="41"/>
      <c r="C16" s="41"/>
      <c r="D16" s="41"/>
      <c r="E16" s="41"/>
      <c r="F16" s="41"/>
      <c r="G16" s="41"/>
    </row>
    <row r="17">
      <c r="A17" s="47" t="s">
        <v>324</v>
      </c>
      <c r="B17" s="41"/>
      <c r="C17" s="41"/>
      <c r="D17" s="41"/>
      <c r="E17" s="41"/>
      <c r="F17" s="41"/>
      <c r="G17" s="41"/>
    </row>
    <row r="18">
      <c r="A18" s="47" t="s">
        <v>276</v>
      </c>
      <c r="B18" s="41"/>
      <c r="C18" s="41"/>
      <c r="D18" s="41"/>
      <c r="E18" s="41"/>
      <c r="F18" s="41"/>
      <c r="G18" s="41"/>
    </row>
    <row r="19">
      <c r="A19" s="40" t="s">
        <v>292</v>
      </c>
      <c r="B19" s="63">
        <f t="shared" ref="B19:G19" si="1">B$14*B4/1000</f>
        <v>32486.685</v>
      </c>
      <c r="C19" s="63">
        <f t="shared" si="1"/>
        <v>36616.44</v>
      </c>
      <c r="D19" s="63">
        <f t="shared" si="1"/>
        <v>41355.51</v>
      </c>
      <c r="E19" s="63">
        <f t="shared" si="1"/>
        <v>46505.34</v>
      </c>
      <c r="F19" s="63">
        <f t="shared" si="1"/>
        <v>52544.31</v>
      </c>
      <c r="G19" s="63">
        <f t="shared" si="1"/>
        <v>59390.94</v>
      </c>
    </row>
    <row r="20">
      <c r="A20" s="40" t="s">
        <v>293</v>
      </c>
      <c r="B20" s="63">
        <f t="shared" ref="B20:G20" si="2">B$14*B5/1000</f>
        <v>32486.685</v>
      </c>
      <c r="C20" s="63">
        <f t="shared" si="2"/>
        <v>36616.44</v>
      </c>
      <c r="D20" s="63">
        <f t="shared" si="2"/>
        <v>41355.51</v>
      </c>
      <c r="E20" s="63">
        <f t="shared" si="2"/>
        <v>46505.34</v>
      </c>
      <c r="F20" s="63">
        <f t="shared" si="2"/>
        <v>52544.31</v>
      </c>
      <c r="G20" s="63">
        <f t="shared" si="2"/>
        <v>59390.94</v>
      </c>
    </row>
    <row r="21">
      <c r="A21" s="40" t="s">
        <v>294</v>
      </c>
      <c r="B21" s="63">
        <f t="shared" ref="B21:G21" si="3">B$14*B6/1000</f>
        <v>9281.91</v>
      </c>
      <c r="C21" s="63">
        <f t="shared" si="3"/>
        <v>10461.84</v>
      </c>
      <c r="D21" s="63">
        <f t="shared" si="3"/>
        <v>11815.86</v>
      </c>
      <c r="E21" s="63">
        <f t="shared" si="3"/>
        <v>13287.24</v>
      </c>
      <c r="F21" s="63">
        <f t="shared" si="3"/>
        <v>15012.66</v>
      </c>
      <c r="G21" s="63">
        <f t="shared" si="3"/>
        <v>16968.84</v>
      </c>
    </row>
    <row r="22">
      <c r="A22" s="40" t="s">
        <v>295</v>
      </c>
      <c r="B22" s="63">
        <f t="shared" ref="B22:G22" si="4">B$14*B7/1000</f>
        <v>9281.91</v>
      </c>
      <c r="C22" s="63">
        <f t="shared" si="4"/>
        <v>10461.84</v>
      </c>
      <c r="D22" s="63">
        <f t="shared" si="4"/>
        <v>11815.86</v>
      </c>
      <c r="E22" s="63">
        <f t="shared" si="4"/>
        <v>13287.24</v>
      </c>
      <c r="F22" s="63">
        <f t="shared" si="4"/>
        <v>15012.66</v>
      </c>
      <c r="G22" s="63">
        <f t="shared" si="4"/>
        <v>16968.84</v>
      </c>
    </row>
    <row r="23">
      <c r="A23" s="40" t="s">
        <v>296</v>
      </c>
      <c r="B23" s="63">
        <f t="shared" ref="B23:G23" si="5">B$14*B8/1000</f>
        <v>4640.955</v>
      </c>
      <c r="C23" s="63">
        <f t="shared" si="5"/>
        <v>5230.92</v>
      </c>
      <c r="D23" s="63">
        <f t="shared" si="5"/>
        <v>5907.93</v>
      </c>
      <c r="E23" s="63">
        <f t="shared" si="5"/>
        <v>6643.62</v>
      </c>
      <c r="F23" s="63">
        <f t="shared" si="5"/>
        <v>7506.33</v>
      </c>
      <c r="G23" s="63">
        <f t="shared" si="5"/>
        <v>8484.42</v>
      </c>
    </row>
    <row r="24">
      <c r="A24" s="40" t="s">
        <v>297</v>
      </c>
      <c r="B24" s="63">
        <f t="shared" ref="B24:G24" si="6">B$14*B9/1000</f>
        <v>1856.382</v>
      </c>
      <c r="C24" s="63">
        <f t="shared" si="6"/>
        <v>2092.368</v>
      </c>
      <c r="D24" s="63">
        <f t="shared" si="6"/>
        <v>2363.172</v>
      </c>
      <c r="E24" s="63">
        <f t="shared" si="6"/>
        <v>2657.448</v>
      </c>
      <c r="F24" s="63">
        <f t="shared" si="6"/>
        <v>3002.532</v>
      </c>
      <c r="G24" s="63">
        <f t="shared" si="6"/>
        <v>3393.768</v>
      </c>
    </row>
    <row r="25">
      <c r="A25" s="40" t="s">
        <v>298</v>
      </c>
      <c r="B25" s="63">
        <f t="shared" ref="B25:G25" si="7">B$14*B10/1000</f>
        <v>2784.573</v>
      </c>
      <c r="C25" s="63">
        <f t="shared" si="7"/>
        <v>3138.552</v>
      </c>
      <c r="D25" s="63">
        <f t="shared" si="7"/>
        <v>3544.758</v>
      </c>
      <c r="E25" s="63">
        <f t="shared" si="7"/>
        <v>3986.172</v>
      </c>
      <c r="F25" s="63">
        <f t="shared" si="7"/>
        <v>4503.798</v>
      </c>
      <c r="G25" s="63">
        <f t="shared" si="7"/>
        <v>5090.652</v>
      </c>
    </row>
    <row r="26">
      <c r="A26" s="41"/>
      <c r="B26" s="41"/>
      <c r="C26" s="41"/>
      <c r="D26" s="41"/>
      <c r="E26" s="41"/>
      <c r="F26" s="41"/>
      <c r="G26" s="41"/>
    </row>
    <row r="27">
      <c r="A27" s="47" t="s">
        <v>277</v>
      </c>
      <c r="B27" s="41"/>
      <c r="C27" s="41"/>
      <c r="D27" s="41"/>
      <c r="E27" s="41"/>
      <c r="F27" s="41"/>
      <c r="G27" s="41"/>
    </row>
    <row r="28">
      <c r="A28" s="40" t="s">
        <v>292</v>
      </c>
      <c r="B28" s="63">
        <f t="shared" ref="B28:G28" si="8">B$15*B4/1000</f>
        <v>36797.565</v>
      </c>
      <c r="C28" s="63">
        <f t="shared" si="8"/>
        <v>41368.53</v>
      </c>
      <c r="D28" s="63">
        <f t="shared" si="8"/>
        <v>47817.105</v>
      </c>
      <c r="E28" s="63">
        <f t="shared" si="8"/>
        <v>53553.885</v>
      </c>
      <c r="F28" s="63">
        <f t="shared" si="8"/>
        <v>60463.935</v>
      </c>
      <c r="G28" s="63">
        <f t="shared" si="8"/>
        <v>68804.295</v>
      </c>
    </row>
    <row r="29">
      <c r="A29" s="40" t="s">
        <v>293</v>
      </c>
      <c r="B29" s="63">
        <f t="shared" ref="B29:G29" si="9">B$15*B5/1000</f>
        <v>36797.565</v>
      </c>
      <c r="C29" s="63">
        <f t="shared" si="9"/>
        <v>41368.53</v>
      </c>
      <c r="D29" s="63">
        <f t="shared" si="9"/>
        <v>47817.105</v>
      </c>
      <c r="E29" s="63">
        <f t="shared" si="9"/>
        <v>53553.885</v>
      </c>
      <c r="F29" s="63">
        <f t="shared" si="9"/>
        <v>60463.935</v>
      </c>
      <c r="G29" s="63">
        <f t="shared" si="9"/>
        <v>68804.295</v>
      </c>
    </row>
    <row r="30">
      <c r="A30" s="40" t="s">
        <v>294</v>
      </c>
      <c r="B30" s="63">
        <f t="shared" ref="B30:G30" si="10">B$15*B6/1000</f>
        <v>10513.59</v>
      </c>
      <c r="C30" s="63">
        <f t="shared" si="10"/>
        <v>11819.58</v>
      </c>
      <c r="D30" s="63">
        <f t="shared" si="10"/>
        <v>13662.03</v>
      </c>
      <c r="E30" s="63">
        <f t="shared" si="10"/>
        <v>15301.11</v>
      </c>
      <c r="F30" s="63">
        <f t="shared" si="10"/>
        <v>17275.41</v>
      </c>
      <c r="G30" s="63">
        <f t="shared" si="10"/>
        <v>19658.37</v>
      </c>
    </row>
    <row r="31">
      <c r="A31" s="40" t="s">
        <v>295</v>
      </c>
      <c r="B31" s="63">
        <f t="shared" ref="B31:G31" si="11">B$15*B7/1000</f>
        <v>10513.59</v>
      </c>
      <c r="C31" s="63">
        <f t="shared" si="11"/>
        <v>11819.58</v>
      </c>
      <c r="D31" s="63">
        <f t="shared" si="11"/>
        <v>13662.03</v>
      </c>
      <c r="E31" s="63">
        <f t="shared" si="11"/>
        <v>15301.11</v>
      </c>
      <c r="F31" s="63">
        <f t="shared" si="11"/>
        <v>17275.41</v>
      </c>
      <c r="G31" s="63">
        <f t="shared" si="11"/>
        <v>19658.37</v>
      </c>
    </row>
    <row r="32">
      <c r="A32" s="40" t="s">
        <v>296</v>
      </c>
      <c r="B32" s="63">
        <f t="shared" ref="B32:G32" si="12">B$15*B8/1000</f>
        <v>5256.795</v>
      </c>
      <c r="C32" s="63">
        <f t="shared" si="12"/>
        <v>5909.79</v>
      </c>
      <c r="D32" s="63">
        <f t="shared" si="12"/>
        <v>6831.015</v>
      </c>
      <c r="E32" s="63">
        <f t="shared" si="12"/>
        <v>7650.555</v>
      </c>
      <c r="F32" s="63">
        <f t="shared" si="12"/>
        <v>8637.705</v>
      </c>
      <c r="G32" s="63">
        <f t="shared" si="12"/>
        <v>9829.185</v>
      </c>
    </row>
    <row r="33">
      <c r="A33" s="40" t="s">
        <v>297</v>
      </c>
      <c r="B33" s="63">
        <f t="shared" ref="B33:G33" si="13">B$15*B9/1000</f>
        <v>2102.718</v>
      </c>
      <c r="C33" s="63">
        <f t="shared" si="13"/>
        <v>2363.916</v>
      </c>
      <c r="D33" s="63">
        <f t="shared" si="13"/>
        <v>2732.406</v>
      </c>
      <c r="E33" s="63">
        <f t="shared" si="13"/>
        <v>3060.222</v>
      </c>
      <c r="F33" s="63">
        <f t="shared" si="13"/>
        <v>3455.082</v>
      </c>
      <c r="G33" s="63">
        <f t="shared" si="13"/>
        <v>3931.674</v>
      </c>
    </row>
    <row r="34">
      <c r="A34" s="40" t="s">
        <v>298</v>
      </c>
      <c r="B34" s="63">
        <f t="shared" ref="B34:G34" si="14">B$15*B10/1000</f>
        <v>3154.077</v>
      </c>
      <c r="C34" s="63">
        <f t="shared" si="14"/>
        <v>3545.874</v>
      </c>
      <c r="D34" s="63">
        <f t="shared" si="14"/>
        <v>4098.609</v>
      </c>
      <c r="E34" s="63">
        <f t="shared" si="14"/>
        <v>4590.333</v>
      </c>
      <c r="F34" s="63">
        <f t="shared" si="14"/>
        <v>5182.623</v>
      </c>
      <c r="G34" s="63">
        <f t="shared" si="14"/>
        <v>5897.511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62"/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245</v>
      </c>
      <c r="G1" s="56" t="s">
        <v>246</v>
      </c>
    </row>
    <row r="2">
      <c r="A2" s="59" t="s">
        <v>274</v>
      </c>
      <c r="B2" s="41"/>
      <c r="C2" s="41"/>
      <c r="D2" s="41"/>
      <c r="E2" s="41"/>
      <c r="F2" s="41"/>
      <c r="G2" s="41"/>
    </row>
    <row r="3">
      <c r="A3" s="47" t="s">
        <v>322</v>
      </c>
      <c r="B3" s="41"/>
      <c r="C3" s="41"/>
      <c r="D3" s="41"/>
      <c r="E3" s="41"/>
      <c r="F3" s="41"/>
      <c r="G3" s="41"/>
    </row>
    <row r="4">
      <c r="A4" s="40" t="s">
        <v>292</v>
      </c>
      <c r="B4" s="45">
        <f>Assumptions!$B$4*Assumptions!$C21</f>
        <v>84</v>
      </c>
      <c r="C4" s="45">
        <f>Assumptions!$B$4*Assumptions!$C21</f>
        <v>84</v>
      </c>
      <c r="D4" s="45">
        <f>Assumptions!$B$4*Assumptions!$C21</f>
        <v>84</v>
      </c>
      <c r="E4" s="45">
        <f>Assumptions!$B$4*Assumptions!$C21</f>
        <v>84</v>
      </c>
      <c r="F4" s="45">
        <f>Assumptions!$B$4*Assumptions!$C21</f>
        <v>84</v>
      </c>
      <c r="G4" s="45">
        <f>Assumptions!$B$4*Assumptions!$C21</f>
        <v>84</v>
      </c>
    </row>
    <row r="5">
      <c r="A5" s="40" t="s">
        <v>296</v>
      </c>
      <c r="B5" s="45">
        <f>Assumptions!$B$4*Assumptions!$C22</f>
        <v>12</v>
      </c>
      <c r="C5" s="45">
        <f>Assumptions!$B$4*Assumptions!$C22</f>
        <v>12</v>
      </c>
      <c r="D5" s="45">
        <f>Assumptions!$B$4*Assumptions!$C22</f>
        <v>12</v>
      </c>
      <c r="E5" s="45">
        <f>Assumptions!$B$4*Assumptions!$C22</f>
        <v>12</v>
      </c>
      <c r="F5" s="45">
        <f>Assumptions!$B$4*Assumptions!$C22</f>
        <v>12</v>
      </c>
      <c r="G5" s="45">
        <f>Assumptions!$B$4*Assumptions!$C22</f>
        <v>12</v>
      </c>
    </row>
    <row r="6">
      <c r="A6" s="40" t="s">
        <v>298</v>
      </c>
      <c r="B6" s="45">
        <f>Assumptions!$B$4*Assumptions!$C23</f>
        <v>6</v>
      </c>
      <c r="C6" s="45">
        <f>Assumptions!$B$4*Assumptions!$C23</f>
        <v>6</v>
      </c>
      <c r="D6" s="45">
        <f>Assumptions!$B$4*Assumptions!$C23</f>
        <v>6</v>
      </c>
      <c r="E6" s="45">
        <f>Assumptions!$B$4*Assumptions!$C23</f>
        <v>6</v>
      </c>
      <c r="F6" s="45">
        <f>Assumptions!$B$4*Assumptions!$C23</f>
        <v>6</v>
      </c>
      <c r="G6" s="45">
        <f>Assumptions!$B$4*Assumptions!$C23</f>
        <v>6</v>
      </c>
    </row>
    <row r="7">
      <c r="A7" s="40" t="s">
        <v>299</v>
      </c>
      <c r="B7" s="45">
        <f>Assumptions!$B$4*Assumptions!$C24</f>
        <v>40</v>
      </c>
      <c r="C7" s="45">
        <f>Assumptions!$B$4*Assumptions!$C24</f>
        <v>40</v>
      </c>
      <c r="D7" s="45">
        <f>Assumptions!$B$4*Assumptions!$C24</f>
        <v>40</v>
      </c>
      <c r="E7" s="45">
        <f>Assumptions!$B$4*Assumptions!$C24</f>
        <v>40</v>
      </c>
      <c r="F7" s="45">
        <f>Assumptions!$B$4*Assumptions!$C24</f>
        <v>40</v>
      </c>
      <c r="G7" s="45">
        <f>Assumptions!$B$4*Assumptions!$C24</f>
        <v>40</v>
      </c>
    </row>
    <row r="8">
      <c r="A8" s="40" t="s">
        <v>300</v>
      </c>
      <c r="B8" s="45">
        <f>Assumptions!$B$4*Assumptions!$C25</f>
        <v>30</v>
      </c>
      <c r="C8" s="45">
        <f>Assumptions!$B$4*Assumptions!$C25</f>
        <v>30</v>
      </c>
      <c r="D8" s="45">
        <f>Assumptions!$B$4*Assumptions!$C25</f>
        <v>30</v>
      </c>
      <c r="E8" s="45">
        <f>Assumptions!$B$4*Assumptions!$C25</f>
        <v>30</v>
      </c>
      <c r="F8" s="45">
        <f>Assumptions!$B$4*Assumptions!$C25</f>
        <v>30</v>
      </c>
      <c r="G8" s="45">
        <f>Assumptions!$B$4*Assumptions!$C25</f>
        <v>30</v>
      </c>
    </row>
    <row r="9">
      <c r="A9" s="40" t="s">
        <v>301</v>
      </c>
      <c r="B9" s="45">
        <f>Assumptions!$B$4*Assumptions!$C26</f>
        <v>14</v>
      </c>
      <c r="C9" s="45">
        <f>Assumptions!$B$4*Assumptions!$C26</f>
        <v>14</v>
      </c>
      <c r="D9" s="45">
        <f>Assumptions!$B$4*Assumptions!$C26</f>
        <v>14</v>
      </c>
      <c r="E9" s="45">
        <f>Assumptions!$B$4*Assumptions!$C26</f>
        <v>14</v>
      </c>
      <c r="F9" s="45">
        <f>Assumptions!$B$4*Assumptions!$C26</f>
        <v>14</v>
      </c>
      <c r="G9" s="45">
        <f>Assumptions!$B$4*Assumptions!$C26</f>
        <v>14</v>
      </c>
    </row>
    <row r="10">
      <c r="A10" s="40" t="s">
        <v>302</v>
      </c>
      <c r="B10" s="45">
        <f>Assumptions!$B$4*Assumptions!$C27</f>
        <v>14</v>
      </c>
      <c r="C10" s="45">
        <f>Assumptions!$B$4*Assumptions!$C27</f>
        <v>14</v>
      </c>
      <c r="D10" s="45">
        <f>Assumptions!$B$4*Assumptions!$C27</f>
        <v>14</v>
      </c>
      <c r="E10" s="45">
        <f>Assumptions!$B$4*Assumptions!$C27</f>
        <v>14</v>
      </c>
      <c r="F10" s="45">
        <f>Assumptions!$B$4*Assumptions!$C27</f>
        <v>14</v>
      </c>
      <c r="G10" s="45">
        <f>Assumptions!$B$4*Assumptions!$C27</f>
        <v>14</v>
      </c>
    </row>
    <row r="11">
      <c r="A11" s="41"/>
      <c r="B11" s="41"/>
      <c r="C11" s="41"/>
      <c r="D11" s="41"/>
      <c r="E11" s="41"/>
      <c r="F11" s="41"/>
      <c r="G11" s="41"/>
    </row>
    <row r="12">
      <c r="A12" s="41"/>
      <c r="B12" s="41"/>
      <c r="C12" s="41"/>
      <c r="D12" s="41"/>
      <c r="E12" s="41"/>
      <c r="F12" s="41"/>
      <c r="G12" s="41"/>
    </row>
    <row r="13">
      <c r="A13" s="47" t="s">
        <v>323</v>
      </c>
      <c r="B13" s="41"/>
      <c r="C13" s="41"/>
      <c r="D13" s="41"/>
      <c r="E13" s="41"/>
      <c r="F13" s="41"/>
      <c r="G13" s="41"/>
    </row>
    <row r="14">
      <c r="A14" s="40" t="s">
        <v>276</v>
      </c>
      <c r="B14" s="45">
        <f>'Sales Quantity'!B7</f>
        <v>273222</v>
      </c>
      <c r="C14" s="45">
        <f>'Sales Quantity'!C7</f>
        <v>307880</v>
      </c>
      <c r="D14" s="45">
        <f>'Sales Quantity'!D7</f>
        <v>348993</v>
      </c>
      <c r="E14" s="45">
        <f>'Sales Quantity'!E7</f>
        <v>397553</v>
      </c>
      <c r="F14" s="45">
        <f>'Sales Quantity'!F7</f>
        <v>453944</v>
      </c>
      <c r="G14" s="45">
        <f>'Sales Quantity'!G7</f>
        <v>518336</v>
      </c>
    </row>
    <row r="15">
      <c r="A15" s="40" t="s">
        <v>277</v>
      </c>
      <c r="B15" s="45">
        <f>'Sales Quantity'!B8</f>
        <v>315855</v>
      </c>
      <c r="C15" s="45">
        <f>'Sales Quantity'!C8</f>
        <v>352265</v>
      </c>
      <c r="D15" s="45">
        <f>'Sales Quantity'!D8</f>
        <v>401237</v>
      </c>
      <c r="E15" s="45">
        <f>'Sales Quantity'!E8</f>
        <v>462085</v>
      </c>
      <c r="F15" s="45">
        <f>'Sales Quantity'!F8</f>
        <v>519273</v>
      </c>
      <c r="G15" s="45">
        <f>'Sales Quantity'!G8</f>
        <v>597654</v>
      </c>
    </row>
    <row r="16">
      <c r="A16" s="41"/>
      <c r="B16" s="41"/>
      <c r="C16" s="41"/>
      <c r="D16" s="41"/>
      <c r="E16" s="41"/>
      <c r="F16" s="41"/>
      <c r="G16" s="41"/>
    </row>
    <row r="17">
      <c r="A17" s="47" t="s">
        <v>324</v>
      </c>
      <c r="B17" s="41"/>
      <c r="C17" s="41"/>
      <c r="D17" s="41"/>
      <c r="E17" s="41"/>
      <c r="F17" s="41"/>
      <c r="G17" s="41"/>
    </row>
    <row r="18">
      <c r="A18" s="47" t="s">
        <v>276</v>
      </c>
      <c r="B18" s="41"/>
      <c r="C18" s="41"/>
      <c r="D18" s="41"/>
      <c r="E18" s="41"/>
      <c r="F18" s="41"/>
      <c r="G18" s="41"/>
    </row>
    <row r="19">
      <c r="A19" s="40" t="s">
        <v>292</v>
      </c>
      <c r="B19" s="63">
        <f t="shared" ref="B19:G19" si="1">B$14*B4/1000</f>
        <v>22950.648</v>
      </c>
      <c r="C19" s="63">
        <f t="shared" si="1"/>
        <v>25861.92</v>
      </c>
      <c r="D19" s="63">
        <f t="shared" si="1"/>
        <v>29315.412</v>
      </c>
      <c r="E19" s="63">
        <f t="shared" si="1"/>
        <v>33394.452</v>
      </c>
      <c r="F19" s="63">
        <f t="shared" si="1"/>
        <v>38131.296</v>
      </c>
      <c r="G19" s="63">
        <f t="shared" si="1"/>
        <v>43540.224</v>
      </c>
    </row>
    <row r="20">
      <c r="A20" s="40" t="s">
        <v>296</v>
      </c>
      <c r="B20" s="63">
        <f t="shared" ref="B20:G20" si="2">B$14*B5/1000</f>
        <v>3278.664</v>
      </c>
      <c r="C20" s="63">
        <f t="shared" si="2"/>
        <v>3694.56</v>
      </c>
      <c r="D20" s="63">
        <f t="shared" si="2"/>
        <v>4187.916</v>
      </c>
      <c r="E20" s="63">
        <f t="shared" si="2"/>
        <v>4770.636</v>
      </c>
      <c r="F20" s="63">
        <f t="shared" si="2"/>
        <v>5447.328</v>
      </c>
      <c r="G20" s="63">
        <f t="shared" si="2"/>
        <v>6220.032</v>
      </c>
    </row>
    <row r="21">
      <c r="A21" s="40" t="s">
        <v>298</v>
      </c>
      <c r="B21" s="63">
        <f t="shared" ref="B21:G21" si="3">B$14*B6/1000</f>
        <v>1639.332</v>
      </c>
      <c r="C21" s="63">
        <f t="shared" si="3"/>
        <v>1847.28</v>
      </c>
      <c r="D21" s="63">
        <f t="shared" si="3"/>
        <v>2093.958</v>
      </c>
      <c r="E21" s="63">
        <f t="shared" si="3"/>
        <v>2385.318</v>
      </c>
      <c r="F21" s="63">
        <f t="shared" si="3"/>
        <v>2723.664</v>
      </c>
      <c r="G21" s="63">
        <f t="shared" si="3"/>
        <v>3110.016</v>
      </c>
    </row>
    <row r="22">
      <c r="A22" s="40" t="s">
        <v>299</v>
      </c>
      <c r="B22" s="63">
        <f t="shared" ref="B22:G22" si="4">B$14*B7/1000</f>
        <v>10928.88</v>
      </c>
      <c r="C22" s="63">
        <f t="shared" si="4"/>
        <v>12315.2</v>
      </c>
      <c r="D22" s="63">
        <f t="shared" si="4"/>
        <v>13959.72</v>
      </c>
      <c r="E22" s="63">
        <f t="shared" si="4"/>
        <v>15902.12</v>
      </c>
      <c r="F22" s="63">
        <f t="shared" si="4"/>
        <v>18157.76</v>
      </c>
      <c r="G22" s="63">
        <f t="shared" si="4"/>
        <v>20733.44</v>
      </c>
    </row>
    <row r="23">
      <c r="A23" s="40" t="s">
        <v>300</v>
      </c>
      <c r="B23" s="63">
        <f t="shared" ref="B23:G23" si="5">B$14*B8/1000</f>
        <v>8196.66</v>
      </c>
      <c r="C23" s="63">
        <f t="shared" si="5"/>
        <v>9236.4</v>
      </c>
      <c r="D23" s="63">
        <f t="shared" si="5"/>
        <v>10469.79</v>
      </c>
      <c r="E23" s="63">
        <f t="shared" si="5"/>
        <v>11926.59</v>
      </c>
      <c r="F23" s="63">
        <f t="shared" si="5"/>
        <v>13618.32</v>
      </c>
      <c r="G23" s="63">
        <f t="shared" si="5"/>
        <v>15550.08</v>
      </c>
    </row>
    <row r="24">
      <c r="A24" s="40" t="s">
        <v>301</v>
      </c>
      <c r="B24" s="63">
        <f t="shared" ref="B24:G24" si="6">B$14*B9/1000</f>
        <v>3825.108</v>
      </c>
      <c r="C24" s="63">
        <f t="shared" si="6"/>
        <v>4310.32</v>
      </c>
      <c r="D24" s="63">
        <f t="shared" si="6"/>
        <v>4885.902</v>
      </c>
      <c r="E24" s="63">
        <f t="shared" si="6"/>
        <v>5565.742</v>
      </c>
      <c r="F24" s="63">
        <f t="shared" si="6"/>
        <v>6355.216</v>
      </c>
      <c r="G24" s="63">
        <f t="shared" si="6"/>
        <v>7256.704</v>
      </c>
    </row>
    <row r="25">
      <c r="A25" s="40" t="s">
        <v>302</v>
      </c>
      <c r="B25" s="63">
        <f t="shared" ref="B25:G25" si="7">B$14*B10/1000</f>
        <v>3825.108</v>
      </c>
      <c r="C25" s="63">
        <f t="shared" si="7"/>
        <v>4310.32</v>
      </c>
      <c r="D25" s="63">
        <f t="shared" si="7"/>
        <v>4885.902</v>
      </c>
      <c r="E25" s="63">
        <f t="shared" si="7"/>
        <v>5565.742</v>
      </c>
      <c r="F25" s="63">
        <f t="shared" si="7"/>
        <v>6355.216</v>
      </c>
      <c r="G25" s="63">
        <f t="shared" si="7"/>
        <v>7256.704</v>
      </c>
    </row>
    <row r="26">
      <c r="A26" s="41"/>
      <c r="B26" s="41"/>
      <c r="C26" s="41"/>
      <c r="D26" s="41"/>
      <c r="E26" s="41"/>
      <c r="F26" s="41"/>
      <c r="G26" s="41"/>
    </row>
    <row r="27">
      <c r="A27" s="47" t="s">
        <v>277</v>
      </c>
      <c r="B27" s="41"/>
      <c r="C27" s="41"/>
      <c r="D27" s="41"/>
      <c r="E27" s="41"/>
      <c r="F27" s="41"/>
      <c r="G27" s="41"/>
    </row>
    <row r="28">
      <c r="A28" s="40" t="s">
        <v>292</v>
      </c>
      <c r="B28" s="63">
        <f t="shared" ref="B28:G28" si="8">B$15*B4/1000</f>
        <v>26531.82</v>
      </c>
      <c r="C28" s="63">
        <f t="shared" si="8"/>
        <v>29590.26</v>
      </c>
      <c r="D28" s="63">
        <f t="shared" si="8"/>
        <v>33703.908</v>
      </c>
      <c r="E28" s="63">
        <f t="shared" si="8"/>
        <v>38815.14</v>
      </c>
      <c r="F28" s="63">
        <f t="shared" si="8"/>
        <v>43618.932</v>
      </c>
      <c r="G28" s="63">
        <f t="shared" si="8"/>
        <v>50202.936</v>
      </c>
    </row>
    <row r="29">
      <c r="A29" s="40" t="s">
        <v>296</v>
      </c>
      <c r="B29" s="63">
        <f t="shared" ref="B29:G29" si="9">B$15*B5/1000</f>
        <v>3790.26</v>
      </c>
      <c r="C29" s="63">
        <f t="shared" si="9"/>
        <v>4227.18</v>
      </c>
      <c r="D29" s="63">
        <f t="shared" si="9"/>
        <v>4814.844</v>
      </c>
      <c r="E29" s="63">
        <f t="shared" si="9"/>
        <v>5545.02</v>
      </c>
      <c r="F29" s="63">
        <f t="shared" si="9"/>
        <v>6231.276</v>
      </c>
      <c r="G29" s="63">
        <f t="shared" si="9"/>
        <v>7171.848</v>
      </c>
    </row>
    <row r="30">
      <c r="A30" s="40" t="s">
        <v>298</v>
      </c>
      <c r="B30" s="63">
        <f t="shared" ref="B30:G30" si="10">B$15*B6/1000</f>
        <v>1895.13</v>
      </c>
      <c r="C30" s="63">
        <f t="shared" si="10"/>
        <v>2113.59</v>
      </c>
      <c r="D30" s="63">
        <f t="shared" si="10"/>
        <v>2407.422</v>
      </c>
      <c r="E30" s="63">
        <f t="shared" si="10"/>
        <v>2772.51</v>
      </c>
      <c r="F30" s="63">
        <f t="shared" si="10"/>
        <v>3115.638</v>
      </c>
      <c r="G30" s="63">
        <f t="shared" si="10"/>
        <v>3585.924</v>
      </c>
    </row>
    <row r="31">
      <c r="A31" s="40" t="s">
        <v>299</v>
      </c>
      <c r="B31" s="63">
        <f t="shared" ref="B31:G31" si="11">B$15*B7/1000</f>
        <v>12634.2</v>
      </c>
      <c r="C31" s="63">
        <f t="shared" si="11"/>
        <v>14090.6</v>
      </c>
      <c r="D31" s="63">
        <f t="shared" si="11"/>
        <v>16049.48</v>
      </c>
      <c r="E31" s="63">
        <f t="shared" si="11"/>
        <v>18483.4</v>
      </c>
      <c r="F31" s="63">
        <f t="shared" si="11"/>
        <v>20770.92</v>
      </c>
      <c r="G31" s="63">
        <f t="shared" si="11"/>
        <v>23906.16</v>
      </c>
    </row>
    <row r="32">
      <c r="A32" s="40" t="s">
        <v>300</v>
      </c>
      <c r="B32" s="63">
        <f t="shared" ref="B32:G32" si="12">B$15*B8/1000</f>
        <v>9475.65</v>
      </c>
      <c r="C32" s="63">
        <f t="shared" si="12"/>
        <v>10567.95</v>
      </c>
      <c r="D32" s="63">
        <f t="shared" si="12"/>
        <v>12037.11</v>
      </c>
      <c r="E32" s="63">
        <f t="shared" si="12"/>
        <v>13862.55</v>
      </c>
      <c r="F32" s="63">
        <f t="shared" si="12"/>
        <v>15578.19</v>
      </c>
      <c r="G32" s="63">
        <f t="shared" si="12"/>
        <v>17929.62</v>
      </c>
    </row>
    <row r="33">
      <c r="A33" s="40" t="s">
        <v>301</v>
      </c>
      <c r="B33" s="63">
        <f t="shared" ref="B33:G33" si="13">B$15*B9/1000</f>
        <v>4421.97</v>
      </c>
      <c r="C33" s="63">
        <f t="shared" si="13"/>
        <v>4931.71</v>
      </c>
      <c r="D33" s="63">
        <f t="shared" si="13"/>
        <v>5617.318</v>
      </c>
      <c r="E33" s="63">
        <f t="shared" si="13"/>
        <v>6469.19</v>
      </c>
      <c r="F33" s="63">
        <f t="shared" si="13"/>
        <v>7269.822</v>
      </c>
      <c r="G33" s="63">
        <f t="shared" si="13"/>
        <v>8367.156</v>
      </c>
    </row>
    <row r="34">
      <c r="A34" s="40" t="s">
        <v>302</v>
      </c>
      <c r="B34" s="63">
        <f t="shared" ref="B34:G34" si="14">B$15*B10/1000</f>
        <v>4421.97</v>
      </c>
      <c r="C34" s="63">
        <f t="shared" si="14"/>
        <v>4931.71</v>
      </c>
      <c r="D34" s="63">
        <f t="shared" si="14"/>
        <v>5617.318</v>
      </c>
      <c r="E34" s="63">
        <f t="shared" si="14"/>
        <v>6469.19</v>
      </c>
      <c r="F34" s="63">
        <f t="shared" si="14"/>
        <v>7269.822</v>
      </c>
      <c r="G34" s="63">
        <f t="shared" si="14"/>
        <v>8367.156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7" width="17.63"/>
  </cols>
  <sheetData>
    <row r="1">
      <c r="A1" s="56" t="s">
        <v>325</v>
      </c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245</v>
      </c>
      <c r="G1" s="56" t="s">
        <v>246</v>
      </c>
    </row>
    <row r="2">
      <c r="A2" s="60" t="s">
        <v>276</v>
      </c>
      <c r="B2" s="41"/>
      <c r="C2" s="41"/>
      <c r="D2" s="41"/>
      <c r="E2" s="41"/>
      <c r="F2" s="41"/>
      <c r="G2" s="41"/>
    </row>
    <row r="3">
      <c r="A3" s="59" t="s">
        <v>287</v>
      </c>
      <c r="B3" s="41"/>
      <c r="C3" s="41"/>
      <c r="D3" s="41"/>
      <c r="E3" s="41"/>
      <c r="F3" s="41"/>
      <c r="G3" s="41"/>
    </row>
    <row r="4">
      <c r="A4" s="32" t="s">
        <v>292</v>
      </c>
      <c r="B4" s="64">
        <f>RM_Consumed_ZestVita!B19*Assumptions!$B9</f>
        <v>259893.48</v>
      </c>
      <c r="C4" s="64">
        <f>RM_Consumed_ZestVita!C19*Assumptions!$B9</f>
        <v>292931.52</v>
      </c>
      <c r="D4" s="64">
        <f>RM_Consumed_ZestVita!D19*Assumptions!$B9</f>
        <v>330844.08</v>
      </c>
      <c r="E4" s="64">
        <f>RM_Consumed_ZestVita!E19*Assumptions!$B9</f>
        <v>372042.72</v>
      </c>
      <c r="F4" s="64">
        <f>RM_Consumed_ZestVita!F19*Assumptions!$B9</f>
        <v>420354.48</v>
      </c>
      <c r="G4" s="64">
        <f>RM_Consumed_ZestVita!G19*Assumptions!$B9</f>
        <v>475127.52</v>
      </c>
    </row>
    <row r="5">
      <c r="A5" s="32" t="s">
        <v>293</v>
      </c>
      <c r="B5" s="64">
        <f>RM_Consumed_ZestVita!B20*Assumptions!$B10</f>
        <v>1624334.25</v>
      </c>
      <c r="C5" s="64">
        <f>RM_Consumed_ZestVita!C20*Assumptions!$B10</f>
        <v>1830822</v>
      </c>
      <c r="D5" s="64">
        <f>RM_Consumed_ZestVita!D20*Assumptions!$B10</f>
        <v>2067775.5</v>
      </c>
      <c r="E5" s="64">
        <f>RM_Consumed_ZestVita!E20*Assumptions!$B10</f>
        <v>2325267</v>
      </c>
      <c r="F5" s="64">
        <f>RM_Consumed_ZestVita!F20*Assumptions!$B10</f>
        <v>2627215.5</v>
      </c>
      <c r="G5" s="64">
        <f>RM_Consumed_ZestVita!G20*Assumptions!$B10</f>
        <v>2969547</v>
      </c>
    </row>
    <row r="6">
      <c r="A6" s="32" t="s">
        <v>294</v>
      </c>
      <c r="B6" s="64">
        <f>RM_Consumed_ZestVita!B21*Assumptions!$B11</f>
        <v>3712764</v>
      </c>
      <c r="C6" s="64">
        <f>RM_Consumed_ZestVita!C21*Assumptions!$B11</f>
        <v>4184736</v>
      </c>
      <c r="D6" s="64">
        <f>RM_Consumed_ZestVita!D21*Assumptions!$B11</f>
        <v>4726344</v>
      </c>
      <c r="E6" s="64">
        <f>RM_Consumed_ZestVita!E21*Assumptions!$B11</f>
        <v>5314896</v>
      </c>
      <c r="F6" s="64">
        <f>RM_Consumed_ZestVita!F21*Assumptions!$B11</f>
        <v>6005064</v>
      </c>
      <c r="G6" s="64">
        <f>RM_Consumed_ZestVita!G21*Assumptions!$B11</f>
        <v>6787536</v>
      </c>
    </row>
    <row r="7">
      <c r="A7" s="32" t="s">
        <v>295</v>
      </c>
      <c r="B7" s="64">
        <f>RM_Consumed_ZestVita!B22*Assumptions!$B12</f>
        <v>2784573</v>
      </c>
      <c r="C7" s="64">
        <f>RM_Consumed_ZestVita!C22*Assumptions!$B12</f>
        <v>3138552</v>
      </c>
      <c r="D7" s="64">
        <f>RM_Consumed_ZestVita!D22*Assumptions!$B12</f>
        <v>3544758</v>
      </c>
      <c r="E7" s="64">
        <f>RM_Consumed_ZestVita!E22*Assumptions!$B12</f>
        <v>3986172</v>
      </c>
      <c r="F7" s="64">
        <f>RM_Consumed_ZestVita!F22*Assumptions!$B12</f>
        <v>4503798</v>
      </c>
      <c r="G7" s="64">
        <f>RM_Consumed_ZestVita!G22*Assumptions!$B12</f>
        <v>5090652</v>
      </c>
    </row>
    <row r="8">
      <c r="A8" s="32" t="s">
        <v>296</v>
      </c>
      <c r="B8" s="64">
        <f>RM_Consumed_ZestVita!B23*Assumptions!$B13</f>
        <v>417685.95</v>
      </c>
      <c r="C8" s="64">
        <f>RM_Consumed_ZestVita!C23*Assumptions!$B13</f>
        <v>470782.8</v>
      </c>
      <c r="D8" s="64">
        <f>RM_Consumed_ZestVita!D23*Assumptions!$B13</f>
        <v>531713.7</v>
      </c>
      <c r="E8" s="64">
        <f>RM_Consumed_ZestVita!E23*Assumptions!$B13</f>
        <v>597925.8</v>
      </c>
      <c r="F8" s="64">
        <f>RM_Consumed_ZestVita!F23*Assumptions!$B13</f>
        <v>675569.7</v>
      </c>
      <c r="G8" s="64">
        <f>RM_Consumed_ZestVita!G23*Assumptions!$B13</f>
        <v>763597.8</v>
      </c>
    </row>
    <row r="9">
      <c r="A9" s="32" t="s">
        <v>297</v>
      </c>
      <c r="B9" s="64">
        <f>RM_Consumed_ZestVita!B24*Assumptions!$B14</f>
        <v>2042020.2</v>
      </c>
      <c r="C9" s="64">
        <f>RM_Consumed_ZestVita!C24*Assumptions!$B14</f>
        <v>2301604.8</v>
      </c>
      <c r="D9" s="64">
        <f>RM_Consumed_ZestVita!D24*Assumptions!$B14</f>
        <v>2599489.2</v>
      </c>
      <c r="E9" s="64">
        <f>RM_Consumed_ZestVita!E24*Assumptions!$B14</f>
        <v>2923192.8</v>
      </c>
      <c r="F9" s="64">
        <f>RM_Consumed_ZestVita!F24*Assumptions!$B14</f>
        <v>3302785.2</v>
      </c>
      <c r="G9" s="64">
        <f>RM_Consumed_ZestVita!G24*Assumptions!$B14</f>
        <v>3733144.8</v>
      </c>
    </row>
    <row r="10">
      <c r="A10" s="32" t="s">
        <v>298</v>
      </c>
      <c r="B10" s="64">
        <f>RM_Consumed_ZestVita!B25*Assumptions!$B15</f>
        <v>3341487.6</v>
      </c>
      <c r="C10" s="64">
        <f>RM_Consumed_ZestVita!C25*Assumptions!$B15</f>
        <v>3766262.4</v>
      </c>
      <c r="D10" s="64">
        <f>RM_Consumed_ZestVita!D25*Assumptions!$B15</f>
        <v>4253709.6</v>
      </c>
      <c r="E10" s="64">
        <f>RM_Consumed_ZestVita!E25*Assumptions!$B15</f>
        <v>4783406.4</v>
      </c>
      <c r="F10" s="64">
        <f>RM_Consumed_ZestVita!F25*Assumptions!$B15</f>
        <v>5404557.6</v>
      </c>
      <c r="G10" s="64">
        <f>RM_Consumed_ZestVita!G25*Assumptions!$B15</f>
        <v>6108782.4</v>
      </c>
    </row>
    <row r="11">
      <c r="A11" s="47" t="s">
        <v>280</v>
      </c>
      <c r="B11" s="65">
        <f t="shared" ref="B11:G11" si="1">sum(B4:B10)</f>
        <v>14182758.48</v>
      </c>
      <c r="C11" s="65">
        <f t="shared" si="1"/>
        <v>15985691.52</v>
      </c>
      <c r="D11" s="65">
        <f t="shared" si="1"/>
        <v>18054634.08</v>
      </c>
      <c r="E11" s="65">
        <f t="shared" si="1"/>
        <v>20302902.72</v>
      </c>
      <c r="F11" s="65">
        <f t="shared" si="1"/>
        <v>22939344.48</v>
      </c>
      <c r="G11" s="65">
        <f t="shared" si="1"/>
        <v>25928387.52</v>
      </c>
    </row>
    <row r="12">
      <c r="A12" s="41"/>
      <c r="B12" s="41"/>
      <c r="C12" s="41"/>
      <c r="D12" s="41"/>
      <c r="E12" s="41"/>
      <c r="F12" s="41"/>
      <c r="G12" s="41"/>
    </row>
    <row r="13">
      <c r="A13" s="59" t="s">
        <v>274</v>
      </c>
      <c r="B13" s="41"/>
      <c r="C13" s="41"/>
      <c r="D13" s="41"/>
      <c r="E13" s="41"/>
      <c r="F13" s="41"/>
      <c r="G13" s="41"/>
    </row>
    <row r="14">
      <c r="A14" s="40" t="s">
        <v>292</v>
      </c>
      <c r="B14" s="64">
        <f>RM_Consumed_NutriKid!B19*Assumptions!$B21</f>
        <v>183605.184</v>
      </c>
      <c r="C14" s="64">
        <f>RM_Consumed_NutriKid!C19*Assumptions!$B21</f>
        <v>206895.36</v>
      </c>
      <c r="D14" s="64">
        <f>RM_Consumed_NutriKid!D19*Assumptions!$B21</f>
        <v>234523.296</v>
      </c>
      <c r="E14" s="64">
        <f>RM_Consumed_NutriKid!E19*Assumptions!$B21</f>
        <v>267155.616</v>
      </c>
      <c r="F14" s="64">
        <f>RM_Consumed_NutriKid!F19*Assumptions!$B21</f>
        <v>305050.368</v>
      </c>
      <c r="G14" s="64">
        <f>RM_Consumed_NutriKid!G19*Assumptions!$B21</f>
        <v>348321.792</v>
      </c>
    </row>
    <row r="15">
      <c r="A15" s="40" t="s">
        <v>296</v>
      </c>
      <c r="B15" s="64">
        <f>RM_Consumed_NutriKid!B20*Assumptions!$B22</f>
        <v>295079.76</v>
      </c>
      <c r="C15" s="64">
        <f>RM_Consumed_NutriKid!C20*Assumptions!$B22</f>
        <v>332510.4</v>
      </c>
      <c r="D15" s="64">
        <f>RM_Consumed_NutriKid!D20*Assumptions!$B22</f>
        <v>376912.44</v>
      </c>
      <c r="E15" s="64">
        <f>RM_Consumed_NutriKid!E20*Assumptions!$B22</f>
        <v>429357.24</v>
      </c>
      <c r="F15" s="64">
        <f>RM_Consumed_NutriKid!F20*Assumptions!$B22</f>
        <v>490259.52</v>
      </c>
      <c r="G15" s="64">
        <f>RM_Consumed_NutriKid!G20*Assumptions!$B22</f>
        <v>559802.88</v>
      </c>
    </row>
    <row r="16">
      <c r="A16" s="40" t="s">
        <v>298</v>
      </c>
      <c r="B16" s="64">
        <f>RM_Consumed_NutriKid!B21*Assumptions!$B23</f>
        <v>1967198.4</v>
      </c>
      <c r="C16" s="64">
        <f>RM_Consumed_NutriKid!C21*Assumptions!$B23</f>
        <v>2216736</v>
      </c>
      <c r="D16" s="64">
        <f>RM_Consumed_NutriKid!D21*Assumptions!$B23</f>
        <v>2512749.6</v>
      </c>
      <c r="E16" s="64">
        <f>RM_Consumed_NutriKid!E21*Assumptions!$B23</f>
        <v>2862381.6</v>
      </c>
      <c r="F16" s="64">
        <f>RM_Consumed_NutriKid!F21*Assumptions!$B23</f>
        <v>3268396.8</v>
      </c>
      <c r="G16" s="64">
        <f>RM_Consumed_NutriKid!G21*Assumptions!$B23</f>
        <v>3732019.2</v>
      </c>
    </row>
    <row r="17">
      <c r="A17" s="40" t="s">
        <v>299</v>
      </c>
      <c r="B17" s="64">
        <f>RM_Consumed_NutriKid!B22*Assumptions!$B24</f>
        <v>874310.4</v>
      </c>
      <c r="C17" s="64">
        <f>RM_Consumed_NutriKid!C22*Assumptions!$B24</f>
        <v>985216</v>
      </c>
      <c r="D17" s="64">
        <f>RM_Consumed_NutriKid!D22*Assumptions!$B24</f>
        <v>1116777.6</v>
      </c>
      <c r="E17" s="64">
        <f>RM_Consumed_NutriKid!E22*Assumptions!$B24</f>
        <v>1272169.6</v>
      </c>
      <c r="F17" s="64">
        <f>RM_Consumed_NutriKid!F22*Assumptions!$B24</f>
        <v>1452620.8</v>
      </c>
      <c r="G17" s="64">
        <f>RM_Consumed_NutriKid!G22*Assumptions!$B24</f>
        <v>1658675.2</v>
      </c>
    </row>
    <row r="18">
      <c r="A18" s="40" t="s">
        <v>300</v>
      </c>
      <c r="B18" s="64">
        <f>RM_Consumed_NutriKid!B23*Assumptions!$B25</f>
        <v>327866.4</v>
      </c>
      <c r="C18" s="64">
        <f>RM_Consumed_NutriKid!C23*Assumptions!$B25</f>
        <v>369456</v>
      </c>
      <c r="D18" s="64">
        <f>RM_Consumed_NutriKid!D23*Assumptions!$B25</f>
        <v>418791.6</v>
      </c>
      <c r="E18" s="64">
        <f>RM_Consumed_NutriKid!E23*Assumptions!$B25</f>
        <v>477063.6</v>
      </c>
      <c r="F18" s="64">
        <f>RM_Consumed_NutriKid!F23*Assumptions!$B25</f>
        <v>544732.8</v>
      </c>
      <c r="G18" s="64">
        <f>RM_Consumed_NutriKid!G23*Assumptions!$B25</f>
        <v>622003.2</v>
      </c>
    </row>
    <row r="19">
      <c r="A19" s="40" t="s">
        <v>301</v>
      </c>
      <c r="B19" s="64">
        <f>RM_Consumed_NutriKid!B24*Assumptions!$B26</f>
        <v>110928.132</v>
      </c>
      <c r="C19" s="64">
        <f>RM_Consumed_NutriKid!C24*Assumptions!$B26</f>
        <v>124999.28</v>
      </c>
      <c r="D19" s="64">
        <f>RM_Consumed_NutriKid!D24*Assumptions!$B26</f>
        <v>141691.158</v>
      </c>
      <c r="E19" s="64">
        <f>RM_Consumed_NutriKid!E24*Assumptions!$B26</f>
        <v>161406.518</v>
      </c>
      <c r="F19" s="64">
        <f>RM_Consumed_NutriKid!F24*Assumptions!$B26</f>
        <v>184301.264</v>
      </c>
      <c r="G19" s="64">
        <f>RM_Consumed_NutriKid!G24*Assumptions!$B26</f>
        <v>210444.416</v>
      </c>
    </row>
    <row r="20">
      <c r="A20" s="40" t="s">
        <v>302</v>
      </c>
      <c r="B20" s="64">
        <f>RM_Consumed_NutriKid!B25*Assumptions!$B27</f>
        <v>95627.7</v>
      </c>
      <c r="C20" s="64">
        <f>RM_Consumed_NutriKid!C25*Assumptions!$B27</f>
        <v>107758</v>
      </c>
      <c r="D20" s="64">
        <f>RM_Consumed_NutriKid!D25*Assumptions!$B27</f>
        <v>122147.55</v>
      </c>
      <c r="E20" s="64">
        <f>RM_Consumed_NutriKid!E25*Assumptions!$B27</f>
        <v>139143.55</v>
      </c>
      <c r="F20" s="64">
        <f>RM_Consumed_NutriKid!F25*Assumptions!$B27</f>
        <v>158880.4</v>
      </c>
      <c r="G20" s="64">
        <f>RM_Consumed_NutriKid!G25*Assumptions!$B27</f>
        <v>181417.6</v>
      </c>
    </row>
    <row r="21">
      <c r="A21" s="47" t="s">
        <v>280</v>
      </c>
      <c r="B21" s="65">
        <f t="shared" ref="B21:G21" si="2">SUM(B14:B20)</f>
        <v>3854615.976</v>
      </c>
      <c r="C21" s="65">
        <f t="shared" si="2"/>
        <v>4343571.04</v>
      </c>
      <c r="D21" s="65">
        <f t="shared" si="2"/>
        <v>4923593.244</v>
      </c>
      <c r="E21" s="65">
        <f t="shared" si="2"/>
        <v>5608677.724</v>
      </c>
      <c r="F21" s="65">
        <f t="shared" si="2"/>
        <v>6404241.952</v>
      </c>
      <c r="G21" s="65">
        <f t="shared" si="2"/>
        <v>7312684.288</v>
      </c>
    </row>
    <row r="22">
      <c r="A22" s="41"/>
      <c r="B22" s="41"/>
      <c r="C22" s="41"/>
      <c r="D22" s="41"/>
      <c r="E22" s="41"/>
      <c r="F22" s="41"/>
      <c r="G22" s="41"/>
    </row>
    <row r="23">
      <c r="A23" s="47" t="s">
        <v>326</v>
      </c>
      <c r="B23" s="41"/>
      <c r="C23" s="41"/>
      <c r="D23" s="41"/>
      <c r="E23" s="41"/>
      <c r="F23" s="41"/>
      <c r="G23" s="41"/>
    </row>
    <row r="24">
      <c r="A24" s="66" t="s">
        <v>287</v>
      </c>
      <c r="B24" s="45">
        <f>B11/'Sales Quantity'!B3</f>
        <v>45.84</v>
      </c>
      <c r="C24" s="45">
        <f>C11/'Sales Quantity'!C3</f>
        <v>45.84</v>
      </c>
      <c r="D24" s="45">
        <f>D11/'Sales Quantity'!D3</f>
        <v>45.84</v>
      </c>
      <c r="E24" s="45">
        <f>E11/'Sales Quantity'!E3</f>
        <v>45.84</v>
      </c>
      <c r="F24" s="45">
        <f>F11/'Sales Quantity'!F3</f>
        <v>45.84</v>
      </c>
      <c r="G24" s="45">
        <f>G11/'Sales Quantity'!G3</f>
        <v>45.84</v>
      </c>
    </row>
    <row r="25">
      <c r="A25" s="66" t="s">
        <v>274</v>
      </c>
      <c r="B25" s="63">
        <f>B21/'Sales Quantity'!B7</f>
        <v>14.108</v>
      </c>
      <c r="C25" s="63">
        <f>C21/'Sales Quantity'!C7</f>
        <v>14.108</v>
      </c>
      <c r="D25" s="63">
        <f>D21/'Sales Quantity'!D7</f>
        <v>14.108</v>
      </c>
      <c r="E25" s="63">
        <f>E21/'Sales Quantity'!E7</f>
        <v>14.108</v>
      </c>
      <c r="F25" s="63">
        <f>F21/'Sales Quantity'!F7</f>
        <v>14.108</v>
      </c>
      <c r="G25" s="63">
        <f>G21/'Sales Quantity'!G7</f>
        <v>14.108</v>
      </c>
    </row>
    <row r="26">
      <c r="A26" s="41"/>
      <c r="B26" s="41"/>
      <c r="C26" s="41"/>
      <c r="D26" s="41"/>
      <c r="E26" s="41"/>
      <c r="F26" s="41"/>
      <c r="G26" s="41"/>
    </row>
    <row r="27">
      <c r="A27" s="60" t="s">
        <v>277</v>
      </c>
      <c r="B27" s="41"/>
      <c r="C27" s="41"/>
      <c r="D27" s="41"/>
      <c r="E27" s="41"/>
      <c r="F27" s="41"/>
      <c r="G27" s="41"/>
    </row>
    <row r="28">
      <c r="A28" s="59" t="s">
        <v>287</v>
      </c>
      <c r="B28" s="41"/>
      <c r="C28" s="41"/>
      <c r="D28" s="41"/>
      <c r="E28" s="41"/>
      <c r="F28" s="41"/>
      <c r="G28" s="41"/>
    </row>
    <row r="29">
      <c r="A29" s="32" t="s">
        <v>292</v>
      </c>
      <c r="B29" s="64">
        <f>RM_Consumed_ZestVita!B28*Assumptions!$B9</f>
        <v>294380.52</v>
      </c>
      <c r="C29" s="64">
        <f>RM_Consumed_ZestVita!C28*Assumptions!$B9</f>
        <v>330948.24</v>
      </c>
      <c r="D29" s="64">
        <f>RM_Consumed_ZestVita!D28*Assumptions!$B9</f>
        <v>382536.84</v>
      </c>
      <c r="E29" s="64">
        <f>RM_Consumed_ZestVita!E28*Assumptions!$B9</f>
        <v>428431.08</v>
      </c>
      <c r="F29" s="64">
        <f>RM_Consumed_ZestVita!F28*Assumptions!$B9</f>
        <v>483711.48</v>
      </c>
      <c r="G29" s="64">
        <f>RM_Consumed_ZestVita!G28*Assumptions!$B9</f>
        <v>550434.36</v>
      </c>
    </row>
    <row r="30">
      <c r="A30" s="32" t="s">
        <v>293</v>
      </c>
      <c r="B30" s="64">
        <f>RM_Consumed_ZestVita!B29*Assumptions!$B10</f>
        <v>1839878.25</v>
      </c>
      <c r="C30" s="64">
        <f>RM_Consumed_ZestVita!C29*Assumptions!$B10</f>
        <v>2068426.5</v>
      </c>
      <c r="D30" s="64">
        <f>RM_Consumed_ZestVita!D29*Assumptions!$B10</f>
        <v>2390855.25</v>
      </c>
      <c r="E30" s="64">
        <f>RM_Consumed_ZestVita!E29*Assumptions!$B10</f>
        <v>2677694.25</v>
      </c>
      <c r="F30" s="64">
        <f>RM_Consumed_ZestVita!F29*Assumptions!$B10</f>
        <v>3023196.75</v>
      </c>
      <c r="G30" s="64">
        <f>RM_Consumed_ZestVita!G29*Assumptions!$B10</f>
        <v>3440214.75</v>
      </c>
    </row>
    <row r="31">
      <c r="A31" s="32" t="s">
        <v>294</v>
      </c>
      <c r="B31" s="64">
        <f>RM_Consumed_ZestVita!B30*Assumptions!$B11</f>
        <v>4205436</v>
      </c>
      <c r="C31" s="64">
        <f>RM_Consumed_ZestVita!C30*Assumptions!$B11</f>
        <v>4727832</v>
      </c>
      <c r="D31" s="64">
        <f>RM_Consumed_ZestVita!D30*Assumptions!$B11</f>
        <v>5464812</v>
      </c>
      <c r="E31" s="64">
        <f>RM_Consumed_ZestVita!E30*Assumptions!$B11</f>
        <v>6120444</v>
      </c>
      <c r="F31" s="64">
        <f>RM_Consumed_ZestVita!F30*Assumptions!$B11</f>
        <v>6910164</v>
      </c>
      <c r="G31" s="64">
        <f>RM_Consumed_ZestVita!G30*Assumptions!$B11</f>
        <v>7863348</v>
      </c>
    </row>
    <row r="32">
      <c r="A32" s="32" t="s">
        <v>295</v>
      </c>
      <c r="B32" s="64">
        <f>RM_Consumed_ZestVita!B31*Assumptions!$B12</f>
        <v>3154077</v>
      </c>
      <c r="C32" s="64">
        <f>RM_Consumed_ZestVita!C31*Assumptions!$B12</f>
        <v>3545874</v>
      </c>
      <c r="D32" s="64">
        <f>RM_Consumed_ZestVita!D31*Assumptions!$B12</f>
        <v>4098609</v>
      </c>
      <c r="E32" s="64">
        <f>RM_Consumed_ZestVita!E31*Assumptions!$B12</f>
        <v>4590333</v>
      </c>
      <c r="F32" s="64">
        <f>RM_Consumed_ZestVita!F31*Assumptions!$B12</f>
        <v>5182623</v>
      </c>
      <c r="G32" s="64">
        <f>RM_Consumed_ZestVita!G31*Assumptions!$B12</f>
        <v>5897511</v>
      </c>
    </row>
    <row r="33">
      <c r="A33" s="32" t="s">
        <v>296</v>
      </c>
      <c r="B33" s="64">
        <f>RM_Consumed_ZestVita!B32*Assumptions!$B13</f>
        <v>473111.55</v>
      </c>
      <c r="C33" s="64">
        <f>RM_Consumed_ZestVita!C32*Assumptions!$B13</f>
        <v>531881.1</v>
      </c>
      <c r="D33" s="64">
        <f>RM_Consumed_ZestVita!D32*Assumptions!$B13</f>
        <v>614791.35</v>
      </c>
      <c r="E33" s="64">
        <f>RM_Consumed_ZestVita!E32*Assumptions!$B13</f>
        <v>688549.95</v>
      </c>
      <c r="F33" s="64">
        <f>RM_Consumed_ZestVita!F32*Assumptions!$B13</f>
        <v>777393.45</v>
      </c>
      <c r="G33" s="64">
        <f>RM_Consumed_ZestVita!G32*Assumptions!$B13</f>
        <v>884626.65</v>
      </c>
    </row>
    <row r="34">
      <c r="A34" s="32" t="s">
        <v>297</v>
      </c>
      <c r="B34" s="64">
        <f>RM_Consumed_ZestVita!B33*Assumptions!$B14</f>
        <v>2312989.8</v>
      </c>
      <c r="C34" s="64">
        <f>RM_Consumed_ZestVita!C33*Assumptions!$B14</f>
        <v>2600307.6</v>
      </c>
      <c r="D34" s="64">
        <f>RM_Consumed_ZestVita!D33*Assumptions!$B14</f>
        <v>3005646.6</v>
      </c>
      <c r="E34" s="64">
        <f>RM_Consumed_ZestVita!E33*Assumptions!$B14</f>
        <v>3366244.2</v>
      </c>
      <c r="F34" s="64">
        <f>RM_Consumed_ZestVita!F33*Assumptions!$B14</f>
        <v>3800590.2</v>
      </c>
      <c r="G34" s="64">
        <f>RM_Consumed_ZestVita!G33*Assumptions!$B14</f>
        <v>4324841.4</v>
      </c>
    </row>
    <row r="35">
      <c r="A35" s="32" t="s">
        <v>298</v>
      </c>
      <c r="B35" s="64">
        <f>RM_Consumed_ZestVita!B34*Assumptions!$B15</f>
        <v>3784892.4</v>
      </c>
      <c r="C35" s="64">
        <f>RM_Consumed_ZestVita!C34*Assumptions!$B15</f>
        <v>4255048.8</v>
      </c>
      <c r="D35" s="64">
        <f>RM_Consumed_ZestVita!D34*Assumptions!$B15</f>
        <v>4918330.8</v>
      </c>
      <c r="E35" s="64">
        <f>RM_Consumed_ZestVita!E34*Assumptions!$B15</f>
        <v>5508399.6</v>
      </c>
      <c r="F35" s="64">
        <f>RM_Consumed_ZestVita!F34*Assumptions!$B15</f>
        <v>6219147.6</v>
      </c>
      <c r="G35" s="64">
        <f>RM_Consumed_ZestVita!G34*Assumptions!$B15</f>
        <v>7077013.2</v>
      </c>
    </row>
    <row r="36">
      <c r="A36" s="47" t="s">
        <v>280</v>
      </c>
      <c r="B36" s="65">
        <f t="shared" ref="B36:G36" si="3">SUM(B29:B35)</f>
        <v>16064765.52</v>
      </c>
      <c r="C36" s="65">
        <f t="shared" si="3"/>
        <v>18060318.24</v>
      </c>
      <c r="D36" s="65">
        <f t="shared" si="3"/>
        <v>20875581.84</v>
      </c>
      <c r="E36" s="65">
        <f t="shared" si="3"/>
        <v>23380096.08</v>
      </c>
      <c r="F36" s="65">
        <f t="shared" si="3"/>
        <v>26396826.48</v>
      </c>
      <c r="G36" s="65">
        <f t="shared" si="3"/>
        <v>30037989.36</v>
      </c>
    </row>
    <row r="37">
      <c r="A37" s="41"/>
      <c r="B37" s="67"/>
      <c r="C37" s="67"/>
      <c r="D37" s="67"/>
      <c r="E37" s="67"/>
      <c r="F37" s="67"/>
      <c r="G37" s="67"/>
    </row>
    <row r="38">
      <c r="A38" s="59" t="s">
        <v>274</v>
      </c>
      <c r="B38" s="67"/>
      <c r="C38" s="67"/>
      <c r="D38" s="67"/>
      <c r="E38" s="67"/>
      <c r="F38" s="67"/>
      <c r="G38" s="67"/>
    </row>
    <row r="39">
      <c r="A39" s="40" t="s">
        <v>292</v>
      </c>
      <c r="B39" s="64">
        <f>RM_Consumed_NutriKid!B28*Assumptions!$B21</f>
        <v>212254.56</v>
      </c>
      <c r="C39" s="64">
        <f>RM_Consumed_NutriKid!C28*Assumptions!$B21</f>
        <v>236722.08</v>
      </c>
      <c r="D39" s="64">
        <f>RM_Consumed_NutriKid!D28*Assumptions!$B21</f>
        <v>269631.264</v>
      </c>
      <c r="E39" s="64">
        <f>RM_Consumed_NutriKid!E28*Assumptions!$B21</f>
        <v>310521.12</v>
      </c>
      <c r="F39" s="64">
        <f>RM_Consumed_NutriKid!F28*Assumptions!$B21</f>
        <v>348951.456</v>
      </c>
      <c r="G39" s="64">
        <f>RM_Consumed_NutriKid!G28*Assumptions!$B21</f>
        <v>401623.488</v>
      </c>
    </row>
    <row r="40">
      <c r="A40" s="40" t="s">
        <v>296</v>
      </c>
      <c r="B40" s="64">
        <f>RM_Consumed_NutriKid!B29*Assumptions!$B22</f>
        <v>341123.4</v>
      </c>
      <c r="C40" s="64">
        <f>RM_Consumed_NutriKid!C29*Assumptions!$B22</f>
        <v>380446.2</v>
      </c>
      <c r="D40" s="64">
        <f>RM_Consumed_NutriKid!D29*Assumptions!$B22</f>
        <v>433335.96</v>
      </c>
      <c r="E40" s="64">
        <f>RM_Consumed_NutriKid!E29*Assumptions!$B22</f>
        <v>499051.8</v>
      </c>
      <c r="F40" s="64">
        <f>RM_Consumed_NutriKid!F29*Assumptions!$B22</f>
        <v>560814.84</v>
      </c>
      <c r="G40" s="64">
        <f>RM_Consumed_NutriKid!G29*Assumptions!$B22</f>
        <v>645466.32</v>
      </c>
    </row>
    <row r="41">
      <c r="A41" s="40" t="s">
        <v>298</v>
      </c>
      <c r="B41" s="64">
        <f>RM_Consumed_NutriKid!B30*Assumptions!$B23</f>
        <v>2274156</v>
      </c>
      <c r="C41" s="64">
        <f>RM_Consumed_NutriKid!C30*Assumptions!$B23</f>
        <v>2536308</v>
      </c>
      <c r="D41" s="64">
        <f>RM_Consumed_NutriKid!D30*Assumptions!$B23</f>
        <v>2888906.4</v>
      </c>
      <c r="E41" s="64">
        <f>RM_Consumed_NutriKid!E30*Assumptions!$B23</f>
        <v>3327012</v>
      </c>
      <c r="F41" s="64">
        <f>RM_Consumed_NutriKid!F30*Assumptions!$B23</f>
        <v>3738765.6</v>
      </c>
      <c r="G41" s="64">
        <f>RM_Consumed_NutriKid!G30*Assumptions!$B23</f>
        <v>4303108.8</v>
      </c>
    </row>
    <row r="42">
      <c r="A42" s="40" t="s">
        <v>299</v>
      </c>
      <c r="B42" s="64">
        <f>RM_Consumed_NutriKid!B31*Assumptions!$B24</f>
        <v>1010736</v>
      </c>
      <c r="C42" s="64">
        <f>RM_Consumed_NutriKid!C31*Assumptions!$B24</f>
        <v>1127248</v>
      </c>
      <c r="D42" s="64">
        <f>RM_Consumed_NutriKid!D31*Assumptions!$B24</f>
        <v>1283958.4</v>
      </c>
      <c r="E42" s="64">
        <f>RM_Consumed_NutriKid!E31*Assumptions!$B24</f>
        <v>1478672</v>
      </c>
      <c r="F42" s="64">
        <f>RM_Consumed_NutriKid!F31*Assumptions!$B24</f>
        <v>1661673.6</v>
      </c>
      <c r="G42" s="64">
        <f>RM_Consumed_NutriKid!G31*Assumptions!$B24</f>
        <v>1912492.8</v>
      </c>
    </row>
    <row r="43">
      <c r="A43" s="40" t="s">
        <v>300</v>
      </c>
      <c r="B43" s="64">
        <f>RM_Consumed_NutriKid!B32*Assumptions!$B25</f>
        <v>379026</v>
      </c>
      <c r="C43" s="64">
        <f>RM_Consumed_NutriKid!C32*Assumptions!$B25</f>
        <v>422718</v>
      </c>
      <c r="D43" s="64">
        <f>RM_Consumed_NutriKid!D32*Assumptions!$B25</f>
        <v>481484.4</v>
      </c>
      <c r="E43" s="64">
        <f>RM_Consumed_NutriKid!E32*Assumptions!$B25</f>
        <v>554502</v>
      </c>
      <c r="F43" s="64">
        <f>RM_Consumed_NutriKid!F32*Assumptions!$B25</f>
        <v>623127.6</v>
      </c>
      <c r="G43" s="64">
        <f>RM_Consumed_NutriKid!G32*Assumptions!$B25</f>
        <v>717184.8</v>
      </c>
    </row>
    <row r="44">
      <c r="A44" s="40" t="s">
        <v>301</v>
      </c>
      <c r="B44" s="64">
        <f>RM_Consumed_NutriKid!B33*Assumptions!$B26</f>
        <v>128237.13</v>
      </c>
      <c r="C44" s="64">
        <f>RM_Consumed_NutriKid!C33*Assumptions!$B26</f>
        <v>143019.59</v>
      </c>
      <c r="D44" s="64">
        <f>RM_Consumed_NutriKid!D33*Assumptions!$B26</f>
        <v>162902.222</v>
      </c>
      <c r="E44" s="64">
        <f>RM_Consumed_NutriKid!E33*Assumptions!$B26</f>
        <v>187606.51</v>
      </c>
      <c r="F44" s="64">
        <f>RM_Consumed_NutriKid!F33*Assumptions!$B26</f>
        <v>210824.838</v>
      </c>
      <c r="G44" s="64">
        <f>RM_Consumed_NutriKid!G33*Assumptions!$B26</f>
        <v>242647.524</v>
      </c>
    </row>
    <row r="45">
      <c r="A45" s="40" t="s">
        <v>302</v>
      </c>
      <c r="B45" s="64">
        <f>RM_Consumed_NutriKid!B34*Assumptions!$B27</f>
        <v>110549.25</v>
      </c>
      <c r="C45" s="64">
        <f>RM_Consumed_NutriKid!C34*Assumptions!$B27</f>
        <v>123292.75</v>
      </c>
      <c r="D45" s="64">
        <f>RM_Consumed_NutriKid!D34*Assumptions!$B27</f>
        <v>140432.95</v>
      </c>
      <c r="E45" s="64">
        <f>RM_Consumed_NutriKid!E34*Assumptions!$B27</f>
        <v>161729.75</v>
      </c>
      <c r="F45" s="64">
        <f>RM_Consumed_NutriKid!F34*Assumptions!$B27</f>
        <v>181745.55</v>
      </c>
      <c r="G45" s="64">
        <f>RM_Consumed_NutriKid!G34*Assumptions!$B27</f>
        <v>209178.9</v>
      </c>
    </row>
    <row r="46">
      <c r="A46" s="47" t="s">
        <v>280</v>
      </c>
      <c r="B46" s="65">
        <f t="shared" ref="B46:G46" si="4">sum(B39:B45)</f>
        <v>4456082.34</v>
      </c>
      <c r="C46" s="65">
        <f t="shared" si="4"/>
        <v>4969754.62</v>
      </c>
      <c r="D46" s="65">
        <f t="shared" si="4"/>
        <v>5660651.596</v>
      </c>
      <c r="E46" s="65">
        <f t="shared" si="4"/>
        <v>6519095.18</v>
      </c>
      <c r="F46" s="65">
        <f t="shared" si="4"/>
        <v>7325903.484</v>
      </c>
      <c r="G46" s="65">
        <f t="shared" si="4"/>
        <v>8431702.632</v>
      </c>
    </row>
    <row r="47">
      <c r="A47" s="41"/>
      <c r="B47" s="41"/>
      <c r="C47" s="41"/>
      <c r="D47" s="41"/>
      <c r="E47" s="41"/>
      <c r="F47" s="41"/>
      <c r="G47" s="41"/>
    </row>
    <row r="48">
      <c r="A48" s="47" t="s">
        <v>326</v>
      </c>
      <c r="B48" s="41"/>
      <c r="C48" s="41"/>
      <c r="D48" s="41"/>
      <c r="E48" s="41"/>
      <c r="F48" s="41"/>
      <c r="G48" s="41"/>
    </row>
    <row r="49">
      <c r="A49" s="66" t="s">
        <v>287</v>
      </c>
      <c r="B49" s="45">
        <f>B36/'Sales Quantity'!B4</f>
        <v>45.84</v>
      </c>
      <c r="C49" s="45">
        <f>C36/'Sales Quantity'!C4</f>
        <v>45.84</v>
      </c>
      <c r="D49" s="45">
        <f>D36/'Sales Quantity'!D4</f>
        <v>45.84</v>
      </c>
      <c r="E49" s="45">
        <f>E36/'Sales Quantity'!E4</f>
        <v>45.84</v>
      </c>
      <c r="F49" s="45">
        <f>F36/'Sales Quantity'!F4</f>
        <v>45.84</v>
      </c>
      <c r="G49" s="45">
        <f>G36/'Sales Quantity'!G4</f>
        <v>45.84</v>
      </c>
    </row>
    <row r="50">
      <c r="A50" s="66" t="s">
        <v>274</v>
      </c>
      <c r="B50" s="63">
        <f>B46/'Sales Quantity'!B8</f>
        <v>14.108</v>
      </c>
      <c r="C50" s="63">
        <f>C46/'Sales Quantity'!C8</f>
        <v>14.108</v>
      </c>
      <c r="D50" s="63">
        <f>D46/'Sales Quantity'!D8</f>
        <v>14.108</v>
      </c>
      <c r="E50" s="63">
        <f>E46/'Sales Quantity'!E8</f>
        <v>14.108</v>
      </c>
      <c r="F50" s="63">
        <f>F46/'Sales Quantity'!F8</f>
        <v>14.108</v>
      </c>
      <c r="G50" s="63">
        <f>G46/'Sales Quantity'!G8</f>
        <v>14.108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56" t="s">
        <v>327</v>
      </c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245</v>
      </c>
      <c r="G1" s="56" t="s">
        <v>246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0" t="s">
        <v>276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0" t="s">
        <v>328</v>
      </c>
      <c r="B3" s="40"/>
      <c r="C3" s="40"/>
      <c r="D3" s="40"/>
      <c r="E3" s="40"/>
      <c r="F3" s="40"/>
      <c r="G3" s="4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6" t="s">
        <v>287</v>
      </c>
      <c r="B4" s="64">
        <f>SUMIFS(CleanedData!$G$2:$G$193,CleanedData!$C$2:$C$193,$A4,CleanedData!$L$2:$L$193,B$1)</f>
        <v>40181190.75</v>
      </c>
      <c r="C4" s="64">
        <f>SUMIFS(CleanedData!$G$2:$G$193,CleanedData!$C$2:$C$193,$A4,CleanedData!$L$2:$L$193,C$1)</f>
        <v>45379409.63</v>
      </c>
      <c r="D4" s="64">
        <f>SUMIFS(CleanedData!$G$2:$G$193,CleanedData!$C$2:$C$193,$A4,CleanedData!$L$2:$L$193,D$1)</f>
        <v>51371499.38</v>
      </c>
      <c r="E4" s="64">
        <f>SUMIFS(CleanedData!$G$2:$G$193,CleanedData!$C$2:$C$193,$A4,CleanedData!$L$2:$L$193,E$1)</f>
        <v>57889883.25</v>
      </c>
      <c r="F4" s="64">
        <f>SUMIFS(CleanedData!$G$2:$G$193,CleanedData!$C$2:$C$193,$A4,CleanedData!$L$2:$L$193,F$1)</f>
        <v>65534599.13</v>
      </c>
      <c r="G4" s="64">
        <f>SUMIFS(CleanedData!$G$2:$G$193,CleanedData!$C$2:$C$193,$A4,CleanedData!$L$2:$L$193,G$1)</f>
        <v>74219965.88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6" t="s">
        <v>274</v>
      </c>
      <c r="B5" s="64">
        <f>SUMIFS(CleanedData!$G$2:$G$193,CleanedData!$C$2:$C$193,$A5,CleanedData!$L$2:$L$193,B$1)</f>
        <v>15807775.5</v>
      </c>
      <c r="C5" s="64">
        <f>SUMIFS(CleanedData!$G$2:$G$193,CleanedData!$C$2:$C$193,$A5,CleanedData!$L$2:$L$193,C$1)</f>
        <v>17849055</v>
      </c>
      <c r="D5" s="64">
        <f>SUMIFS(CleanedData!$G$2:$G$193,CleanedData!$C$2:$C$193,$A5,CleanedData!$L$2:$L$193,D$1)</f>
        <v>20264796</v>
      </c>
      <c r="E5" s="64">
        <f>SUMIFS(CleanedData!$G$2:$G$193,CleanedData!$C$2:$C$193,$A5,CleanedData!$L$2:$L$193,E$1)</f>
        <v>23127658.5</v>
      </c>
      <c r="F5" s="64">
        <f>SUMIFS(CleanedData!$G$2:$G$193,CleanedData!$C$2:$C$193,$A5,CleanedData!$L$2:$L$193,F$1)</f>
        <v>26449116</v>
      </c>
      <c r="G5" s="64">
        <f>SUMIFS(CleanedData!$G$2:$G$193,CleanedData!$C$2:$C$193,$A5,CleanedData!$L$2:$L$193,G$1)</f>
        <v>30246066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7" t="s">
        <v>280</v>
      </c>
      <c r="B6" s="65">
        <f t="shared" ref="B6:G6" si="1">sum(B4:B5)</f>
        <v>55988966.25</v>
      </c>
      <c r="C6" s="65">
        <f t="shared" si="1"/>
        <v>63228464.63</v>
      </c>
      <c r="D6" s="65">
        <f t="shared" si="1"/>
        <v>71636295.38</v>
      </c>
      <c r="E6" s="65">
        <f t="shared" si="1"/>
        <v>81017541.75</v>
      </c>
      <c r="F6" s="65">
        <f t="shared" si="1"/>
        <v>91983715.13</v>
      </c>
      <c r="G6" s="65">
        <f t="shared" si="1"/>
        <v>104466031.9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0"/>
      <c r="B7" s="40"/>
      <c r="C7" s="40"/>
      <c r="D7" s="40"/>
      <c r="E7" s="40"/>
      <c r="F7" s="40"/>
      <c r="G7" s="4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0" t="s">
        <v>329</v>
      </c>
      <c r="B8" s="40"/>
      <c r="C8" s="40"/>
      <c r="D8" s="40"/>
      <c r="E8" s="40"/>
      <c r="F8" s="40"/>
      <c r="G8" s="4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9" t="s">
        <v>287</v>
      </c>
      <c r="B9" s="40"/>
      <c r="C9" s="40"/>
      <c r="D9" s="40"/>
      <c r="E9" s="40"/>
      <c r="F9" s="40"/>
      <c r="G9" s="4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0" t="s">
        <v>330</v>
      </c>
      <c r="B10" s="64">
        <f>'Cost-RM'!B11</f>
        <v>14182758.48</v>
      </c>
      <c r="C10" s="64">
        <f>'Cost-RM'!C11</f>
        <v>15985691.52</v>
      </c>
      <c r="D10" s="64">
        <f>'Cost-RM'!D11</f>
        <v>18054634.08</v>
      </c>
      <c r="E10" s="64">
        <f>'Cost-RM'!E11</f>
        <v>20302902.72</v>
      </c>
      <c r="F10" s="64">
        <f>'Cost-RM'!F11</f>
        <v>22939344.48</v>
      </c>
      <c r="G10" s="64">
        <f>'Cost-RM'!G11</f>
        <v>25928387.52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0" t="s">
        <v>331</v>
      </c>
      <c r="B11" s="64">
        <f>'Sales Quantity'!B3*Assumptions!$B$30</f>
        <v>618794</v>
      </c>
      <c r="C11" s="64">
        <f>'Sales Quantity'!C3*Assumptions!$B$30</f>
        <v>697456</v>
      </c>
      <c r="D11" s="64">
        <f>'Sales Quantity'!D3*Assumptions!$B$30</f>
        <v>787724</v>
      </c>
      <c r="E11" s="64">
        <f>'Sales Quantity'!E3*Assumptions!$B$30</f>
        <v>885816</v>
      </c>
      <c r="F11" s="64">
        <f>'Sales Quantity'!F3*Assumptions!$B$30</f>
        <v>1000844</v>
      </c>
      <c r="G11" s="64">
        <f>'Sales Quantity'!G3*Assumptions!$B$30</f>
        <v>1131256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0" t="s">
        <v>332</v>
      </c>
      <c r="B12" s="64">
        <f>'Sales Quantity'!B3*Assumptions!$B$31</f>
        <v>2475176</v>
      </c>
      <c r="C12" s="64">
        <f>'Sales Quantity'!C3*Assumptions!$B$31</f>
        <v>2789824</v>
      </c>
      <c r="D12" s="64">
        <f>'Sales Quantity'!D3*Assumptions!$B$31</f>
        <v>3150896</v>
      </c>
      <c r="E12" s="64">
        <f>'Sales Quantity'!E3*Assumptions!$B$31</f>
        <v>3543264</v>
      </c>
      <c r="F12" s="64">
        <f>'Sales Quantity'!F3*Assumptions!$B$31</f>
        <v>4003376</v>
      </c>
      <c r="G12" s="64">
        <f>'Sales Quantity'!G3*Assumptions!$B$31</f>
        <v>4525024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7" t="s">
        <v>280</v>
      </c>
      <c r="B13" s="65">
        <f t="shared" ref="B13:G13" si="2">sum(B10:B12)</f>
        <v>17276728.48</v>
      </c>
      <c r="C13" s="65">
        <f t="shared" si="2"/>
        <v>19472971.52</v>
      </c>
      <c r="D13" s="65">
        <f t="shared" si="2"/>
        <v>21993254.08</v>
      </c>
      <c r="E13" s="65">
        <f t="shared" si="2"/>
        <v>24731982.72</v>
      </c>
      <c r="F13" s="65">
        <f t="shared" si="2"/>
        <v>27943564.48</v>
      </c>
      <c r="G13" s="65">
        <f t="shared" si="2"/>
        <v>31584667.52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0"/>
      <c r="B14" s="68"/>
      <c r="C14" s="68"/>
      <c r="D14" s="68"/>
      <c r="E14" s="68"/>
      <c r="F14" s="68"/>
      <c r="G14" s="6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9" t="s">
        <v>274</v>
      </c>
      <c r="B15" s="68"/>
      <c r="C15" s="68"/>
      <c r="D15" s="68"/>
      <c r="E15" s="68"/>
      <c r="F15" s="68"/>
      <c r="G15" s="6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0" t="s">
        <v>330</v>
      </c>
      <c r="B16" s="64">
        <f>'Cost-RM'!B21</f>
        <v>3854615.976</v>
      </c>
      <c r="C16" s="64">
        <f>'Cost-RM'!C21</f>
        <v>4343571.04</v>
      </c>
      <c r="D16" s="64">
        <f>'Cost-RM'!D21</f>
        <v>4923593.244</v>
      </c>
      <c r="E16" s="64">
        <f>'Cost-RM'!E21</f>
        <v>5608677.724</v>
      </c>
      <c r="F16" s="64">
        <f>'Cost-RM'!F21</f>
        <v>6404241.952</v>
      </c>
      <c r="G16" s="64">
        <f>'Cost-RM'!G21</f>
        <v>7312684.288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0" t="s">
        <v>331</v>
      </c>
      <c r="B17" s="64">
        <f>'Sales Quantity'!B7*Assumptions!$B$30</f>
        <v>546444</v>
      </c>
      <c r="C17" s="64">
        <f>'Sales Quantity'!C7*Assumptions!$B$30</f>
        <v>615760</v>
      </c>
      <c r="D17" s="64">
        <f>'Sales Quantity'!D7*Assumptions!$B$30</f>
        <v>697986</v>
      </c>
      <c r="E17" s="64">
        <f>'Sales Quantity'!E7*Assumptions!$B$30</f>
        <v>795106</v>
      </c>
      <c r="F17" s="64">
        <f>'Sales Quantity'!F7*Assumptions!$B$30</f>
        <v>907888</v>
      </c>
      <c r="G17" s="64">
        <f>'Sales Quantity'!G7*Assumptions!$B$30</f>
        <v>1036672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0" t="s">
        <v>332</v>
      </c>
      <c r="B18" s="64">
        <f>'Sales Quantity'!B7*Assumptions!$B$31</f>
        <v>2185776</v>
      </c>
      <c r="C18" s="64">
        <f>'Sales Quantity'!C7*Assumptions!$B$31</f>
        <v>2463040</v>
      </c>
      <c r="D18" s="64">
        <f>'Sales Quantity'!D7*Assumptions!$B$31</f>
        <v>2791944</v>
      </c>
      <c r="E18" s="64">
        <f>'Sales Quantity'!E7*Assumptions!$B$31</f>
        <v>3180424</v>
      </c>
      <c r="F18" s="64">
        <f>'Sales Quantity'!F7*Assumptions!$B$31</f>
        <v>3631552</v>
      </c>
      <c r="G18" s="64">
        <f>'Sales Quantity'!G7*Assumptions!$B$31</f>
        <v>4146688</v>
      </c>
      <c r="H18" s="4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7" t="s">
        <v>280</v>
      </c>
      <c r="B19" s="65">
        <f t="shared" ref="B19:G19" si="3">SUM(B16:B18)</f>
        <v>6586835.976</v>
      </c>
      <c r="C19" s="65">
        <f t="shared" si="3"/>
        <v>7422371.04</v>
      </c>
      <c r="D19" s="65">
        <f t="shared" si="3"/>
        <v>8413523.244</v>
      </c>
      <c r="E19" s="65">
        <f t="shared" si="3"/>
        <v>9584207.724</v>
      </c>
      <c r="F19" s="65">
        <f t="shared" si="3"/>
        <v>10943681.95</v>
      </c>
      <c r="G19" s="65">
        <f t="shared" si="3"/>
        <v>12496044.29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0"/>
      <c r="B20" s="68"/>
      <c r="C20" s="68"/>
      <c r="D20" s="68"/>
      <c r="E20" s="68"/>
      <c r="F20" s="68"/>
      <c r="G20" s="6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4" t="s">
        <v>333</v>
      </c>
      <c r="B21" s="68"/>
      <c r="C21" s="68"/>
      <c r="D21" s="68"/>
      <c r="E21" s="68"/>
      <c r="F21" s="68"/>
      <c r="G21" s="6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1" t="s">
        <v>287</v>
      </c>
      <c r="B22" s="68">
        <f>B13/'Sales Quantity'!B3</f>
        <v>55.84</v>
      </c>
      <c r="C22" s="68">
        <f>C13/'Sales Quantity'!C3</f>
        <v>55.84</v>
      </c>
      <c r="D22" s="68">
        <f>D13/'Sales Quantity'!D3</f>
        <v>55.84</v>
      </c>
      <c r="E22" s="68">
        <f>E13/'Sales Quantity'!E3</f>
        <v>55.84</v>
      </c>
      <c r="F22" s="68">
        <f>F13/'Sales Quantity'!F3</f>
        <v>55.84</v>
      </c>
      <c r="G22" s="68">
        <f>G13/'Sales Quantity'!G3</f>
        <v>55.84</v>
      </c>
      <c r="H22" s="6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1" t="s">
        <v>274</v>
      </c>
      <c r="B23" s="68">
        <f>B19/'Sales Quantity'!B7</f>
        <v>24.108</v>
      </c>
      <c r="C23" s="68">
        <f>C19/'Sales Quantity'!C7</f>
        <v>24.108</v>
      </c>
      <c r="D23" s="68">
        <f>D19/'Sales Quantity'!D7</f>
        <v>24.108</v>
      </c>
      <c r="E23" s="68">
        <f>E19/'Sales Quantity'!E7</f>
        <v>24.108</v>
      </c>
      <c r="F23" s="68">
        <f>F19/'Sales Quantity'!F7</f>
        <v>24.108</v>
      </c>
      <c r="G23" s="68">
        <f>G19/'Sales Quantity'!G7</f>
        <v>24.108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0"/>
      <c r="B24" s="68"/>
      <c r="C24" s="68"/>
      <c r="D24" s="68"/>
      <c r="E24" s="68"/>
      <c r="F24" s="68"/>
      <c r="G24" s="6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0"/>
      <c r="B25" s="68"/>
      <c r="C25" s="68"/>
      <c r="D25" s="68"/>
      <c r="E25" s="68"/>
      <c r="F25" s="68"/>
      <c r="G25" s="6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7" t="s">
        <v>334</v>
      </c>
      <c r="B26" s="68"/>
      <c r="C26" s="68"/>
      <c r="D26" s="68"/>
      <c r="E26" s="68"/>
      <c r="F26" s="68"/>
      <c r="G26" s="6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6" t="s">
        <v>287</v>
      </c>
      <c r="B27" s="64">
        <f t="shared" ref="B27:G27" si="4">B13</f>
        <v>17276728.48</v>
      </c>
      <c r="C27" s="64">
        <f t="shared" si="4"/>
        <v>19472971.52</v>
      </c>
      <c r="D27" s="64">
        <f t="shared" si="4"/>
        <v>21993254.08</v>
      </c>
      <c r="E27" s="64">
        <f t="shared" si="4"/>
        <v>24731982.72</v>
      </c>
      <c r="F27" s="64">
        <f t="shared" si="4"/>
        <v>27943564.48</v>
      </c>
      <c r="G27" s="64">
        <f t="shared" si="4"/>
        <v>31584667.52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6" t="s">
        <v>274</v>
      </c>
      <c r="B28" s="64">
        <f t="shared" ref="B28:G28" si="5">B19</f>
        <v>6586835.976</v>
      </c>
      <c r="C28" s="64">
        <f t="shared" si="5"/>
        <v>7422371.04</v>
      </c>
      <c r="D28" s="64">
        <f t="shared" si="5"/>
        <v>8413523.244</v>
      </c>
      <c r="E28" s="64">
        <f t="shared" si="5"/>
        <v>9584207.724</v>
      </c>
      <c r="F28" s="64">
        <f t="shared" si="5"/>
        <v>10943681.95</v>
      </c>
      <c r="G28" s="64">
        <f t="shared" si="5"/>
        <v>12496044.29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7" t="s">
        <v>334</v>
      </c>
      <c r="B29" s="65">
        <f t="shared" ref="B29:G29" si="6">sum(B27:B28)</f>
        <v>23863564.46</v>
      </c>
      <c r="C29" s="65">
        <f t="shared" si="6"/>
        <v>26895342.56</v>
      </c>
      <c r="D29" s="65">
        <f t="shared" si="6"/>
        <v>30406777.32</v>
      </c>
      <c r="E29" s="65">
        <f t="shared" si="6"/>
        <v>34316190.44</v>
      </c>
      <c r="F29" s="65">
        <f t="shared" si="6"/>
        <v>38887246.43</v>
      </c>
      <c r="G29" s="65">
        <f t="shared" si="6"/>
        <v>44080711.81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0"/>
      <c r="B30" s="68"/>
      <c r="C30" s="68"/>
      <c r="D30" s="68"/>
      <c r="E30" s="68"/>
      <c r="F30" s="68"/>
      <c r="G30" s="6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7" t="s">
        <v>335</v>
      </c>
      <c r="B31" s="68"/>
      <c r="C31" s="68"/>
      <c r="D31" s="68"/>
      <c r="E31" s="68"/>
      <c r="F31" s="68"/>
      <c r="G31" s="6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6" t="s">
        <v>287</v>
      </c>
      <c r="B32" s="64">
        <f t="shared" ref="B32:G32" si="7">B4-B27</f>
        <v>22904462.27</v>
      </c>
      <c r="C32" s="64">
        <f t="shared" si="7"/>
        <v>25906438.11</v>
      </c>
      <c r="D32" s="64">
        <f t="shared" si="7"/>
        <v>29378245.3</v>
      </c>
      <c r="E32" s="64">
        <f t="shared" si="7"/>
        <v>33157900.53</v>
      </c>
      <c r="F32" s="64">
        <f t="shared" si="7"/>
        <v>37591034.65</v>
      </c>
      <c r="G32" s="64">
        <f t="shared" si="7"/>
        <v>42635298.36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6" t="s">
        <v>274</v>
      </c>
      <c r="B33" s="64">
        <f t="shared" ref="B33:G33" si="8">B5-B28</f>
        <v>9220939.524</v>
      </c>
      <c r="C33" s="64">
        <f t="shared" si="8"/>
        <v>10426683.96</v>
      </c>
      <c r="D33" s="64">
        <f t="shared" si="8"/>
        <v>11851272.76</v>
      </c>
      <c r="E33" s="64">
        <f t="shared" si="8"/>
        <v>13543450.78</v>
      </c>
      <c r="F33" s="64">
        <f t="shared" si="8"/>
        <v>15505434.05</v>
      </c>
      <c r="G33" s="64">
        <f t="shared" si="8"/>
        <v>17750021.71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7" t="s">
        <v>280</v>
      </c>
      <c r="B34" s="65">
        <f t="shared" ref="B34:G34" si="9">sum(B32:B33)</f>
        <v>32125401.79</v>
      </c>
      <c r="C34" s="65">
        <f t="shared" si="9"/>
        <v>36333122.07</v>
      </c>
      <c r="D34" s="65">
        <f t="shared" si="9"/>
        <v>41229518.05</v>
      </c>
      <c r="E34" s="65">
        <f t="shared" si="9"/>
        <v>46701351.31</v>
      </c>
      <c r="F34" s="65">
        <f t="shared" si="9"/>
        <v>53096468.69</v>
      </c>
      <c r="G34" s="65">
        <f t="shared" si="9"/>
        <v>60385320.07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0"/>
      <c r="B35" s="40"/>
      <c r="C35" s="40"/>
      <c r="D35" s="40"/>
      <c r="E35" s="40"/>
      <c r="F35" s="40"/>
      <c r="G35" s="4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7" t="s">
        <v>336</v>
      </c>
      <c r="B36" s="40"/>
      <c r="C36" s="40"/>
      <c r="D36" s="40"/>
      <c r="E36" s="40"/>
      <c r="F36" s="40"/>
      <c r="G36" s="4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6" t="s">
        <v>287</v>
      </c>
      <c r="B37" s="45">
        <f>B32/'Sales Quantity'!B3</f>
        <v>74.02936121</v>
      </c>
      <c r="C37" s="45">
        <f>C32/'Sales Quantity'!C3</f>
        <v>74.28837978</v>
      </c>
      <c r="D37" s="45">
        <f>D32/'Sales Quantity'!D3</f>
        <v>74.59019985</v>
      </c>
      <c r="E37" s="45">
        <f>E32/'Sales Quantity'!E3</f>
        <v>74.86408132</v>
      </c>
      <c r="F37" s="45">
        <f>F32/'Sales Quantity'!F3</f>
        <v>75.11866913</v>
      </c>
      <c r="G37" s="45">
        <f>G32/'Sales Quantity'!G3</f>
        <v>75.37692327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6" t="s">
        <v>274</v>
      </c>
      <c r="B38" s="63">
        <f>B33/'Sales Quantity'!B7</f>
        <v>33.7488911</v>
      </c>
      <c r="C38" s="63">
        <f>C33/'Sales Quantity'!C7</f>
        <v>33.86606457</v>
      </c>
      <c r="D38" s="63">
        <f>D33/'Sales Quantity'!D7</f>
        <v>33.95848271</v>
      </c>
      <c r="E38" s="63">
        <f>E33/'Sales Quantity'!E7</f>
        <v>34.06703201</v>
      </c>
      <c r="F38" s="63">
        <f>F33/'Sales Quantity'!F7</f>
        <v>34.15715165</v>
      </c>
      <c r="G38" s="63">
        <f>G33/'Sales Quantity'!G7</f>
        <v>34.2442387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7" t="s">
        <v>280</v>
      </c>
      <c r="B39" s="69">
        <f t="shared" ref="B39:G39" si="10">sum(B37:B38)</f>
        <v>107.7782523</v>
      </c>
      <c r="C39" s="69">
        <f t="shared" si="10"/>
        <v>108.1544444</v>
      </c>
      <c r="D39" s="69">
        <f t="shared" si="10"/>
        <v>108.5486826</v>
      </c>
      <c r="E39" s="69">
        <f t="shared" si="10"/>
        <v>108.9311133</v>
      </c>
      <c r="F39" s="69">
        <f t="shared" si="10"/>
        <v>109.2758208</v>
      </c>
      <c r="G39" s="69">
        <f t="shared" si="10"/>
        <v>109.621162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1">
    <mergeCell ref="A2:G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56" t="s">
        <v>327</v>
      </c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245</v>
      </c>
      <c r="G1" s="56" t="s">
        <v>246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0" t="s">
        <v>277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0" t="s">
        <v>328</v>
      </c>
      <c r="B3" s="40"/>
      <c r="C3" s="40"/>
      <c r="D3" s="40"/>
      <c r="E3" s="40"/>
      <c r="F3" s="40"/>
      <c r="G3" s="4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6" t="s">
        <v>287</v>
      </c>
      <c r="B4" s="64">
        <f>SUMIFS(CleanedData!$H$2:$H$193,CleanedData!$C$2:$C$193,$A4,CleanedData!$L$2:$L$193,B$1)</f>
        <v>47311155</v>
      </c>
      <c r="C4" s="64">
        <f>SUMIFS(CleanedData!$H$2:$H$193,CleanedData!$C$2:$C$193,$A4,CleanedData!$L$2:$L$193,C$1)</f>
        <v>53188110</v>
      </c>
      <c r="D4" s="64">
        <f>SUMIFS(CleanedData!$H$2:$H$193,CleanedData!$C$2:$C$193,$A4,CleanedData!$L$2:$L$193,D$1)</f>
        <v>61479135</v>
      </c>
      <c r="E4" s="64">
        <f>SUMIFS(CleanedData!$H$2:$H$193,CleanedData!$C$2:$C$193,$A4,CleanedData!$L$2:$L$193,E$1)</f>
        <v>68854995</v>
      </c>
      <c r="F4" s="64">
        <f>SUMIFS(CleanedData!$H$2:$H$193,CleanedData!$C$2:$C$193,$A4,CleanedData!$L$2:$L$193,F$1)</f>
        <v>77739345</v>
      </c>
      <c r="G4" s="64">
        <f>SUMIFS(CleanedData!$H$2:$H$193,CleanedData!$C$2:$C$193,$A4,CleanedData!$L$2:$L$193,G$1)</f>
        <v>88462665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6" t="s">
        <v>274</v>
      </c>
      <c r="B5" s="64">
        <f>SUMIFS(CleanedData!$H$2:$H$193,CleanedData!$C$2:$C$193,$A5,CleanedData!$L$2:$L$193,B$1)</f>
        <v>18951300</v>
      </c>
      <c r="C5" s="64">
        <f>SUMIFS(CleanedData!$H$2:$H$193,CleanedData!$C$2:$C$193,$A5,CleanedData!$L$2:$L$193,C$1)</f>
        <v>21135900</v>
      </c>
      <c r="D5" s="64">
        <f>SUMIFS(CleanedData!$H$2:$H$193,CleanedData!$C$2:$C$193,$A5,CleanedData!$L$2:$L$193,D$1)</f>
        <v>24074220</v>
      </c>
      <c r="E5" s="64">
        <f>SUMIFS(CleanedData!$H$2:$H$193,CleanedData!$C$2:$C$193,$A5,CleanedData!$L$2:$L$193,E$1)</f>
        <v>27725100</v>
      </c>
      <c r="F5" s="64">
        <f>SUMIFS(CleanedData!$H$2:$H$193,CleanedData!$C$2:$C$193,$A5,CleanedData!$L$2:$L$193,F$1)</f>
        <v>31156380</v>
      </c>
      <c r="G5" s="64">
        <f>SUMIFS(CleanedData!$H$2:$H$193,CleanedData!$C$2:$C$193,$A5,CleanedData!$L$2:$L$193,G$1)</f>
        <v>35859240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7" t="s">
        <v>280</v>
      </c>
      <c r="B6" s="65">
        <f t="shared" ref="B6:G6" si="1">sum(B4:B5)</f>
        <v>66262455</v>
      </c>
      <c r="C6" s="65">
        <f t="shared" si="1"/>
        <v>74324010</v>
      </c>
      <c r="D6" s="65">
        <f t="shared" si="1"/>
        <v>85553355</v>
      </c>
      <c r="E6" s="65">
        <f t="shared" si="1"/>
        <v>96580095</v>
      </c>
      <c r="F6" s="65">
        <f t="shared" si="1"/>
        <v>108895725</v>
      </c>
      <c r="G6" s="65">
        <f t="shared" si="1"/>
        <v>124321905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0"/>
      <c r="B7" s="68"/>
      <c r="C7" s="68"/>
      <c r="D7" s="68"/>
      <c r="E7" s="68"/>
      <c r="F7" s="68"/>
      <c r="G7" s="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0"/>
      <c r="B8" s="68"/>
      <c r="C8" s="68"/>
      <c r="D8" s="68"/>
      <c r="E8" s="68"/>
      <c r="F8" s="68"/>
      <c r="G8" s="6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0" t="s">
        <v>329</v>
      </c>
      <c r="B9" s="68"/>
      <c r="C9" s="68"/>
      <c r="D9" s="68"/>
      <c r="E9" s="68"/>
      <c r="F9" s="68"/>
      <c r="G9" s="6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9" t="s">
        <v>287</v>
      </c>
      <c r="B10" s="68"/>
      <c r="C10" s="68"/>
      <c r="D10" s="68"/>
      <c r="E10" s="68"/>
      <c r="F10" s="68"/>
      <c r="G10" s="6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0" t="s">
        <v>330</v>
      </c>
      <c r="B11" s="64">
        <f>'Cost-RM'!B36</f>
        <v>16064765.52</v>
      </c>
      <c r="C11" s="64">
        <f>'Cost-RM'!C36</f>
        <v>18060318.24</v>
      </c>
      <c r="D11" s="64">
        <f>'Cost-RM'!D36</f>
        <v>20875581.84</v>
      </c>
      <c r="E11" s="64">
        <f>'Cost-RM'!E36</f>
        <v>23380096.08</v>
      </c>
      <c r="F11" s="64">
        <f>'Cost-RM'!F36</f>
        <v>26396826.48</v>
      </c>
      <c r="G11" s="64">
        <f>'Cost-RM'!G36</f>
        <v>30037989.36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0" t="s">
        <v>331</v>
      </c>
      <c r="B12" s="64">
        <f>'Sales Quantity'!B4*Assumptions!$C$30</f>
        <v>1752265</v>
      </c>
      <c r="C12" s="64">
        <f>'Sales Quantity'!C4*Assumptions!$C$30</f>
        <v>1969930</v>
      </c>
      <c r="D12" s="64">
        <f>'Sales Quantity'!D4*Assumptions!$C$30</f>
        <v>2277005</v>
      </c>
      <c r="E12" s="64">
        <f>'Sales Quantity'!E4*Assumptions!$C$30</f>
        <v>2550185</v>
      </c>
      <c r="F12" s="64">
        <f>'Sales Quantity'!F4*Assumptions!$C$30</f>
        <v>2879235</v>
      </c>
      <c r="G12" s="64">
        <f>'Sales Quantity'!G4*Assumptions!$C$30</f>
        <v>3276395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0" t="s">
        <v>332</v>
      </c>
      <c r="B13" s="64">
        <f>'Sales Quantity'!B4*Assumptions!$C$31</f>
        <v>3854983</v>
      </c>
      <c r="C13" s="64">
        <f>'Sales Quantity'!C4*Assumptions!$C$31</f>
        <v>4333846</v>
      </c>
      <c r="D13" s="64">
        <f>'Sales Quantity'!D4*Assumptions!$C$31</f>
        <v>5009411</v>
      </c>
      <c r="E13" s="64">
        <f>'Sales Quantity'!E4*Assumptions!$C$31</f>
        <v>5610407</v>
      </c>
      <c r="F13" s="64">
        <f>'Sales Quantity'!F4*Assumptions!$C$31</f>
        <v>6334317</v>
      </c>
      <c r="G13" s="64">
        <f>'Sales Quantity'!G4*Assumptions!$C$31</f>
        <v>7208069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7" t="s">
        <v>280</v>
      </c>
      <c r="B14" s="65">
        <f t="shared" ref="B14:G14" si="2">sum(B11:B13)</f>
        <v>21672013.52</v>
      </c>
      <c r="C14" s="65">
        <f t="shared" si="2"/>
        <v>24364094.24</v>
      </c>
      <c r="D14" s="65">
        <f t="shared" si="2"/>
        <v>28161997.84</v>
      </c>
      <c r="E14" s="65">
        <f t="shared" si="2"/>
        <v>31540688.08</v>
      </c>
      <c r="F14" s="65">
        <f t="shared" si="2"/>
        <v>35610378.48</v>
      </c>
      <c r="G14" s="65">
        <f t="shared" si="2"/>
        <v>40522453.36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0"/>
      <c r="B15" s="68"/>
      <c r="C15" s="68"/>
      <c r="D15" s="68"/>
      <c r="E15" s="68"/>
      <c r="F15" s="68"/>
      <c r="G15" s="6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9" t="s">
        <v>274</v>
      </c>
      <c r="B16" s="68"/>
      <c r="C16" s="68"/>
      <c r="D16" s="68"/>
      <c r="E16" s="68"/>
      <c r="F16" s="68"/>
      <c r="G16" s="6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0" t="s">
        <v>330</v>
      </c>
      <c r="B17" s="64">
        <f>'Cost-RM'!B46</f>
        <v>4456082.34</v>
      </c>
      <c r="C17" s="64">
        <f>'Cost-RM'!C46</f>
        <v>4969754.62</v>
      </c>
      <c r="D17" s="64">
        <f>'Cost-RM'!D46</f>
        <v>5660651.596</v>
      </c>
      <c r="E17" s="64">
        <f>'Cost-RM'!E46</f>
        <v>6519095.18</v>
      </c>
      <c r="F17" s="64">
        <f>'Cost-RM'!F46</f>
        <v>7325903.484</v>
      </c>
      <c r="G17" s="64">
        <f>'Cost-RM'!G46</f>
        <v>8431702.632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0" t="s">
        <v>331</v>
      </c>
      <c r="B18" s="64">
        <f>'Sales Quantity'!B8*Assumptions!$C$30</f>
        <v>1579275</v>
      </c>
      <c r="C18" s="64">
        <f>'Sales Quantity'!C8*Assumptions!$C$30</f>
        <v>1761325</v>
      </c>
      <c r="D18" s="64">
        <f>'Sales Quantity'!D8*Assumptions!$C$30</f>
        <v>2006185</v>
      </c>
      <c r="E18" s="64">
        <f>'Sales Quantity'!E8*Assumptions!$C$30</f>
        <v>2310425</v>
      </c>
      <c r="F18" s="64">
        <f>'Sales Quantity'!F8*Assumptions!$C$30</f>
        <v>2596365</v>
      </c>
      <c r="G18" s="64">
        <f>'Sales Quantity'!G8*Assumptions!$C$30</f>
        <v>2988270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0" t="s">
        <v>332</v>
      </c>
      <c r="B19" s="64">
        <f>'Sales Quantity'!B8*Assumptions!$C$31</f>
        <v>3474405</v>
      </c>
      <c r="C19" s="64">
        <f>'Sales Quantity'!C8*Assumptions!$C$31</f>
        <v>3874915</v>
      </c>
      <c r="D19" s="64">
        <f>'Sales Quantity'!D8*Assumptions!$C$31</f>
        <v>4413607</v>
      </c>
      <c r="E19" s="64">
        <f>'Sales Quantity'!E8*Assumptions!$C$31</f>
        <v>5082935</v>
      </c>
      <c r="F19" s="64">
        <f>'Sales Quantity'!F8*Assumptions!$C$31</f>
        <v>5712003</v>
      </c>
      <c r="G19" s="64">
        <f>'Sales Quantity'!G8*Assumptions!$C$31</f>
        <v>6574194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7" t="s">
        <v>280</v>
      </c>
      <c r="B20" s="65">
        <f t="shared" ref="B20:G20" si="3">SUM(B17:B19)</f>
        <v>9509762.34</v>
      </c>
      <c r="C20" s="65">
        <f t="shared" si="3"/>
        <v>10605994.62</v>
      </c>
      <c r="D20" s="65">
        <f t="shared" si="3"/>
        <v>12080443.6</v>
      </c>
      <c r="E20" s="65">
        <f t="shared" si="3"/>
        <v>13912455.18</v>
      </c>
      <c r="F20" s="65">
        <f t="shared" si="3"/>
        <v>15634271.48</v>
      </c>
      <c r="G20" s="65">
        <f t="shared" si="3"/>
        <v>17994166.63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0"/>
      <c r="B21" s="68"/>
      <c r="C21" s="68"/>
      <c r="D21" s="68"/>
      <c r="E21" s="68"/>
      <c r="F21" s="68"/>
      <c r="G21" s="6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4" t="s">
        <v>333</v>
      </c>
      <c r="B22" s="68"/>
      <c r="C22" s="68"/>
      <c r="D22" s="68"/>
      <c r="E22" s="68"/>
      <c r="F22" s="68"/>
      <c r="G22" s="6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1" t="s">
        <v>287</v>
      </c>
      <c r="B23" s="68">
        <f>B14/'Sales Quantity'!B4</f>
        <v>61.84</v>
      </c>
      <c r="C23" s="68">
        <f>C14/'Sales Quantity'!C4</f>
        <v>61.84</v>
      </c>
      <c r="D23" s="68">
        <f>D14/'Sales Quantity'!D4</f>
        <v>61.84</v>
      </c>
      <c r="E23" s="68">
        <f>E14/'Sales Quantity'!E4</f>
        <v>61.84</v>
      </c>
      <c r="F23" s="68">
        <f>F14/'Sales Quantity'!F4</f>
        <v>61.84</v>
      </c>
      <c r="G23" s="68">
        <f>G14/'Sales Quantity'!G4</f>
        <v>61.84</v>
      </c>
      <c r="H23" s="6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1" t="s">
        <v>274</v>
      </c>
      <c r="B24" s="68">
        <f>B20/'Sales Quantity'!B8</f>
        <v>30.108</v>
      </c>
      <c r="C24" s="68">
        <f>C20/'Sales Quantity'!C8</f>
        <v>30.108</v>
      </c>
      <c r="D24" s="68">
        <f>D20/'Sales Quantity'!D8</f>
        <v>30.108</v>
      </c>
      <c r="E24" s="68">
        <f>E20/'Sales Quantity'!E8</f>
        <v>30.108</v>
      </c>
      <c r="F24" s="68">
        <f>F20/'Sales Quantity'!F8</f>
        <v>30.108</v>
      </c>
      <c r="G24" s="68">
        <f>G20/'Sales Quantity'!G8</f>
        <v>30.108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0"/>
      <c r="B25" s="68"/>
      <c r="C25" s="68"/>
      <c r="D25" s="68"/>
      <c r="E25" s="68"/>
      <c r="F25" s="68"/>
      <c r="G25" s="6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0"/>
      <c r="B26" s="68"/>
      <c r="C26" s="68"/>
      <c r="D26" s="68"/>
      <c r="E26" s="68"/>
      <c r="F26" s="68"/>
      <c r="G26" s="6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7" t="s">
        <v>334</v>
      </c>
      <c r="B27" s="68"/>
      <c r="C27" s="68"/>
      <c r="D27" s="68"/>
      <c r="E27" s="68"/>
      <c r="F27" s="68"/>
      <c r="G27" s="6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6" t="s">
        <v>287</v>
      </c>
      <c r="B28" s="64">
        <f t="shared" ref="B28:G28" si="4">B14</f>
        <v>21672013.52</v>
      </c>
      <c r="C28" s="64">
        <f t="shared" si="4"/>
        <v>24364094.24</v>
      </c>
      <c r="D28" s="64">
        <f t="shared" si="4"/>
        <v>28161997.84</v>
      </c>
      <c r="E28" s="64">
        <f t="shared" si="4"/>
        <v>31540688.08</v>
      </c>
      <c r="F28" s="64">
        <f t="shared" si="4"/>
        <v>35610378.48</v>
      </c>
      <c r="G28" s="64">
        <f t="shared" si="4"/>
        <v>40522453.36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6" t="s">
        <v>274</v>
      </c>
      <c r="B29" s="64">
        <f t="shared" ref="B29:G29" si="5">B20</f>
        <v>9509762.34</v>
      </c>
      <c r="C29" s="64">
        <f t="shared" si="5"/>
        <v>10605994.62</v>
      </c>
      <c r="D29" s="64">
        <f t="shared" si="5"/>
        <v>12080443.6</v>
      </c>
      <c r="E29" s="64">
        <f t="shared" si="5"/>
        <v>13912455.18</v>
      </c>
      <c r="F29" s="64">
        <f t="shared" si="5"/>
        <v>15634271.48</v>
      </c>
      <c r="G29" s="64">
        <f t="shared" si="5"/>
        <v>17994166.63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7" t="s">
        <v>334</v>
      </c>
      <c r="B30" s="65">
        <f t="shared" ref="B30:G30" si="6">sum(B28:B29)</f>
        <v>31181775.86</v>
      </c>
      <c r="C30" s="65">
        <f t="shared" si="6"/>
        <v>34970088.86</v>
      </c>
      <c r="D30" s="65">
        <f t="shared" si="6"/>
        <v>40242441.44</v>
      </c>
      <c r="E30" s="65">
        <f t="shared" si="6"/>
        <v>45453143.26</v>
      </c>
      <c r="F30" s="65">
        <f t="shared" si="6"/>
        <v>51244649.96</v>
      </c>
      <c r="G30" s="65">
        <f t="shared" si="6"/>
        <v>58516619.99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0"/>
      <c r="B31" s="68"/>
      <c r="C31" s="68"/>
      <c r="D31" s="68"/>
      <c r="E31" s="68"/>
      <c r="F31" s="68"/>
      <c r="G31" s="6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7" t="s">
        <v>335</v>
      </c>
      <c r="B32" s="68"/>
      <c r="C32" s="68"/>
      <c r="D32" s="68"/>
      <c r="E32" s="68"/>
      <c r="F32" s="68"/>
      <c r="G32" s="6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6" t="s">
        <v>287</v>
      </c>
      <c r="B33" s="64">
        <f t="shared" ref="B33:G33" si="7">B4-B28</f>
        <v>25639141.48</v>
      </c>
      <c r="C33" s="64">
        <f t="shared" si="7"/>
        <v>28824015.76</v>
      </c>
      <c r="D33" s="64">
        <f t="shared" si="7"/>
        <v>33317137.16</v>
      </c>
      <c r="E33" s="64">
        <f t="shared" si="7"/>
        <v>37314306.92</v>
      </c>
      <c r="F33" s="64">
        <f t="shared" si="7"/>
        <v>42128966.52</v>
      </c>
      <c r="G33" s="64">
        <f t="shared" si="7"/>
        <v>47940211.64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6" t="s">
        <v>274</v>
      </c>
      <c r="B34" s="64">
        <f t="shared" ref="B34:G34" si="8">B5-B29</f>
        <v>9441537.66</v>
      </c>
      <c r="C34" s="64">
        <f t="shared" si="8"/>
        <v>10529905.38</v>
      </c>
      <c r="D34" s="64">
        <f t="shared" si="8"/>
        <v>11993776.4</v>
      </c>
      <c r="E34" s="64">
        <f t="shared" si="8"/>
        <v>13812644.82</v>
      </c>
      <c r="F34" s="64">
        <f t="shared" si="8"/>
        <v>15522108.52</v>
      </c>
      <c r="G34" s="64">
        <f t="shared" si="8"/>
        <v>17865073.37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7" t="s">
        <v>280</v>
      </c>
      <c r="B35" s="65">
        <f t="shared" ref="B35:G35" si="9">sum(B33:B34)</f>
        <v>35080679.14</v>
      </c>
      <c r="C35" s="65">
        <f t="shared" si="9"/>
        <v>39353921.14</v>
      </c>
      <c r="D35" s="65">
        <f t="shared" si="9"/>
        <v>45310913.56</v>
      </c>
      <c r="E35" s="65">
        <f t="shared" si="9"/>
        <v>51126951.74</v>
      </c>
      <c r="F35" s="65">
        <f t="shared" si="9"/>
        <v>57651075.04</v>
      </c>
      <c r="G35" s="65">
        <f t="shared" si="9"/>
        <v>65805285.01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0"/>
      <c r="B36" s="40"/>
      <c r="C36" s="40"/>
      <c r="D36" s="40"/>
      <c r="E36" s="40"/>
      <c r="F36" s="40"/>
      <c r="G36" s="4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7" t="s">
        <v>336</v>
      </c>
      <c r="B37" s="40"/>
      <c r="C37" s="40"/>
      <c r="D37" s="40"/>
      <c r="E37" s="40"/>
      <c r="F37" s="40"/>
      <c r="G37" s="4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6" t="s">
        <v>287</v>
      </c>
      <c r="B38" s="45">
        <f>B33/'Sales Quantity'!B4</f>
        <v>73.16</v>
      </c>
      <c r="C38" s="45">
        <f>C33/'Sales Quantity'!C4</f>
        <v>73.16</v>
      </c>
      <c r="D38" s="45">
        <f>D33/'Sales Quantity'!D4</f>
        <v>73.16</v>
      </c>
      <c r="E38" s="45">
        <f>E33/'Sales Quantity'!E4</f>
        <v>73.16</v>
      </c>
      <c r="F38" s="45">
        <f>F33/'Sales Quantity'!F4</f>
        <v>73.16</v>
      </c>
      <c r="G38" s="45">
        <f>G33/'Sales Quantity'!G4</f>
        <v>73.16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6" t="s">
        <v>274</v>
      </c>
      <c r="B39" s="63">
        <f>B34/'Sales Quantity'!B8</f>
        <v>29.892</v>
      </c>
      <c r="C39" s="63">
        <f>C34/'Sales Quantity'!C8</f>
        <v>29.892</v>
      </c>
      <c r="D39" s="63">
        <f>D34/'Sales Quantity'!D8</f>
        <v>29.892</v>
      </c>
      <c r="E39" s="63">
        <f>E34/'Sales Quantity'!E8</f>
        <v>29.892</v>
      </c>
      <c r="F39" s="63">
        <f>F34/'Sales Quantity'!F8</f>
        <v>29.892</v>
      </c>
      <c r="G39" s="63">
        <f>G34/'Sales Quantity'!G8</f>
        <v>29.892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7" t="s">
        <v>280</v>
      </c>
      <c r="B40" s="69">
        <f t="shared" ref="B40:G40" si="10">sum(B38:B39)</f>
        <v>103.052</v>
      </c>
      <c r="C40" s="69">
        <f t="shared" si="10"/>
        <v>103.052</v>
      </c>
      <c r="D40" s="69">
        <f t="shared" si="10"/>
        <v>103.052</v>
      </c>
      <c r="E40" s="69">
        <f t="shared" si="10"/>
        <v>103.052</v>
      </c>
      <c r="F40" s="69">
        <f t="shared" si="10"/>
        <v>103.052</v>
      </c>
      <c r="G40" s="69">
        <f t="shared" si="10"/>
        <v>103.052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7" width="14.38"/>
  </cols>
  <sheetData>
    <row r="1">
      <c r="A1" s="56" t="s">
        <v>327</v>
      </c>
      <c r="B1" s="56" t="s">
        <v>241</v>
      </c>
      <c r="C1" s="56" t="s">
        <v>242</v>
      </c>
      <c r="D1" s="56" t="s">
        <v>243</v>
      </c>
      <c r="E1" s="56" t="s">
        <v>244</v>
      </c>
      <c r="F1" s="56" t="s">
        <v>245</v>
      </c>
      <c r="G1" s="56" t="s">
        <v>246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7" t="s">
        <v>337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0" t="s">
        <v>276</v>
      </c>
      <c r="B3" s="64">
        <f>Contribution_Old!B34</f>
        <v>32125401.79</v>
      </c>
      <c r="C3" s="64">
        <f>Contribution_Old!C34</f>
        <v>36333122.07</v>
      </c>
      <c r="D3" s="64">
        <f>Contribution_Old!D34</f>
        <v>41229518.05</v>
      </c>
      <c r="E3" s="64">
        <f>Contribution_Old!E34</f>
        <v>46701351.31</v>
      </c>
      <c r="F3" s="64">
        <f>Contribution_Old!F34</f>
        <v>53096468.69</v>
      </c>
      <c r="G3" s="64">
        <f>Contribution_Old!G34</f>
        <v>60385320.07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0" t="s">
        <v>277</v>
      </c>
      <c r="B4" s="64">
        <f>Contribution_New!B35</f>
        <v>35080679.14</v>
      </c>
      <c r="C4" s="64">
        <f>Contribution_New!C35</f>
        <v>39353921.14</v>
      </c>
      <c r="D4" s="64">
        <f>Contribution_New!D35</f>
        <v>45310913.56</v>
      </c>
      <c r="E4" s="64">
        <f>Contribution_New!E35</f>
        <v>51126951.74</v>
      </c>
      <c r="F4" s="64">
        <f>Contribution_New!F35</f>
        <v>57651075.04</v>
      </c>
      <c r="G4" s="64">
        <f>Contribution_New!G35</f>
        <v>65805285.01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0"/>
      <c r="B5" s="68"/>
      <c r="C5" s="68"/>
      <c r="D5" s="68"/>
      <c r="E5" s="68"/>
      <c r="F5" s="68"/>
      <c r="G5" s="6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7" t="s">
        <v>338</v>
      </c>
      <c r="B6" s="65">
        <f t="shared" ref="B6:G6" si="1">B4-B3</f>
        <v>2955277.346</v>
      </c>
      <c r="C6" s="65">
        <f t="shared" si="1"/>
        <v>3020799.075</v>
      </c>
      <c r="D6" s="65">
        <f t="shared" si="1"/>
        <v>4081395.513</v>
      </c>
      <c r="E6" s="65">
        <f t="shared" si="1"/>
        <v>4425600.434</v>
      </c>
      <c r="F6" s="65">
        <f t="shared" si="1"/>
        <v>4554606.343</v>
      </c>
      <c r="G6" s="65">
        <f t="shared" si="1"/>
        <v>5419964.941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0"/>
      <c r="B7" s="68"/>
      <c r="C7" s="68"/>
      <c r="D7" s="68"/>
      <c r="E7" s="68"/>
      <c r="F7" s="68"/>
      <c r="G7" s="6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7" t="s">
        <v>339</v>
      </c>
      <c r="B8" s="68"/>
      <c r="C8" s="68"/>
      <c r="D8" s="68"/>
      <c r="E8" s="68"/>
      <c r="F8" s="68"/>
      <c r="G8" s="6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0" t="str">
        <f t="shared" ref="A9:A10" si="2">A3</f>
        <v>Old Plan</v>
      </c>
      <c r="B9" s="68">
        <f>Assumptions!$B$39</f>
        <v>85725</v>
      </c>
      <c r="C9" s="68">
        <f>B9*(1+Assumptions!$C$39)</f>
        <v>94297.5</v>
      </c>
      <c r="D9" s="68">
        <f>C9*(1+Assumptions!$C$39)</f>
        <v>103727.25</v>
      </c>
      <c r="E9" s="68">
        <f>D9*(1+Assumptions!$C$39)</f>
        <v>114099.975</v>
      </c>
      <c r="F9" s="68">
        <f>E9*(1+Assumptions!$C$39)</f>
        <v>125509.9725</v>
      </c>
      <c r="G9" s="68">
        <f>F9*(1+Assumptions!$C$39)</f>
        <v>138060.9698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0" t="str">
        <f t="shared" si="2"/>
        <v>New Plan</v>
      </c>
      <c r="B10" s="70">
        <f>Assumptions!$B$45</f>
        <v>1200000</v>
      </c>
      <c r="C10" s="68">
        <f>B10*(1+Assumptions!$C$45)</f>
        <v>1344000</v>
      </c>
      <c r="D10" s="68">
        <f>C10*(1+Assumptions!$C$45)</f>
        <v>1505280</v>
      </c>
      <c r="E10" s="68">
        <f>D10*(1+Assumptions!$C$45)</f>
        <v>1685913.6</v>
      </c>
      <c r="F10" s="68">
        <f>E10*(1+Assumptions!$C$45)</f>
        <v>1888223.232</v>
      </c>
      <c r="G10" s="68">
        <f>F10*(1+Assumptions!$C$45)</f>
        <v>2114810.02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7" t="s">
        <v>340</v>
      </c>
      <c r="B11" s="68">
        <f t="shared" ref="B11:G11" si="3">B10-B9</f>
        <v>1114275</v>
      </c>
      <c r="C11" s="68">
        <f t="shared" si="3"/>
        <v>1249702.5</v>
      </c>
      <c r="D11" s="68">
        <f t="shared" si="3"/>
        <v>1401552.75</v>
      </c>
      <c r="E11" s="68">
        <f t="shared" si="3"/>
        <v>1571813.625</v>
      </c>
      <c r="F11" s="68">
        <f t="shared" si="3"/>
        <v>1762713.26</v>
      </c>
      <c r="G11" s="68">
        <f t="shared" si="3"/>
        <v>1976749.05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7"/>
      <c r="B12" s="68"/>
      <c r="C12" s="68"/>
      <c r="D12" s="68"/>
      <c r="E12" s="68"/>
      <c r="F12" s="68"/>
      <c r="G12" s="6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7"/>
      <c r="B13" s="68"/>
      <c r="C13" s="68"/>
      <c r="D13" s="68"/>
      <c r="E13" s="68"/>
      <c r="F13" s="68"/>
      <c r="G13" s="6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7" t="s">
        <v>341</v>
      </c>
      <c r="B14" s="68"/>
      <c r="C14" s="68"/>
      <c r="D14" s="68"/>
      <c r="E14" s="68"/>
      <c r="F14" s="68"/>
      <c r="G14" s="6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0" t="s">
        <v>317</v>
      </c>
      <c r="B15" s="64">
        <f>Assumptions!$B$43</f>
        <v>10000000</v>
      </c>
      <c r="C15" s="71">
        <v>0.0</v>
      </c>
      <c r="D15" s="71">
        <v>0.0</v>
      </c>
      <c r="E15" s="71">
        <v>0.0</v>
      </c>
      <c r="F15" s="71">
        <v>0.0</v>
      </c>
      <c r="G15" s="71">
        <v>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0" t="s">
        <v>318</v>
      </c>
      <c r="B16" s="64">
        <f>Assumptions!$B$44</f>
        <v>100000</v>
      </c>
      <c r="C16" s="71">
        <v>0.0</v>
      </c>
      <c r="D16" s="71">
        <v>0.0</v>
      </c>
      <c r="E16" s="71">
        <v>0.0</v>
      </c>
      <c r="F16" s="71">
        <v>0.0</v>
      </c>
      <c r="G16" s="71">
        <v>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0" t="s">
        <v>342</v>
      </c>
      <c r="B17" s="71">
        <f t="shared" ref="B17:G17" si="4">B11</f>
        <v>1114275</v>
      </c>
      <c r="C17" s="71">
        <f t="shared" si="4"/>
        <v>1249702.5</v>
      </c>
      <c r="D17" s="71">
        <f t="shared" si="4"/>
        <v>1401552.75</v>
      </c>
      <c r="E17" s="71">
        <f t="shared" si="4"/>
        <v>1571813.625</v>
      </c>
      <c r="F17" s="71">
        <f t="shared" si="4"/>
        <v>1762713.26</v>
      </c>
      <c r="G17" s="71">
        <f t="shared" si="4"/>
        <v>1976749.05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7" t="s">
        <v>280</v>
      </c>
      <c r="B18" s="65">
        <f t="shared" ref="B18:G18" si="5">sum(B15:B17)</f>
        <v>11214275</v>
      </c>
      <c r="C18" s="65">
        <f t="shared" si="5"/>
        <v>1249702.5</v>
      </c>
      <c r="D18" s="65">
        <f t="shared" si="5"/>
        <v>1401552.75</v>
      </c>
      <c r="E18" s="65">
        <f t="shared" si="5"/>
        <v>1571813.625</v>
      </c>
      <c r="F18" s="65">
        <f t="shared" si="5"/>
        <v>1762713.26</v>
      </c>
      <c r="G18" s="65">
        <f t="shared" si="5"/>
        <v>1976749.05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0"/>
      <c r="B19" s="68"/>
      <c r="C19" s="68"/>
      <c r="D19" s="68"/>
      <c r="E19" s="68"/>
      <c r="F19" s="68"/>
      <c r="G19" s="6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7" t="s">
        <v>343</v>
      </c>
      <c r="B20" s="65">
        <f t="shared" ref="B20:G20" si="6">B6-B18</f>
        <v>-8258997.654</v>
      </c>
      <c r="C20" s="65">
        <f t="shared" si="6"/>
        <v>1771096.575</v>
      </c>
      <c r="D20" s="65">
        <f t="shared" si="6"/>
        <v>2679842.763</v>
      </c>
      <c r="E20" s="65">
        <f t="shared" si="6"/>
        <v>2853786.809</v>
      </c>
      <c r="F20" s="65">
        <f t="shared" si="6"/>
        <v>2791893.084</v>
      </c>
      <c r="G20" s="65">
        <f t="shared" si="6"/>
        <v>3443215.891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63"/>
  </cols>
  <sheetData>
    <row r="1">
      <c r="A1" s="72" t="s">
        <v>344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3" t="s">
        <v>345</v>
      </c>
      <c r="B25" s="11"/>
      <c r="C25" s="11"/>
      <c r="D25" s="11"/>
      <c r="E25" s="11"/>
      <c r="F25" s="11"/>
      <c r="G25" s="11"/>
      <c r="H25" s="11"/>
      <c r="I25" s="11"/>
      <c r="J25" s="1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4" t="s">
        <v>216</v>
      </c>
      <c r="B26" s="11"/>
      <c r="C26" s="75">
        <f>(SUMIFS(CleanedData!$E$2:$E$193,CleanedData!$I$2:$I$193,$A26)-SUMIFS(CleanedData!$D$2:$D$193,CleanedData!$I$2:$I$193,$A26))/SUMIFS(CleanedData!$D$2:$D$193,CleanedData!$I$2:$I$193,$A26)</f>
        <v>0.1266804282</v>
      </c>
      <c r="D26" s="11"/>
      <c r="E26" s="11"/>
      <c r="F26" s="11"/>
      <c r="G26" s="11"/>
      <c r="H26" s="11"/>
      <c r="I26" s="11"/>
      <c r="J26" s="1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6" t="str">
        <f>"Cities Underthe "&amp;A26&amp;" Region"</f>
        <v>Cities Underthe East Region</v>
      </c>
      <c r="B27" s="11"/>
      <c r="C27" s="11"/>
      <c r="D27" s="11"/>
      <c r="E27" s="11"/>
      <c r="F27" s="11"/>
      <c r="G27" s="11"/>
      <c r="H27" s="11"/>
      <c r="I27" s="11"/>
      <c r="J27" s="1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7" t="str">
        <f>IFERROR(__xludf.DUMMYFUNCTION("UNIQUE(FILTER(CleanedData!$B$2:$B$193,CleanedData!$I$2:$I$193=A26))"),"Kolkata")</f>
        <v>Kolkata</v>
      </c>
      <c r="B28" s="11"/>
      <c r="C28" s="75">
        <f>(SUMIFS(CleanedData!$E$2:$E$193,CleanedData!$B$2:$B$193,$A28)-SUMIFS(CleanedData!$D$2:$D$193,CleanedData!$B$2:$B$193,$A28))/SUMIFS(CleanedData!$D$2:$D$193,CleanedData!$B$2:$B$193,$A28)</f>
        <v>0.1850938856</v>
      </c>
      <c r="D28" s="11"/>
      <c r="E28" s="11"/>
      <c r="F28" s="11"/>
      <c r="G28" s="11"/>
      <c r="H28" s="11"/>
      <c r="I28" s="11"/>
      <c r="J28" s="1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7" t="str">
        <f>IFERROR(__xludf.DUMMYFUNCTION("""COMPUTED_VALUE"""),"Bhubaneswar")</f>
        <v>Bhubaneswar</v>
      </c>
      <c r="B29" s="11"/>
      <c r="C29" s="75">
        <f>(SUMIFS(CleanedData!$E$2:$E$193,CleanedData!$B$2:$B$193,$A29)-SUMIFS(CleanedData!$D$2:$D$193,CleanedData!$B$2:$B$193,$A29))/SUMIFS(CleanedData!$D$2:$D$193,CleanedData!$B$2:$B$193,$A29)</f>
        <v>0.04343134348</v>
      </c>
      <c r="D29" s="11"/>
      <c r="E29" s="11"/>
      <c r="F29" s="11"/>
      <c r="G29" s="11"/>
      <c r="H29" s="11"/>
      <c r="I29" s="11"/>
      <c r="J29" s="1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7" t="str">
        <f>IFERROR(__xludf.DUMMYFUNCTION("""COMPUTED_VALUE"""),"Ranchi")</f>
        <v>Ranchi</v>
      </c>
      <c r="B30" s="11"/>
      <c r="C30" s="75">
        <f>(SUMIFS(CleanedData!$E$2:$E$193,CleanedData!$B$2:$B$193,$A30)-SUMIFS(CleanedData!$D$2:$D$193,CleanedData!$B$2:$B$193,$A30))/SUMIFS(CleanedData!$D$2:$D$193,CleanedData!$B$2:$B$193,$A30)</f>
        <v>0.05272038604</v>
      </c>
      <c r="D30" s="11"/>
      <c r="E30" s="11"/>
      <c r="F30" s="11"/>
      <c r="G30" s="11"/>
      <c r="H30" s="11"/>
      <c r="I30" s="11"/>
      <c r="J30" s="1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7" t="str">
        <f>IFERROR(__xludf.DUMMYFUNCTION("""COMPUTED_VALUE"""),"Patna")</f>
        <v>Patna</v>
      </c>
      <c r="B31" s="11"/>
      <c r="C31" s="75">
        <f>(SUMIFS(CleanedData!$E$2:$E$193,CleanedData!$B$2:$B$193,$A31)-SUMIFS(CleanedData!$D$2:$D$193,CleanedData!$B$2:$B$193,$A31))/SUMIFS(CleanedData!$D$2:$D$193,CleanedData!$B$2:$B$193,$A31)</f>
        <v>0.1828164494</v>
      </c>
      <c r="D31" s="11"/>
      <c r="E31" s="11"/>
      <c r="F31" s="11"/>
      <c r="G31" s="11"/>
      <c r="H31" s="11"/>
      <c r="I31" s="11"/>
      <c r="J31" s="1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346</v>
      </c>
      <c r="B40" s="78">
        <f>sum(CBA!B6:G6)</f>
        <v>24457643.65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347</v>
      </c>
      <c r="B41" s="78">
        <f>sum(CBA!B20:G20)</f>
        <v>5280837.467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9" t="s">
        <v>348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349</v>
      </c>
      <c r="B44" s="2">
        <f>sum('Sales Quantity'!B3:G3,'Sales Quantity'!B7:G7)</f>
        <v>4860873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350</v>
      </c>
      <c r="B45" s="2">
        <f>sum('Sales Quantity'!B4:G4,'Sales Quantity'!B8:G8)</f>
        <v>5589372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351</v>
      </c>
      <c r="B46" s="8">
        <f>(B45-B44)/B44</f>
        <v>0.1498699925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1" t="s">
        <v>352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3">
    <mergeCell ref="A29:B29"/>
    <mergeCell ref="C29:J29"/>
    <mergeCell ref="A30:B30"/>
    <mergeCell ref="C30:J30"/>
    <mergeCell ref="A31:B31"/>
    <mergeCell ref="C31:J31"/>
    <mergeCell ref="A1:J1"/>
    <mergeCell ref="A25:J25"/>
    <mergeCell ref="A26:B26"/>
    <mergeCell ref="C26:J26"/>
    <mergeCell ref="A27:J27"/>
    <mergeCell ref="A28:B28"/>
    <mergeCell ref="C28:J28"/>
  </mergeCells>
  <dataValidations>
    <dataValidation type="list" allowBlank="1" showErrorMessage="1" sqref="A26">
      <formula1>CleanedData!$I$2:$I$193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8" width="19.63"/>
  </cols>
  <sheetData>
    <row r="1">
      <c r="A1" s="72" t="s">
        <v>353</v>
      </c>
      <c r="H1" s="8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1" t="str">
        <f>VLOOKUP(E2,R44:S64,2,false)</f>
        <v>Consolidated:</v>
      </c>
      <c r="E2" s="82" t="s">
        <v>354</v>
      </c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3" t="s">
        <v>355</v>
      </c>
      <c r="E3" s="82" t="s">
        <v>287</v>
      </c>
      <c r="H3" s="8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19" t="str">
        <f>IFERROR(__xludf.DUMMYFUNCTION("UNIQUE(CleanedData!I2:I193)"),"North")</f>
        <v>North</v>
      </c>
      <c r="S44" s="84" t="s">
        <v>356</v>
      </c>
      <c r="T44" s="2"/>
      <c r="U44" s="2"/>
      <c r="V44" s="2"/>
      <c r="W44" s="2"/>
      <c r="X44" s="2"/>
      <c r="Y44" s="2"/>
      <c r="Z44" s="2"/>
    </row>
    <row r="45">
      <c r="A45" s="85" t="s">
        <v>357</v>
      </c>
      <c r="B45" s="1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9" t="str">
        <f>IFERROR(__xludf.DUMMYFUNCTION("""COMPUTED_VALUE"""),"East")</f>
        <v>East</v>
      </c>
      <c r="S45" s="84" t="s">
        <v>356</v>
      </c>
      <c r="T45" s="2"/>
      <c r="U45" s="2"/>
      <c r="V45" s="2"/>
      <c r="W45" s="2"/>
      <c r="X45" s="2"/>
      <c r="Y45" s="2"/>
      <c r="Z45" s="2"/>
    </row>
    <row r="46">
      <c r="A46" s="84" t="s">
        <v>276</v>
      </c>
      <c r="B46" s="19">
        <f>ifs(and(E2="Overall",E3="Both"),SUM(CleanedData!$G$2:$G$193),and(A2="Region:",E3="Both"),sumifs(CleanedData!$G$2:$G$193,CleanedData!$I$2:$I$193,E2),and(A2="City:",E3="Both"),SUMIFS(CleanedData!$G$2:$G$193,CleanedData!$B$2:$B$193,E2),and(E2="Overall",E3&lt;&gt;"Both"),SUMIFS(CleanedData!$G$2:$G$193,CleanedData!$C$2:$C$193,E3),and(A2="Region:",E3&lt;&gt;"Both"),sumifs(CleanedData!$G$2:$G$193,CleanedData!$I$2:$I$193,E2,CleanedData!$C$2:$C$193,E3),and(A2="City:",E3&lt;&gt;"Both"),sumifs(CleanedData!$G$2:$G$193,CleanedData!$B$2:$B$193,E2,CleanedData!$C$2:$C$193,E3))</f>
        <v>334576548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9" t="str">
        <f>IFERROR(__xludf.DUMMYFUNCTION("""COMPUTED_VALUE"""),"West")</f>
        <v>West</v>
      </c>
      <c r="S46" s="84" t="s">
        <v>356</v>
      </c>
      <c r="T46" s="2"/>
      <c r="U46" s="2"/>
      <c r="V46" s="2"/>
      <c r="W46" s="2"/>
      <c r="X46" s="2"/>
      <c r="Y46" s="2"/>
      <c r="Z46" s="2"/>
    </row>
    <row r="47">
      <c r="A47" s="84" t="s">
        <v>277</v>
      </c>
      <c r="B47" s="19">
        <f>ifs(and(E2="Overall",E3="Both"),SUM(CleanedData!$H$2:$H$193),and(A2="Region:",E3="Both"),sumifs(CleanedData!$H$2:$H$193,CleanedData!$I$2:$I$193,E2),and(A2="City:",E3="Both"),SUMIFS(CleanedData!$H$2:$H$193,CleanedData!$B$2:$B$193,E2),and(E2="Overall",E3&lt;&gt;"Both"),SUMIFS(CleanedData!$H$2:$H$193,CleanedData!$C$2:$C$193,E3),and(A2="Region:",E3&lt;&gt;"Both"),sumifs(CleanedData!$H$2:$H$193,CleanedData!$I$2:$I$193,E2,CleanedData!$C$2:$C$193,E3),and(A2="City:",E3&lt;&gt;"Both"),sumifs(CleanedData!$H$2:$H$193,CleanedData!$B$2:$B$193,E2,CleanedData!$C$2:$C$193,E3))</f>
        <v>397035405</v>
      </c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19" t="str">
        <f>IFERROR(__xludf.DUMMYFUNCTION("""COMPUTED_VALUE"""),"South")</f>
        <v>South</v>
      </c>
      <c r="S47" s="84" t="s">
        <v>356</v>
      </c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19" t="str">
        <f>IFERROR(__xludf.DUMMYFUNCTION("UNIQUE(CleanedData!B2:B193)"),"Delhi")</f>
        <v>Delhi</v>
      </c>
      <c r="S48" s="84" t="s">
        <v>358</v>
      </c>
      <c r="T48" s="2"/>
      <c r="U48" s="2"/>
      <c r="V48" s="2"/>
      <c r="W48" s="2"/>
      <c r="X48" s="2"/>
      <c r="Y48" s="2"/>
      <c r="Z48" s="2"/>
    </row>
    <row r="49">
      <c r="A49" s="85" t="s">
        <v>278</v>
      </c>
      <c r="B49" s="11"/>
      <c r="C49" s="11"/>
      <c r="D49" s="11"/>
      <c r="E49" s="11"/>
      <c r="F49" s="11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19" t="str">
        <f>IFERROR(__xludf.DUMMYFUNCTION("""COMPUTED_VALUE"""),"Kolkata")</f>
        <v>Kolkata</v>
      </c>
      <c r="S49" s="84" t="s">
        <v>358</v>
      </c>
      <c r="T49" s="2"/>
      <c r="U49" s="2"/>
      <c r="V49" s="2"/>
      <c r="W49" s="2"/>
      <c r="X49" s="2"/>
      <c r="Y49" s="2"/>
      <c r="Z49" s="2"/>
    </row>
    <row r="50">
      <c r="A50" s="84" t="s">
        <v>198</v>
      </c>
      <c r="B50" s="84" t="s">
        <v>241</v>
      </c>
      <c r="C50" s="84" t="s">
        <v>242</v>
      </c>
      <c r="D50" s="84" t="s">
        <v>243</v>
      </c>
      <c r="E50" s="84" t="s">
        <v>244</v>
      </c>
      <c r="F50" s="84" t="s">
        <v>245</v>
      </c>
      <c r="G50" s="84" t="s">
        <v>246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19" t="str">
        <f>IFERROR(__xludf.DUMMYFUNCTION("""COMPUTED_VALUE"""),"Pune")</f>
        <v>Pune</v>
      </c>
      <c r="S50" s="84" t="s">
        <v>358</v>
      </c>
      <c r="T50" s="2"/>
      <c r="U50" s="2"/>
      <c r="V50" s="2"/>
      <c r="W50" s="2"/>
      <c r="X50" s="2"/>
      <c r="Y50" s="2"/>
      <c r="Z50" s="2"/>
    </row>
    <row r="51">
      <c r="A51" s="84" t="s">
        <v>276</v>
      </c>
      <c r="B51" s="19">
        <f>ifs(and($E$2="Overall",$E$3="Both"),SUMIFS(CleanedData!$D$2:$D$193,CleanedData!$L$2:$L$193,B$50),and($A$2="Region:",$E$3="Both"),sumifs(CleanedData!$D$2:$D$193,CleanedData!$L$2:$L$193,B$50,CleanedData!$I$2:$I$193,$E$2),and($A$2="City:",$E$3="Both"),SUMIFS(CleanedData!$D$2:$D$193,CleanedData!$L$2:$L$193,B$50,CleanedData!$B$2:$B$193,$E$2),and($E$2="Overall",$E$3&lt;&gt;"Both"),SUMIFS(CleanedData!$D$2:$D$193,CleanedData!$L$2:$L$193,B$50,CleanedData!$C$2:$C$193,$E$3),and($A$2="Region:",$E$3&lt;&gt;"Both"),sumifs(CleanedData!$D$2:$D$193,CleanedData!$L$2:$L$193,B$50,CleanedData!$I$2:$I$193,$E$2,CleanedData!$C$2:$C$193,$E$3),and($A$2="City:",$E$3&lt;&gt;"Both"),sumifs(CleanedData!$D$2:$D$193,CleanedData!$L$2:$L$193,B$50,CleanedData!$B$2:$B$193,$E$2,CleanedData!$C$2:$C$193,$E$3))</f>
        <v>309397</v>
      </c>
      <c r="C51" s="19">
        <f>ifs(and($E$2="Overall",$E$3="Both"),SUMIFS(CleanedData!$D$2:$D$193,CleanedData!$L$2:$L$193,C$50),and($A$2="Region:",$E$3="Both"),sumifs(CleanedData!$D$2:$D$193,CleanedData!$L$2:$L$193,C$50,CleanedData!$I$2:$I$193,$E$2),and($A$2="City:",$E$3="Both"),SUMIFS(CleanedData!$D$2:$D$193,CleanedData!$L$2:$L$193,C$50,CleanedData!$B$2:$B$193,$E$2),and($E$2="Overall",$E$3&lt;&gt;"Both"),SUMIFS(CleanedData!$D$2:$D$193,CleanedData!$L$2:$L$193,C$50,CleanedData!$C$2:$C$193,$E$3),and($A$2="Region:",$E$3&lt;&gt;"Both"),sumifs(CleanedData!$D$2:$D$193,CleanedData!$L$2:$L$193,C$50,CleanedData!$I$2:$I$193,$E$2,CleanedData!$C$2:$C$193,$E$3),and($A$2="City:",$E$3&lt;&gt;"Both"),sumifs(CleanedData!$D$2:$D$193,CleanedData!$L$2:$L$193,C$50,CleanedData!$B$2:$B$193,$E$2,CleanedData!$C$2:$C$193,$E$3))</f>
        <v>348728</v>
      </c>
      <c r="D51" s="19">
        <f>ifs(and($E$2="Overall",$E$3="Both"),SUMIFS(CleanedData!$D$2:$D$193,CleanedData!$L$2:$L$193,D$50),and($A$2="Region:",$E$3="Both"),sumifs(CleanedData!$D$2:$D$193,CleanedData!$L$2:$L$193,D$50,CleanedData!$I$2:$I$193,$E$2),and($A$2="City:",$E$3="Both"),SUMIFS(CleanedData!$D$2:$D$193,CleanedData!$L$2:$L$193,D$50,CleanedData!$B$2:$B$193,$E$2),and($E$2="Overall",$E$3&lt;&gt;"Both"),SUMIFS(CleanedData!$D$2:$D$193,CleanedData!$L$2:$L$193,D$50,CleanedData!$C$2:$C$193,$E$3),and($A$2="Region:",$E$3&lt;&gt;"Both"),sumifs(CleanedData!$D$2:$D$193,CleanedData!$L$2:$L$193,D$50,CleanedData!$I$2:$I$193,$E$2,CleanedData!$C$2:$C$193,$E$3),and($A$2="City:",$E$3&lt;&gt;"Both"),sumifs(CleanedData!$D$2:$D$193,CleanedData!$L$2:$L$193,D$50,CleanedData!$B$2:$B$193,$E$2,CleanedData!$C$2:$C$193,$E$3))</f>
        <v>393862</v>
      </c>
      <c r="E51" s="19">
        <f>ifs(and($E$2="Overall",$E$3="Both"),SUMIFS(CleanedData!$D$2:$D$193,CleanedData!$L$2:$L$193,E$50),and($A$2="Region:",$E$3="Both"),sumifs(CleanedData!$D$2:$D$193,CleanedData!$L$2:$L$193,E$50,CleanedData!$I$2:$I$193,$E$2),and($A$2="City:",$E$3="Both"),SUMIFS(CleanedData!$D$2:$D$193,CleanedData!$L$2:$L$193,E$50,CleanedData!$B$2:$B$193,$E$2),and($E$2="Overall",$E$3&lt;&gt;"Both"),SUMIFS(CleanedData!$D$2:$D$193,CleanedData!$L$2:$L$193,E$50,CleanedData!$C$2:$C$193,$E$3),and($A$2="Region:",$E$3&lt;&gt;"Both"),sumifs(CleanedData!$D$2:$D$193,CleanedData!$L$2:$L$193,E$50,CleanedData!$I$2:$I$193,$E$2,CleanedData!$C$2:$C$193,$E$3),and($A$2="City:",$E$3&lt;&gt;"Both"),sumifs(CleanedData!$D$2:$D$193,CleanedData!$L$2:$L$193,E$50,CleanedData!$B$2:$B$193,$E$2,CleanedData!$C$2:$C$193,$E$3))</f>
        <v>442908</v>
      </c>
      <c r="F51" s="19">
        <f>ifs(and($E$2="Overall",$E$3="Both"),SUMIFS(CleanedData!$D$2:$D$193,CleanedData!$L$2:$L$193,F$50),and($A$2="Region:",$E$3="Both"),sumifs(CleanedData!$D$2:$D$193,CleanedData!$L$2:$L$193,F$50,CleanedData!$I$2:$I$193,$E$2),and($A$2="City:",$E$3="Both"),SUMIFS(CleanedData!$D$2:$D$193,CleanedData!$L$2:$L$193,F$50,CleanedData!$B$2:$B$193,$E$2),and($E$2="Overall",$E$3&lt;&gt;"Both"),SUMIFS(CleanedData!$D$2:$D$193,CleanedData!$L$2:$L$193,F$50,CleanedData!$C$2:$C$193,$E$3),and($A$2="Region:",$E$3&lt;&gt;"Both"),sumifs(CleanedData!$D$2:$D$193,CleanedData!$L$2:$L$193,F$50,CleanedData!$I$2:$I$193,$E$2,CleanedData!$C$2:$C$193,$E$3),and($A$2="City:",$E$3&lt;&gt;"Both"),sumifs(CleanedData!$D$2:$D$193,CleanedData!$L$2:$L$193,F$50,CleanedData!$B$2:$B$193,$E$2,CleanedData!$C$2:$C$193,$E$3))</f>
        <v>500422</v>
      </c>
      <c r="G51" s="19">
        <f>ifs(and($E$2="Overall",$E$3="Both"),SUMIFS(CleanedData!$D$2:$D$193,CleanedData!$L$2:$L$193,G$50),and($A$2="Region:",$E$3="Both"),sumifs(CleanedData!$D$2:$D$193,CleanedData!$L$2:$L$193,G$50,CleanedData!$I$2:$I$193,$E$2),and($A$2="City:",$E$3="Both"),SUMIFS(CleanedData!$D$2:$D$193,CleanedData!$L$2:$L$193,G$50,CleanedData!$B$2:$B$193,$E$2),and($E$2="Overall",$E$3&lt;&gt;"Both"),SUMIFS(CleanedData!$D$2:$D$193,CleanedData!$L$2:$L$193,G$50,CleanedData!$C$2:$C$193,$E$3),and($A$2="Region:",$E$3&lt;&gt;"Both"),sumifs(CleanedData!$D$2:$D$193,CleanedData!$L$2:$L$193,G$50,CleanedData!$I$2:$I$193,$E$2,CleanedData!$C$2:$C$193,$E$3),and($A$2="City:",$E$3&lt;&gt;"Both"),sumifs(CleanedData!$D$2:$D$193,CleanedData!$L$2:$L$193,G$50,CleanedData!$B$2:$B$193,$E$2,CleanedData!$C$2:$C$193,$E$3))</f>
        <v>565628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19" t="str">
        <f>IFERROR(__xludf.DUMMYFUNCTION("""COMPUTED_VALUE"""),"Bengaluru")</f>
        <v>Bengaluru</v>
      </c>
      <c r="S51" s="84" t="s">
        <v>358</v>
      </c>
      <c r="T51" s="2"/>
      <c r="U51" s="2"/>
      <c r="V51" s="2"/>
      <c r="W51" s="2"/>
      <c r="X51" s="2"/>
      <c r="Y51" s="2"/>
      <c r="Z51" s="2"/>
    </row>
    <row r="52">
      <c r="A52" s="84" t="s">
        <v>277</v>
      </c>
      <c r="B52" s="19">
        <f>ifs(and($E$2="Overall",$E$3="Both"),SUMIFS(CleanedData!$E$2:$E$193,CleanedData!$L$2:$L$193,B$50),and($A$2="Region:",$E$3="Both"),sumifs(CleanedData!$E$2:$E$193,CleanedData!$L$2:$L$193,B$50,CleanedData!$I$2:$I$193,$E$2),and($A$2="City:",$E$3="Both"),SUMIFS(CleanedData!$E$2:$E$193,CleanedData!$L$2:$L$193,B$50,CleanedData!$B$2:$B$193,$E$2),and($E$2="Overall",$E$3&lt;&gt;"Both"),SUMIFS(CleanedData!$E$2:$E$193,CleanedData!$L$2:$L$193,B$50,CleanedData!$C$2:$C$193,$E$3),and($A$2="Region:",$E$3&lt;&gt;"Both"),sumifs(CleanedData!$E$2:$E$193,CleanedData!$L$2:$L$193,B$50,CleanedData!$I$2:$I$193,$E$2,CleanedData!$C$2:$C$193,$E$3),and($A$2="City:",$E$3&lt;&gt;"Both"),sumifs(CleanedData!$E$2:$E$193,CleanedData!$L$2:$L$193,B$50,CleanedData!$B$2:$B$193,$E$2,CleanedData!$C$2:$C$193,$E$3))</f>
        <v>350453</v>
      </c>
      <c r="C52" s="19">
        <f>ifs(and($E$2="Overall",$E$3="Both"),SUMIFS(CleanedData!$E$2:$E$193,CleanedData!$L$2:$L$193,C$50),and($A$2="Region:",$E$3="Both"),sumifs(CleanedData!$E$2:$E$193,CleanedData!$L$2:$L$193,C$50,CleanedData!$I$2:$I$193,$E$2),and($A$2="City:",$E$3="Both"),SUMIFS(CleanedData!$E$2:$E$193,CleanedData!$L$2:$L$193,C$50,CleanedData!$B$2:$B$193,$E$2),and($E$2="Overall",$E$3&lt;&gt;"Both"),SUMIFS(CleanedData!$E$2:$E$193,CleanedData!$L$2:$L$193,C$50,CleanedData!$C$2:$C$193,$E$3),and($A$2="Region:",$E$3&lt;&gt;"Both"),sumifs(CleanedData!$E$2:$E$193,CleanedData!$L$2:$L$193,C$50,CleanedData!$I$2:$I$193,$E$2,CleanedData!$C$2:$C$193,$E$3),and($A$2="City:",$E$3&lt;&gt;"Both"),sumifs(CleanedData!$E$2:$E$193,CleanedData!$L$2:$L$193,C$50,CleanedData!$B$2:$B$193,$E$2,CleanedData!$C$2:$C$193,$E$3))</f>
        <v>393986</v>
      </c>
      <c r="D52" s="19">
        <f>ifs(and($E$2="Overall",$E$3="Both"),SUMIFS(CleanedData!$E$2:$E$193,CleanedData!$L$2:$L$193,D$50),and($A$2="Region:",$E$3="Both"),sumifs(CleanedData!$E$2:$E$193,CleanedData!$L$2:$L$193,D$50,CleanedData!$I$2:$I$193,$E$2),and($A$2="City:",$E$3="Both"),SUMIFS(CleanedData!$E$2:$E$193,CleanedData!$L$2:$L$193,D$50,CleanedData!$B$2:$B$193,$E$2),and($E$2="Overall",$E$3&lt;&gt;"Both"),SUMIFS(CleanedData!$E$2:$E$193,CleanedData!$L$2:$L$193,D$50,CleanedData!$C$2:$C$193,$E$3),and($A$2="Region:",$E$3&lt;&gt;"Both"),sumifs(CleanedData!$E$2:$E$193,CleanedData!$L$2:$L$193,D$50,CleanedData!$I$2:$I$193,$E$2,CleanedData!$C$2:$C$193,$E$3),and($A$2="City:",$E$3&lt;&gt;"Both"),sumifs(CleanedData!$E$2:$E$193,CleanedData!$L$2:$L$193,D$50,CleanedData!$B$2:$B$193,$E$2,CleanedData!$C$2:$C$193,$E$3))</f>
        <v>455401</v>
      </c>
      <c r="E52" s="19">
        <f>ifs(and($E$2="Overall",$E$3="Both"),SUMIFS(CleanedData!$E$2:$E$193,CleanedData!$L$2:$L$193,E$50),and($A$2="Region:",$E$3="Both"),sumifs(CleanedData!$E$2:$E$193,CleanedData!$L$2:$L$193,E$50,CleanedData!$I$2:$I$193,$E$2),and($A$2="City:",$E$3="Both"),SUMIFS(CleanedData!$E$2:$E$193,CleanedData!$L$2:$L$193,E$50,CleanedData!$B$2:$B$193,$E$2),and($E$2="Overall",$E$3&lt;&gt;"Both"),SUMIFS(CleanedData!$E$2:$E$193,CleanedData!$L$2:$L$193,E$50,CleanedData!$C$2:$C$193,$E$3),and($A$2="Region:",$E$3&lt;&gt;"Both"),sumifs(CleanedData!$E$2:$E$193,CleanedData!$L$2:$L$193,E$50,CleanedData!$I$2:$I$193,$E$2,CleanedData!$C$2:$C$193,$E$3),and($A$2="City:",$E$3&lt;&gt;"Both"),sumifs(CleanedData!$E$2:$E$193,CleanedData!$L$2:$L$193,E$50,CleanedData!$B$2:$B$193,$E$2,CleanedData!$C$2:$C$193,$E$3))</f>
        <v>510037</v>
      </c>
      <c r="F52" s="19">
        <f>ifs(and($E$2="Overall",$E$3="Both"),SUMIFS(CleanedData!$E$2:$E$193,CleanedData!$L$2:$L$193,F$50),and($A$2="Region:",$E$3="Both"),sumifs(CleanedData!$E$2:$E$193,CleanedData!$L$2:$L$193,F$50,CleanedData!$I$2:$I$193,$E$2),and($A$2="City:",$E$3="Both"),SUMIFS(CleanedData!$E$2:$E$193,CleanedData!$L$2:$L$193,F$50,CleanedData!$B$2:$B$193,$E$2),and($E$2="Overall",$E$3&lt;&gt;"Both"),SUMIFS(CleanedData!$E$2:$E$193,CleanedData!$L$2:$L$193,F$50,CleanedData!$C$2:$C$193,$E$3),and($A$2="Region:",$E$3&lt;&gt;"Both"),sumifs(CleanedData!$E$2:$E$193,CleanedData!$L$2:$L$193,F$50,CleanedData!$I$2:$I$193,$E$2,CleanedData!$C$2:$C$193,$E$3),and($A$2="City:",$E$3&lt;&gt;"Both"),sumifs(CleanedData!$E$2:$E$193,CleanedData!$L$2:$L$193,F$50,CleanedData!$B$2:$B$193,$E$2,CleanedData!$C$2:$C$193,$E$3))</f>
        <v>575847</v>
      </c>
      <c r="G52" s="19">
        <f>ifs(and($E$2="Overall",$E$3="Both"),SUMIFS(CleanedData!$E$2:$E$193,CleanedData!$L$2:$L$193,G$50),and($A$2="Region:",$E$3="Both"),sumifs(CleanedData!$E$2:$E$193,CleanedData!$L$2:$L$193,G$50,CleanedData!$I$2:$I$193,$E$2),and($A$2="City:",$E$3="Both"),SUMIFS(CleanedData!$E$2:$E$193,CleanedData!$L$2:$L$193,G$50,CleanedData!$B$2:$B$193,$E$2),and($E$2="Overall",$E$3&lt;&gt;"Both"),SUMIFS(CleanedData!$E$2:$E$193,CleanedData!$L$2:$L$193,G$50,CleanedData!$C$2:$C$193,$E$3),and($A$2="Region:",$E$3&lt;&gt;"Both"),sumifs(CleanedData!$E$2:$E$193,CleanedData!$L$2:$L$193,G$50,CleanedData!$I$2:$I$193,$E$2,CleanedData!$C$2:$C$193,$E$3),and($A$2="City:",$E$3&lt;&gt;"Both"),sumifs(CleanedData!$E$2:$E$193,CleanedData!$L$2:$L$193,G$50,CleanedData!$B$2:$B$193,$E$2,CleanedData!$C$2:$C$193,$E$3))</f>
        <v>655279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19" t="str">
        <f>IFERROR(__xludf.DUMMYFUNCTION("""COMPUTED_VALUE"""),"Chandigarh")</f>
        <v>Chandigarh</v>
      </c>
      <c r="S52" s="84" t="s">
        <v>358</v>
      </c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9" t="str">
        <f>IFERROR(__xludf.DUMMYFUNCTION("""COMPUTED_VALUE"""),"Bhubaneswar")</f>
        <v>Bhubaneswar</v>
      </c>
      <c r="S53" s="84" t="s">
        <v>358</v>
      </c>
      <c r="T53" s="2"/>
      <c r="U53" s="2"/>
      <c r="V53" s="2"/>
      <c r="W53" s="2"/>
      <c r="X53" s="2"/>
      <c r="Y53" s="2"/>
      <c r="Z53" s="2"/>
    </row>
    <row r="54">
      <c r="A54" s="85" t="s">
        <v>337</v>
      </c>
      <c r="B54" s="11"/>
      <c r="C54" s="11"/>
      <c r="D54" s="11"/>
      <c r="E54" s="11"/>
      <c r="F54" s="11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19" t="str">
        <f>IFERROR(__xludf.DUMMYFUNCTION("""COMPUTED_VALUE"""),"Ahmedabad")</f>
        <v>Ahmedabad</v>
      </c>
      <c r="S54" s="84" t="s">
        <v>358</v>
      </c>
      <c r="T54" s="2"/>
      <c r="U54" s="2"/>
      <c r="V54" s="2"/>
      <c r="W54" s="2"/>
      <c r="X54" s="2"/>
      <c r="Y54" s="2"/>
      <c r="Z54" s="2"/>
    </row>
    <row r="55">
      <c r="A55" s="84" t="s">
        <v>198</v>
      </c>
      <c r="B55" s="84" t="s">
        <v>241</v>
      </c>
      <c r="C55" s="84" t="s">
        <v>242</v>
      </c>
      <c r="D55" s="84" t="s">
        <v>243</v>
      </c>
      <c r="E55" s="84" t="s">
        <v>244</v>
      </c>
      <c r="F55" s="84" t="s">
        <v>245</v>
      </c>
      <c r="G55" s="84" t="s">
        <v>246</v>
      </c>
      <c r="H55" s="2"/>
      <c r="I55" s="1"/>
      <c r="J55" s="2"/>
      <c r="K55" s="2"/>
      <c r="L55" s="2"/>
      <c r="M55" s="2"/>
      <c r="N55" s="2"/>
      <c r="O55" s="2"/>
      <c r="P55" s="2"/>
      <c r="Q55" s="2"/>
      <c r="R55" s="19" t="str">
        <f>IFERROR(__xludf.DUMMYFUNCTION("""COMPUTED_VALUE"""),"Chennai")</f>
        <v>Chennai</v>
      </c>
      <c r="S55" s="84" t="s">
        <v>358</v>
      </c>
      <c r="T55" s="2"/>
      <c r="U55" s="2"/>
      <c r="V55" s="2"/>
      <c r="W55" s="2"/>
      <c r="X55" s="2"/>
      <c r="Y55" s="2"/>
      <c r="Z55" s="2"/>
    </row>
    <row r="56">
      <c r="A56" s="84" t="s">
        <v>276</v>
      </c>
      <c r="B56" s="19">
        <f>ifs(and($E$2="Overall",$E$3="Both"),SUMIFS(CleanedData!$Q$2:$Q$193,CleanedData!$L$2:$L$193,B$55),and($A$2="Region:",$E$3="Both"),sumifs(CleanedData!$Q$2:$Q$193,CleanedData!$L$2:$L$193,B$55,CleanedData!$I$2:$I$193,$E$2),and($A$2="City:",$E$3="Both"),SUMIFS(CleanedData!$Q$2:$Q$193,CleanedData!$L$2:$L$193,B$55,CleanedData!$B$2:$B$193,$E$2),and($E$2="Overall",$E$3&lt;&gt;"Both"),SUMIFS(CleanedData!$Q$2:$Q$193,CleanedData!$L$2:$L$193,B$55,CleanedData!$C$2:$C$193,$E$3),and($A$2="Region:",$E$3&lt;&gt;"Both"),sumifs(CleanedData!$Q$2:$Q$193,CleanedData!$L$2:$L$193,B$55,CleanedData!$I$2:$I$193,$E$2,CleanedData!$C$2:$C$193,$E$3),and($A$2="City:",$E$3&lt;&gt;"Both"),sumifs(CleanedData!$Q$2:$Q$193,CleanedData!$L$2:$L$193,B$55,CleanedData!$B$2:$B$193,$E$2,CleanedData!$C$2:$C$193,$E$3))</f>
        <v>22904462.27</v>
      </c>
      <c r="C56" s="19">
        <f>ifs(and($E$2="Overall",$E$3="Both"),SUMIFS(CleanedData!$Q$2:$Q$193,CleanedData!$L$2:$L$193,C$55),and($A$2="Region:",$E$3="Both"),sumifs(CleanedData!$Q$2:$Q$193,CleanedData!$L$2:$L$193,C$55,CleanedData!$I$2:$I$193,$E$2),and($A$2="City:",$E$3="Both"),SUMIFS(CleanedData!$Q$2:$Q$193,CleanedData!$L$2:$L$193,C$55,CleanedData!$B$2:$B$193,$E$2),and($E$2="Overall",$E$3&lt;&gt;"Both"),SUMIFS(CleanedData!$Q$2:$Q$193,CleanedData!$L$2:$L$193,C$55,CleanedData!$C$2:$C$193,$E$3),and($A$2="Region:",$E$3&lt;&gt;"Both"),sumifs(CleanedData!$Q$2:$Q$193,CleanedData!$L$2:$L$193,C$55,CleanedData!$I$2:$I$193,$E$2,CleanedData!$C$2:$C$193,$E$3),and($A$2="City:",$E$3&lt;&gt;"Both"),sumifs(CleanedData!$Q$2:$Q$193,CleanedData!$L$2:$L$193,C$55,CleanedData!$B$2:$B$193,$E$2,CleanedData!$C$2:$C$193,$E$3))</f>
        <v>25906438.11</v>
      </c>
      <c r="D56" s="19">
        <f>ifs(and($E$2="Overall",$E$3="Both"),SUMIFS(CleanedData!$Q$2:$Q$193,CleanedData!$L$2:$L$193,D$55),and($A$2="Region:",$E$3="Both"),sumifs(CleanedData!$Q$2:$Q$193,CleanedData!$L$2:$L$193,D$55,CleanedData!$I$2:$I$193,$E$2),and($A$2="City:",$E$3="Both"),SUMIFS(CleanedData!$Q$2:$Q$193,CleanedData!$L$2:$L$193,D$55,CleanedData!$B$2:$B$193,$E$2),and($E$2="Overall",$E$3&lt;&gt;"Both"),SUMIFS(CleanedData!$Q$2:$Q$193,CleanedData!$L$2:$L$193,D$55,CleanedData!$C$2:$C$193,$E$3),and($A$2="Region:",$E$3&lt;&gt;"Both"),sumifs(CleanedData!$Q$2:$Q$193,CleanedData!$L$2:$L$193,D$55,CleanedData!$I$2:$I$193,$E$2,CleanedData!$C$2:$C$193,$E$3),and($A$2="City:",$E$3&lt;&gt;"Both"),sumifs(CleanedData!$Q$2:$Q$193,CleanedData!$L$2:$L$193,D$55,CleanedData!$B$2:$B$193,$E$2,CleanedData!$C$2:$C$193,$E$3))</f>
        <v>29378245.3</v>
      </c>
      <c r="E56" s="19">
        <f>ifs(and($E$2="Overall",$E$3="Both"),SUMIFS(CleanedData!$Q$2:$Q$193,CleanedData!$L$2:$L$193,E$55),and($A$2="Region:",$E$3="Both"),sumifs(CleanedData!$Q$2:$Q$193,CleanedData!$L$2:$L$193,E$55,CleanedData!$I$2:$I$193,$E$2),and($A$2="City:",$E$3="Both"),SUMIFS(CleanedData!$Q$2:$Q$193,CleanedData!$L$2:$L$193,E$55,CleanedData!$B$2:$B$193,$E$2),and($E$2="Overall",$E$3&lt;&gt;"Both"),SUMIFS(CleanedData!$Q$2:$Q$193,CleanedData!$L$2:$L$193,E$55,CleanedData!$C$2:$C$193,$E$3),and($A$2="Region:",$E$3&lt;&gt;"Both"),sumifs(CleanedData!$Q$2:$Q$193,CleanedData!$L$2:$L$193,E$55,CleanedData!$I$2:$I$193,$E$2,CleanedData!$C$2:$C$193,$E$3),and($A$2="City:",$E$3&lt;&gt;"Both"),sumifs(CleanedData!$Q$2:$Q$193,CleanedData!$L$2:$L$193,E$55,CleanedData!$B$2:$B$193,$E$2,CleanedData!$C$2:$C$193,$E$3))</f>
        <v>33157900.53</v>
      </c>
      <c r="F56" s="19">
        <f>ifs(and($E$2="Overall",$E$3="Both"),SUMIFS(CleanedData!$Q$2:$Q$193,CleanedData!$L$2:$L$193,F$55),and($A$2="Region:",$E$3="Both"),sumifs(CleanedData!$Q$2:$Q$193,CleanedData!$L$2:$L$193,F$55,CleanedData!$I$2:$I$193,$E$2),and($A$2="City:",$E$3="Both"),SUMIFS(CleanedData!$Q$2:$Q$193,CleanedData!$L$2:$L$193,F$55,CleanedData!$B$2:$B$193,$E$2),and($E$2="Overall",$E$3&lt;&gt;"Both"),SUMIFS(CleanedData!$Q$2:$Q$193,CleanedData!$L$2:$L$193,F$55,CleanedData!$C$2:$C$193,$E$3),and($A$2="Region:",$E$3&lt;&gt;"Both"),sumifs(CleanedData!$Q$2:$Q$193,CleanedData!$L$2:$L$193,F$55,CleanedData!$I$2:$I$193,$E$2,CleanedData!$C$2:$C$193,$E$3),and($A$2="City:",$E$3&lt;&gt;"Both"),sumifs(CleanedData!$Q$2:$Q$193,CleanedData!$L$2:$L$193,F$55,CleanedData!$B$2:$B$193,$E$2,CleanedData!$C$2:$C$193,$E$3))</f>
        <v>37591034.65</v>
      </c>
      <c r="G56" s="19">
        <f>ifs(and($E$2="Overall",$E$3="Both"),SUMIFS(CleanedData!$Q$2:$Q$193,CleanedData!$L$2:$L$193,G$55),and($A$2="Region:",$E$3="Both"),sumifs(CleanedData!$Q$2:$Q$193,CleanedData!$L$2:$L$193,G$55,CleanedData!$I$2:$I$193,$E$2),and($A$2="City:",$E$3="Both"),SUMIFS(CleanedData!$Q$2:$Q$193,CleanedData!$L$2:$L$193,G$55,CleanedData!$B$2:$B$193,$E$2),and($E$2="Overall",$E$3&lt;&gt;"Both"),SUMIFS(CleanedData!$Q$2:$Q$193,CleanedData!$L$2:$L$193,G$55,CleanedData!$C$2:$C$193,$E$3),and($A$2="Region:",$E$3&lt;&gt;"Both"),sumifs(CleanedData!$Q$2:$Q$193,CleanedData!$L$2:$L$193,G$55,CleanedData!$I$2:$I$193,$E$2,CleanedData!$C$2:$C$193,$E$3),and($A$2="City:",$E$3&lt;&gt;"Both"),sumifs(CleanedData!$Q$2:$Q$193,CleanedData!$L$2:$L$193,G$55,CleanedData!$B$2:$B$193,$E$2,CleanedData!$C$2:$C$193,$E$3))</f>
        <v>42635298.36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19" t="str">
        <f>IFERROR(__xludf.DUMMYFUNCTION("""COMPUTED_VALUE"""),"Lucknow")</f>
        <v>Lucknow</v>
      </c>
      <c r="S56" s="84" t="s">
        <v>358</v>
      </c>
      <c r="T56" s="2"/>
      <c r="U56" s="2"/>
      <c r="V56" s="2"/>
      <c r="W56" s="2"/>
      <c r="X56" s="2"/>
      <c r="Y56" s="2"/>
      <c r="Z56" s="2"/>
    </row>
    <row r="57">
      <c r="A57" s="84" t="s">
        <v>277</v>
      </c>
      <c r="B57" s="19">
        <f>ifs(and($E$2="Overall",$E$3="Both"),SUMIFS(CleanedData!$R$2:$R$193,CleanedData!$L$2:$L$193,B$55),and($A$2="Region:",$E$3="Both"),sumifs(CleanedData!$R$2:$R$193,CleanedData!$L$2:$L$193,B$55,CleanedData!$I$2:$I$193,$E$2),and($A$2="City:",$E$3="Both"),SUMIFS(CleanedData!$R$2:$R$193,CleanedData!$L$2:$L$193,B$55,CleanedData!$B$2:$B$193,$E$2),and($E$2="Overall",$E$3&lt;&gt;"Both"),SUMIFS(CleanedData!$R$2:$R$193,CleanedData!$L$2:$L$193,B$55,CleanedData!$C$2:$C$193,$E$3),and($A$2="Region:",$E$3&lt;&gt;"Both"),sumifs(CleanedData!$R$2:$R$193,CleanedData!$L$2:$L$193,B$55,CleanedData!$I$2:$I$193,$E$2,CleanedData!$C$2:$C$193,$E$3),and($A$2="City:",$E$3&lt;&gt;"Both"),sumifs(CleanedData!$R$2:$R$193,CleanedData!$L$2:$L$193,B$55,CleanedData!$B$2:$B$193,$E$2,CleanedData!$C$2:$C$193,$E$3))</f>
        <v>25639141.48</v>
      </c>
      <c r="C57" s="19">
        <f>ifs(and($E$2="Overall",$E$3="Both"),SUMIFS(CleanedData!$R$2:$R$193,CleanedData!$L$2:$L$193,C$55),and($A$2="Region:",$E$3="Both"),sumifs(CleanedData!$R$2:$R$193,CleanedData!$L$2:$L$193,C$55,CleanedData!$I$2:$I$193,$E$2),and($A$2="City:",$E$3="Both"),SUMIFS(CleanedData!$R$2:$R$193,CleanedData!$L$2:$L$193,C$55,CleanedData!$B$2:$B$193,$E$2),and($E$2="Overall",$E$3&lt;&gt;"Both"),SUMIFS(CleanedData!$R$2:$R$193,CleanedData!$L$2:$L$193,C$55,CleanedData!$C$2:$C$193,$E$3),and($A$2="Region:",$E$3&lt;&gt;"Both"),sumifs(CleanedData!$R$2:$R$193,CleanedData!$L$2:$L$193,C$55,CleanedData!$I$2:$I$193,$E$2,CleanedData!$C$2:$C$193,$E$3),and($A$2="City:",$E$3&lt;&gt;"Both"),sumifs(CleanedData!$R$2:$R$193,CleanedData!$L$2:$L$193,C$55,CleanedData!$B$2:$B$193,$E$2,CleanedData!$C$2:$C$193,$E$3))</f>
        <v>28824015.76</v>
      </c>
      <c r="D57" s="19">
        <f>ifs(and($E$2="Overall",$E$3="Both"),SUMIFS(CleanedData!$R$2:$R$193,CleanedData!$L$2:$L$193,D$55),and($A$2="Region:",$E$3="Both"),sumifs(CleanedData!$R$2:$R$193,CleanedData!$L$2:$L$193,D$55,CleanedData!$I$2:$I$193,$E$2),and($A$2="City:",$E$3="Both"),SUMIFS(CleanedData!$R$2:$R$193,CleanedData!$L$2:$L$193,D$55,CleanedData!$B$2:$B$193,$E$2),and($E$2="Overall",$E$3&lt;&gt;"Both"),SUMIFS(CleanedData!$R$2:$R$193,CleanedData!$L$2:$L$193,D$55,CleanedData!$C$2:$C$193,$E$3),and($A$2="Region:",$E$3&lt;&gt;"Both"),sumifs(CleanedData!$R$2:$R$193,CleanedData!$L$2:$L$193,D$55,CleanedData!$I$2:$I$193,$E$2,CleanedData!$C$2:$C$193,$E$3),and($A$2="City:",$E$3&lt;&gt;"Both"),sumifs(CleanedData!$R$2:$R$193,CleanedData!$L$2:$L$193,D$55,CleanedData!$B$2:$B$193,$E$2,CleanedData!$C$2:$C$193,$E$3))</f>
        <v>33317137.16</v>
      </c>
      <c r="E57" s="19">
        <f>ifs(and($E$2="Overall",$E$3="Both"),SUMIFS(CleanedData!$R$2:$R$193,CleanedData!$L$2:$L$193,E$55),and($A$2="Region:",$E$3="Both"),sumifs(CleanedData!$R$2:$R$193,CleanedData!$L$2:$L$193,E$55,CleanedData!$I$2:$I$193,$E$2),and($A$2="City:",$E$3="Both"),SUMIFS(CleanedData!$R$2:$R$193,CleanedData!$L$2:$L$193,E$55,CleanedData!$B$2:$B$193,$E$2),and($E$2="Overall",$E$3&lt;&gt;"Both"),SUMIFS(CleanedData!$R$2:$R$193,CleanedData!$L$2:$L$193,E$55,CleanedData!$C$2:$C$193,$E$3),and($A$2="Region:",$E$3&lt;&gt;"Both"),sumifs(CleanedData!$R$2:$R$193,CleanedData!$L$2:$L$193,E$55,CleanedData!$I$2:$I$193,$E$2,CleanedData!$C$2:$C$193,$E$3),and($A$2="City:",$E$3&lt;&gt;"Both"),sumifs(CleanedData!$R$2:$R$193,CleanedData!$L$2:$L$193,E$55,CleanedData!$B$2:$B$193,$E$2,CleanedData!$C$2:$C$193,$E$3))</f>
        <v>37314306.92</v>
      </c>
      <c r="F57" s="19">
        <f>ifs(and($E$2="Overall",$E$3="Both"),SUMIFS(CleanedData!$R$2:$R$193,CleanedData!$L$2:$L$193,F$55),and($A$2="Region:",$E$3="Both"),sumifs(CleanedData!$R$2:$R$193,CleanedData!$L$2:$L$193,F$55,CleanedData!$I$2:$I$193,$E$2),and($A$2="City:",$E$3="Both"),SUMIFS(CleanedData!$R$2:$R$193,CleanedData!$L$2:$L$193,F$55,CleanedData!$B$2:$B$193,$E$2),and($E$2="Overall",$E$3&lt;&gt;"Both"),SUMIFS(CleanedData!$R$2:$R$193,CleanedData!$L$2:$L$193,F$55,CleanedData!$C$2:$C$193,$E$3),and($A$2="Region:",$E$3&lt;&gt;"Both"),sumifs(CleanedData!$R$2:$R$193,CleanedData!$L$2:$L$193,F$55,CleanedData!$I$2:$I$193,$E$2,CleanedData!$C$2:$C$193,$E$3),and($A$2="City:",$E$3&lt;&gt;"Both"),sumifs(CleanedData!$R$2:$R$193,CleanedData!$L$2:$L$193,F$55,CleanedData!$B$2:$B$193,$E$2,CleanedData!$C$2:$C$193,$E$3))</f>
        <v>42128966.52</v>
      </c>
      <c r="G57" s="19">
        <f>ifs(and($E$2="Overall",$E$3="Both"),SUMIFS(CleanedData!$R$2:$R$193,CleanedData!$L$2:$L$193,G$55),and($A$2="Region:",$E$3="Both"),sumifs(CleanedData!$R$2:$R$193,CleanedData!$L$2:$L$193,G$55,CleanedData!$I$2:$I$193,$E$2),and($A$2="City:",$E$3="Both"),SUMIFS(CleanedData!$R$2:$R$193,CleanedData!$L$2:$L$193,G$55,CleanedData!$B$2:$B$193,$E$2),and($E$2="Overall",$E$3&lt;&gt;"Both"),SUMIFS(CleanedData!$R$2:$R$193,CleanedData!$L$2:$L$193,G$55,CleanedData!$C$2:$C$193,$E$3),and($A$2="Region:",$E$3&lt;&gt;"Both"),sumifs(CleanedData!$R$2:$R$193,CleanedData!$L$2:$L$193,G$55,CleanedData!$I$2:$I$193,$E$2,CleanedData!$C$2:$C$193,$E$3),and($A$2="City:",$E$3&lt;&gt;"Both"),sumifs(CleanedData!$R$2:$R$193,CleanedData!$L$2:$L$193,G$55,CleanedData!$B$2:$B$193,$E$2,CleanedData!$C$2:$C$193,$E$3))</f>
        <v>47940211.64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19" t="str">
        <f>IFERROR(__xludf.DUMMYFUNCTION("""COMPUTED_VALUE"""),"Ranchi")</f>
        <v>Ranchi</v>
      </c>
      <c r="S57" s="84" t="s">
        <v>358</v>
      </c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9" t="str">
        <f>IFERROR(__xludf.DUMMYFUNCTION("""COMPUTED_VALUE"""),"Surat")</f>
        <v>Surat</v>
      </c>
      <c r="S58" s="84" t="s">
        <v>358</v>
      </c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9" t="str">
        <f>IFERROR(__xludf.DUMMYFUNCTION("""COMPUTED_VALUE"""),"Hyderabad")</f>
        <v>Hyderabad</v>
      </c>
      <c r="S59" s="84" t="s">
        <v>358</v>
      </c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9" t="str">
        <f>IFERROR(__xludf.DUMMYFUNCTION("""COMPUTED_VALUE"""),"Dehradun")</f>
        <v>Dehradun</v>
      </c>
      <c r="S60" s="84" t="s">
        <v>358</v>
      </c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19" t="str">
        <f>IFERROR(__xludf.DUMMYFUNCTION("""COMPUTED_VALUE"""),"Kochi")</f>
        <v>Kochi</v>
      </c>
      <c r="S61" s="84" t="s">
        <v>358</v>
      </c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19" t="str">
        <f>IFERROR(__xludf.DUMMYFUNCTION("""COMPUTED_VALUE"""),"Jaipur")</f>
        <v>Jaipur</v>
      </c>
      <c r="S62" s="84" t="s">
        <v>358</v>
      </c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19" t="str">
        <f>IFERROR(__xludf.DUMMYFUNCTION("""COMPUTED_VALUE"""),"Patna")</f>
        <v>Patna</v>
      </c>
      <c r="S63" s="84" t="s">
        <v>358</v>
      </c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84" t="s">
        <v>354</v>
      </c>
      <c r="S64" s="84" t="s">
        <v>359</v>
      </c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8">
    <mergeCell ref="A1:H1"/>
    <mergeCell ref="A2:D2"/>
    <mergeCell ref="E2:H2"/>
    <mergeCell ref="A3:D3"/>
    <mergeCell ref="E3:H3"/>
    <mergeCell ref="A45:B45"/>
    <mergeCell ref="A49:G49"/>
    <mergeCell ref="A54:G54"/>
  </mergeCells>
  <dataValidations>
    <dataValidation type="list" allowBlank="1" showErrorMessage="1" sqref="E3">
      <formula1>"NutriKid,ZestVita,Both"</formula1>
    </dataValidation>
    <dataValidation type="list" allowBlank="1" showErrorMessage="1" sqref="E2">
      <formula1>'Performance Analysis Dashboard'!$R$44:$R$64</formula1>
    </dataValidation>
  </dataValidations>
  <drawing r:id="rId1"/>
</worksheet>
</file>