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F8BF42E3-B033-417B-838B-15982C5F1CF6}" xr6:coauthVersionLast="47" xr6:coauthVersionMax="47" xr10:uidLastSave="{00000000-0000-0000-0000-000000000000}"/>
  <bookViews>
    <workbookView xWindow="-108" yWindow="-108" windowWidth="23256" windowHeight="12456" firstSheet="5" activeTab="8" xr2:uid="{ABDA8E9E-CB08-4BAC-A487-91FDE65A2AA5}"/>
  </bookViews>
  <sheets>
    <sheet name="Contents" sheetId="1" r:id="rId1"/>
    <sheet name="1.Data Sources" sheetId="6" r:id="rId2"/>
    <sheet name="2. Decisions &amp; Parameters" sheetId="3" r:id="rId3"/>
    <sheet name="3. Consequence Variables" sheetId="9" r:id="rId4"/>
    <sheet name="4. Secondary Perf Variables" sheetId="7" r:id="rId5"/>
    <sheet name="5.As-is Analysis" sheetId="10" r:id="rId6"/>
    <sheet name="Solver Analysis" sheetId="16" r:id="rId7"/>
    <sheet name="7.Sensitivity Analysis" sheetId="12" r:id="rId8"/>
    <sheet name="8.Tradeoff Analysis" sheetId="13" r:id="rId9"/>
    <sheet name="6.Solver Analysis" sheetId="14" state="hidden" r:id="rId10"/>
  </sheets>
  <externalReferences>
    <externalReference r:id="rId11"/>
  </externalReferences>
  <definedNames>
    <definedName name="solver_cvg" localSheetId="9" hidden="1">0.0001</definedName>
    <definedName name="solver_cvg" localSheetId="6" hidden="1">0.0001</definedName>
    <definedName name="solver_drv" localSheetId="9" hidden="1">1</definedName>
    <definedName name="solver_drv" localSheetId="6" hidden="1">1</definedName>
    <definedName name="solver_eng" localSheetId="9" hidden="1">1</definedName>
    <definedName name="solver_eng" localSheetId="6" hidden="1">1</definedName>
    <definedName name="solver_est" localSheetId="9" hidden="1">1</definedName>
    <definedName name="solver_est" localSheetId="6" hidden="1">1</definedName>
    <definedName name="solver_itr" localSheetId="9" hidden="1">2147483647</definedName>
    <definedName name="solver_itr" localSheetId="6" hidden="1">2147483647</definedName>
    <definedName name="solver_lhs1" localSheetId="9" hidden="1">'6.Solver Analysis'!$C$22</definedName>
    <definedName name="solver_lhs1" localSheetId="6" hidden="1">'Solver Analysis'!$Q$27</definedName>
    <definedName name="solver_lhs10" localSheetId="9" hidden="1">'6.Solver Analysis'!$Z$28</definedName>
    <definedName name="solver_lhs10" localSheetId="6" hidden="1">'Solver Analysis'!$E$27</definedName>
    <definedName name="solver_lhs11" localSheetId="9" hidden="1">'6.Solver Analysis'!$Z$28</definedName>
    <definedName name="solver_lhs11" localSheetId="6" hidden="1">'Solver Analysis'!$F$22:$F$28</definedName>
    <definedName name="solver_lhs12" localSheetId="9" hidden="1">'6.Solver Analysis'!$Z$28</definedName>
    <definedName name="solver_lhs12" localSheetId="6" hidden="1">'Solver Analysis'!$G$21:$G$28</definedName>
    <definedName name="solver_lhs13" localSheetId="9" hidden="1">'6.Solver Analysis'!$Z$28</definedName>
    <definedName name="solver_lhs13" localSheetId="6" hidden="1">'Solver Analysis'!$Q$21</definedName>
    <definedName name="solver_lhs14" localSheetId="9" hidden="1">'6.Solver Analysis'!$Z$28</definedName>
    <definedName name="solver_lhs14" localSheetId="6" hidden="1">'Solver Analysis'!$Q$22</definedName>
    <definedName name="solver_lhs15" localSheetId="9" hidden="1">'6.Solver Analysis'!$Z$28</definedName>
    <definedName name="solver_lhs15" localSheetId="6" hidden="1">'Solver Analysis'!$Q$23</definedName>
    <definedName name="solver_lhs16" localSheetId="9" hidden="1">'6.Solver Analysis'!$Z$28</definedName>
    <definedName name="solver_lhs16" localSheetId="6" hidden="1">'Solver Analysis'!$Q$24</definedName>
    <definedName name="solver_lhs17" localSheetId="9" hidden="1">'6.Solver Analysis'!$Z$28</definedName>
    <definedName name="solver_lhs17" localSheetId="6" hidden="1">'Solver Analysis'!$Q$25</definedName>
    <definedName name="solver_lhs18" localSheetId="9" hidden="1">'6.Solver Analysis'!$Z$28</definedName>
    <definedName name="solver_lhs18" localSheetId="6" hidden="1">'Solver Analysis'!$Q$26</definedName>
    <definedName name="solver_lhs19" localSheetId="9" hidden="1">'6.Solver Analysis'!$Z$28</definedName>
    <definedName name="solver_lhs19" localSheetId="6" hidden="1">'Solver Analysis'!$Q$27</definedName>
    <definedName name="solver_lhs2" localSheetId="9" hidden="1">'6.Solver Analysis'!$K$22:$K$29</definedName>
    <definedName name="solver_lhs2" localSheetId="6" hidden="1">'Solver Analysis'!$E$21</definedName>
    <definedName name="solver_lhs20" localSheetId="9" hidden="1">'6.Solver Analysis'!$Z$28</definedName>
    <definedName name="solver_lhs3" localSheetId="9" hidden="1">'6.Solver Analysis'!$J$23:$J$29</definedName>
    <definedName name="solver_lhs3" localSheetId="6" hidden="1">'Solver Analysis'!$E$21:$E$28</definedName>
    <definedName name="solver_lhs4" localSheetId="9" hidden="1">'6.Solver Analysis'!$L$22:$L$29</definedName>
    <definedName name="solver_lhs4" localSheetId="6" hidden="1">'Solver Analysis'!$E$22</definedName>
    <definedName name="solver_lhs5" localSheetId="9" hidden="1">'6.Solver Analysis'!$Z$23</definedName>
    <definedName name="solver_lhs5" localSheetId="6" hidden="1">'Solver Analysis'!$E$23</definedName>
    <definedName name="solver_lhs6" localSheetId="9" hidden="1">'6.Solver Analysis'!$Z$24</definedName>
    <definedName name="solver_lhs6" localSheetId="6" hidden="1">'Solver Analysis'!$E$23</definedName>
    <definedName name="solver_lhs7" localSheetId="9" hidden="1">'6.Solver Analysis'!$Z$26</definedName>
    <definedName name="solver_lhs7" localSheetId="6" hidden="1">'Solver Analysis'!$E$24</definedName>
    <definedName name="solver_lhs8" localSheetId="9" hidden="1">'6.Solver Analysis'!$Z$27</definedName>
    <definedName name="solver_lhs8" localSheetId="6" hidden="1">'Solver Analysis'!$E$25</definedName>
    <definedName name="solver_lhs9" localSheetId="9" hidden="1">'6.Solver Analysis'!$Z$25</definedName>
    <definedName name="solver_lhs9" localSheetId="6" hidden="1">'Solver Analysis'!$E$26</definedName>
    <definedName name="solver_mip" localSheetId="9" hidden="1">2147483647</definedName>
    <definedName name="solver_mip" localSheetId="6" hidden="1">2147483647</definedName>
    <definedName name="solver_mni" localSheetId="9" hidden="1">30</definedName>
    <definedName name="solver_mni" localSheetId="6" hidden="1">30</definedName>
    <definedName name="solver_mrt" localSheetId="9" hidden="1">0.075</definedName>
    <definedName name="solver_mrt" localSheetId="6" hidden="1">0.075</definedName>
    <definedName name="solver_msl" localSheetId="9" hidden="1">2</definedName>
    <definedName name="solver_msl" localSheetId="6" hidden="1">2</definedName>
    <definedName name="solver_neg" localSheetId="9" hidden="1">1</definedName>
    <definedName name="solver_neg" localSheetId="6" hidden="1">1</definedName>
    <definedName name="solver_nod" localSheetId="9" hidden="1">2147483647</definedName>
    <definedName name="solver_nod" localSheetId="6" hidden="1">2147483647</definedName>
    <definedName name="solver_num" localSheetId="9" hidden="1">0</definedName>
    <definedName name="solver_num" localSheetId="6" hidden="1">0</definedName>
    <definedName name="solver_nwt" localSheetId="9" hidden="1">1</definedName>
    <definedName name="solver_nwt" localSheetId="6" hidden="1">1</definedName>
    <definedName name="solver_opt" localSheetId="6" hidden="1">'Solver Analysis'!$Q$28</definedName>
    <definedName name="solver_pre" localSheetId="9" hidden="1">0.000001</definedName>
    <definedName name="solver_pre" localSheetId="6" hidden="1">0.000001</definedName>
    <definedName name="solver_rbv" localSheetId="9" hidden="1">1</definedName>
    <definedName name="solver_rbv" localSheetId="6" hidden="1">1</definedName>
    <definedName name="solver_rel1" localSheetId="9" hidden="1">1</definedName>
    <definedName name="solver_rel1" localSheetId="6" hidden="1">1</definedName>
    <definedName name="solver_rel10" localSheetId="9" hidden="1">1</definedName>
    <definedName name="solver_rel10" localSheetId="6" hidden="1">1</definedName>
    <definedName name="solver_rel11" localSheetId="9" hidden="1">1</definedName>
    <definedName name="solver_rel11" localSheetId="6" hidden="1">1</definedName>
    <definedName name="solver_rel12" localSheetId="9" hidden="1">1</definedName>
    <definedName name="solver_rel12" localSheetId="6" hidden="1">1</definedName>
    <definedName name="solver_rel13" localSheetId="9" hidden="1">1</definedName>
    <definedName name="solver_rel13" localSheetId="6" hidden="1">1</definedName>
    <definedName name="solver_rel14" localSheetId="9" hidden="1">1</definedName>
    <definedName name="solver_rel14" localSheetId="6" hidden="1">1</definedName>
    <definedName name="solver_rel15" localSheetId="9" hidden="1">1</definedName>
    <definedName name="solver_rel15" localSheetId="6" hidden="1">1</definedName>
    <definedName name="solver_rel16" localSheetId="9" hidden="1">1</definedName>
    <definedName name="solver_rel16" localSheetId="6" hidden="1">1</definedName>
    <definedName name="solver_rel17" localSheetId="9" hidden="1">1</definedName>
    <definedName name="solver_rel17" localSheetId="6" hidden="1">1</definedName>
    <definedName name="solver_rel18" localSheetId="9" hidden="1">1</definedName>
    <definedName name="solver_rel18" localSheetId="6" hidden="1">1</definedName>
    <definedName name="solver_rel19" localSheetId="9" hidden="1">1</definedName>
    <definedName name="solver_rel19" localSheetId="6" hidden="1">1</definedName>
    <definedName name="solver_rel2" localSheetId="9" hidden="1">1</definedName>
    <definedName name="solver_rel2" localSheetId="6" hidden="1">1</definedName>
    <definedName name="solver_rel20" localSheetId="9" hidden="1">1</definedName>
    <definedName name="solver_rel3" localSheetId="9" hidden="1">1</definedName>
    <definedName name="solver_rel3" localSheetId="6" hidden="1">1</definedName>
    <definedName name="solver_rel4" localSheetId="9" hidden="1">1</definedName>
    <definedName name="solver_rel4" localSheetId="6" hidden="1">1</definedName>
    <definedName name="solver_rel5" localSheetId="9" hidden="1">1</definedName>
    <definedName name="solver_rel5" localSheetId="6" hidden="1">1</definedName>
    <definedName name="solver_rel6" localSheetId="9" hidden="1">1</definedName>
    <definedName name="solver_rel6" localSheetId="6" hidden="1">1</definedName>
    <definedName name="solver_rel7" localSheetId="9" hidden="1">1</definedName>
    <definedName name="solver_rel7" localSheetId="6" hidden="1">1</definedName>
    <definedName name="solver_rel8" localSheetId="9" hidden="1">1</definedName>
    <definedName name="solver_rel8" localSheetId="6" hidden="1">1</definedName>
    <definedName name="solver_rel9" localSheetId="9" hidden="1">1</definedName>
    <definedName name="solver_rel9" localSheetId="6" hidden="1">1</definedName>
    <definedName name="solver_rhs1" localSheetId="9" hidden="1">5000</definedName>
    <definedName name="solver_rhs1" localSheetId="6" hidden="1">68</definedName>
    <definedName name="solver_rhs10" localSheetId="9" hidden="1">0.68</definedName>
    <definedName name="solver_rhs10" localSheetId="6" hidden="1">0.45</definedName>
    <definedName name="solver_rhs11" localSheetId="9" hidden="1">0.68</definedName>
    <definedName name="solver_rhs11" localSheetId="6" hidden="1">0.7</definedName>
    <definedName name="solver_rhs12" localSheetId="9" hidden="1">0.68</definedName>
    <definedName name="solver_rhs12" localSheetId="6" hidden="1">0.8</definedName>
    <definedName name="solver_rhs13" localSheetId="9" hidden="1">0.68</definedName>
    <definedName name="solver_rhs13" localSheetId="6" hidden="1">0.62</definedName>
    <definedName name="solver_rhs14" localSheetId="9" hidden="1">0.68</definedName>
    <definedName name="solver_rhs14" localSheetId="6" hidden="1">0.64</definedName>
    <definedName name="solver_rhs15" localSheetId="9" hidden="1">0.68</definedName>
    <definedName name="solver_rhs15" localSheetId="6" hidden="1">0.65</definedName>
    <definedName name="solver_rhs16" localSheetId="9" hidden="1">0.68</definedName>
    <definedName name="solver_rhs16" localSheetId="6" hidden="1">0.66</definedName>
    <definedName name="solver_rhs17" localSheetId="9" hidden="1">0.68</definedName>
    <definedName name="solver_rhs17" localSheetId="6" hidden="1">0.67</definedName>
    <definedName name="solver_rhs18" localSheetId="9" hidden="1">0.68</definedName>
    <definedName name="solver_rhs18" localSheetId="6" hidden="1">0.66</definedName>
    <definedName name="solver_rhs19" localSheetId="9" hidden="1">0.68</definedName>
    <definedName name="solver_rhs19" localSheetId="6" hidden="1">68</definedName>
    <definedName name="solver_rhs2" localSheetId="9" hidden="1">0.5</definedName>
    <definedName name="solver_rhs2" localSheetId="6" hidden="1">0.1</definedName>
    <definedName name="solver_rhs20" localSheetId="9" hidden="1">0.68</definedName>
    <definedName name="solver_rhs3" localSheetId="9" hidden="1">0.7</definedName>
    <definedName name="solver_rhs3" localSheetId="6" hidden="1">0.5</definedName>
    <definedName name="solver_rhs4" localSheetId="9" hidden="1">0.8</definedName>
    <definedName name="solver_rhs4" localSheetId="6" hidden="1">0.2</definedName>
    <definedName name="solver_rhs5" localSheetId="9" hidden="1">0.64</definedName>
    <definedName name="solver_rhs5" localSheetId="6" hidden="1">0.25</definedName>
    <definedName name="solver_rhs6" localSheetId="9" hidden="1">0.65</definedName>
    <definedName name="solver_rhs6" localSheetId="6" hidden="1">0.3</definedName>
    <definedName name="solver_rhs7" localSheetId="9" hidden="1">0.67</definedName>
    <definedName name="solver_rhs7" localSheetId="6" hidden="1">0.3</definedName>
    <definedName name="solver_rhs8" localSheetId="9" hidden="1">0.66</definedName>
    <definedName name="solver_rhs8" localSheetId="6" hidden="1">0.35</definedName>
    <definedName name="solver_rhs9" localSheetId="9" hidden="1">0.65</definedName>
    <definedName name="solver_rhs9" localSheetId="6" hidden="1">0.4</definedName>
    <definedName name="solver_rlx" localSheetId="9" hidden="1">2</definedName>
    <definedName name="solver_rlx" localSheetId="6" hidden="1">2</definedName>
    <definedName name="solver_rsd" localSheetId="9" hidden="1">0</definedName>
    <definedName name="solver_rsd" localSheetId="6" hidden="1">0</definedName>
    <definedName name="solver_scl" localSheetId="9" hidden="1">1</definedName>
    <definedName name="solver_scl" localSheetId="6" hidden="1">1</definedName>
    <definedName name="solver_sho" localSheetId="9" hidden="1">2</definedName>
    <definedName name="solver_sho" localSheetId="6" hidden="1">2</definedName>
    <definedName name="solver_ssz" localSheetId="9" hidden="1">100</definedName>
    <definedName name="solver_ssz" localSheetId="6" hidden="1">100</definedName>
    <definedName name="solver_tim" localSheetId="9" hidden="1">2147483647</definedName>
    <definedName name="solver_tim" localSheetId="6" hidden="1">2147483647</definedName>
    <definedName name="solver_tol" localSheetId="9" hidden="1">0.01</definedName>
    <definedName name="solver_tol" localSheetId="6" hidden="1">0.01</definedName>
    <definedName name="solver_typ" localSheetId="9" hidden="1">1</definedName>
    <definedName name="solver_typ" localSheetId="6" hidden="1">3</definedName>
    <definedName name="solver_val" localSheetId="9" hidden="1">0</definedName>
    <definedName name="solver_val" localSheetId="6" hidden="1">0.7</definedName>
    <definedName name="solver_ver" localSheetId="9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6" l="1"/>
  <c r="M28" i="16"/>
  <c r="K28" i="16"/>
  <c r="J28" i="16"/>
  <c r="G28" i="16"/>
  <c r="F28" i="16"/>
  <c r="N27" i="16"/>
  <c r="M27" i="16"/>
  <c r="K27" i="16"/>
  <c r="J27" i="16"/>
  <c r="G27" i="16"/>
  <c r="F27" i="16"/>
  <c r="N26" i="16"/>
  <c r="M26" i="16"/>
  <c r="K26" i="16"/>
  <c r="J26" i="16"/>
  <c r="G26" i="16"/>
  <c r="F26" i="16"/>
  <c r="N25" i="16"/>
  <c r="M25" i="16"/>
  <c r="K25" i="16"/>
  <c r="J25" i="16"/>
  <c r="G25" i="16"/>
  <c r="F25" i="16"/>
  <c r="N24" i="16"/>
  <c r="M24" i="16"/>
  <c r="K24" i="16"/>
  <c r="J24" i="16"/>
  <c r="G24" i="16"/>
  <c r="F24" i="16"/>
  <c r="N23" i="16"/>
  <c r="M23" i="16"/>
  <c r="K23" i="16"/>
  <c r="J23" i="16"/>
  <c r="G23" i="16"/>
  <c r="F23" i="16"/>
  <c r="N22" i="16"/>
  <c r="M22" i="16"/>
  <c r="K22" i="16"/>
  <c r="J22" i="16"/>
  <c r="G22" i="16"/>
  <c r="F22" i="16"/>
  <c r="N21" i="16"/>
  <c r="M21" i="16"/>
  <c r="K21" i="16"/>
  <c r="J21" i="16"/>
  <c r="G21" i="16"/>
  <c r="F21" i="16"/>
  <c r="M20" i="16"/>
  <c r="H20" i="16"/>
  <c r="H21" i="16" s="1"/>
  <c r="H22" i="16" s="1"/>
  <c r="H23" i="16" s="1"/>
  <c r="H24" i="16" s="1"/>
  <c r="H25" i="16" s="1"/>
  <c r="H26" i="16" s="1"/>
  <c r="H27" i="16" s="1"/>
  <c r="M19" i="16"/>
  <c r="O19" i="16" s="1"/>
  <c r="H19" i="16"/>
  <c r="M18" i="16"/>
  <c r="O18" i="16" s="1"/>
  <c r="H18" i="16"/>
  <c r="D18" i="16"/>
  <c r="G18" i="16" s="1"/>
  <c r="M17" i="16"/>
  <c r="H17" i="16"/>
  <c r="G17" i="16"/>
  <c r="M16" i="16"/>
  <c r="H16" i="16"/>
  <c r="M15" i="16"/>
  <c r="H15" i="16"/>
  <c r="M14" i="16"/>
  <c r="H14" i="16"/>
  <c r="M13" i="16"/>
  <c r="H13" i="16"/>
  <c r="M12" i="16"/>
  <c r="H12" i="16"/>
  <c r="M11" i="16"/>
  <c r="O11" i="16" s="1"/>
  <c r="H11" i="16"/>
  <c r="M10" i="16"/>
  <c r="H10" i="16"/>
  <c r="M9" i="16"/>
  <c r="O9" i="16" s="1"/>
  <c r="H9" i="16"/>
  <c r="M8" i="16"/>
  <c r="H8" i="16"/>
  <c r="M7" i="16"/>
  <c r="H7" i="16"/>
  <c r="M6" i="16"/>
  <c r="H6" i="16"/>
  <c r="D23" i="14"/>
  <c r="D24" i="14"/>
  <c r="D25" i="14"/>
  <c r="D26" i="14"/>
  <c r="D27" i="14"/>
  <c r="D28" i="14"/>
  <c r="D29" i="14"/>
  <c r="D22" i="14"/>
  <c r="C23" i="14"/>
  <c r="C24" i="14"/>
  <c r="C25" i="14"/>
  <c r="C26" i="14"/>
  <c r="C27" i="14"/>
  <c r="C28" i="14"/>
  <c r="C29" i="14"/>
  <c r="C22" i="14"/>
  <c r="L23" i="14"/>
  <c r="L24" i="14"/>
  <c r="L25" i="14"/>
  <c r="L26" i="14"/>
  <c r="L27" i="14"/>
  <c r="L28" i="14"/>
  <c r="L29" i="14"/>
  <c r="J23" i="14"/>
  <c r="J24" i="14"/>
  <c r="J25" i="14"/>
  <c r="J26" i="14"/>
  <c r="J27" i="14"/>
  <c r="J28" i="14"/>
  <c r="J29" i="14"/>
  <c r="L22" i="14"/>
  <c r="J22" i="14"/>
  <c r="Y35" i="3"/>
  <c r="G11" i="13"/>
  <c r="Q11" i="13" s="1"/>
  <c r="V10" i="13"/>
  <c r="E12" i="13"/>
  <c r="D11" i="13"/>
  <c r="U18" i="13"/>
  <c r="T18" i="13"/>
  <c r="R18" i="13"/>
  <c r="U17" i="13"/>
  <c r="T17" i="13"/>
  <c r="R17" i="13"/>
  <c r="U16" i="13"/>
  <c r="T16" i="13"/>
  <c r="R16" i="13"/>
  <c r="U15" i="13"/>
  <c r="T15" i="13"/>
  <c r="R15" i="13"/>
  <c r="U14" i="13"/>
  <c r="T14" i="13"/>
  <c r="R14" i="13"/>
  <c r="U13" i="13"/>
  <c r="T13" i="13"/>
  <c r="R13" i="13"/>
  <c r="U12" i="13"/>
  <c r="T12" i="13"/>
  <c r="R12" i="13"/>
  <c r="U11" i="13"/>
  <c r="T11" i="13"/>
  <c r="R11" i="13"/>
  <c r="U10" i="13"/>
  <c r="T10" i="13"/>
  <c r="S10" i="13"/>
  <c r="R10" i="13"/>
  <c r="L11" i="13" a="1"/>
  <c r="L11" i="13"/>
  <c r="M11" i="13" a="1"/>
  <c r="M11" i="13"/>
  <c r="O11" i="13" a="1"/>
  <c r="O11" i="13"/>
  <c r="P11" i="13" a="1"/>
  <c r="P11" i="13"/>
  <c r="L12" i="13" a="1"/>
  <c r="L12" i="13"/>
  <c r="M12" i="13" a="1"/>
  <c r="M12" i="13"/>
  <c r="O12" i="13" a="1"/>
  <c r="O12" i="13"/>
  <c r="P12" i="13" a="1"/>
  <c r="P12" i="13"/>
  <c r="L13" i="13" a="1"/>
  <c r="L13" i="13"/>
  <c r="M13" i="13" a="1"/>
  <c r="M13" i="13"/>
  <c r="O13" i="13" a="1"/>
  <c r="O13" i="13"/>
  <c r="P13" i="13" a="1"/>
  <c r="P13" i="13"/>
  <c r="L14" i="13" a="1"/>
  <c r="L14" i="13"/>
  <c r="M14" i="13" a="1"/>
  <c r="M14" i="13"/>
  <c r="O14" i="13" a="1"/>
  <c r="O14" i="13"/>
  <c r="P14" i="13" a="1"/>
  <c r="P14" i="13"/>
  <c r="L15" i="13" a="1"/>
  <c r="L15" i="13"/>
  <c r="M15" i="13" a="1"/>
  <c r="M15" i="13"/>
  <c r="O15" i="13" a="1"/>
  <c r="O15" i="13"/>
  <c r="P15" i="13" a="1"/>
  <c r="P15" i="13"/>
  <c r="L16" i="13" a="1"/>
  <c r="L16" i="13"/>
  <c r="M16" i="13" a="1"/>
  <c r="M16" i="13"/>
  <c r="O16" i="13" a="1"/>
  <c r="O16" i="13"/>
  <c r="P16" i="13" a="1"/>
  <c r="P16" i="13"/>
  <c r="L17" i="13" a="1"/>
  <c r="L17" i="13"/>
  <c r="M17" i="13" a="1"/>
  <c r="M17" i="13"/>
  <c r="O17" i="13" a="1"/>
  <c r="O17" i="13"/>
  <c r="P17" i="13" a="1"/>
  <c r="P17" i="13"/>
  <c r="L18" i="13" a="1"/>
  <c r="L18" i="13"/>
  <c r="M18" i="13" a="1"/>
  <c r="M18" i="13"/>
  <c r="O18" i="13" a="1"/>
  <c r="O18" i="13"/>
  <c r="P18" i="13" a="1"/>
  <c r="P18" i="13"/>
  <c r="P10" i="13" a="1"/>
  <c r="P10" i="13" s="1"/>
  <c r="O10" i="13" a="1"/>
  <c r="O10" i="13" s="1"/>
  <c r="N10" i="13" a="1"/>
  <c r="N10" i="13" s="1"/>
  <c r="M10" i="13" a="1"/>
  <c r="M10" i="13"/>
  <c r="L10" i="13" a="1"/>
  <c r="L10" i="13" s="1"/>
  <c r="J18" i="13"/>
  <c r="J17" i="13"/>
  <c r="J16" i="13"/>
  <c r="J15" i="13"/>
  <c r="J14" i="13"/>
  <c r="J13" i="13"/>
  <c r="J12" i="13"/>
  <c r="J11" i="13"/>
  <c r="J10" i="13"/>
  <c r="I11" i="13"/>
  <c r="I12" i="13"/>
  <c r="I13" i="13"/>
  <c r="I14" i="13"/>
  <c r="I15" i="13"/>
  <c r="I16" i="13"/>
  <c r="I17" i="13"/>
  <c r="I18" i="13"/>
  <c r="I10" i="13"/>
  <c r="C10" i="13" a="1"/>
  <c r="C10" i="13" s="1"/>
  <c r="C11" i="13" s="1"/>
  <c r="C12" i="13" s="1"/>
  <c r="C13" i="13" s="1"/>
  <c r="C14" i="13" s="1"/>
  <c r="C15" i="13" s="1"/>
  <c r="C16" i="13" s="1"/>
  <c r="C17" i="13" s="1"/>
  <c r="C18" i="13" s="1"/>
  <c r="P21" i="16" l="1"/>
  <c r="D19" i="16"/>
  <c r="D20" i="16" s="1"/>
  <c r="G20" i="16" s="1"/>
  <c r="P14" i="16"/>
  <c r="P13" i="16"/>
  <c r="P8" i="16"/>
  <c r="Q8" i="16" s="1"/>
  <c r="O14" i="16"/>
  <c r="Q14" i="16" s="1"/>
  <c r="P9" i="16"/>
  <c r="P15" i="16"/>
  <c r="P25" i="16"/>
  <c r="P16" i="16"/>
  <c r="O22" i="16"/>
  <c r="P7" i="16"/>
  <c r="P17" i="16"/>
  <c r="O21" i="16"/>
  <c r="P23" i="16"/>
  <c r="P10" i="16"/>
  <c r="O27" i="16"/>
  <c r="P6" i="16"/>
  <c r="P12" i="16"/>
  <c r="P18" i="16"/>
  <c r="Q18" i="16" s="1"/>
  <c r="P24" i="16"/>
  <c r="Q24" i="16" s="1"/>
  <c r="O28" i="16"/>
  <c r="Q9" i="16"/>
  <c r="H28" i="16"/>
  <c r="P28" i="16" s="1"/>
  <c r="P27" i="16"/>
  <c r="Q21" i="16"/>
  <c r="P20" i="16"/>
  <c r="P26" i="16"/>
  <c r="O7" i="16"/>
  <c r="O20" i="16"/>
  <c r="O26" i="16"/>
  <c r="O12" i="16"/>
  <c r="Q12" i="16" s="1"/>
  <c r="G19" i="16"/>
  <c r="P19" i="16" s="1"/>
  <c r="Q19" i="16" s="1"/>
  <c r="O25" i="16"/>
  <c r="Q25" i="16" s="1"/>
  <c r="O10" i="16"/>
  <c r="O17" i="16"/>
  <c r="O15" i="16"/>
  <c r="O24" i="16"/>
  <c r="O8" i="16"/>
  <c r="O13" i="16"/>
  <c r="Q13" i="16" s="1"/>
  <c r="O23" i="16"/>
  <c r="O6" i="16"/>
  <c r="Q6" i="16" s="1"/>
  <c r="P11" i="16"/>
  <c r="Q11" i="16" s="1"/>
  <c r="O16" i="16"/>
  <c r="P22" i="16"/>
  <c r="D17" i="13"/>
  <c r="D16" i="13"/>
  <c r="D15" i="13"/>
  <c r="D14" i="13"/>
  <c r="D13" i="13"/>
  <c r="E18" i="13"/>
  <c r="E17" i="13"/>
  <c r="D18" i="13"/>
  <c r="E14" i="13"/>
  <c r="E16" i="13"/>
  <c r="E15" i="13"/>
  <c r="D12" i="13"/>
  <c r="G12" i="13" s="1"/>
  <c r="Q12" i="13" s="1"/>
  <c r="E13" i="13"/>
  <c r="Q22" i="16" l="1"/>
  <c r="Q16" i="16"/>
  <c r="Q10" i="16"/>
  <c r="Q17" i="16"/>
  <c r="Q28" i="16"/>
  <c r="Q27" i="16"/>
  <c r="Q23" i="16"/>
  <c r="Q7" i="16"/>
  <c r="Q15" i="16"/>
  <c r="Q26" i="16"/>
  <c r="Q20" i="16"/>
  <c r="G18" i="13"/>
  <c r="Q18" i="13" s="1"/>
  <c r="G15" i="13"/>
  <c r="Q15" i="13" s="1"/>
  <c r="G14" i="13"/>
  <c r="Q14" i="13" s="1"/>
  <c r="G16" i="13"/>
  <c r="Q16" i="13" s="1"/>
  <c r="G13" i="13"/>
  <c r="Q13" i="13" s="1"/>
  <c r="G17" i="13"/>
  <c r="Q17" i="13" s="1"/>
  <c r="J41" i="12" l="1" a="1"/>
  <c r="J41" i="12"/>
  <c r="K41" i="12" a="1"/>
  <c r="K41" i="12"/>
  <c r="L41" i="12" a="1"/>
  <c r="L41" i="12"/>
  <c r="D19" i="14"/>
  <c r="D20" i="14" s="1"/>
  <c r="D21" i="14" s="1"/>
  <c r="G116" i="7" l="1"/>
  <c r="D118" i="7"/>
  <c r="C118" i="7"/>
  <c r="D117" i="7"/>
  <c r="C117" i="7"/>
  <c r="D116" i="7"/>
  <c r="C116" i="7"/>
  <c r="D115" i="7"/>
  <c r="C115" i="7"/>
  <c r="D114" i="7"/>
  <c r="C114" i="7"/>
  <c r="F43" i="12"/>
  <c r="F44" i="12"/>
  <c r="F45" i="12"/>
  <c r="F46" i="12"/>
  <c r="F47" i="12"/>
  <c r="F48" i="12"/>
  <c r="F49" i="12"/>
  <c r="F42" i="12"/>
  <c r="I49" i="12" a="1"/>
  <c r="I49" i="12" s="1"/>
  <c r="G49" i="12" a="1"/>
  <c r="G49" i="12" s="1"/>
  <c r="E49" i="12" a="1"/>
  <c r="E49" i="12" s="1"/>
  <c r="I48" i="12" a="1"/>
  <c r="I48" i="12" s="1"/>
  <c r="G48" i="12" a="1"/>
  <c r="G48" i="12" s="1"/>
  <c r="E48" i="12" a="1"/>
  <c r="E48" i="12" s="1"/>
  <c r="I47" i="12" a="1"/>
  <c r="I47" i="12" s="1"/>
  <c r="G47" i="12" a="1"/>
  <c r="G47" i="12" s="1"/>
  <c r="E47" i="12" a="1"/>
  <c r="E47" i="12" s="1"/>
  <c r="I46" i="12" a="1"/>
  <c r="I46" i="12" s="1"/>
  <c r="G46" i="12" a="1"/>
  <c r="G46" i="12" s="1"/>
  <c r="E46" i="12" a="1"/>
  <c r="E46" i="12" s="1"/>
  <c r="I45" i="12" a="1"/>
  <c r="I45" i="12" s="1"/>
  <c r="G45" i="12" a="1"/>
  <c r="G45" i="12" s="1"/>
  <c r="E45" i="12" a="1"/>
  <c r="E45" i="12" s="1"/>
  <c r="I44" i="12" a="1"/>
  <c r="I44" i="12" s="1"/>
  <c r="G44" i="12" a="1"/>
  <c r="G44" i="12" s="1"/>
  <c r="E44" i="12" a="1"/>
  <c r="E44" i="12" s="1"/>
  <c r="I43" i="12" a="1"/>
  <c r="I43" i="12" s="1"/>
  <c r="G43" i="12" a="1"/>
  <c r="G43" i="12" s="1"/>
  <c r="E43" i="12" a="1"/>
  <c r="E43" i="12" s="1"/>
  <c r="I42" i="12" a="1"/>
  <c r="I42" i="12" s="1"/>
  <c r="G42" i="12" a="1"/>
  <c r="G42" i="12" s="1"/>
  <c r="E42" i="12" a="1"/>
  <c r="E42" i="12" s="1"/>
  <c r="C42" i="12"/>
  <c r="C43" i="12"/>
  <c r="C44" i="12"/>
  <c r="C45" i="12"/>
  <c r="C46" i="12"/>
  <c r="C47" i="12"/>
  <c r="C48" i="12"/>
  <c r="C49" i="12"/>
  <c r="F11" i="12" a="1"/>
  <c r="F11" i="12" s="1"/>
  <c r="I11" i="12" a="1"/>
  <c r="I11" i="12" s="1"/>
  <c r="F12" i="12" a="1"/>
  <c r="F12" i="12" s="1"/>
  <c r="I12" i="12" a="1"/>
  <c r="I12" i="12" s="1"/>
  <c r="F13" i="12" a="1"/>
  <c r="F13" i="12" s="1"/>
  <c r="I13" i="12" a="1"/>
  <c r="I13" i="12" s="1"/>
  <c r="F14" i="12" a="1"/>
  <c r="F14" i="12" s="1"/>
  <c r="I14" i="12" a="1"/>
  <c r="I14" i="12" s="1"/>
  <c r="F15" i="12" a="1"/>
  <c r="F15" i="12" s="1"/>
  <c r="I15" i="12" a="1"/>
  <c r="I15" i="12" s="1"/>
  <c r="F16" i="12" a="1"/>
  <c r="F16" i="12" s="1"/>
  <c r="I16" i="12" a="1"/>
  <c r="I16" i="12" s="1"/>
  <c r="F17" i="12" a="1"/>
  <c r="F17" i="12" s="1"/>
  <c r="I17" i="12" a="1"/>
  <c r="I17" i="12" s="1"/>
  <c r="F18" i="12" a="1"/>
  <c r="F18" i="12" s="1"/>
  <c r="I18" i="12" a="1"/>
  <c r="I18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C10" i="12" a="1"/>
  <c r="C10" i="12" s="1"/>
  <c r="C41" i="12" s="1"/>
  <c r="V35" i="3" l="1"/>
  <c r="W35" i="3" s="1"/>
  <c r="X35" i="3" s="1"/>
  <c r="N21" i="14" a="1"/>
  <c r="N21" i="14" s="1"/>
  <c r="L21" i="14" a="1"/>
  <c r="L21" i="14" s="1"/>
  <c r="K21" i="14" a="1"/>
  <c r="K21" i="14" s="1"/>
  <c r="J21" i="14" a="1"/>
  <c r="J21" i="14" s="1"/>
  <c r="I21" i="14" a="1"/>
  <c r="I21" i="14" s="1"/>
  <c r="H21" i="14" a="1"/>
  <c r="H21" i="14" s="1"/>
  <c r="G21" i="14" a="1"/>
  <c r="G21" i="14" s="1"/>
  <c r="F21" i="14" a="1"/>
  <c r="F21" i="14" s="1"/>
  <c r="E21" i="14" a="1"/>
  <c r="E21" i="14" s="1"/>
  <c r="N20" i="14" a="1"/>
  <c r="N20" i="14" s="1"/>
  <c r="L20" i="14" a="1"/>
  <c r="L20" i="14" s="1"/>
  <c r="K20" i="14" a="1"/>
  <c r="K20" i="14" s="1"/>
  <c r="J20" i="14" a="1"/>
  <c r="J20" i="14" s="1"/>
  <c r="I20" i="14" a="1"/>
  <c r="I20" i="14" s="1"/>
  <c r="H20" i="14" a="1"/>
  <c r="H20" i="14" s="1"/>
  <c r="G20" i="14" a="1"/>
  <c r="G20" i="14" s="1"/>
  <c r="F20" i="14" a="1"/>
  <c r="F20" i="14" s="1"/>
  <c r="E20" i="14" a="1"/>
  <c r="E20" i="14" s="1"/>
  <c r="N19" i="14" a="1"/>
  <c r="N19" i="14" s="1"/>
  <c r="L19" i="14" a="1"/>
  <c r="L19" i="14" s="1"/>
  <c r="K19" i="14" a="1"/>
  <c r="K19" i="14" s="1"/>
  <c r="J19" i="14" a="1"/>
  <c r="J19" i="14" s="1"/>
  <c r="I19" i="14" a="1"/>
  <c r="I19" i="14" s="1"/>
  <c r="H19" i="14" a="1"/>
  <c r="H19" i="14" s="1"/>
  <c r="G19" i="14" a="1"/>
  <c r="G19" i="14" s="1"/>
  <c r="F19" i="14" a="1"/>
  <c r="F19" i="14" s="1"/>
  <c r="E19" i="14" a="1"/>
  <c r="E19" i="14" s="1"/>
  <c r="N18" i="14" a="1"/>
  <c r="N18" i="14" s="1"/>
  <c r="L18" i="14" a="1"/>
  <c r="L18" i="14" s="1"/>
  <c r="K18" i="14" a="1"/>
  <c r="K18" i="14" s="1"/>
  <c r="J18" i="14" a="1"/>
  <c r="J18" i="14" s="1"/>
  <c r="I18" i="14" a="1"/>
  <c r="I18" i="14" s="1"/>
  <c r="H18" i="14" a="1"/>
  <c r="H18" i="14" s="1"/>
  <c r="G18" i="14" a="1"/>
  <c r="G18" i="14" s="1"/>
  <c r="F18" i="14" a="1"/>
  <c r="F18" i="14" s="1"/>
  <c r="E18" i="14" a="1"/>
  <c r="E18" i="14" s="1"/>
  <c r="N17" i="14" a="1"/>
  <c r="N17" i="14" s="1"/>
  <c r="L17" i="14" a="1"/>
  <c r="L17" i="14" s="1"/>
  <c r="K17" i="14" a="1"/>
  <c r="K17" i="14" s="1"/>
  <c r="J17" i="14" a="1"/>
  <c r="J17" i="14" s="1"/>
  <c r="I17" i="14" a="1"/>
  <c r="I17" i="14" s="1"/>
  <c r="H17" i="14" a="1"/>
  <c r="H17" i="14" s="1"/>
  <c r="G17" i="14" a="1"/>
  <c r="G17" i="14" s="1"/>
  <c r="F17" i="14" a="1"/>
  <c r="F17" i="14" s="1"/>
  <c r="E17" i="14" a="1"/>
  <c r="E17" i="14" s="1"/>
  <c r="N16" i="14" a="1"/>
  <c r="N16" i="14" s="1"/>
  <c r="L16" i="14" a="1"/>
  <c r="L16" i="14" s="1"/>
  <c r="K16" i="14" a="1"/>
  <c r="K16" i="14" s="1"/>
  <c r="J16" i="14" a="1"/>
  <c r="J16" i="14" s="1"/>
  <c r="I16" i="14" a="1"/>
  <c r="I16" i="14" s="1"/>
  <c r="H16" i="14" a="1"/>
  <c r="H16" i="14" s="1"/>
  <c r="G16" i="14" a="1"/>
  <c r="G16" i="14" s="1"/>
  <c r="F16" i="14" a="1"/>
  <c r="F16" i="14" s="1"/>
  <c r="E16" i="14" a="1"/>
  <c r="E16" i="14" s="1"/>
  <c r="N15" i="14" a="1"/>
  <c r="N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 a="1"/>
  <c r="E15" i="14" s="1"/>
  <c r="N14" i="14" a="1"/>
  <c r="N14" i="14" s="1"/>
  <c r="L14" i="14" a="1"/>
  <c r="L14" i="14" s="1"/>
  <c r="K14" i="14" a="1"/>
  <c r="K14" i="14" s="1"/>
  <c r="J14" i="14" a="1"/>
  <c r="J14" i="14" s="1"/>
  <c r="I14" i="14" a="1"/>
  <c r="I14" i="14" s="1"/>
  <c r="H14" i="14" a="1"/>
  <c r="H14" i="14" s="1"/>
  <c r="G14" i="14" a="1"/>
  <c r="G14" i="14" s="1"/>
  <c r="F14" i="14" a="1"/>
  <c r="F14" i="14" s="1"/>
  <c r="E14" i="14" a="1"/>
  <c r="E14" i="14" s="1"/>
  <c r="N13" i="14" a="1"/>
  <c r="N13" i="14" s="1"/>
  <c r="L13" i="14" a="1"/>
  <c r="L13" i="14" s="1"/>
  <c r="K13" i="14" a="1"/>
  <c r="K13" i="14" s="1"/>
  <c r="J13" i="14" a="1"/>
  <c r="J13" i="14" s="1"/>
  <c r="I13" i="14" a="1"/>
  <c r="I13" i="14" s="1"/>
  <c r="H13" i="14" a="1"/>
  <c r="H13" i="14" s="1"/>
  <c r="G13" i="14" a="1"/>
  <c r="G13" i="14" s="1"/>
  <c r="F13" i="14" a="1"/>
  <c r="F13" i="14" s="1"/>
  <c r="E13" i="14" a="1"/>
  <c r="E13" i="14" s="1"/>
  <c r="N12" i="14" a="1"/>
  <c r="N12" i="14" s="1"/>
  <c r="L12" i="14" a="1"/>
  <c r="L12" i="14" s="1"/>
  <c r="K12" i="14" a="1"/>
  <c r="K12" i="14" s="1"/>
  <c r="J12" i="14" a="1"/>
  <c r="J12" i="14" s="1"/>
  <c r="I12" i="14" a="1"/>
  <c r="I12" i="14" s="1"/>
  <c r="H12" i="14" a="1"/>
  <c r="H12" i="14" s="1"/>
  <c r="G12" i="14" a="1"/>
  <c r="G12" i="14" s="1"/>
  <c r="F12" i="14" a="1"/>
  <c r="F12" i="14" s="1"/>
  <c r="E12" i="14" a="1"/>
  <c r="E12" i="14" s="1"/>
  <c r="N11" i="14" a="1"/>
  <c r="N11" i="14" s="1"/>
  <c r="L11" i="14" a="1"/>
  <c r="L11" i="14" s="1"/>
  <c r="K11" i="14" a="1"/>
  <c r="K11" i="14" s="1"/>
  <c r="J11" i="14" a="1"/>
  <c r="J11" i="14" s="1"/>
  <c r="I11" i="14" a="1"/>
  <c r="I11" i="14" s="1"/>
  <c r="H11" i="14" a="1"/>
  <c r="H11" i="14" s="1"/>
  <c r="G11" i="14" a="1"/>
  <c r="G11" i="14" s="1"/>
  <c r="F11" i="14" a="1"/>
  <c r="F11" i="14" s="1"/>
  <c r="E11" i="14" a="1"/>
  <c r="E11" i="14" s="1"/>
  <c r="N10" i="14" a="1"/>
  <c r="N10" i="14" s="1"/>
  <c r="L10" i="14" a="1"/>
  <c r="L10" i="14" s="1"/>
  <c r="K10" i="14" a="1"/>
  <c r="K10" i="14" s="1"/>
  <c r="J10" i="14" a="1"/>
  <c r="J10" i="14" s="1"/>
  <c r="I10" i="14" a="1"/>
  <c r="I10" i="14" s="1"/>
  <c r="H10" i="14" a="1"/>
  <c r="H10" i="14" s="1"/>
  <c r="G10" i="14" a="1"/>
  <c r="G10" i="14" s="1"/>
  <c r="F10" i="14" a="1"/>
  <c r="F10" i="14" s="1"/>
  <c r="E10" i="14" a="1"/>
  <c r="E10" i="14" s="1"/>
  <c r="N9" i="14" a="1"/>
  <c r="N9" i="14" s="1"/>
  <c r="L9" i="14" a="1"/>
  <c r="L9" i="14" s="1"/>
  <c r="K9" i="14" a="1"/>
  <c r="K9" i="14" s="1"/>
  <c r="J9" i="14" a="1"/>
  <c r="J9" i="14" s="1"/>
  <c r="I9" i="14" a="1"/>
  <c r="I9" i="14" s="1"/>
  <c r="H9" i="14" a="1"/>
  <c r="H9" i="14" s="1"/>
  <c r="G9" i="14" a="1"/>
  <c r="G9" i="14" s="1"/>
  <c r="F9" i="14" a="1"/>
  <c r="F9" i="14" s="1"/>
  <c r="E9" i="14" a="1"/>
  <c r="E9" i="14" s="1"/>
  <c r="N8" i="14" a="1"/>
  <c r="N8" i="14" s="1"/>
  <c r="L8" i="14" a="1"/>
  <c r="L8" i="14" s="1"/>
  <c r="K8" i="14" a="1"/>
  <c r="K8" i="14" s="1"/>
  <c r="J8" i="14" a="1"/>
  <c r="J8" i="14" s="1"/>
  <c r="I8" i="14" a="1"/>
  <c r="I8" i="14" s="1"/>
  <c r="H8" i="14" a="1"/>
  <c r="H8" i="14" s="1"/>
  <c r="G8" i="14" a="1"/>
  <c r="G8" i="14" s="1"/>
  <c r="F8" i="14" a="1"/>
  <c r="F8" i="14" s="1"/>
  <c r="E8" i="14" a="1"/>
  <c r="E8" i="14" s="1"/>
  <c r="N7" i="14" a="1"/>
  <c r="N7" i="14" s="1"/>
  <c r="L7" i="14" a="1"/>
  <c r="L7" i="14" s="1"/>
  <c r="K7" i="14" a="1"/>
  <c r="K7" i="14" s="1"/>
  <c r="J7" i="14" a="1"/>
  <c r="J7" i="14" s="1"/>
  <c r="I7" i="14" a="1"/>
  <c r="I7" i="14" s="1"/>
  <c r="H7" i="14" a="1"/>
  <c r="H7" i="14" s="1"/>
  <c r="G7" i="14" a="1"/>
  <c r="G7" i="14" s="1"/>
  <c r="F7" i="14" a="1"/>
  <c r="F7" i="14" s="1"/>
  <c r="E7" i="14" a="1"/>
  <c r="E7" i="14" s="1"/>
  <c r="H8" i="10" a="1"/>
  <c r="H8" i="10" s="1"/>
  <c r="I8" i="10" a="1"/>
  <c r="I8" i="10" s="1"/>
  <c r="J8" i="10" a="1"/>
  <c r="J8" i="10" s="1"/>
  <c r="L8" i="10" a="1"/>
  <c r="L8" i="10" s="1"/>
  <c r="H9" i="10" a="1"/>
  <c r="H9" i="10" s="1"/>
  <c r="I9" i="10" a="1"/>
  <c r="I9" i="10" s="1"/>
  <c r="J9" i="10" a="1"/>
  <c r="J9" i="10" s="1"/>
  <c r="L9" i="10" a="1"/>
  <c r="L9" i="10" s="1"/>
  <c r="H10" i="10" a="1"/>
  <c r="H10" i="10" s="1"/>
  <c r="I10" i="10" a="1"/>
  <c r="I10" i="10" s="1"/>
  <c r="J10" i="10" a="1"/>
  <c r="J10" i="10" s="1"/>
  <c r="L10" i="10" a="1"/>
  <c r="L10" i="10" s="1"/>
  <c r="H11" i="10" a="1"/>
  <c r="H11" i="10"/>
  <c r="I11" i="10" a="1"/>
  <c r="I11" i="10" s="1"/>
  <c r="J11" i="10" a="1"/>
  <c r="J11" i="10"/>
  <c r="L11" i="10" a="1"/>
  <c r="L11" i="10"/>
  <c r="H12" i="10" a="1"/>
  <c r="H12" i="10" s="1"/>
  <c r="I12" i="10" a="1"/>
  <c r="I12" i="10" s="1"/>
  <c r="J12" i="10" a="1"/>
  <c r="J12" i="10" s="1"/>
  <c r="L12" i="10" a="1"/>
  <c r="L12" i="10" s="1"/>
  <c r="H13" i="10" a="1"/>
  <c r="H13" i="10" s="1"/>
  <c r="I13" i="10" a="1"/>
  <c r="I13" i="10"/>
  <c r="J13" i="10" a="1"/>
  <c r="J13" i="10" s="1"/>
  <c r="L13" i="10" a="1"/>
  <c r="L13" i="10" s="1"/>
  <c r="H14" i="10" a="1"/>
  <c r="H14" i="10" s="1"/>
  <c r="I14" i="10" a="1"/>
  <c r="I14" i="10" s="1"/>
  <c r="J14" i="10" a="1"/>
  <c r="J14" i="10" s="1"/>
  <c r="L14" i="10" a="1"/>
  <c r="L14" i="10" s="1"/>
  <c r="H15" i="10" a="1"/>
  <c r="H15" i="10" s="1"/>
  <c r="I15" i="10" a="1"/>
  <c r="I15" i="10" s="1"/>
  <c r="J15" i="10" a="1"/>
  <c r="J15" i="10"/>
  <c r="L15" i="10" a="1"/>
  <c r="L15" i="10" s="1"/>
  <c r="H16" i="10" a="1"/>
  <c r="H16" i="10" s="1"/>
  <c r="I16" i="10" a="1"/>
  <c r="I16" i="10" s="1"/>
  <c r="J16" i="10" a="1"/>
  <c r="J16" i="10" s="1"/>
  <c r="L16" i="10" a="1"/>
  <c r="L16" i="10"/>
  <c r="H17" i="10" a="1"/>
  <c r="H17" i="10" s="1"/>
  <c r="I17" i="10" a="1"/>
  <c r="I17" i="10" s="1"/>
  <c r="J17" i="10" a="1"/>
  <c r="J17" i="10" s="1"/>
  <c r="L17" i="10" a="1"/>
  <c r="L17" i="10" s="1"/>
  <c r="H18" i="10" a="1"/>
  <c r="H18" i="10" s="1"/>
  <c r="I18" i="10" a="1"/>
  <c r="I18" i="10" s="1"/>
  <c r="J18" i="10" a="1"/>
  <c r="J18" i="10" s="1"/>
  <c r="L18" i="10" a="1"/>
  <c r="L18" i="10" s="1"/>
  <c r="H19" i="10" a="1"/>
  <c r="H19" i="10" s="1"/>
  <c r="I19" i="10" a="1"/>
  <c r="I19" i="10" s="1"/>
  <c r="J19" i="10" a="1"/>
  <c r="J19" i="10" s="1"/>
  <c r="L19" i="10" a="1"/>
  <c r="L19" i="10" s="1"/>
  <c r="H20" i="10" a="1"/>
  <c r="H20" i="10" s="1"/>
  <c r="I20" i="10" a="1"/>
  <c r="I20" i="10" s="1"/>
  <c r="J20" i="10" a="1"/>
  <c r="J20" i="10" s="1"/>
  <c r="L20" i="10" a="1"/>
  <c r="L20" i="10" s="1"/>
  <c r="H21" i="10" a="1"/>
  <c r="H21" i="10" s="1"/>
  <c r="E41" i="12" s="1" a="1"/>
  <c r="E41" i="12" s="1"/>
  <c r="I21" i="10" a="1"/>
  <c r="I21" i="10" s="1"/>
  <c r="F41" i="12" s="1" a="1"/>
  <c r="F41" i="12" s="1"/>
  <c r="J21" i="10" a="1"/>
  <c r="J21" i="10" s="1"/>
  <c r="G41" i="12" s="1" a="1"/>
  <c r="G41" i="12" s="1"/>
  <c r="L21" i="10" a="1"/>
  <c r="L21" i="10" s="1"/>
  <c r="I41" i="12" s="1" a="1"/>
  <c r="I41" i="12" s="1"/>
  <c r="L7" i="10" a="1"/>
  <c r="L7" i="10" s="1"/>
  <c r="J7" i="10" a="1"/>
  <c r="J7" i="10"/>
  <c r="I7" i="10" a="1"/>
  <c r="I7" i="10" s="1"/>
  <c r="H7" i="10" a="1"/>
  <c r="H7" i="10" s="1"/>
  <c r="C8" i="10" a="1"/>
  <c r="C8" i="10"/>
  <c r="D8" i="10" a="1"/>
  <c r="D8" i="10" s="1"/>
  <c r="E8" i="10" a="1"/>
  <c r="E8" i="10" s="1"/>
  <c r="F8" i="10" a="1"/>
  <c r="F8" i="10"/>
  <c r="G8" i="10" a="1"/>
  <c r="G8" i="10"/>
  <c r="C9" i="10" a="1"/>
  <c r="C9" i="10" s="1"/>
  <c r="D9" i="10" a="1"/>
  <c r="D9" i="10" s="1"/>
  <c r="E9" i="10" a="1"/>
  <c r="E9" i="10"/>
  <c r="F9" i="10" a="1"/>
  <c r="F9" i="10" s="1"/>
  <c r="G9" i="10" a="1"/>
  <c r="G9" i="10" s="1"/>
  <c r="C10" i="10" a="1"/>
  <c r="C10" i="10"/>
  <c r="D10" i="10" a="1"/>
  <c r="D10" i="10" s="1"/>
  <c r="E10" i="10" a="1"/>
  <c r="E10" i="10" s="1"/>
  <c r="F10" i="10" a="1"/>
  <c r="F10" i="10" s="1"/>
  <c r="G10" i="10" a="1"/>
  <c r="G10" i="10"/>
  <c r="C11" i="10" a="1"/>
  <c r="C11" i="10"/>
  <c r="D11" i="10" a="1"/>
  <c r="D11" i="10" s="1"/>
  <c r="E11" i="10" a="1"/>
  <c r="E11" i="10" s="1"/>
  <c r="F11" i="10" a="1"/>
  <c r="F11" i="10"/>
  <c r="G11" i="10" a="1"/>
  <c r="G11" i="10"/>
  <c r="C12" i="10" a="1"/>
  <c r="C12" i="10" s="1"/>
  <c r="D12" i="10" a="1"/>
  <c r="D12" i="10" s="1"/>
  <c r="E12" i="10" a="1"/>
  <c r="E12" i="10" s="1"/>
  <c r="F12" i="10" a="1"/>
  <c r="F12" i="10" s="1"/>
  <c r="G12" i="10" a="1"/>
  <c r="G12" i="10"/>
  <c r="C13" i="10" a="1"/>
  <c r="C13" i="10" s="1"/>
  <c r="D13" i="10" a="1"/>
  <c r="D13" i="10"/>
  <c r="E13" i="10" a="1"/>
  <c r="E13" i="10" s="1"/>
  <c r="F13" i="10" a="1"/>
  <c r="F13" i="10" s="1"/>
  <c r="G13" i="10" a="1"/>
  <c r="G13" i="10" s="1"/>
  <c r="C14" i="10" a="1"/>
  <c r="C14" i="10" s="1"/>
  <c r="D14" i="10" a="1"/>
  <c r="D14" i="10" s="1"/>
  <c r="E14" i="10" a="1"/>
  <c r="E14" i="10" s="1"/>
  <c r="F14" i="10" a="1"/>
  <c r="F14" i="10" s="1"/>
  <c r="G14" i="10" a="1"/>
  <c r="G14" i="10"/>
  <c r="C15" i="10" a="1"/>
  <c r="C15" i="10" s="1"/>
  <c r="D15" i="10" a="1"/>
  <c r="D15" i="10" s="1"/>
  <c r="E15" i="10" a="1"/>
  <c r="E15" i="10" s="1"/>
  <c r="F15" i="10" a="1"/>
  <c r="F15" i="10" s="1"/>
  <c r="G15" i="10" a="1"/>
  <c r="G15" i="10" s="1"/>
  <c r="C16" i="10" a="1"/>
  <c r="C16" i="10" s="1"/>
  <c r="D16" i="10" a="1"/>
  <c r="D16" i="10" s="1"/>
  <c r="E16" i="10" a="1"/>
  <c r="E16" i="10"/>
  <c r="F16" i="10" a="1"/>
  <c r="F16" i="10" s="1"/>
  <c r="G16" i="10" a="1"/>
  <c r="G16" i="10"/>
  <c r="C17" i="10" a="1"/>
  <c r="C17" i="10" s="1"/>
  <c r="D17" i="10" a="1"/>
  <c r="D17" i="10"/>
  <c r="E17" i="10" a="1"/>
  <c r="E17" i="10" s="1"/>
  <c r="F17" i="10" a="1"/>
  <c r="F17" i="10" s="1"/>
  <c r="G17" i="10" a="1"/>
  <c r="G17" i="10"/>
  <c r="C18" i="10" a="1"/>
  <c r="C18" i="10" s="1"/>
  <c r="D18" i="10" a="1"/>
  <c r="D18" i="10" s="1"/>
  <c r="E18" i="10" a="1"/>
  <c r="E18" i="10" s="1"/>
  <c r="F18" i="10" a="1"/>
  <c r="F18" i="10" s="1"/>
  <c r="G18" i="10" a="1"/>
  <c r="G18" i="10"/>
  <c r="C19" i="10" a="1"/>
  <c r="C19" i="10"/>
  <c r="D19" i="10" a="1"/>
  <c r="D19" i="10" s="1"/>
  <c r="E19" i="10" a="1"/>
  <c r="E19" i="10" s="1"/>
  <c r="F19" i="10" a="1"/>
  <c r="F19" i="10"/>
  <c r="G19" i="10" a="1"/>
  <c r="G19" i="10" s="1"/>
  <c r="C20" i="10" a="1"/>
  <c r="C20" i="10"/>
  <c r="D20" i="10" a="1"/>
  <c r="D20" i="10" s="1"/>
  <c r="E20" i="10" a="1"/>
  <c r="E20" i="10" s="1"/>
  <c r="F20" i="10" a="1"/>
  <c r="F20" i="10"/>
  <c r="G20" i="10" a="1"/>
  <c r="G20" i="10"/>
  <c r="C21" i="10" a="1"/>
  <c r="C21" i="10" s="1"/>
  <c r="D21" i="10" a="1"/>
  <c r="D21" i="10" s="1"/>
  <c r="E21" i="10" a="1"/>
  <c r="E21" i="10"/>
  <c r="F21" i="10" a="1"/>
  <c r="F21" i="10"/>
  <c r="M41" i="12" s="1" a="1"/>
  <c r="M41" i="12" s="1"/>
  <c r="G21" i="10" a="1"/>
  <c r="G21" i="10"/>
  <c r="N41" i="12" s="1" a="1"/>
  <c r="N41" i="12" s="1"/>
  <c r="G7" i="10" a="1"/>
  <c r="G7" i="10" s="1"/>
  <c r="F7" i="10" a="1"/>
  <c r="F7" i="10" s="1"/>
  <c r="E7" i="10" a="1"/>
  <c r="E7" i="10" s="1"/>
  <c r="D7" i="10" a="1"/>
  <c r="D7" i="10" s="1"/>
  <c r="C7" i="10" a="1"/>
  <c r="C7" i="10" s="1"/>
  <c r="D34" i="9" a="1"/>
  <c r="D34" i="9" s="1"/>
  <c r="E34" i="9" a="1"/>
  <c r="E34" i="9" s="1"/>
  <c r="F34" i="9" a="1"/>
  <c r="F34" i="9" s="1"/>
  <c r="G34" i="9" a="1"/>
  <c r="G34" i="9" s="1"/>
  <c r="H34" i="9" a="1"/>
  <c r="H34" i="9" s="1"/>
  <c r="I34" i="9" a="1"/>
  <c r="I34" i="9" s="1"/>
  <c r="J34" i="9" a="1"/>
  <c r="J34" i="9" s="1"/>
  <c r="K34" i="9" a="1"/>
  <c r="K34" i="9" s="1"/>
  <c r="L34" i="9" a="1"/>
  <c r="L34" i="9" s="1"/>
  <c r="M34" i="9" a="1"/>
  <c r="M34" i="9" s="1"/>
  <c r="N34" i="9" a="1"/>
  <c r="N34" i="9" s="1"/>
  <c r="O34" i="9" a="1"/>
  <c r="O34" i="9" s="1"/>
  <c r="P34" i="9" a="1"/>
  <c r="P34" i="9" s="1"/>
  <c r="Q34" i="9" a="1"/>
  <c r="Q34" i="9" s="1"/>
  <c r="G10" i="13" s="1"/>
  <c r="Q10" i="13" s="1"/>
  <c r="W10" i="13" s="1"/>
  <c r="C34" i="9" a="1"/>
  <c r="C34" i="9" s="1"/>
  <c r="C14" i="9"/>
  <c r="L10" i="9" s="1"/>
  <c r="D10" i="9" a="1"/>
  <c r="D10" i="9" s="1"/>
  <c r="E10" i="9" a="1"/>
  <c r="E10" i="9" s="1"/>
  <c r="F10" i="9" a="1"/>
  <c r="F10" i="9" s="1"/>
  <c r="G10" i="9" a="1"/>
  <c r="G10" i="9" s="1"/>
  <c r="C10" i="9" a="1"/>
  <c r="C10" i="9" s="1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12" i="7"/>
  <c r="C12" i="7"/>
  <c r="H13" i="7" a="1"/>
  <c r="H13" i="7" s="1"/>
  <c r="I13" i="7" a="1"/>
  <c r="I13" i="7" s="1"/>
  <c r="J13" i="7" a="1"/>
  <c r="J13" i="7" s="1"/>
  <c r="K13" i="7" a="1"/>
  <c r="K13" i="7" s="1"/>
  <c r="H14" i="7" a="1"/>
  <c r="H14" i="7"/>
  <c r="I14" i="7" a="1"/>
  <c r="I14" i="7" s="1"/>
  <c r="J14" i="7" a="1"/>
  <c r="J14" i="7" s="1"/>
  <c r="K14" i="7" a="1"/>
  <c r="K14" i="7" s="1"/>
  <c r="H15" i="7" a="1"/>
  <c r="H15" i="7" s="1"/>
  <c r="I15" i="7" a="1"/>
  <c r="I15" i="7" s="1"/>
  <c r="J15" i="7" a="1"/>
  <c r="J15" i="7" s="1"/>
  <c r="K15" i="7" a="1"/>
  <c r="K15" i="7" s="1"/>
  <c r="H16" i="7" a="1"/>
  <c r="H16" i="7" s="1"/>
  <c r="I16" i="7" a="1"/>
  <c r="I16" i="7" s="1"/>
  <c r="J16" i="7" a="1"/>
  <c r="J16" i="7" s="1"/>
  <c r="K16" i="7" a="1"/>
  <c r="K16" i="7" s="1"/>
  <c r="H17" i="7" a="1"/>
  <c r="H17" i="7" s="1"/>
  <c r="I17" i="7" a="1"/>
  <c r="I17" i="7" s="1"/>
  <c r="J17" i="7" a="1"/>
  <c r="J17" i="7" s="1"/>
  <c r="K17" i="7" a="1"/>
  <c r="K17" i="7" s="1"/>
  <c r="H18" i="7" a="1"/>
  <c r="H18" i="7" s="1"/>
  <c r="I18" i="7" a="1"/>
  <c r="I18" i="7" s="1"/>
  <c r="J18" i="7" a="1"/>
  <c r="J18" i="7" s="1"/>
  <c r="K18" i="7" a="1"/>
  <c r="K18" i="7" s="1"/>
  <c r="H19" i="7" a="1"/>
  <c r="H19" i="7" s="1"/>
  <c r="I19" i="7" a="1"/>
  <c r="I19" i="7" s="1"/>
  <c r="J19" i="7" a="1"/>
  <c r="J19" i="7" s="1"/>
  <c r="K19" i="7" a="1"/>
  <c r="K19" i="7" s="1"/>
  <c r="H20" i="7" a="1"/>
  <c r="H20" i="7" s="1"/>
  <c r="I20" i="7" a="1"/>
  <c r="I20" i="7" s="1"/>
  <c r="J20" i="7" a="1"/>
  <c r="J20" i="7" s="1"/>
  <c r="K20" i="7" a="1"/>
  <c r="K20" i="7" s="1"/>
  <c r="H21" i="7" a="1"/>
  <c r="H21" i="7" s="1"/>
  <c r="I21" i="7" a="1"/>
  <c r="I21" i="7" s="1"/>
  <c r="J21" i="7" a="1"/>
  <c r="J21" i="7" s="1"/>
  <c r="K21" i="7" a="1"/>
  <c r="K21" i="7" s="1"/>
  <c r="H22" i="7" a="1"/>
  <c r="H22" i="7" s="1"/>
  <c r="I22" i="7" a="1"/>
  <c r="I22" i="7" s="1"/>
  <c r="J22" i="7" a="1"/>
  <c r="J22" i="7"/>
  <c r="K22" i="7" a="1"/>
  <c r="K22" i="7" s="1"/>
  <c r="H23" i="7" a="1"/>
  <c r="H23" i="7" s="1"/>
  <c r="I23" i="7" a="1"/>
  <c r="I23" i="7" s="1"/>
  <c r="J23" i="7" a="1"/>
  <c r="J23" i="7" s="1"/>
  <c r="K23" i="7" a="1"/>
  <c r="K23" i="7" s="1"/>
  <c r="H24" i="7" a="1"/>
  <c r="H24" i="7" s="1"/>
  <c r="I24" i="7" a="1"/>
  <c r="I24" i="7" s="1"/>
  <c r="J24" i="7" a="1"/>
  <c r="J24" i="7" s="1"/>
  <c r="K24" i="7" a="1"/>
  <c r="K24" i="7" s="1"/>
  <c r="H25" i="7" a="1"/>
  <c r="H25" i="7" s="1"/>
  <c r="I25" i="7" a="1"/>
  <c r="I25" i="7" s="1"/>
  <c r="J25" i="7" a="1"/>
  <c r="J25" i="7" s="1"/>
  <c r="K25" i="7" a="1"/>
  <c r="K25" i="7" s="1"/>
  <c r="H26" i="7" a="1"/>
  <c r="H26" i="7" s="1"/>
  <c r="I26" i="7" a="1"/>
  <c r="I26" i="7" s="1"/>
  <c r="J26" i="7" a="1"/>
  <c r="J26" i="7" s="1"/>
  <c r="K26" i="7" a="1"/>
  <c r="K26" i="7"/>
  <c r="H27" i="7" a="1"/>
  <c r="H27" i="7" s="1"/>
  <c r="I27" i="7" a="1"/>
  <c r="I27" i="7" s="1"/>
  <c r="J27" i="7" a="1"/>
  <c r="J27" i="7" s="1"/>
  <c r="K27" i="7" a="1"/>
  <c r="K27" i="7" s="1"/>
  <c r="H28" i="7" a="1"/>
  <c r="H28" i="7" s="1"/>
  <c r="I28" i="7" a="1"/>
  <c r="I28" i="7" s="1"/>
  <c r="J28" i="7" a="1"/>
  <c r="J28" i="7" s="1"/>
  <c r="K28" i="7" a="1"/>
  <c r="K28" i="7" s="1"/>
  <c r="H29" i="7" a="1"/>
  <c r="H29" i="7" s="1"/>
  <c r="I29" i="7" a="1"/>
  <c r="I29" i="7" s="1"/>
  <c r="J29" i="7" a="1"/>
  <c r="J29" i="7" s="1"/>
  <c r="K29" i="7" a="1"/>
  <c r="K29" i="7" s="1"/>
  <c r="H30" i="7" a="1"/>
  <c r="H30" i="7" s="1"/>
  <c r="I30" i="7" a="1"/>
  <c r="I30" i="7" s="1"/>
  <c r="J30" i="7" a="1"/>
  <c r="J30" i="7"/>
  <c r="K30" i="7" a="1"/>
  <c r="K30" i="7" s="1"/>
  <c r="H31" i="7" a="1"/>
  <c r="H31" i="7" s="1"/>
  <c r="K10" i="12" s="1" a="1"/>
  <c r="K10" i="12" s="1"/>
  <c r="I31" i="7" a="1"/>
  <c r="I31" i="7" s="1"/>
  <c r="L10" i="12" s="1" a="1"/>
  <c r="L10" i="12" s="1"/>
  <c r="J31" i="7" a="1"/>
  <c r="J31" i="7" s="1"/>
  <c r="M10" i="12" s="1" a="1"/>
  <c r="M10" i="12" s="1"/>
  <c r="K31" i="7" a="1"/>
  <c r="K31" i="7" s="1"/>
  <c r="N10" i="12" s="1" a="1"/>
  <c r="N10" i="12" s="1"/>
  <c r="K12" i="7" a="1"/>
  <c r="K12" i="7" s="1"/>
  <c r="J12" i="7" a="1"/>
  <c r="J12" i="7" s="1"/>
  <c r="I12" i="7" a="1"/>
  <c r="I12" i="7" s="1"/>
  <c r="H12" i="7" a="1"/>
  <c r="H12" i="7" s="1"/>
  <c r="G13" i="7" a="1"/>
  <c r="G13" i="7" s="1"/>
  <c r="G14" i="7" a="1"/>
  <c r="G14" i="7" s="1"/>
  <c r="G15" i="7" a="1"/>
  <c r="G15" i="7" s="1"/>
  <c r="G16" i="7" a="1"/>
  <c r="G16" i="7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/>
  <c r="G26" i="7" a="1"/>
  <c r="G26" i="7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J10" i="12" s="1" a="1"/>
  <c r="J10" i="12" s="1"/>
  <c r="G12" i="7" a="1"/>
  <c r="G12" i="7" s="1"/>
  <c r="F25" i="6"/>
  <c r="M21" i="14" s="1" a="1"/>
  <c r="M21" i="14" s="1"/>
  <c r="F24" i="6"/>
  <c r="M20" i="14" s="1" a="1"/>
  <c r="M20" i="14" s="1"/>
  <c r="F23" i="6"/>
  <c r="M19" i="14" s="1" a="1"/>
  <c r="M19" i="14" s="1"/>
  <c r="F22" i="6"/>
  <c r="M18" i="14" s="1" a="1"/>
  <c r="M18" i="14" s="1"/>
  <c r="F21" i="6"/>
  <c r="K17" i="10" s="1" a="1"/>
  <c r="K17" i="10" s="1"/>
  <c r="F20" i="6"/>
  <c r="F19" i="6"/>
  <c r="F18" i="6"/>
  <c r="K14" i="10" s="1" a="1"/>
  <c r="K14" i="10" s="1"/>
  <c r="F17" i="6"/>
  <c r="M13" i="14" s="1" a="1"/>
  <c r="M13" i="14" s="1"/>
  <c r="F16" i="6"/>
  <c r="M12" i="14" s="1" a="1"/>
  <c r="M12" i="14" s="1"/>
  <c r="F15" i="6"/>
  <c r="M11" i="14" s="1" a="1"/>
  <c r="M11" i="14" s="1"/>
  <c r="F14" i="6"/>
  <c r="M10" i="14" s="1" a="1"/>
  <c r="M10" i="14" s="1"/>
  <c r="F13" i="6"/>
  <c r="M9" i="14" s="1" a="1"/>
  <c r="M9" i="14" s="1"/>
  <c r="F12" i="6"/>
  <c r="M8" i="14" s="1" a="1"/>
  <c r="M8" i="14" s="1"/>
  <c r="F11" i="6"/>
  <c r="K7" i="10" s="1" a="1"/>
  <c r="K7" i="10" s="1"/>
  <c r="Y21" i="3" a="1"/>
  <c r="Y21" i="3" s="1"/>
  <c r="C31" i="9" s="1" a="1"/>
  <c r="C31" i="9" s="1"/>
  <c r="D32" i="9" s="1"/>
  <c r="E33" i="9" s="1"/>
  <c r="Z15" i="3" a="1"/>
  <c r="Z15" i="3" s="1"/>
  <c r="Z8" i="3" a="1"/>
  <c r="Z8" i="3" s="1"/>
  <c r="X10" i="13" l="1"/>
  <c r="Y10" i="13"/>
  <c r="Z10" i="13" s="1"/>
  <c r="K20" i="10" a="1"/>
  <c r="K20" i="10" s="1"/>
  <c r="P20" i="10" s="1"/>
  <c r="U20" i="10" s="1"/>
  <c r="N7" i="10"/>
  <c r="S7" i="10" s="1"/>
  <c r="O11" i="10"/>
  <c r="T11" i="10" s="1"/>
  <c r="Q16" i="14"/>
  <c r="V16" i="14" s="1"/>
  <c r="M21" i="10"/>
  <c r="R21" i="10" s="1"/>
  <c r="K12" i="10" a="1"/>
  <c r="K12" i="10" s="1"/>
  <c r="P12" i="10" s="1"/>
  <c r="U12" i="10" s="1"/>
  <c r="S41" i="12"/>
  <c r="I10" i="12" a="1"/>
  <c r="I10" i="12" s="1"/>
  <c r="S10" i="12" s="1"/>
  <c r="O20" i="10"/>
  <c r="T20" i="10" s="1"/>
  <c r="N14" i="10"/>
  <c r="S14" i="10" s="1"/>
  <c r="M18" i="10"/>
  <c r="R18" i="10" s="1"/>
  <c r="M14" i="14" a="1"/>
  <c r="M14" i="14" s="1"/>
  <c r="R14" i="14" s="1"/>
  <c r="W14" i="14" s="1"/>
  <c r="N20" i="10"/>
  <c r="S20" i="10" s="1"/>
  <c r="Q18" i="10"/>
  <c r="V18" i="10" s="1"/>
  <c r="M14" i="10"/>
  <c r="R14" i="10" s="1"/>
  <c r="F10" i="12" a="1"/>
  <c r="F10" i="12" s="1"/>
  <c r="P10" i="12" s="1"/>
  <c r="P7" i="14"/>
  <c r="U7" i="14" s="1"/>
  <c r="Q13" i="10"/>
  <c r="V13" i="10" s="1"/>
  <c r="E10" i="12" a="1"/>
  <c r="E10" i="12" s="1"/>
  <c r="O10" i="12" s="1"/>
  <c r="Q41" i="12"/>
  <c r="O18" i="10"/>
  <c r="T18" i="10" s="1"/>
  <c r="Q16" i="10"/>
  <c r="V16" i="10" s="1"/>
  <c r="Y14" i="14"/>
  <c r="N18" i="10"/>
  <c r="S18" i="10" s="1"/>
  <c r="N9" i="10"/>
  <c r="S9" i="10" s="1"/>
  <c r="N21" i="10"/>
  <c r="S21" i="10" s="1"/>
  <c r="Q10" i="14"/>
  <c r="V10" i="14" s="1"/>
  <c r="T10" i="12"/>
  <c r="Z35" i="3"/>
  <c r="AA35" i="3" s="1"/>
  <c r="AB35" i="3" s="1"/>
  <c r="AC35" i="3" s="1"/>
  <c r="AD35" i="3" s="1"/>
  <c r="AE35" i="3" s="1"/>
  <c r="AF35" i="3" s="1"/>
  <c r="D10" i="12"/>
  <c r="N11" i="10"/>
  <c r="S11" i="10" s="1"/>
  <c r="K21" i="10" a="1"/>
  <c r="K21" i="10" s="1"/>
  <c r="L20" i="7"/>
  <c r="Q10" i="10"/>
  <c r="V10" i="10" s="1"/>
  <c r="K10" i="10" a="1"/>
  <c r="K10" i="10" s="1"/>
  <c r="P10" i="10" s="1"/>
  <c r="U10" i="10" s="1"/>
  <c r="R10" i="14"/>
  <c r="W10" i="14" s="1"/>
  <c r="O7" i="10"/>
  <c r="T7" i="10" s="1"/>
  <c r="Q20" i="10"/>
  <c r="V20" i="10" s="1"/>
  <c r="K13" i="10" a="1"/>
  <c r="K13" i="10" s="1"/>
  <c r="P13" i="10" s="1"/>
  <c r="U13" i="10" s="1"/>
  <c r="Q9" i="14"/>
  <c r="V9" i="14" s="1"/>
  <c r="P14" i="10"/>
  <c r="U14" i="10" s="1"/>
  <c r="K11" i="10" a="1"/>
  <c r="K11" i="10" s="1"/>
  <c r="P11" i="10" s="1"/>
  <c r="U11" i="10" s="1"/>
  <c r="R9" i="14"/>
  <c r="W9" i="14" s="1"/>
  <c r="S11" i="14"/>
  <c r="X11" i="14" s="1"/>
  <c r="P7" i="10"/>
  <c r="U7" i="10" s="1"/>
  <c r="O14" i="10"/>
  <c r="T14" i="10" s="1"/>
  <c r="N15" i="10"/>
  <c r="S15" i="10" s="1"/>
  <c r="Q21" i="10"/>
  <c r="V21" i="10" s="1"/>
  <c r="K16" i="10" a="1"/>
  <c r="K16" i="10" s="1"/>
  <c r="P16" i="10" s="1"/>
  <c r="U16" i="10" s="1"/>
  <c r="M16" i="14" a="1"/>
  <c r="M16" i="14" s="1"/>
  <c r="R16" i="14" s="1"/>
  <c r="W16" i="14" s="1"/>
  <c r="M28" i="14"/>
  <c r="M22" i="14"/>
  <c r="M24" i="14"/>
  <c r="Q7" i="10"/>
  <c r="V7" i="10" s="1"/>
  <c r="Q9" i="10"/>
  <c r="V9" i="10" s="1"/>
  <c r="N19" i="10"/>
  <c r="S19" i="10" s="1"/>
  <c r="O16" i="10"/>
  <c r="T16" i="10" s="1"/>
  <c r="M15" i="14" a="1"/>
  <c r="M15" i="14" s="1"/>
  <c r="R15" i="14" s="1"/>
  <c r="W15" i="14" s="1"/>
  <c r="K15" i="10" a="1"/>
  <c r="K15" i="10" s="1"/>
  <c r="P15" i="10" s="1"/>
  <c r="U15" i="10" s="1"/>
  <c r="K18" i="10" a="1"/>
  <c r="K18" i="10" s="1"/>
  <c r="P18" i="10" s="1"/>
  <c r="K8" i="10" a="1"/>
  <c r="K8" i="10" s="1"/>
  <c r="P8" i="10" s="1"/>
  <c r="U8" i="10" s="1"/>
  <c r="M7" i="10"/>
  <c r="R7" i="10" s="1"/>
  <c r="Q21" i="14"/>
  <c r="V21" i="14" s="1"/>
  <c r="N12" i="10"/>
  <c r="S12" i="10" s="1"/>
  <c r="K19" i="10" a="1"/>
  <c r="K19" i="10" s="1"/>
  <c r="P19" i="10" s="1"/>
  <c r="U19" i="10" s="1"/>
  <c r="M7" i="14" a="1"/>
  <c r="M7" i="14" s="1"/>
  <c r="R7" i="14" s="1"/>
  <c r="W7" i="14" s="1"/>
  <c r="M17" i="14" a="1"/>
  <c r="M17" i="14" s="1"/>
  <c r="R17" i="14" s="1"/>
  <c r="W17" i="14" s="1"/>
  <c r="O19" i="10"/>
  <c r="T19" i="10" s="1"/>
  <c r="O15" i="10"/>
  <c r="T15" i="10" s="1"/>
  <c r="W10" i="10"/>
  <c r="K9" i="10" a="1"/>
  <c r="K9" i="10" s="1"/>
  <c r="P9" i="10" s="1"/>
  <c r="U9" i="10" s="1"/>
  <c r="P17" i="10"/>
  <c r="U17" i="10" s="1"/>
  <c r="L17" i="7"/>
  <c r="Q15" i="14"/>
  <c r="V15" i="14" s="1"/>
  <c r="L14" i="7"/>
  <c r="W18" i="10"/>
  <c r="L28" i="7"/>
  <c r="Q7" i="14"/>
  <c r="V7" i="14" s="1"/>
  <c r="Y12" i="14"/>
  <c r="O12" i="14"/>
  <c r="T12" i="14" s="1"/>
  <c r="S10" i="14"/>
  <c r="X10" i="14" s="1"/>
  <c r="Q12" i="14"/>
  <c r="V12" i="14"/>
  <c r="Q13" i="14"/>
  <c r="V13" i="14" s="1"/>
  <c r="Q14" i="14"/>
  <c r="V14" i="14" s="1"/>
  <c r="O20" i="14"/>
  <c r="R13" i="14"/>
  <c r="W13" i="14" s="1"/>
  <c r="P19" i="14"/>
  <c r="U19" i="14" s="1"/>
  <c r="P21" i="14"/>
  <c r="U21" i="14" s="1"/>
  <c r="Y21" i="14"/>
  <c r="S16" i="14"/>
  <c r="X16" i="14" s="1"/>
  <c r="Q18" i="14"/>
  <c r="V18" i="14"/>
  <c r="Q20" i="14"/>
  <c r="V20" i="14" s="1"/>
  <c r="R19" i="14"/>
  <c r="W19" i="14" s="1"/>
  <c r="R20" i="14"/>
  <c r="W20" i="14" s="1"/>
  <c r="R21" i="14"/>
  <c r="W21" i="14" s="1"/>
  <c r="S20" i="14"/>
  <c r="X20" i="14" s="1"/>
  <c r="P8" i="14"/>
  <c r="U8" i="14" s="1"/>
  <c r="O11" i="14"/>
  <c r="T11" i="14" s="1"/>
  <c r="Y11" i="14"/>
  <c r="S8" i="14"/>
  <c r="X8" i="14" s="1"/>
  <c r="S9" i="14"/>
  <c r="X9" i="14" s="1"/>
  <c r="Q11" i="14"/>
  <c r="V11" i="14" s="1"/>
  <c r="R11" i="14"/>
  <c r="W11" i="14" s="1"/>
  <c r="P18" i="14"/>
  <c r="U18" i="14" s="1"/>
  <c r="S12" i="14"/>
  <c r="X12" i="14" s="1"/>
  <c r="S14" i="14"/>
  <c r="X14" i="14" s="1"/>
  <c r="Q17" i="14"/>
  <c r="V17" i="14" s="1"/>
  <c r="Q19" i="14"/>
  <c r="V19" i="14" s="1"/>
  <c r="S18" i="14"/>
  <c r="X18" i="14" s="1"/>
  <c r="Y8" i="14"/>
  <c r="O8" i="14"/>
  <c r="P9" i="14"/>
  <c r="U9" i="14" s="1"/>
  <c r="Y9" i="14"/>
  <c r="Y10" i="14"/>
  <c r="O10" i="14"/>
  <c r="T10" i="14"/>
  <c r="Q8" i="14"/>
  <c r="V8" i="14" s="1"/>
  <c r="O13" i="14"/>
  <c r="Y13" i="14"/>
  <c r="O14" i="14"/>
  <c r="T14" i="14" s="1"/>
  <c r="Y16" i="14"/>
  <c r="O16" i="14"/>
  <c r="T16" i="14" s="1"/>
  <c r="R8" i="14"/>
  <c r="W8" i="14"/>
  <c r="P12" i="14"/>
  <c r="U12" i="14" s="1"/>
  <c r="P13" i="14"/>
  <c r="U13" i="14" s="1"/>
  <c r="P15" i="14"/>
  <c r="U15" i="14" s="1"/>
  <c r="Y15" i="14"/>
  <c r="O17" i="14"/>
  <c r="T17" i="14" s="1"/>
  <c r="Y17" i="14"/>
  <c r="Y18" i="14"/>
  <c r="O18" i="14"/>
  <c r="Y20" i="14"/>
  <c r="O19" i="14"/>
  <c r="Y19" i="14"/>
  <c r="R18" i="14"/>
  <c r="W18" i="14" s="1"/>
  <c r="S7" i="14"/>
  <c r="X7" i="14" s="1"/>
  <c r="R12" i="14"/>
  <c r="W12" i="14" s="1"/>
  <c r="S17" i="14"/>
  <c r="X17" i="14" s="1"/>
  <c r="M29" i="14"/>
  <c r="M27" i="14"/>
  <c r="M26" i="14"/>
  <c r="O9" i="14"/>
  <c r="S13" i="14"/>
  <c r="X13" i="14" s="1"/>
  <c r="P14" i="14"/>
  <c r="U14" i="14" s="1"/>
  <c r="S19" i="14"/>
  <c r="X19" i="14" s="1"/>
  <c r="P20" i="14"/>
  <c r="U20" i="14" s="1"/>
  <c r="O21" i="14"/>
  <c r="T21" i="14" s="1"/>
  <c r="O7" i="14"/>
  <c r="Y7" i="14"/>
  <c r="M23" i="14"/>
  <c r="M25" i="14"/>
  <c r="O15" i="14"/>
  <c r="T15" i="14" s="1"/>
  <c r="P10" i="14"/>
  <c r="U10" i="14" s="1"/>
  <c r="P11" i="14"/>
  <c r="U11" i="14" s="1"/>
  <c r="S15" i="14"/>
  <c r="X15" i="14" s="1"/>
  <c r="P16" i="14"/>
  <c r="U16" i="14" s="1"/>
  <c r="P17" i="14"/>
  <c r="U17" i="14" s="1"/>
  <c r="S21" i="14"/>
  <c r="X21" i="14" s="1"/>
  <c r="O8" i="10"/>
  <c r="T8" i="10" s="1"/>
  <c r="M19" i="10"/>
  <c r="W19" i="10"/>
  <c r="M15" i="10"/>
  <c r="R15" i="10" s="1"/>
  <c r="W15" i="10"/>
  <c r="N8" i="10"/>
  <c r="S8" i="10" s="1"/>
  <c r="N16" i="10"/>
  <c r="S16" i="10" s="1"/>
  <c r="Q14" i="10"/>
  <c r="V14" i="10" s="1"/>
  <c r="W14" i="10"/>
  <c r="O17" i="10"/>
  <c r="T17" i="10"/>
  <c r="W16" i="10"/>
  <c r="M16" i="10"/>
  <c r="O13" i="10"/>
  <c r="T13" i="10" s="1"/>
  <c r="O21" i="10"/>
  <c r="T21" i="10" s="1"/>
  <c r="O12" i="10"/>
  <c r="T12" i="10" s="1"/>
  <c r="W11" i="10"/>
  <c r="M11" i="10"/>
  <c r="W20" i="10"/>
  <c r="N17" i="10"/>
  <c r="S17" i="10" s="1"/>
  <c r="W12" i="10"/>
  <c r="W8" i="10"/>
  <c r="W21" i="10"/>
  <c r="O10" i="10"/>
  <c r="T10" i="10" s="1"/>
  <c r="N10" i="10"/>
  <c r="S10" i="10" s="1"/>
  <c r="N13" i="10"/>
  <c r="S13" i="10" s="1"/>
  <c r="Q17" i="10"/>
  <c r="V17" i="10" s="1"/>
  <c r="M12" i="10"/>
  <c r="Q19" i="10"/>
  <c r="V19" i="10" s="1"/>
  <c r="W17" i="10"/>
  <c r="M17" i="10"/>
  <c r="W13" i="10"/>
  <c r="M13" i="10"/>
  <c r="O9" i="10"/>
  <c r="T9" i="10" s="1"/>
  <c r="W9" i="10"/>
  <c r="Q12" i="10"/>
  <c r="V12" i="10" s="1"/>
  <c r="M9" i="10"/>
  <c r="R9" i="10" s="1"/>
  <c r="M10" i="10"/>
  <c r="Q8" i="10"/>
  <c r="V8" i="10" s="1"/>
  <c r="W7" i="10"/>
  <c r="Q15" i="10"/>
  <c r="V15" i="10" s="1"/>
  <c r="Q11" i="10"/>
  <c r="V11" i="10" s="1"/>
  <c r="M8" i="10"/>
  <c r="M20" i="10"/>
  <c r="L21" i="7"/>
  <c r="L27" i="7"/>
  <c r="L13" i="7"/>
  <c r="L26" i="7"/>
  <c r="L25" i="7"/>
  <c r="L30" i="7"/>
  <c r="I36" i="7"/>
  <c r="L12" i="7"/>
  <c r="L24" i="7"/>
  <c r="L22" i="7"/>
  <c r="L23" i="7"/>
  <c r="L31" i="7"/>
  <c r="L15" i="7"/>
  <c r="L16" i="7"/>
  <c r="L19" i="7"/>
  <c r="I32" i="7"/>
  <c r="I33" i="7"/>
  <c r="I38" i="7"/>
  <c r="L29" i="7"/>
  <c r="I35" i="7"/>
  <c r="I34" i="7"/>
  <c r="I39" i="7"/>
  <c r="L18" i="7"/>
  <c r="I37" i="7"/>
  <c r="S32" i="9"/>
  <c r="T33" i="9" s="1"/>
  <c r="O32" i="9"/>
  <c r="P33" i="9" s="1"/>
  <c r="N32" i="9"/>
  <c r="O33" i="9" s="1"/>
  <c r="T32" i="9"/>
  <c r="U33" i="9" s="1"/>
  <c r="M32" i="9"/>
  <c r="N33" i="9" s="1"/>
  <c r="H32" i="9"/>
  <c r="I33" i="9" s="1"/>
  <c r="G32" i="9"/>
  <c r="H33" i="9" s="1"/>
  <c r="F32" i="9"/>
  <c r="G33" i="9" s="1"/>
  <c r="E32" i="9"/>
  <c r="F33" i="9" s="1"/>
  <c r="R32" i="9"/>
  <c r="S33" i="9" s="1"/>
  <c r="Q32" i="9"/>
  <c r="R33" i="9" s="1"/>
  <c r="P32" i="9"/>
  <c r="Q33" i="9" s="1"/>
  <c r="L32" i="9"/>
  <c r="M33" i="9" s="1"/>
  <c r="W32" i="9"/>
  <c r="X33" i="9" s="1"/>
  <c r="K32" i="9"/>
  <c r="L33" i="9" s="1"/>
  <c r="V32" i="9"/>
  <c r="W33" i="9" s="1"/>
  <c r="J32" i="9"/>
  <c r="K33" i="9" s="1"/>
  <c r="Y32" i="9"/>
  <c r="U32" i="9"/>
  <c r="V33" i="9" s="1"/>
  <c r="I32" i="9"/>
  <c r="J33" i="9" s="1"/>
  <c r="X32" i="9"/>
  <c r="Y33" i="9" s="1"/>
  <c r="K10" i="9"/>
  <c r="J10" i="9"/>
  <c r="I10" i="9"/>
  <c r="H10" i="9"/>
  <c r="R10" i="9"/>
  <c r="Q10" i="9"/>
  <c r="P10" i="9"/>
  <c r="O10" i="9"/>
  <c r="N10" i="9"/>
  <c r="M10" i="9"/>
  <c r="D6" i="7"/>
  <c r="E6" i="7"/>
  <c r="K28" i="10" l="1"/>
  <c r="H17" i="12" s="1" a="1"/>
  <c r="H17" i="12" s="1"/>
  <c r="H41" i="12" a="1"/>
  <c r="H41" i="12" s="1"/>
  <c r="R41" i="12" s="1"/>
  <c r="P41" i="12"/>
  <c r="K22" i="10"/>
  <c r="H42" i="12" s="1" a="1"/>
  <c r="H42" i="12" s="1"/>
  <c r="K29" i="10"/>
  <c r="H49" i="12" s="1" a="1"/>
  <c r="H49" i="12" s="1"/>
  <c r="K27" i="10"/>
  <c r="H47" i="12" s="1" a="1"/>
  <c r="H47" i="12" s="1"/>
  <c r="K23" i="10"/>
  <c r="H43" i="12" s="1" a="1"/>
  <c r="H43" i="12" s="1"/>
  <c r="K26" i="10"/>
  <c r="H15" i="12" s="1" a="1"/>
  <c r="H15" i="12" s="1"/>
  <c r="O41" i="12"/>
  <c r="H11" i="12" a="1"/>
  <c r="H11" i="12" s="1"/>
  <c r="K25" i="10"/>
  <c r="H10" i="12" a="1"/>
  <c r="H10" i="12" s="1"/>
  <c r="R10" i="12" s="1"/>
  <c r="T41" i="12"/>
  <c r="K24" i="10"/>
  <c r="S34" i="9"/>
  <c r="G10" i="12"/>
  <c r="Q10" i="12" s="1"/>
  <c r="D11" i="12"/>
  <c r="Y34" i="9"/>
  <c r="E28" i="10" a="1"/>
  <c r="E28" i="10" s="1"/>
  <c r="L17" i="12" a="1"/>
  <c r="L17" i="12" s="1"/>
  <c r="E23" i="10" a="1"/>
  <c r="E23" i="10" s="1"/>
  <c r="L12" i="12" a="1"/>
  <c r="L12" i="12" s="1"/>
  <c r="E22" i="10" a="1"/>
  <c r="E22" i="10" s="1"/>
  <c r="L11" i="12" a="1"/>
  <c r="L11" i="12" s="1"/>
  <c r="E27" i="10" a="1"/>
  <c r="E27" i="10" s="1"/>
  <c r="L16" i="12" a="1"/>
  <c r="L16" i="12" s="1"/>
  <c r="E29" i="10" a="1"/>
  <c r="E29" i="10" s="1"/>
  <c r="L18" i="12" a="1"/>
  <c r="L18" i="12" s="1"/>
  <c r="E24" i="10" a="1"/>
  <c r="E24" i="10" s="1"/>
  <c r="L13" i="12" a="1"/>
  <c r="L13" i="12" s="1"/>
  <c r="E25" i="10" a="1"/>
  <c r="E25" i="10" s="1"/>
  <c r="L14" i="12" a="1"/>
  <c r="L14" i="12" s="1"/>
  <c r="E26" i="10" a="1"/>
  <c r="E26" i="10" s="1"/>
  <c r="L15" i="12" a="1"/>
  <c r="L15" i="12" s="1"/>
  <c r="Z7" i="10"/>
  <c r="P21" i="10"/>
  <c r="Y21" i="10" s="1"/>
  <c r="X21" i="10" s="1"/>
  <c r="U18" i="10"/>
  <c r="Z18" i="10" s="1"/>
  <c r="Y18" i="10"/>
  <c r="X18" i="10" s="1"/>
  <c r="Y12" i="10"/>
  <c r="X12" i="10" s="1"/>
  <c r="Y7" i="10"/>
  <c r="X7" i="10" s="1"/>
  <c r="AA7" i="14"/>
  <c r="Z7" i="14" s="1"/>
  <c r="AA10" i="14"/>
  <c r="Z10" i="14" s="1"/>
  <c r="R34" i="9"/>
  <c r="AB14" i="14"/>
  <c r="T7" i="14"/>
  <c r="AB7" i="14" s="1"/>
  <c r="AB21" i="14"/>
  <c r="G24" i="14" a="1"/>
  <c r="G24" i="14" s="1"/>
  <c r="AA9" i="14"/>
  <c r="Z9" i="14" s="1"/>
  <c r="T9" i="14"/>
  <c r="AB9" i="14" s="1"/>
  <c r="AA18" i="14"/>
  <c r="Z18" i="14" s="1"/>
  <c r="AA13" i="14"/>
  <c r="Z13" i="14" s="1"/>
  <c r="AA8" i="14"/>
  <c r="Z8" i="14" s="1"/>
  <c r="AB11" i="14"/>
  <c r="G25" i="14" a="1"/>
  <c r="G25" i="14" s="1"/>
  <c r="T18" i="14"/>
  <c r="AB18" i="14" s="1"/>
  <c r="T13" i="14"/>
  <c r="AB13" i="14" s="1"/>
  <c r="T8" i="14"/>
  <c r="AB8" i="14" s="1"/>
  <c r="G26" i="14" a="1"/>
  <c r="G26" i="14" s="1"/>
  <c r="AA21" i="14"/>
  <c r="Z21" i="14" s="1"/>
  <c r="AA11" i="14"/>
  <c r="Z11" i="14" s="1"/>
  <c r="G28" i="14" a="1"/>
  <c r="G28" i="14" s="1"/>
  <c r="AB17" i="14"/>
  <c r="G23" i="14" a="1"/>
  <c r="G23" i="14" s="1"/>
  <c r="AA15" i="14"/>
  <c r="Z15" i="14" s="1"/>
  <c r="AA19" i="14"/>
  <c r="Z19" i="14" s="1"/>
  <c r="G22" i="14" a="1"/>
  <c r="G22" i="14" s="1"/>
  <c r="T19" i="14"/>
  <c r="AB19" i="14" s="1"/>
  <c r="AA17" i="14"/>
  <c r="Z17" i="14" s="1"/>
  <c r="AA12" i="14"/>
  <c r="Z12" i="14" s="1"/>
  <c r="G29" i="14" a="1"/>
  <c r="G29" i="14" s="1"/>
  <c r="AB15" i="14"/>
  <c r="AB16" i="14"/>
  <c r="AB10" i="14"/>
  <c r="AB12" i="14"/>
  <c r="AA16" i="14"/>
  <c r="Z16" i="14" s="1"/>
  <c r="AA20" i="14"/>
  <c r="Z20" i="14" s="1"/>
  <c r="T20" i="14"/>
  <c r="AB20" i="14" s="1"/>
  <c r="G27" i="14" a="1"/>
  <c r="G27" i="14" s="1"/>
  <c r="AA14" i="14"/>
  <c r="Z14" i="14" s="1"/>
  <c r="Z9" i="10"/>
  <c r="Z15" i="10"/>
  <c r="Y10" i="10"/>
  <c r="X10" i="10" s="1"/>
  <c r="R10" i="10"/>
  <c r="Z10" i="10" s="1"/>
  <c r="Y16" i="10"/>
  <c r="X16" i="10" s="1"/>
  <c r="Y11" i="10"/>
  <c r="X11" i="10" s="1"/>
  <c r="R16" i="10"/>
  <c r="Z16" i="10" s="1"/>
  <c r="Y9" i="10"/>
  <c r="X9" i="10" s="1"/>
  <c r="R11" i="10"/>
  <c r="Z11" i="10" s="1"/>
  <c r="Y13" i="10"/>
  <c r="X13" i="10" s="1"/>
  <c r="Y20" i="10"/>
  <c r="X20" i="10" s="1"/>
  <c r="R20" i="10"/>
  <c r="Z20" i="10" s="1"/>
  <c r="Y14" i="10"/>
  <c r="X14" i="10" s="1"/>
  <c r="Y8" i="10"/>
  <c r="X8" i="10" s="1"/>
  <c r="R8" i="10"/>
  <c r="Z8" i="10" s="1"/>
  <c r="R17" i="10"/>
  <c r="Z17" i="10" s="1"/>
  <c r="Y17" i="10"/>
  <c r="X17" i="10" s="1"/>
  <c r="Y15" i="10"/>
  <c r="X15" i="10" s="1"/>
  <c r="Z14" i="10"/>
  <c r="Y19" i="10"/>
  <c r="X19" i="10" s="1"/>
  <c r="R19" i="10"/>
  <c r="Z19" i="10" s="1"/>
  <c r="R13" i="10"/>
  <c r="Z13" i="10" s="1"/>
  <c r="R12" i="10"/>
  <c r="Z12" i="10" s="1"/>
  <c r="X34" i="9"/>
  <c r="T34" i="9"/>
  <c r="V34" i="9"/>
  <c r="W34" i="9"/>
  <c r="U34" i="9"/>
  <c r="F17" i="7"/>
  <c r="F29" i="7"/>
  <c r="F32" i="7"/>
  <c r="F21" i="7"/>
  <c r="F33" i="7"/>
  <c r="F22" i="7"/>
  <c r="F34" i="7"/>
  <c r="F37" i="7"/>
  <c r="F38" i="7"/>
  <c r="F27" i="7"/>
  <c r="F28" i="7"/>
  <c r="F18" i="7"/>
  <c r="F30" i="7"/>
  <c r="F20" i="7"/>
  <c r="F24" i="7"/>
  <c r="F36" i="7"/>
  <c r="F13" i="7"/>
  <c r="F26" i="7"/>
  <c r="F39" i="7"/>
  <c r="F19" i="7"/>
  <c r="F31" i="7"/>
  <c r="F23" i="7"/>
  <c r="F35" i="7"/>
  <c r="F25" i="7"/>
  <c r="F14" i="7"/>
  <c r="F15" i="7"/>
  <c r="F16" i="7"/>
  <c r="F12" i="7"/>
  <c r="H48" i="12" l="1" a="1"/>
  <c r="H48" i="12" s="1"/>
  <c r="L46" i="12" a="1"/>
  <c r="L46" i="12" s="1"/>
  <c r="Q46" i="12" s="1"/>
  <c r="N15" i="13" a="1"/>
  <c r="N15" i="13" s="1"/>
  <c r="L48" i="12" a="1"/>
  <c r="L48" i="12" s="1"/>
  <c r="Q48" i="12" s="1"/>
  <c r="N17" i="13" a="1"/>
  <c r="N17" i="13" s="1"/>
  <c r="L49" i="12" a="1"/>
  <c r="L49" i="12" s="1"/>
  <c r="Q49" i="12" s="1"/>
  <c r="N18" i="13" a="1"/>
  <c r="N18" i="13" s="1"/>
  <c r="L43" i="12" a="1"/>
  <c r="L43" i="12" s="1"/>
  <c r="Q43" i="12" s="1"/>
  <c r="N12" i="13" a="1"/>
  <c r="N12" i="13" s="1"/>
  <c r="L45" i="12" a="1"/>
  <c r="L45" i="12" s="1"/>
  <c r="Q45" i="12" s="1"/>
  <c r="N14" i="13" a="1"/>
  <c r="N14" i="13" s="1"/>
  <c r="L44" i="12" a="1"/>
  <c r="L44" i="12" s="1"/>
  <c r="Q44" i="12" s="1"/>
  <c r="N13" i="13" a="1"/>
  <c r="N13" i="13" s="1"/>
  <c r="L47" i="12" a="1"/>
  <c r="L47" i="12" s="1"/>
  <c r="Q47" i="12" s="1"/>
  <c r="N16" i="13" a="1"/>
  <c r="N16" i="13" s="1"/>
  <c r="L42" i="12" a="1"/>
  <c r="L42" i="12" s="1"/>
  <c r="Q42" i="12" s="1"/>
  <c r="N11" i="13" a="1"/>
  <c r="N11" i="13" s="1"/>
  <c r="H16" i="12" a="1"/>
  <c r="H16" i="12" s="1"/>
  <c r="H18" i="12" a="1"/>
  <c r="H18" i="12" s="1"/>
  <c r="H12" i="12" a="1"/>
  <c r="H12" i="12" s="1"/>
  <c r="U41" i="12"/>
  <c r="V41" i="12" s="1"/>
  <c r="H46" i="12" a="1"/>
  <c r="H46" i="12" s="1"/>
  <c r="U10" i="12"/>
  <c r="V10" i="12" s="1"/>
  <c r="U21" i="10"/>
  <c r="Z21" i="10" s="1"/>
  <c r="H13" i="12" a="1"/>
  <c r="H13" i="12" s="1"/>
  <c r="H44" i="12" a="1"/>
  <c r="H44" i="12" s="1"/>
  <c r="H45" i="12" a="1"/>
  <c r="H45" i="12" s="1"/>
  <c r="H14" i="12" a="1"/>
  <c r="H14" i="12" s="1"/>
  <c r="D12" i="12"/>
  <c r="G11" i="12"/>
  <c r="Q11" i="12" s="1"/>
  <c r="O23" i="10"/>
  <c r="O22" i="10"/>
  <c r="T22" i="10" s="1"/>
  <c r="O25" i="10"/>
  <c r="T25" i="10" s="1"/>
  <c r="O26" i="10"/>
  <c r="O27" i="10"/>
  <c r="T27" i="10" s="1"/>
  <c r="Q29" i="14"/>
  <c r="O24" i="10"/>
  <c r="T24" i="10" s="1"/>
  <c r="Q22" i="14"/>
  <c r="Q26" i="14"/>
  <c r="O28" i="10"/>
  <c r="T28" i="10" s="1"/>
  <c r="Q27" i="14"/>
  <c r="Q23" i="14"/>
  <c r="Q24" i="14"/>
  <c r="Q28" i="14"/>
  <c r="O29" i="10"/>
  <c r="Q25" i="14"/>
  <c r="S13" i="13" l="1"/>
  <c r="W13" i="13" s="1"/>
  <c r="V13" i="13"/>
  <c r="S14" i="13"/>
  <c r="W14" i="13" s="1"/>
  <c r="V14" i="13"/>
  <c r="S12" i="13"/>
  <c r="W12" i="13" s="1"/>
  <c r="V12" i="13"/>
  <c r="S18" i="13"/>
  <c r="W18" i="13" s="1"/>
  <c r="V18" i="13"/>
  <c r="S11" i="13"/>
  <c r="W11" i="13" s="1"/>
  <c r="V11" i="13"/>
  <c r="S17" i="13"/>
  <c r="W17" i="13" s="1"/>
  <c r="V17" i="13"/>
  <c r="S16" i="13"/>
  <c r="W16" i="13" s="1"/>
  <c r="V16" i="13"/>
  <c r="S15" i="13"/>
  <c r="W15" i="13" s="1"/>
  <c r="V15" i="13"/>
  <c r="D13" i="12"/>
  <c r="G12" i="12"/>
  <c r="Q12" i="12" s="1"/>
  <c r="T23" i="10"/>
  <c r="V28" i="14"/>
  <c r="V24" i="14"/>
  <c r="V25" i="14"/>
  <c r="T26" i="10"/>
  <c r="T29" i="10"/>
  <c r="V26" i="14"/>
  <c r="V22" i="14"/>
  <c r="V23" i="14"/>
  <c r="V27" i="14"/>
  <c r="V29" i="14"/>
  <c r="Y14" i="13" l="1"/>
  <c r="Z14" i="13" s="1"/>
  <c r="Y15" i="13"/>
  <c r="Z15" i="13" s="1"/>
  <c r="Y18" i="13"/>
  <c r="Z18" i="13" s="1"/>
  <c r="C34" i="13" s="1"/>
  <c r="Y12" i="13"/>
  <c r="Z12" i="13" s="1"/>
  <c r="Y16" i="13"/>
  <c r="Z16" i="13" s="1"/>
  <c r="Y11" i="13"/>
  <c r="Z11" i="13" s="1"/>
  <c r="Y13" i="13"/>
  <c r="Z13" i="13" s="1"/>
  <c r="Y17" i="13"/>
  <c r="Z17" i="13" s="1"/>
  <c r="X17" i="13"/>
  <c r="X11" i="13"/>
  <c r="X18" i="13"/>
  <c r="C24" i="13" s="1"/>
  <c r="X12" i="13"/>
  <c r="X15" i="13"/>
  <c r="X14" i="13"/>
  <c r="X16" i="13"/>
  <c r="X13" i="13"/>
  <c r="D14" i="12"/>
  <c r="G13" i="12"/>
  <c r="Q13" i="12" s="1"/>
  <c r="D7" i="7"/>
  <c r="E7" i="7"/>
  <c r="D15" i="12" l="1"/>
  <c r="G14" i="12"/>
  <c r="Q14" i="12" s="1"/>
  <c r="D13" i="7"/>
  <c r="D25" i="7"/>
  <c r="D37" i="7"/>
  <c r="G37" i="7" s="1"/>
  <c r="J16" i="12" s="1" a="1"/>
  <c r="J16" i="12" s="1"/>
  <c r="D27" i="7"/>
  <c r="D21" i="7"/>
  <c r="D24" i="7"/>
  <c r="D14" i="7"/>
  <c r="D26" i="7"/>
  <c r="D38" i="7"/>
  <c r="G38" i="7" s="1"/>
  <c r="J17" i="12" s="1" a="1"/>
  <c r="J17" i="12" s="1"/>
  <c r="D15" i="7"/>
  <c r="D39" i="7"/>
  <c r="D16" i="7"/>
  <c r="D28" i="7"/>
  <c r="D17" i="7"/>
  <c r="D29" i="7"/>
  <c r="D18" i="7"/>
  <c r="D30" i="7"/>
  <c r="D19" i="7"/>
  <c r="D31" i="7"/>
  <c r="D20" i="7"/>
  <c r="D32" i="7"/>
  <c r="D33" i="7"/>
  <c r="D22" i="7"/>
  <c r="D34" i="7"/>
  <c r="D23" i="7"/>
  <c r="D35" i="7"/>
  <c r="G35" i="7" s="1"/>
  <c r="J14" i="12" s="1" a="1"/>
  <c r="J14" i="12" s="1"/>
  <c r="D36" i="7"/>
  <c r="G36" i="7"/>
  <c r="J15" i="12" s="1" a="1"/>
  <c r="J15" i="12" s="1"/>
  <c r="D12" i="7"/>
  <c r="O14" i="12" l="1"/>
  <c r="O15" i="12"/>
  <c r="O16" i="12"/>
  <c r="O17" i="12"/>
  <c r="D16" i="12"/>
  <c r="G15" i="12"/>
  <c r="Q15" i="12" s="1"/>
  <c r="E25" i="14" a="1"/>
  <c r="E25" i="14" s="1"/>
  <c r="C25" i="10" a="1"/>
  <c r="C25" i="10" s="1"/>
  <c r="J45" i="12" s="1" a="1"/>
  <c r="J45" i="12" s="1"/>
  <c r="E27" i="14" a="1"/>
  <c r="E27" i="14" s="1"/>
  <c r="C27" i="10" a="1"/>
  <c r="C27" i="10" s="1"/>
  <c r="J47" i="12" s="1" a="1"/>
  <c r="J47" i="12" s="1"/>
  <c r="C26" i="10" a="1"/>
  <c r="C26" i="10" s="1"/>
  <c r="J46" i="12" s="1" a="1"/>
  <c r="J46" i="12" s="1"/>
  <c r="E26" i="14" a="1"/>
  <c r="E26" i="14" s="1"/>
  <c r="E28" i="14" a="1"/>
  <c r="E28" i="14" s="1"/>
  <c r="C28" i="10" a="1"/>
  <c r="C28" i="10" s="1"/>
  <c r="J48" i="12" s="1" a="1"/>
  <c r="J48" i="12" s="1"/>
  <c r="K34" i="7"/>
  <c r="N13" i="12" s="1" a="1"/>
  <c r="N13" i="12" s="1"/>
  <c r="S13" i="12" s="1"/>
  <c r="J34" i="7"/>
  <c r="M13" i="12" s="1" a="1"/>
  <c r="M13" i="12" s="1"/>
  <c r="R13" i="12" s="1"/>
  <c r="H34" i="7"/>
  <c r="K13" i="12" s="1" a="1"/>
  <c r="K13" i="12" s="1"/>
  <c r="P13" i="12" s="1"/>
  <c r="K33" i="7"/>
  <c r="N12" i="12" s="1" a="1"/>
  <c r="N12" i="12" s="1"/>
  <c r="S12" i="12" s="1"/>
  <c r="J33" i="7"/>
  <c r="M12" i="12" s="1" a="1"/>
  <c r="M12" i="12" s="1"/>
  <c r="R12" i="12" s="1"/>
  <c r="H33" i="7"/>
  <c r="K12" i="12" s="1" a="1"/>
  <c r="K12" i="12" s="1"/>
  <c r="P12" i="12" s="1"/>
  <c r="G33" i="7"/>
  <c r="J12" i="12" s="1" a="1"/>
  <c r="J12" i="12" s="1"/>
  <c r="J36" i="7"/>
  <c r="M15" i="12" s="1" a="1"/>
  <c r="M15" i="12" s="1"/>
  <c r="R15" i="12" s="1"/>
  <c r="K36" i="7"/>
  <c r="N15" i="12" s="1" a="1"/>
  <c r="N15" i="12" s="1"/>
  <c r="S15" i="12" s="1"/>
  <c r="H36" i="7"/>
  <c r="K15" i="12" s="1" a="1"/>
  <c r="K15" i="12" s="1"/>
  <c r="P15" i="12" s="1"/>
  <c r="J37" i="7"/>
  <c r="M16" i="12" s="1" a="1"/>
  <c r="M16" i="12" s="1"/>
  <c r="R16" i="12" s="1"/>
  <c r="K37" i="7"/>
  <c r="N16" i="12" s="1" a="1"/>
  <c r="N16" i="12" s="1"/>
  <c r="S16" i="12" s="1"/>
  <c r="H37" i="7"/>
  <c r="K16" i="12" s="1" a="1"/>
  <c r="K16" i="12" s="1"/>
  <c r="P16" i="12" s="1"/>
  <c r="J39" i="7"/>
  <c r="M18" i="12" s="1" a="1"/>
  <c r="M18" i="12" s="1"/>
  <c r="R18" i="12" s="1"/>
  <c r="H39" i="7"/>
  <c r="K18" i="12" s="1" a="1"/>
  <c r="K18" i="12" s="1"/>
  <c r="P18" i="12" s="1"/>
  <c r="K39" i="7"/>
  <c r="N18" i="12" s="1" a="1"/>
  <c r="N18" i="12" s="1"/>
  <c r="S18" i="12" s="1"/>
  <c r="J32" i="7"/>
  <c r="M11" i="12" s="1" a="1"/>
  <c r="M11" i="12" s="1"/>
  <c r="R11" i="12" s="1"/>
  <c r="K32" i="7"/>
  <c r="N11" i="12" s="1" a="1"/>
  <c r="N11" i="12" s="1"/>
  <c r="S11" i="12" s="1"/>
  <c r="J38" i="7"/>
  <c r="M17" i="12" s="1" a="1"/>
  <c r="M17" i="12" s="1"/>
  <c r="R17" i="12" s="1"/>
  <c r="K38" i="7"/>
  <c r="N17" i="12" s="1" a="1"/>
  <c r="N17" i="12" s="1"/>
  <c r="S17" i="12" s="1"/>
  <c r="H38" i="7"/>
  <c r="K17" i="12" s="1" a="1"/>
  <c r="K17" i="12" s="1"/>
  <c r="P17" i="12" s="1"/>
  <c r="K35" i="7"/>
  <c r="N14" i="12" s="1" a="1"/>
  <c r="N14" i="12" s="1"/>
  <c r="S14" i="12" s="1"/>
  <c r="J35" i="7"/>
  <c r="M14" i="12" s="1" a="1"/>
  <c r="M14" i="12" s="1"/>
  <c r="R14" i="12" s="1"/>
  <c r="H35" i="7"/>
  <c r="K14" i="12" s="1" a="1"/>
  <c r="K14" i="12" s="1"/>
  <c r="P14" i="12" s="1"/>
  <c r="G39" i="7"/>
  <c r="J18" i="12" s="1" a="1"/>
  <c r="J18" i="12" s="1"/>
  <c r="G34" i="7"/>
  <c r="J13" i="12" s="1" a="1"/>
  <c r="J13" i="12" s="1"/>
  <c r="H32" i="7"/>
  <c r="K11" i="12" s="1" a="1"/>
  <c r="K11" i="12" s="1"/>
  <c r="P11" i="12" s="1"/>
  <c r="G32" i="7"/>
  <c r="J11" i="12" s="1" a="1"/>
  <c r="J11" i="12" s="1"/>
  <c r="U14" i="12" l="1"/>
  <c r="U15" i="12"/>
  <c r="T17" i="12"/>
  <c r="T16" i="12"/>
  <c r="T15" i="12"/>
  <c r="T14" i="12"/>
  <c r="O11" i="12"/>
  <c r="U11" i="12" s="1"/>
  <c r="T11" i="12"/>
  <c r="O13" i="12"/>
  <c r="U13" i="12" s="1"/>
  <c r="T13" i="12"/>
  <c r="O18" i="12"/>
  <c r="T18" i="12"/>
  <c r="O12" i="12"/>
  <c r="U12" i="12" s="1"/>
  <c r="T12" i="12"/>
  <c r="O48" i="12"/>
  <c r="O45" i="12"/>
  <c r="O46" i="12"/>
  <c r="O47" i="12"/>
  <c r="D17" i="12"/>
  <c r="G16" i="12"/>
  <c r="Q16" i="12" s="1"/>
  <c r="U16" i="12" s="1"/>
  <c r="C22" i="10" a="1"/>
  <c r="C22" i="10" s="1"/>
  <c r="J42" i="12" s="1" a="1"/>
  <c r="J42" i="12" s="1"/>
  <c r="E22" i="14" a="1"/>
  <c r="E22" i="14" s="1"/>
  <c r="F22" i="14" a="1"/>
  <c r="F22" i="14" s="1"/>
  <c r="D22" i="10" a="1"/>
  <c r="D22" i="10" s="1"/>
  <c r="K42" i="12" s="1" a="1"/>
  <c r="K42" i="12" s="1"/>
  <c r="P42" i="12" s="1"/>
  <c r="F29" i="10" a="1"/>
  <c r="F29" i="10" s="1"/>
  <c r="H29" i="14" a="1"/>
  <c r="H29" i="14" s="1"/>
  <c r="R29" i="14" s="1"/>
  <c r="W29" i="14" s="1"/>
  <c r="D27" i="10" a="1"/>
  <c r="D27" i="10" s="1"/>
  <c r="K47" i="12" s="1" a="1"/>
  <c r="K47" i="12" s="1"/>
  <c r="P47" i="12" s="1"/>
  <c r="F27" i="14" a="1"/>
  <c r="F27" i="14" s="1"/>
  <c r="G24" i="10" a="1"/>
  <c r="G24" i="10" s="1"/>
  <c r="N44" i="12" s="1" a="1"/>
  <c r="N44" i="12" s="1"/>
  <c r="S44" i="12" s="1"/>
  <c r="I24" i="14" a="1"/>
  <c r="I24" i="14" s="1"/>
  <c r="S24" i="14" s="1"/>
  <c r="X24" i="14" s="1"/>
  <c r="G27" i="10" a="1"/>
  <c r="G27" i="10" s="1"/>
  <c r="I27" i="14" a="1"/>
  <c r="I27" i="14" s="1"/>
  <c r="F27" i="10" a="1"/>
  <c r="F27" i="10" s="1"/>
  <c r="H27" i="14" a="1"/>
  <c r="H27" i="14" s="1"/>
  <c r="L36" i="7"/>
  <c r="F26" i="14" a="1"/>
  <c r="F26" i="14" s="1"/>
  <c r="D26" i="10" a="1"/>
  <c r="D26" i="10" s="1"/>
  <c r="K46" i="12" s="1" a="1"/>
  <c r="K46" i="12" s="1"/>
  <c r="P46" i="12" s="1"/>
  <c r="O27" i="14"/>
  <c r="T27" i="14" s="1"/>
  <c r="I23" i="14" a="1"/>
  <c r="I23" i="14" s="1"/>
  <c r="S23" i="14" s="1"/>
  <c r="X23" i="14" s="1"/>
  <c r="G23" i="10" a="1"/>
  <c r="G23" i="10" s="1"/>
  <c r="N43" i="12" s="1" a="1"/>
  <c r="N43" i="12" s="1"/>
  <c r="S43" i="12" s="1"/>
  <c r="F24" i="14" a="1"/>
  <c r="F24" i="14" s="1"/>
  <c r="D24" i="10" a="1"/>
  <c r="D24" i="10" s="1"/>
  <c r="K44" i="12" s="1" a="1"/>
  <c r="K44" i="12" s="1"/>
  <c r="P44" i="12" s="1"/>
  <c r="C24" i="10" a="1"/>
  <c r="C24" i="10" s="1"/>
  <c r="J44" i="12" s="1" a="1"/>
  <c r="J44" i="12" s="1"/>
  <c r="E24" i="14" a="1"/>
  <c r="E24" i="14" s="1"/>
  <c r="C29" i="10" a="1"/>
  <c r="C29" i="10" s="1"/>
  <c r="J49" i="12" s="1" a="1"/>
  <c r="J49" i="12" s="1"/>
  <c r="E29" i="14" a="1"/>
  <c r="E29" i="14" s="1"/>
  <c r="L35" i="7"/>
  <c r="D25" i="10" a="1"/>
  <c r="D25" i="10" s="1"/>
  <c r="K45" i="12" s="1" a="1"/>
  <c r="K45" i="12" s="1"/>
  <c r="P45" i="12" s="1"/>
  <c r="F25" i="14" a="1"/>
  <c r="F25" i="14" s="1"/>
  <c r="O28" i="14"/>
  <c r="T28" i="14" s="1"/>
  <c r="I25" i="14" a="1"/>
  <c r="I25" i="14" s="1"/>
  <c r="G25" i="10" a="1"/>
  <c r="G25" i="10" s="1"/>
  <c r="M26" i="10"/>
  <c r="I28" i="14" a="1"/>
  <c r="I28" i="14" s="1"/>
  <c r="G28" i="10" a="1"/>
  <c r="G28" i="10" s="1"/>
  <c r="H26" i="14" a="1"/>
  <c r="H26" i="14" s="1"/>
  <c r="R26" i="14" s="1"/>
  <c r="W26" i="14" s="1"/>
  <c r="F26" i="10" a="1"/>
  <c r="F26" i="10" s="1"/>
  <c r="D23" i="10" a="1"/>
  <c r="D23" i="10" s="1"/>
  <c r="K43" i="12" s="1" a="1"/>
  <c r="K43" i="12" s="1"/>
  <c r="P43" i="12" s="1"/>
  <c r="F23" i="14" a="1"/>
  <c r="F23" i="14" s="1"/>
  <c r="M25" i="10"/>
  <c r="R25" i="10" s="1"/>
  <c r="I29" i="14" a="1"/>
  <c r="I29" i="14" s="1"/>
  <c r="G29" i="10" a="1"/>
  <c r="G29" i="10" s="1"/>
  <c r="N49" i="12" s="1" a="1"/>
  <c r="N49" i="12" s="1"/>
  <c r="S49" i="12" s="1"/>
  <c r="D29" i="10" a="1"/>
  <c r="D29" i="10" s="1"/>
  <c r="K49" i="12" s="1" a="1"/>
  <c r="K49" i="12" s="1"/>
  <c r="P49" i="12" s="1"/>
  <c r="F29" i="14" a="1"/>
  <c r="F29" i="14" s="1"/>
  <c r="F24" i="10" a="1"/>
  <c r="F24" i="10" s="1"/>
  <c r="H24" i="14" a="1"/>
  <c r="H24" i="14" s="1"/>
  <c r="R24" i="14" s="1"/>
  <c r="W24" i="14" s="1"/>
  <c r="M28" i="10"/>
  <c r="R28" i="10" s="1"/>
  <c r="H25" i="14" a="1"/>
  <c r="H25" i="14" s="1"/>
  <c r="F25" i="10" a="1"/>
  <c r="F25" i="10" s="1"/>
  <c r="M45" i="12" s="1" a="1"/>
  <c r="M45" i="12" s="1"/>
  <c r="R45" i="12" s="1"/>
  <c r="O26" i="14"/>
  <c r="F28" i="14" a="1"/>
  <c r="F28" i="14" s="1"/>
  <c r="D28" i="10" a="1"/>
  <c r="D28" i="10" s="1"/>
  <c r="K48" i="12" s="1" a="1"/>
  <c r="K48" i="12" s="1"/>
  <c r="P48" i="12" s="1"/>
  <c r="G26" i="10" a="1"/>
  <c r="G26" i="10" s="1"/>
  <c r="N46" i="12" s="1" a="1"/>
  <c r="N46" i="12" s="1"/>
  <c r="S46" i="12" s="1"/>
  <c r="I26" i="14" a="1"/>
  <c r="I26" i="14" s="1"/>
  <c r="M27" i="10"/>
  <c r="F28" i="10" a="1"/>
  <c r="F28" i="10" s="1"/>
  <c r="M48" i="12" s="1" a="1"/>
  <c r="M48" i="12" s="1"/>
  <c r="R48" i="12" s="1"/>
  <c r="H28" i="14" a="1"/>
  <c r="H28" i="14" s="1"/>
  <c r="R28" i="14" s="1"/>
  <c r="W28" i="14" s="1"/>
  <c r="L33" i="7"/>
  <c r="C23" i="10" a="1"/>
  <c r="C23" i="10" s="1"/>
  <c r="J43" i="12" s="1" a="1"/>
  <c r="J43" i="12" s="1"/>
  <c r="E23" i="14" a="1"/>
  <c r="E23" i="14" s="1"/>
  <c r="I22" i="14" a="1"/>
  <c r="I22" i="14" s="1"/>
  <c r="G22" i="10" a="1"/>
  <c r="G22" i="10" s="1"/>
  <c r="N42" i="12" s="1" a="1"/>
  <c r="N42" i="12" s="1"/>
  <c r="S42" i="12" s="1"/>
  <c r="F22" i="10" a="1"/>
  <c r="F22" i="10" s="1"/>
  <c r="H22" i="14" a="1"/>
  <c r="H22" i="14" s="1"/>
  <c r="R22" i="14" s="1"/>
  <c r="W22" i="14" s="1"/>
  <c r="H23" i="14" a="1"/>
  <c r="H23" i="14" s="1"/>
  <c r="R23" i="14" s="1"/>
  <c r="W23" i="14" s="1"/>
  <c r="F23" i="10" a="1"/>
  <c r="F23" i="10" s="1"/>
  <c r="O25" i="14"/>
  <c r="T25" i="14" s="1"/>
  <c r="L38" i="7"/>
  <c r="L32" i="7"/>
  <c r="L37" i="7"/>
  <c r="L39" i="7"/>
  <c r="L34" i="7"/>
  <c r="V14" i="12" l="1"/>
  <c r="V15" i="12"/>
  <c r="V16" i="12"/>
  <c r="V12" i="12"/>
  <c r="V13" i="12"/>
  <c r="W26" i="10"/>
  <c r="V11" i="12"/>
  <c r="Q28" i="10"/>
  <c r="V28" i="10" s="1"/>
  <c r="N48" i="12" a="1"/>
  <c r="N48" i="12" s="1"/>
  <c r="S48" i="12" s="1"/>
  <c r="U48" i="12" s="1"/>
  <c r="P27" i="10"/>
  <c r="U27" i="10" s="1"/>
  <c r="M47" i="12" a="1"/>
  <c r="M47" i="12" s="1"/>
  <c r="O44" i="12"/>
  <c r="W25" i="10"/>
  <c r="N45" i="12" a="1"/>
  <c r="N45" i="12" s="1"/>
  <c r="S45" i="12" s="1"/>
  <c r="U45" i="12" s="1"/>
  <c r="P22" i="10"/>
  <c r="U22" i="10" s="1"/>
  <c r="M42" i="12" a="1"/>
  <c r="M42" i="12" s="1"/>
  <c r="R42" i="12" s="1"/>
  <c r="O43" i="12"/>
  <c r="O49" i="12"/>
  <c r="O42" i="12"/>
  <c r="P24" i="10"/>
  <c r="U24" i="10" s="1"/>
  <c r="M44" i="12" a="1"/>
  <c r="M44" i="12" s="1"/>
  <c r="R44" i="12" s="1"/>
  <c r="Q27" i="10"/>
  <c r="V27" i="10" s="1"/>
  <c r="N47" i="12" a="1"/>
  <c r="N47" i="12" s="1"/>
  <c r="S47" i="12" s="1"/>
  <c r="P23" i="10"/>
  <c r="U23" i="10" s="1"/>
  <c r="M43" i="12" a="1"/>
  <c r="M43" i="12" s="1"/>
  <c r="R43" i="12" s="1"/>
  <c r="P29" i="10"/>
  <c r="U29" i="10" s="1"/>
  <c r="M49" i="12" a="1"/>
  <c r="M49" i="12" s="1"/>
  <c r="R49" i="12" s="1"/>
  <c r="P26" i="10"/>
  <c r="U26" i="10" s="1"/>
  <c r="M46" i="12" a="1"/>
  <c r="M46" i="12" s="1"/>
  <c r="D18" i="12"/>
  <c r="G17" i="12"/>
  <c r="Q17" i="12" s="1"/>
  <c r="U17" i="12" s="1"/>
  <c r="V17" i="12" s="1"/>
  <c r="Y28" i="14"/>
  <c r="Y25" i="14"/>
  <c r="N28" i="10"/>
  <c r="S28" i="10"/>
  <c r="M23" i="10"/>
  <c r="R23" i="10" s="1"/>
  <c r="W23" i="10"/>
  <c r="S27" i="14"/>
  <c r="X27" i="14" s="1"/>
  <c r="P28" i="10"/>
  <c r="U28" i="10" s="1"/>
  <c r="P27" i="14"/>
  <c r="U27" i="14" s="1"/>
  <c r="R27" i="10"/>
  <c r="P25" i="14"/>
  <c r="U25" i="14" s="1"/>
  <c r="N27" i="10"/>
  <c r="S28" i="14"/>
  <c r="X28" i="14"/>
  <c r="N24" i="10"/>
  <c r="S24" i="10" s="1"/>
  <c r="P24" i="14"/>
  <c r="U24" i="14" s="1"/>
  <c r="R25" i="14"/>
  <c r="W25" i="14" s="1"/>
  <c r="Q23" i="10"/>
  <c r="V23" i="10" s="1"/>
  <c r="W28" i="10"/>
  <c r="N23" i="10"/>
  <c r="S23" i="10" s="1"/>
  <c r="N25" i="10"/>
  <c r="S25" i="10" s="1"/>
  <c r="O29" i="14"/>
  <c r="T29" i="14" s="1"/>
  <c r="Y29" i="14"/>
  <c r="Q25" i="10"/>
  <c r="V25" i="10" s="1"/>
  <c r="P25" i="10"/>
  <c r="U25" i="10" s="1"/>
  <c r="S25" i="14"/>
  <c r="X25" i="14" s="1"/>
  <c r="P23" i="14"/>
  <c r="U23" i="14" s="1"/>
  <c r="Q24" i="10"/>
  <c r="V24" i="10" s="1"/>
  <c r="W27" i="10"/>
  <c r="Y27" i="14"/>
  <c r="S26" i="14"/>
  <c r="X26" i="14" s="1"/>
  <c r="Q26" i="10"/>
  <c r="V26" i="10" s="1"/>
  <c r="N26" i="10"/>
  <c r="S26" i="10" s="1"/>
  <c r="P29" i="14"/>
  <c r="U29" i="14" s="1"/>
  <c r="P26" i="14"/>
  <c r="U26" i="14" s="1"/>
  <c r="N22" i="10"/>
  <c r="S22" i="10" s="1"/>
  <c r="Q22" i="10"/>
  <c r="V22" i="10" s="1"/>
  <c r="P28" i="14"/>
  <c r="U28" i="14" s="1"/>
  <c r="N29" i="10"/>
  <c r="S29" i="10" s="1"/>
  <c r="M29" i="10"/>
  <c r="R29" i="10" s="1"/>
  <c r="W29" i="10"/>
  <c r="P22" i="14"/>
  <c r="U22" i="14" s="1"/>
  <c r="S22" i="14"/>
  <c r="X22" i="14" s="1"/>
  <c r="Y26" i="14"/>
  <c r="Q29" i="10"/>
  <c r="V29" i="10" s="1"/>
  <c r="O24" i="14"/>
  <c r="Y24" i="14"/>
  <c r="R27" i="14"/>
  <c r="W27" i="14" s="1"/>
  <c r="O22" i="14"/>
  <c r="T22" i="14"/>
  <c r="Y22" i="14"/>
  <c r="O23" i="14"/>
  <c r="Y23" i="14"/>
  <c r="T26" i="14"/>
  <c r="S29" i="14"/>
  <c r="X29" i="14" s="1"/>
  <c r="R26" i="10"/>
  <c r="M24" i="10"/>
  <c r="W24" i="10"/>
  <c r="M22" i="10"/>
  <c r="W22" i="10"/>
  <c r="Z28" i="10" l="1"/>
  <c r="C125" i="7" s="1" a="1"/>
  <c r="C125" i="7" s="1"/>
  <c r="D125" i="7" s="1"/>
  <c r="AA27" i="14"/>
  <c r="Z27" i="14" s="1"/>
  <c r="AB25" i="14"/>
  <c r="T45" i="12"/>
  <c r="V45" i="12" s="1"/>
  <c r="R46" i="12"/>
  <c r="U46" i="12" s="1"/>
  <c r="T46" i="12"/>
  <c r="T42" i="12"/>
  <c r="Z25" i="10"/>
  <c r="C122" i="7" s="1" a="1"/>
  <c r="C122" i="7" s="1"/>
  <c r="D122" i="7" s="1"/>
  <c r="U42" i="12"/>
  <c r="AA23" i="14"/>
  <c r="Z23" i="14" s="1"/>
  <c r="Y27" i="10"/>
  <c r="X27" i="10" s="1"/>
  <c r="R47" i="12"/>
  <c r="U47" i="12" s="1"/>
  <c r="T47" i="12"/>
  <c r="U43" i="12"/>
  <c r="AB28" i="14"/>
  <c r="T44" i="12"/>
  <c r="AA28" i="14"/>
  <c r="Z28" i="14" s="1"/>
  <c r="U44" i="12"/>
  <c r="T49" i="12"/>
  <c r="U49" i="12"/>
  <c r="AA25" i="14"/>
  <c r="Z25" i="14" s="1"/>
  <c r="T48" i="12"/>
  <c r="V48" i="12" s="1"/>
  <c r="T43" i="12"/>
  <c r="G18" i="12"/>
  <c r="Q18" i="12" s="1"/>
  <c r="U18" i="12" s="1"/>
  <c r="V18" i="12" s="1"/>
  <c r="C23" i="12" s="1"/>
  <c r="Y25" i="10"/>
  <c r="X25" i="10" s="1"/>
  <c r="Y28" i="10"/>
  <c r="X28" i="10" s="1"/>
  <c r="AA24" i="14"/>
  <c r="Z24" i="14" s="1"/>
  <c r="AB27" i="14"/>
  <c r="Y22" i="10"/>
  <c r="R22" i="10"/>
  <c r="Z22" i="10" s="1"/>
  <c r="C119" i="7" s="1" a="1"/>
  <c r="C119" i="7" s="1"/>
  <c r="D119" i="7" s="1"/>
  <c r="AA26" i="14"/>
  <c r="Z26" i="14" s="1"/>
  <c r="S27" i="10"/>
  <c r="Z27" i="10" s="1"/>
  <c r="C124" i="7" s="1" a="1"/>
  <c r="C124" i="7" s="1"/>
  <c r="D124" i="7" s="1"/>
  <c r="R24" i="10"/>
  <c r="Z24" i="10" s="1"/>
  <c r="C121" i="7" s="1" a="1"/>
  <c r="C121" i="7" s="1"/>
  <c r="D121" i="7" s="1"/>
  <c r="Y24" i="10"/>
  <c r="AB29" i="14"/>
  <c r="AB22" i="14"/>
  <c r="AA22" i="14"/>
  <c r="Z22" i="14" s="1"/>
  <c r="Z26" i="10"/>
  <c r="C123" i="7" s="1" a="1"/>
  <c r="C123" i="7" s="1"/>
  <c r="D123" i="7" s="1"/>
  <c r="Z29" i="10"/>
  <c r="C126" i="7" s="1" a="1"/>
  <c r="C126" i="7" s="1"/>
  <c r="D126" i="7" s="1"/>
  <c r="T24" i="14"/>
  <c r="AB24" i="14" s="1"/>
  <c r="Y29" i="10"/>
  <c r="AA29" i="14"/>
  <c r="Z29" i="14" s="1"/>
  <c r="Y23" i="10"/>
  <c r="Z23" i="10"/>
  <c r="C120" i="7" s="1" a="1"/>
  <c r="C120" i="7" s="1"/>
  <c r="D120" i="7" s="1"/>
  <c r="AB26" i="14"/>
  <c r="Y26" i="10"/>
  <c r="T23" i="14"/>
  <c r="AB23" i="14" s="1"/>
  <c r="V44" i="12" l="1"/>
  <c r="V43" i="12"/>
  <c r="V47" i="12"/>
  <c r="V49" i="12"/>
  <c r="C55" i="12" s="1"/>
  <c r="V42" i="12"/>
  <c r="V46" i="12"/>
  <c r="X26" i="10"/>
  <c r="X24" i="10"/>
  <c r="X23" i="10"/>
  <c r="X29" i="10"/>
  <c r="X2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<sst xmlns="http://schemas.openxmlformats.org/spreadsheetml/2006/main" count="475" uniqueCount="132">
  <si>
    <t>Contents</t>
  </si>
  <si>
    <t>S.No</t>
  </si>
  <si>
    <t>Details</t>
  </si>
  <si>
    <t>Link</t>
  </si>
  <si>
    <t>Decisions</t>
  </si>
  <si>
    <t>Parameters</t>
  </si>
  <si>
    <t>Sensitivity Analysis</t>
  </si>
  <si>
    <t>Year</t>
  </si>
  <si>
    <t>Population</t>
  </si>
  <si>
    <t>NEA Budget</t>
  </si>
  <si>
    <t>Tourists</t>
  </si>
  <si>
    <t>Decision Input 1- Population of Singapore from 2001 to 2030</t>
  </si>
  <si>
    <t>Decision Input 2- Incoming Tourists in Singapore from 2001 to 2030</t>
  </si>
  <si>
    <t>Decision Input 3- Singapore National Environment Agency(NEA) Budget</t>
  </si>
  <si>
    <t>Decisions are Controllable Input variables decided by user</t>
  </si>
  <si>
    <t>Historic Data</t>
  </si>
  <si>
    <t>Forecasted Data</t>
  </si>
  <si>
    <t>Not Available</t>
  </si>
  <si>
    <t>Decisions are Uncontrollable Input variables with a given value</t>
  </si>
  <si>
    <t>Historic Data (Available from 2008)</t>
  </si>
  <si>
    <t>Parameter Input 1- Waste Export Market from 2015 to 2030</t>
  </si>
  <si>
    <t>Total Recyclables Exported (tonnes)</t>
  </si>
  <si>
    <t>Recycling Rate</t>
  </si>
  <si>
    <t>Food</t>
  </si>
  <si>
    <t>Plastic</t>
  </si>
  <si>
    <t>Paper</t>
  </si>
  <si>
    <t>Metals</t>
  </si>
  <si>
    <t>Other</t>
  </si>
  <si>
    <t>Trend Plot using Historic Values</t>
  </si>
  <si>
    <t>Assumed Rate of Reduction in Exports</t>
  </si>
  <si>
    <t>Waste Generated</t>
  </si>
  <si>
    <t>Tourist</t>
  </si>
  <si>
    <t>Tourists Normalized Value</t>
  </si>
  <si>
    <t>Population Normalized Value</t>
  </si>
  <si>
    <t>Average</t>
  </si>
  <si>
    <t>Standard Deviation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</si>
  <si>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</si>
  <si>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</si>
  <si>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</si>
  <si>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</si>
  <si>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</si>
  <si>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</si>
  <si>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</si>
  <si>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</si>
  <si>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</si>
  <si>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</si>
  <si>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</si>
  <si>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</si>
  <si>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</si>
  <si>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</si>
  <si>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</si>
  <si>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</si>
  <si>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</si>
  <si>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</si>
  <si>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</si>
  <si>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</si>
  <si>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</si>
  <si>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</si>
  <si>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</si>
  <si>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ANOVA-Food</t>
  </si>
  <si>
    <t>ANOVA-Plastic</t>
  </si>
  <si>
    <t>ANOVA-Paper</t>
  </si>
  <si>
    <t>ANOVA-Others</t>
  </si>
  <si>
    <t>ANOVA-Metal</t>
  </si>
  <si>
    <t>NEA's Budget (Million SGD)</t>
  </si>
  <si>
    <t>Metal</t>
  </si>
  <si>
    <t>Slope</t>
  </si>
  <si>
    <t>Consequence Variable 2- Recycling Rate of Food</t>
  </si>
  <si>
    <t>Consequence Variable 1- Recycling Rate of Paper</t>
  </si>
  <si>
    <t>Consequence Variables</t>
  </si>
  <si>
    <t>Consequence variables are output variables which are produced in intermediate calculations</t>
  </si>
  <si>
    <t>Food Recycling Rate</t>
  </si>
  <si>
    <t>Budget (Year-1)</t>
  </si>
  <si>
    <t>Budget (Year-2)</t>
  </si>
  <si>
    <t>Budget (Current Year- - Million SGD)</t>
  </si>
  <si>
    <t>Total Non Recyclable waste</t>
  </si>
  <si>
    <t>Energy Produced(MWh)</t>
  </si>
  <si>
    <t>Waste Recycled</t>
  </si>
  <si>
    <t>Overall</t>
  </si>
  <si>
    <t>Non- Recycled Waste</t>
  </si>
  <si>
    <t>Non-Recyled Waste</t>
  </si>
  <si>
    <t>Historic Data (Available from 2015)</t>
  </si>
  <si>
    <t>Input</t>
  </si>
  <si>
    <t>Rate of increase of export Market</t>
  </si>
  <si>
    <t>Export Market</t>
  </si>
  <si>
    <t>NEA Budget (SGD Million)</t>
  </si>
  <si>
    <t>Estimated Overall Recycling Rate for Export Market Increases</t>
  </si>
  <si>
    <t>Sensitivity Analysis 2- What if there is a technological Breakthrough leading to a significant improvement in Recycling Rate of Plastic</t>
  </si>
  <si>
    <t>Improved Recycling Rate of Plastic</t>
  </si>
  <si>
    <t>Waste Statistics</t>
  </si>
  <si>
    <t>Population and Tourist Data</t>
  </si>
  <si>
    <t>Summary Outputs</t>
  </si>
  <si>
    <t>Secondary Performance Variables</t>
  </si>
  <si>
    <t>Summary Output</t>
  </si>
  <si>
    <t>Secondary Performance Variable- Waste Generated</t>
  </si>
  <si>
    <t>Secondary Performance Variable- Energy Produced</t>
  </si>
  <si>
    <t>Data Sources</t>
  </si>
  <si>
    <t>Decision Parameters</t>
  </si>
  <si>
    <t>As-Is Analysis</t>
  </si>
  <si>
    <t>Solver Analysis</t>
  </si>
  <si>
    <t>Trade-off Analysis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</si>
  <si>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</si>
  <si>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</si>
  <si>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</si>
  <si>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</si>
  <si>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</si>
  <si>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</si>
  <si>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</si>
  <si>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</si>
  <si>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Export Market Data</t>
  </si>
  <si>
    <t>NEA Budget Data</t>
  </si>
  <si>
    <t>Incineration Energy Data</t>
  </si>
  <si>
    <t>Trade-off Analysis 1 -  What if the NEA Development Expenditure increases significantly at a constant rate between 2023 and 2030</t>
  </si>
  <si>
    <t>Rate of Increase of NEA Budget</t>
  </si>
  <si>
    <t>Estimated Overall Recycling Rate for Improved Recycling Rate of Plastic</t>
  </si>
  <si>
    <t>Sensitivity Analysis 1- What if we there is a steady increase in the Export Market between 2023 and 2030</t>
  </si>
  <si>
    <t>Trade-Off Analysis</t>
  </si>
  <si>
    <t>NEA Budget (Million SGD)</t>
  </si>
  <si>
    <t>Recycling Rate Paper</t>
  </si>
  <si>
    <t>Current Year</t>
  </si>
  <si>
    <t>Year -1</t>
  </si>
  <si>
    <t>Year -2</t>
  </si>
  <si>
    <t>NEA Budget Year-1</t>
  </si>
  <si>
    <t>NEA Budget Year-2</t>
  </si>
  <si>
    <t>Incinerated Energy</t>
  </si>
  <si>
    <t>Estimated Overall Recycling Rate with Increase in NEA Budget</t>
  </si>
  <si>
    <t>Estimated Incinerated Energy with Increase in NEA Budget</t>
  </si>
  <si>
    <t>Percentage Increase</t>
  </si>
  <si>
    <t>Overall Recycling Rate</t>
  </si>
  <si>
    <t>NEA</t>
  </si>
  <si>
    <t>Export</t>
  </si>
  <si>
    <t>Paper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</si>
</sst>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[$$-4809]#,##0"/>
    <numFmt numFmtId="167" formatCode="0.0000"/>
    <numFmt numFmtId="168" formatCode="0.0000000"/>
    <numFmt numFmtId="17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color indexed="16"/>
      <name val="Arial"/>
      <family val="2"/>
    </font>
    <font>
      <b/>
      <i/>
      <sz val="10"/>
      <color indexed="16"/>
      <name val="Arial"/>
      <family val="2"/>
    </font>
    <font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323232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0"/>
      <color indexed="63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Gray"/>
    </fill>
    <fill>
      <patternFill patternType="solid">
        <fgColor indexed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10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0" xfId="5" applyFont="1"/>
    <xf numFmtId="0" fontId="6" fillId="3" borderId="1" xfId="5" applyFont="1" applyFill="1" applyBorder="1" applyAlignment="1">
      <alignment horizontal="center"/>
    </xf>
    <xf numFmtId="164" fontId="0" fillId="0" borderId="1" xfId="1" applyNumberFormat="1" applyFont="1" applyBorder="1"/>
    <xf numFmtId="0" fontId="7" fillId="0" borderId="0" xfId="5" applyFont="1"/>
    <xf numFmtId="0" fontId="8" fillId="0" borderId="0" xfId="5" applyFo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4" fillId="6" borderId="1" xfId="1" applyNumberFormat="1" applyFont="1" applyFill="1" applyBorder="1" applyAlignment="1">
      <alignment horizontal="center" vertical="center"/>
    </xf>
    <xf numFmtId="164" fontId="9" fillId="0" borderId="1" xfId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0" fillId="0" borderId="1" xfId="6" applyBorder="1"/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9" fontId="0" fillId="0" borderId="1" xfId="3" applyFont="1" applyBorder="1"/>
    <xf numFmtId="0" fontId="9" fillId="0" borderId="1" xfId="5" applyFont="1" applyBorder="1" applyAlignment="1">
      <alignment horizontal="center"/>
    </xf>
    <xf numFmtId="9" fontId="9" fillId="0" borderId="1" xfId="3" applyFont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0" borderId="4" xfId="0" applyBorder="1"/>
    <xf numFmtId="0" fontId="12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9" fillId="0" borderId="1" xfId="1" applyNumberFormat="1" applyFont="1" applyBorder="1" applyAlignment="1" applyProtection="1">
      <alignment vertical="center"/>
      <protection locked="0"/>
    </xf>
    <xf numFmtId="164" fontId="4" fillId="6" borderId="1" xfId="1" applyNumberFormat="1" applyFont="1" applyFill="1" applyBorder="1" applyAlignment="1">
      <alignment vertical="center"/>
    </xf>
    <xf numFmtId="164" fontId="1" fillId="0" borderId="1" xfId="1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/>
    <xf numFmtId="0" fontId="13" fillId="12" borderId="1" xfId="0" applyFont="1" applyFill="1" applyBorder="1" applyAlignment="1">
      <alignment horizontal="center"/>
    </xf>
    <xf numFmtId="0" fontId="6" fillId="7" borderId="1" xfId="5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3" fontId="0" fillId="0" borderId="1" xfId="0" applyNumberFormat="1" applyBorder="1"/>
    <xf numFmtId="0" fontId="6" fillId="3" borderId="2" xfId="5" applyFont="1" applyFill="1" applyBorder="1" applyAlignment="1">
      <alignment horizontal="center" vertical="center" wrapText="1"/>
    </xf>
    <xf numFmtId="0" fontId="2" fillId="2" borderId="0" xfId="4"/>
    <xf numFmtId="0" fontId="2" fillId="2" borderId="4" xfId="4" applyBorder="1"/>
    <xf numFmtId="0" fontId="14" fillId="13" borderId="6" xfId="5" applyFont="1" applyFill="1" applyBorder="1" applyAlignment="1">
      <alignment horizontal="center" vertical="top"/>
    </xf>
    <xf numFmtId="0" fontId="14" fillId="13" borderId="6" xfId="5" applyFont="1" applyFill="1" applyBorder="1" applyAlignment="1">
      <alignment horizontal="center" vertical="top" wrapText="1"/>
    </xf>
    <xf numFmtId="166" fontId="9" fillId="0" borderId="1" xfId="1" applyNumberFormat="1" applyFont="1" applyBorder="1" applyAlignment="1" applyProtection="1">
      <alignment horizontal="center" vertical="center"/>
      <protection locked="0"/>
    </xf>
    <xf numFmtId="166" fontId="4" fillId="6" borderId="1" xfId="1" applyNumberFormat="1" applyFont="1" applyFill="1" applyBorder="1" applyAlignment="1">
      <alignment horizontal="center" vertical="center"/>
    </xf>
    <xf numFmtId="0" fontId="3" fillId="14" borderId="1" xfId="0" applyFont="1" applyFill="1" applyBorder="1"/>
    <xf numFmtId="9" fontId="9" fillId="0" borderId="1" xfId="3" applyFont="1" applyBorder="1" applyAlignment="1" applyProtection="1">
      <alignment horizontal="center" vertical="center"/>
      <protection locked="0"/>
    </xf>
    <xf numFmtId="165" fontId="4" fillId="6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15" fillId="0" borderId="0" xfId="0" applyFont="1" applyAlignment="1">
      <alignment horizontal="left" vertical="center"/>
    </xf>
    <xf numFmtId="9" fontId="4" fillId="6" borderId="1" xfId="3" applyFont="1" applyFill="1" applyBorder="1" applyAlignment="1">
      <alignment horizontal="center" vertical="center"/>
    </xf>
    <xf numFmtId="167" fontId="4" fillId="6" borderId="1" xfId="2" applyNumberFormat="1" applyFont="1" applyFill="1" applyBorder="1" applyAlignment="1">
      <alignment horizontal="center"/>
    </xf>
    <xf numFmtId="168" fontId="4" fillId="6" borderId="1" xfId="2" applyNumberFormat="1" applyFont="1" applyFill="1" applyBorder="1" applyAlignment="1">
      <alignment horizontal="center"/>
    </xf>
    <xf numFmtId="9" fontId="4" fillId="6" borderId="1" xfId="3" applyFont="1" applyFill="1" applyBorder="1" applyAlignment="1">
      <alignment horizontal="center"/>
    </xf>
    <xf numFmtId="0" fontId="14" fillId="13" borderId="7" xfId="5" applyFont="1" applyFill="1" applyBorder="1" applyAlignment="1">
      <alignment horizontal="center" vertical="top"/>
    </xf>
    <xf numFmtId="0" fontId="4" fillId="0" borderId="1" xfId="5" applyBorder="1" applyAlignment="1">
      <alignment horizontal="left" vertical="center"/>
    </xf>
    <xf numFmtId="0" fontId="16" fillId="0" borderId="1" xfId="5" quotePrefix="1" applyFont="1" applyBorder="1"/>
    <xf numFmtId="0" fontId="3" fillId="5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9" fontId="6" fillId="6" borderId="1" xfId="3" applyFont="1" applyFill="1" applyBorder="1" applyAlignment="1">
      <alignment horizontal="center"/>
    </xf>
    <xf numFmtId="9" fontId="4" fillId="0" borderId="1" xfId="3" applyFont="1" applyFill="1" applyBorder="1" applyAlignment="1">
      <alignment horizontal="center"/>
    </xf>
    <xf numFmtId="9" fontId="9" fillId="0" borderId="0" xfId="3" applyFont="1" applyBorder="1" applyAlignment="1" applyProtection="1">
      <alignment horizontal="center" vertical="center"/>
      <protection locked="0"/>
    </xf>
    <xf numFmtId="0" fontId="17" fillId="0" borderId="0" xfId="5" applyFont="1"/>
    <xf numFmtId="0" fontId="8" fillId="0" borderId="0" xfId="5" applyFont="1" applyAlignment="1">
      <alignment horizontal="left" vertical="center"/>
    </xf>
    <xf numFmtId="0" fontId="8" fillId="0" borderId="0" xfId="5" applyFont="1" applyAlignment="1">
      <alignment horizontal="left" vertical="center" wrapText="1"/>
    </xf>
    <xf numFmtId="0" fontId="0" fillId="0" borderId="8" xfId="0" applyBorder="1"/>
    <xf numFmtId="164" fontId="0" fillId="0" borderId="8" xfId="1" applyNumberFormat="1" applyFont="1" applyBorder="1"/>
    <xf numFmtId="9" fontId="0" fillId="0" borderId="8" xfId="3" applyFont="1" applyBorder="1"/>
    <xf numFmtId="164" fontId="0" fillId="0" borderId="8" xfId="0" applyNumberFormat="1" applyBorder="1"/>
    <xf numFmtId="0" fontId="18" fillId="9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2" fillId="0" borderId="0" xfId="0" applyFont="1"/>
    <xf numFmtId="0" fontId="0" fillId="0" borderId="9" xfId="0" applyBorder="1"/>
    <xf numFmtId="0" fontId="10" fillId="0" borderId="8" xfId="6" applyBorder="1"/>
    <xf numFmtId="0" fontId="3" fillId="20" borderId="1" xfId="0" applyFont="1" applyFill="1" applyBorder="1"/>
    <xf numFmtId="0" fontId="11" fillId="22" borderId="8" xfId="0" applyFont="1" applyFill="1" applyBorder="1" applyAlignment="1">
      <alignment horizontal="center"/>
    </xf>
    <xf numFmtId="0" fontId="3" fillId="22" borderId="8" xfId="0" applyFont="1" applyFill="1" applyBorder="1"/>
    <xf numFmtId="0" fontId="3" fillId="21" borderId="8" xfId="0" applyFont="1" applyFill="1" applyBorder="1"/>
    <xf numFmtId="9" fontId="13" fillId="7" borderId="1" xfId="3" applyFont="1" applyFill="1" applyBorder="1" applyAlignment="1">
      <alignment horizontal="center"/>
    </xf>
    <xf numFmtId="9" fontId="19" fillId="23" borderId="1" xfId="3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4" fillId="13" borderId="7" xfId="5" applyFont="1" applyFill="1" applyBorder="1" applyAlignment="1">
      <alignment horizontal="center" vertical="top"/>
    </xf>
    <xf numFmtId="0" fontId="14" fillId="13" borderId="0" xfId="5" applyFont="1" applyFill="1" applyAlignment="1">
      <alignment horizontal="center" vertical="top"/>
    </xf>
    <xf numFmtId="0" fontId="6" fillId="3" borderId="2" xfId="5" applyFont="1" applyFill="1" applyBorder="1" applyAlignment="1">
      <alignment horizontal="center" vertical="center"/>
    </xf>
    <xf numFmtId="0" fontId="6" fillId="3" borderId="5" xfId="5" applyFont="1" applyFill="1" applyBorder="1" applyAlignment="1">
      <alignment horizontal="center" vertical="center"/>
    </xf>
    <xf numFmtId="0" fontId="6" fillId="3" borderId="2" xfId="5" applyFont="1" applyFill="1" applyBorder="1" applyAlignment="1">
      <alignment horizontal="center" vertical="center" wrapText="1"/>
    </xf>
    <xf numFmtId="0" fontId="6" fillId="3" borderId="5" xfId="5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0" fontId="6" fillId="3" borderId="13" xfId="5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/>
    </xf>
    <xf numFmtId="0" fontId="18" fillId="10" borderId="8" xfId="0" applyFont="1" applyFill="1" applyBorder="1" applyAlignment="1">
      <alignment horizontal="center"/>
    </xf>
    <xf numFmtId="0" fontId="18" fillId="16" borderId="8" xfId="0" applyFont="1" applyFill="1" applyBorder="1" applyAlignment="1">
      <alignment horizontal="center"/>
    </xf>
    <xf numFmtId="9" fontId="6" fillId="6" borderId="1" xfId="3" applyFont="1" applyFill="1" applyBorder="1" applyAlignment="1">
      <alignment horizontal="center" vertical="center"/>
    </xf>
    <xf numFmtId="10" fontId="6" fillId="6" borderId="1" xfId="3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3" borderId="13" xfId="5" applyFont="1" applyFill="1" applyBorder="1" applyAlignment="1">
      <alignment horizontal="center" vertical="center" wrapText="1"/>
    </xf>
    <xf numFmtId="174" fontId="0" fillId="0" borderId="8" xfId="2" applyNumberFormat="1" applyFont="1" applyBorder="1"/>
    <xf numFmtId="174" fontId="4" fillId="6" borderId="1" xfId="2" applyNumberFormat="1" applyFont="1" applyFill="1" applyBorder="1" applyAlignment="1">
      <alignment horizontal="center" vertical="center"/>
    </xf>
    <xf numFmtId="174" fontId="0" fillId="0" borderId="1" xfId="2" applyNumberFormat="1" applyFont="1" applyBorder="1"/>
    <xf numFmtId="9" fontId="0" fillId="0" borderId="1" xfId="0" applyNumberFormat="1" applyBorder="1"/>
    <xf numFmtId="0" fontId="3" fillId="18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 vertical="center" wrapText="1"/>
    </xf>
    <xf numFmtId="9" fontId="6" fillId="0" borderId="0" xfId="3" applyFont="1" applyFill="1" applyBorder="1" applyAlignment="1">
      <alignment horizontal="center" vertical="center"/>
    </xf>
    <xf numFmtId="164" fontId="19" fillId="23" borderId="1" xfId="1" applyNumberFormat="1" applyFont="1" applyFill="1" applyBorder="1" applyAlignment="1">
      <alignment horizontal="center"/>
    </xf>
    <xf numFmtId="0" fontId="20" fillId="0" borderId="0" xfId="0" applyFont="1" applyBorder="1"/>
    <xf numFmtId="0" fontId="19" fillId="0" borderId="0" xfId="0" applyFont="1" applyBorder="1" applyAlignment="1">
      <alignment horizontal="center"/>
    </xf>
    <xf numFmtId="43" fontId="20" fillId="0" borderId="0" xfId="1" applyFont="1" applyBorder="1"/>
    <xf numFmtId="9" fontId="20" fillId="0" borderId="0" xfId="3" applyFont="1" applyBorder="1"/>
    <xf numFmtId="9" fontId="0" fillId="20" borderId="1" xfId="0" applyNumberFormat="1" applyFill="1" applyBorder="1" applyAlignment="1">
      <alignment horizontal="center"/>
    </xf>
    <xf numFmtId="0" fontId="3" fillId="19" borderId="10" xfId="0" applyFont="1" applyFill="1" applyBorder="1" applyAlignment="1">
      <alignment horizontal="center"/>
    </xf>
    <xf numFmtId="0" fontId="3" fillId="19" borderId="11" xfId="0" applyFont="1" applyFill="1" applyBorder="1" applyAlignment="1">
      <alignment horizontal="center"/>
    </xf>
    <xf numFmtId="0" fontId="3" fillId="19" borderId="12" xfId="0" applyFont="1" applyFill="1" applyBorder="1" applyAlignment="1">
      <alignment horizontal="center"/>
    </xf>
    <xf numFmtId="166" fontId="0" fillId="0" borderId="8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7">
    <cellStyle name="Bad" xfId="4" builtinId="27"/>
    <cellStyle name="Comma" xfId="1" builtinId="3"/>
    <cellStyle name="Currency" xfId="2" builtinId="4"/>
    <cellStyle name="Hyperlink" xfId="6" builtinId="8"/>
    <cellStyle name="Normal" xfId="0" builtinId="0"/>
    <cellStyle name="Normal 2" xfId="5" xr:uid="{BC5D1A02-F362-4A79-A017-D670F2CEB018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Recycling Rate of Paper vs Exports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'[1]RR of Paper'!$D$5</c:f>
              <c:strCache>
                <c:ptCount val="1"/>
                <c:pt idx="0">
                  <c:v>RR of paper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'[1]RR of Paper'!$C$6:$C$9</c:f>
              <c:numCache>
                <c:formatCode>General</c:formatCode>
                <c:ptCount val="4"/>
                <c:pt idx="0">
                  <c:v>1889000</c:v>
                </c:pt>
                <c:pt idx="1">
                  <c:v>1757000</c:v>
                </c:pt>
                <c:pt idx="2">
                  <c:v>1637000</c:v>
                </c:pt>
                <c:pt idx="3">
                  <c:v>1439000</c:v>
                </c:pt>
              </c:numCache>
            </c:numRef>
          </c:xVal>
          <c:yVal>
            <c:numRef>
              <c:f>'[1]RR of Paper'!$D$6:$D$9</c:f>
              <c:numCache>
                <c:formatCode>General</c:formatCode>
                <c:ptCount val="4"/>
                <c:pt idx="0">
                  <c:v>0.51</c:v>
                </c:pt>
                <c:pt idx="1">
                  <c:v>0.51</c:v>
                </c:pt>
                <c:pt idx="2">
                  <c:v>0.5</c:v>
                </c:pt>
                <c:pt idx="3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0-425A-826A-3ACBC71A3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271760"/>
        <c:axId val="545178112"/>
      </c:scatterChart>
      <c:valAx>
        <c:axId val="51727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78112"/>
        <c:crosses val="autoZero"/>
        <c:crossBetween val="midCat"/>
      </c:valAx>
      <c:valAx>
        <c:axId val="5451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2187445319335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'[1]Energy Produced'!$H$3</c:f>
              <c:strCache>
                <c:ptCount val="1"/>
                <c:pt idx="0">
                  <c:v>Energy Produced(MWh)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'[1]Energy Produced'!$F$4:$F$8</c:f>
              <c:numCache>
                <c:formatCode>General</c:formatCode>
                <c:ptCount val="5"/>
                <c:pt idx="0">
                  <c:v>2969000</c:v>
                </c:pt>
                <c:pt idx="1">
                  <c:v>2985000</c:v>
                </c:pt>
                <c:pt idx="2">
                  <c:v>2840000</c:v>
                </c:pt>
                <c:pt idx="3">
                  <c:v>3118000</c:v>
                </c:pt>
                <c:pt idx="4">
                  <c:v>3197000</c:v>
                </c:pt>
              </c:numCache>
            </c:numRef>
          </c:xVal>
          <c:yVal>
            <c:numRef>
              <c:f>'[1]Energy Produced'!$H$4:$H$8</c:f>
              <c:numCache>
                <c:formatCode>General</c:formatCode>
                <c:ptCount val="5"/>
                <c:pt idx="0">
                  <c:v>1162408</c:v>
                </c:pt>
                <c:pt idx="1">
                  <c:v>1173202</c:v>
                </c:pt>
                <c:pt idx="2">
                  <c:v>1060607</c:v>
                </c:pt>
                <c:pt idx="3">
                  <c:v>1177668</c:v>
                </c:pt>
                <c:pt idx="4">
                  <c:v>1502487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8A-449F-8C2E-744F53CC3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24032"/>
        <c:axId val="539996368"/>
      </c:scatterChart>
      <c:valAx>
        <c:axId val="11482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96368"/>
        <c:crosses val="autoZero"/>
        <c:crossBetween val="midCat"/>
      </c:valAx>
      <c:valAx>
        <c:axId val="5399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/>
              <a:t>Sensitivity Analysis with increase in recyclables export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'7.Sensitivity Analysis'!$B$24:$B$31</c:f>
              <c:numCache>
                <c:formatCode>0%</c:formatCode>
                <c:ptCount val="8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</c:numCache>
            </c:numRef>
          </c:xVal>
          <c:yVal>
            <c:numRef>
              <c:f>'7.Sensitivity Analysis'!$C$24:$C$31</c:f>
              <c:numCache>
                <c:formatCode>0%</c:formatCode>
                <c:ptCount val="8"/>
                <c:pt idx="0">
                  <c:v>0.60193465491228992</c:v>
                </c:pt>
                <c:pt idx="1">
                  <c:v>0.60941313354668392</c:v>
                </c:pt>
                <c:pt idx="2">
                  <c:v>0.61829051109685063</c:v>
                </c:pt>
                <c:pt idx="3">
                  <c:v>0.63024512696960266</c:v>
                </c:pt>
                <c:pt idx="4">
                  <c:v>0.63803588091459729</c:v>
                </c:pt>
                <c:pt idx="5">
                  <c:v>0.65058051977587084</c:v>
                </c:pt>
                <c:pt idx="6">
                  <c:v>0.66894425379608435</c:v>
                </c:pt>
                <c:pt idx="7">
                  <c:v>0.6866910363245341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A-4E8E-AF9E-8C9917469F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2338320"/>
        <c:axId val="602570736"/>
      </c:scatterChart>
      <c:valAx>
        <c:axId val="923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Rate of Increase of Recyclables Export Market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70736"/>
        <c:crosses val="autoZero"/>
        <c:crossBetween val="midCat"/>
      </c:valAx>
      <c:valAx>
        <c:axId val="6025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Overall Recycling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/>
              <a:t>Sensitivity Analysis by varying recycling rate of Plastic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'7.Sensitivity Analysis'!$B$56:$B$61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xVal>
          <c:yVal>
            <c:numRef>
              <c:f>'7.Sensitivity Analysis'!$C$56:$C$61</c:f>
              <c:numCache>
                <c:formatCode>0%</c:formatCode>
                <c:ptCount val="6"/>
                <c:pt idx="0">
                  <c:v>0.58193836792933973</c:v>
                </c:pt>
                <c:pt idx="1">
                  <c:v>0.59222237998245086</c:v>
                </c:pt>
                <c:pt idx="2">
                  <c:v>0.60651249369465565</c:v>
                </c:pt>
                <c:pt idx="3">
                  <c:v>0.61509664727210445</c:v>
                </c:pt>
                <c:pt idx="4">
                  <c:v>0.62940058252554509</c:v>
                </c:pt>
                <c:pt idx="5">
                  <c:v>0.64115917950861634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D-4874-8D65-FC273EAA92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564432"/>
        <c:axId val="602575200"/>
      </c:scatterChart>
      <c:valAx>
        <c:axId val="1735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Recycling Rate of Plastic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75200"/>
        <c:crosses val="autoZero"/>
        <c:crossBetween val="midCat"/>
      </c:valAx>
      <c:valAx>
        <c:axId val="6025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Overall Recycling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Trade-Off Overall Recycling Rate vs Incinerated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'8.Tradeoff Analysis'!$G$24</c:f>
              <c:strCache>
                <c:ptCount val="1"/>
                <c:pt idx="0">
                  <c:v>Overall Recycling 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'8.Tradeoff Analysis'!$F$25:$F$29</c:f>
              <c:numCache>
                <c:formatCode>0%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'8.Tradeoff Analysis'!$G$25:$G$29</c:f>
              <c:numCache>
                <c:formatCode>0%</c:formatCode>
                <c:ptCount val="5"/>
                <c:pt idx="0">
                  <c:v>0.58429533062698458</c:v>
                </c:pt>
                <c:pt idx="1">
                  <c:v>0.58957674627349532</c:v>
                </c:pt>
                <c:pt idx="2">
                  <c:v>0.59840653169215174</c:v>
                </c:pt>
                <c:pt idx="3">
                  <c:v>0.6014457676771201</c:v>
                </c:pt>
                <c:pt idx="4">
                  <c:v>0.61136156968297384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E-4186-8B83-A3C73BE3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871791"/>
        <c:axId val="1900401183"/>
      </c:lineChart>
      <c:lineChart>
        <c:grouping val="standard"/>
        <c:varyColors val="0"/>
        <c:ser>
          <c:idx val="1"/>
          <c:order val="1"/>
          <c:tx>
            <c:strRef>
              <c:f>'8.Tradeoff Analysis'!$H$24</c:f>
              <c:strCache>
                <c:ptCount val="1"/>
                <c:pt idx="0">
                  <c:v>Incinerated Energy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'8.Tradeoff Analysis'!$F$25:$F$29</c:f>
              <c:numCache>
                <c:formatCode>0%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'8.Tradeoff Analysis'!$H$25:$H$29</c:f>
              <c:numCache>
                <c:formatCode>_(* #,##0_);_(* \(#,##0\);_(* "-"??_);_(@_)</c:formatCode>
                <c:ptCount val="5"/>
                <c:pt idx="0">
                  <c:v>2170398.6088133524</c:v>
                </c:pt>
                <c:pt idx="1">
                  <c:v>2105477.1654702364</c:v>
                </c:pt>
                <c:pt idx="2">
                  <c:v>2044931.3943147636</c:v>
                </c:pt>
                <c:pt idx="3">
                  <c:v>1885947.4464102462</c:v>
                </c:pt>
                <c:pt idx="4">
                  <c:v>1773397.3903494244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E-4186-8B83-A3C73BE3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34591"/>
        <c:axId val="1910017007"/>
      </c:lineChart>
      <c:catAx>
        <c:axId val="19088717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01183"/>
        <c:crosses val="autoZero"/>
        <c:auto val="1"/>
        <c:lblAlgn val="ctr"/>
        <c:lblOffset val="100"/>
        <c:noMultiLvlLbl val="0"/>
      </c:catAx>
      <c:valAx>
        <c:axId val="19004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71791"/>
        <c:crosses val="autoZero"/>
        <c:crossBetween val="between"/>
      </c:valAx>
      <c:valAx>
        <c:axId val="1910017007"/>
        <c:scaling>
          <c:orientation val="minMax"/>
        </c:scaling>
        <c:delete val="0"/>
        <c:axPos val="r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134591"/>
        <c:crosses val="max"/>
        <c:crossBetween val="between"/>
      </c:valAx>
      <c:catAx>
        <c:axId val="162413459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9100170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12</xdr:row>
      <xdr:rowOff>76200</xdr:rowOff>
    </xdr:from>
    <xdr:to>
      <xdr:col>11</xdr:col>
      <xdr:colOff>175260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D1D5F-C267-454D-9927-D2DC3A194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42333</xdr:colOff>
      <xdr:row>117</xdr:row>
      <xdr:rowOff>25400</xdr:rowOff>
    </xdr:from>
    <xdr:to>
      <xdr:col>13</xdr:col>
      <xdr:colOff>787400</xdr:colOff>
      <xdr:row>132</xdr:row>
      <xdr:rowOff>16934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30A16-B27E-49C5-BB6F-0EBBF7B85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19</xdr:row>
      <xdr:rowOff>60960</xdr:rowOff>
    </xdr:from>
    <xdr:to>
      <xdr:col>14</xdr:col>
      <xdr:colOff>426720</xdr:colOff>
      <xdr:row>32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61956-829F-7D94-3A76-1DE06C792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365760</xdr:colOff>
      <xdr:row>50</xdr:row>
      <xdr:rowOff>167640</xdr:rowOff>
    </xdr:from>
    <xdr:to>
      <xdr:col>14</xdr:col>
      <xdr:colOff>335280</xdr:colOff>
      <xdr:row>64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E00FB4-3D51-5E2B-6632-DFA301841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944880</xdr:colOff>
      <xdr:row>22</xdr:row>
      <xdr:rowOff>34290</xdr:rowOff>
    </xdr:from>
    <xdr:to>
      <xdr:col>9</xdr:col>
      <xdr:colOff>220980</xdr:colOff>
      <xdr:row>37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209AA-2093-493F-BE22-3B1C27DE5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yush\Downloads\PROJECT%20WASTE%20GENERATED%20(1).xlsx" TargetMode="External"/><Relationship Id="rId1" Type="http://schemas.openxmlformats.org/officeDocument/2006/relationships/externalLinkPath" Target="PROJECT%20WASTE%20GENERATE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pulation"/>
      <sheetName val="Tourist"/>
      <sheetName val="Waste Generated"/>
      <sheetName val="SENSITIVITY (3)"/>
      <sheetName val="RR of Food"/>
      <sheetName val="Budget influencing Food RR"/>
      <sheetName val="RR of Paper"/>
      <sheetName val="Plastic"/>
      <sheetName val="Recycling Rate-ACTUAL CALCULATI"/>
      <sheetName val="SOLVER"/>
      <sheetName val="sensitivity 2"/>
      <sheetName val="Solver 2"/>
      <sheetName val="Final SOlver analysis"/>
      <sheetName val="SENSITIVITY (2)"/>
      <sheetName val="Energy Produced"/>
      <sheetName val="N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 t="str">
            <v>RR of paper</v>
          </cell>
        </row>
        <row r="6">
          <cell r="C6">
            <v>1889000</v>
          </cell>
          <cell r="D6">
            <v>0.51</v>
          </cell>
        </row>
        <row r="7">
          <cell r="C7">
            <v>1757000</v>
          </cell>
          <cell r="D7">
            <v>0.51</v>
          </cell>
        </row>
        <row r="8">
          <cell r="C8">
            <v>1637000</v>
          </cell>
          <cell r="D8">
            <v>0.5</v>
          </cell>
        </row>
        <row r="9">
          <cell r="C9">
            <v>1439000</v>
          </cell>
          <cell r="D9">
            <v>0.44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H3" t="str">
            <v>Energy Produced(MWh)</v>
          </cell>
        </row>
        <row r="4">
          <cell r="F4">
            <v>2969000</v>
          </cell>
          <cell r="H4">
            <v>1162408</v>
          </cell>
        </row>
        <row r="5">
          <cell r="F5">
            <v>2985000</v>
          </cell>
          <cell r="H5">
            <v>1173202</v>
          </cell>
        </row>
        <row r="6">
          <cell r="F6">
            <v>2840000</v>
          </cell>
          <cell r="H6">
            <v>1060607</v>
          </cell>
        </row>
        <row r="7">
          <cell r="F7">
            <v>3118000</v>
          </cell>
          <cell r="H7">
            <v>1177668</v>
          </cell>
        </row>
        <row r="8">
          <cell r="F8">
            <v>3197000</v>
          </cell>
          <cell r="H8">
            <v>1502487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62B-9AA2-4696-91F3-8DBD3E12F274}">
  <dimension ref="C1:E13"/>
  <sheetViews>
    <sheetView showGridLines="0" topLeftCell="B1" workbookViewId="0">
      <selection activeCell="D11" sqref="D11"/>
    </sheetView>
  </sheetViews>
  <sheetFormatPr defaultRowHeight="14.4" x14ac:dyDescent="0.3"/>
  <cols>
    <col min="3" max="3" width="10.5546875" bestFit="1" customWidth="1"/>
    <col min="4" max="4" width="28.77734375" bestFit="1" customWidth="1"/>
    <col min="5" max="5" width="6.33203125" bestFit="1" customWidth="1"/>
  </cols>
  <sheetData>
    <row r="1" spans="3:5" ht="15.6" x14ac:dyDescent="0.3">
      <c r="C1" s="4" t="s">
        <v>0</v>
      </c>
    </row>
    <row r="5" spans="3:5" x14ac:dyDescent="0.3">
      <c r="C5" s="5" t="s">
        <v>1</v>
      </c>
      <c r="D5" s="5" t="s">
        <v>2</v>
      </c>
      <c r="E5" s="5" t="s">
        <v>3</v>
      </c>
    </row>
    <row r="6" spans="3:5" x14ac:dyDescent="0.3">
      <c r="C6" s="2">
        <v>1</v>
      </c>
      <c r="D6" s="2" t="s">
        <v>96</v>
      </c>
      <c r="E6" s="14" t="s">
        <v>101</v>
      </c>
    </row>
    <row r="7" spans="3:5" x14ac:dyDescent="0.3">
      <c r="C7" s="2">
        <v>2</v>
      </c>
      <c r="D7" s="2" t="s">
        <v>97</v>
      </c>
      <c r="E7" s="14" t="s">
        <v>102</v>
      </c>
    </row>
    <row r="8" spans="3:5" x14ac:dyDescent="0.3">
      <c r="C8" s="2">
        <v>3</v>
      </c>
      <c r="D8" s="2" t="s">
        <v>69</v>
      </c>
      <c r="E8" s="77" t="s">
        <v>103</v>
      </c>
    </row>
    <row r="9" spans="3:5" x14ac:dyDescent="0.3">
      <c r="C9" s="2">
        <v>4</v>
      </c>
      <c r="D9" s="2" t="s">
        <v>92</v>
      </c>
      <c r="E9" s="77" t="s">
        <v>104</v>
      </c>
    </row>
    <row r="10" spans="3:5" x14ac:dyDescent="0.3">
      <c r="C10" s="2">
        <v>5</v>
      </c>
      <c r="D10" s="2" t="s">
        <v>98</v>
      </c>
      <c r="E10" s="77" t="s">
        <v>105</v>
      </c>
    </row>
    <row r="11" spans="3:5" x14ac:dyDescent="0.3">
      <c r="C11" s="2">
        <v>6</v>
      </c>
      <c r="D11" s="76" t="s">
        <v>99</v>
      </c>
      <c r="E11" s="77" t="s">
        <v>106</v>
      </c>
    </row>
    <row r="12" spans="3:5" x14ac:dyDescent="0.3">
      <c r="C12" s="2">
        <v>7</v>
      </c>
      <c r="D12" s="2" t="s">
        <v>6</v>
      </c>
      <c r="E12" s="77" t="s">
        <v>107</v>
      </c>
    </row>
    <row r="13" spans="3:5" x14ac:dyDescent="0.3">
      <c r="C13" s="2">
        <v>8</v>
      </c>
      <c r="D13" s="2" t="s">
        <v>100</v>
      </c>
      <c r="E13" s="77" t="s">
        <v>108</v>
      </c>
    </row>
  </sheetData>
  <hyperlinks>
    <hyperlink ref="E6" location="'1.Data Sources'!A1" display="Page 1" xr:uid="{FDCF5260-D365-42C2-AF25-E36D0E06FB61}"/>
    <hyperlink ref="E7" location="'2. Decisions &amp; Parameters'!A1" display="Page 2" xr:uid="{ABA6DE59-A211-4C02-9DF9-E6953F718521}"/>
    <hyperlink ref="E8" location="'3. Consequence Variables'!A1" display="Page 3" xr:uid="{09DDD9D3-2E81-443F-8981-32B99BC0E2BA}"/>
    <hyperlink ref="E9" location="'4. Secondary Perf Variables'!A1" display="Page 4" xr:uid="{7B729805-7AB6-4585-BC98-49CB46A8B15A}"/>
    <hyperlink ref="E10" location="'5.As-is Analysis'!A1" display="Page 5" xr:uid="{4DC50C11-F530-4B85-BAD3-B56126949E9C}"/>
    <hyperlink ref="E11" location="'Solver Analysis'!A1" display="Page 6" xr:uid="{00E6C93A-A11E-422D-9FBA-E519A5A67796}"/>
    <hyperlink ref="E12" location="'Sensitivity Analysis'!A1" display="Page 7" xr:uid="{694DBDEB-3B78-4D59-88EE-0F9CFBC5E391}"/>
    <hyperlink ref="E13" location="'Tradeoff Analysis'!A1" display="Page 8" xr:uid="{6383E546-1EC7-4B95-8124-6BD38322B4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8FCD-936B-48B5-9B00-5DA89FCD5EBC}">
  <dimension ref="B2:AA27"/>
  <sheetViews>
    <sheetView showGridLines="0" workbookViewId="0">
      <selection activeCell="F10" sqref="F10"/>
    </sheetView>
  </sheetViews>
  <sheetFormatPr defaultRowHeight="14.4" x14ac:dyDescent="0.3"/>
  <cols>
    <col min="2" max="2" width="5" bestFit="1" customWidth="1"/>
    <col min="3" max="3" width="5.44140625" bestFit="1" customWidth="1"/>
    <col min="4" max="4" width="6.33203125" bestFit="1" customWidth="1"/>
    <col min="5" max="5" width="5.88671875" bestFit="1" customWidth="1"/>
    <col min="6" max="6" width="6.6640625" bestFit="1" customWidth="1"/>
    <col min="7" max="7" width="5.77734375" bestFit="1" customWidth="1"/>
    <col min="8" max="8" width="8.21875" customWidth="1"/>
    <col min="9" max="9" width="9.6640625" customWidth="1"/>
    <col min="10" max="13" width="10" bestFit="1" customWidth="1"/>
    <col min="15" max="15" width="5" bestFit="1" customWidth="1"/>
    <col min="16" max="16" width="10.21875" bestFit="1" customWidth="1"/>
    <col min="17" max="17" width="11.88671875" customWidth="1"/>
    <col min="19" max="19" width="5" bestFit="1" customWidth="1"/>
    <col min="20" max="20" width="23.88671875" bestFit="1" customWidth="1"/>
    <col min="21" max="21" width="20.33203125" bestFit="1" customWidth="1"/>
    <col min="23" max="23" width="5" bestFit="1" customWidth="1"/>
    <col min="24" max="24" width="21.77734375" bestFit="1" customWidth="1"/>
    <col min="26" max="26" width="5" bestFit="1" customWidth="1"/>
    <col min="27" max="27" width="33.21875" bestFit="1" customWidth="1"/>
  </cols>
  <sheetData>
    <row r="2" spans="2:27" x14ac:dyDescent="0.3">
      <c r="B2" s="84" t="s">
        <v>22</v>
      </c>
      <c r="C2" s="84"/>
      <c r="D2" s="84"/>
      <c r="E2" s="84"/>
      <c r="F2" s="84"/>
      <c r="G2" s="84"/>
      <c r="I2" s="84" t="s">
        <v>89</v>
      </c>
      <c r="J2" s="84"/>
      <c r="K2" s="84"/>
      <c r="L2" s="84"/>
      <c r="M2" s="84"/>
      <c r="O2" s="84" t="s">
        <v>90</v>
      </c>
      <c r="P2" s="84"/>
      <c r="Q2" s="84"/>
      <c r="S2" s="84" t="s">
        <v>111</v>
      </c>
      <c r="T2" s="84"/>
      <c r="U2" s="84"/>
      <c r="W2" s="84" t="s">
        <v>110</v>
      </c>
      <c r="X2" s="84"/>
      <c r="Z2" s="84" t="s">
        <v>109</v>
      </c>
      <c r="AA2" s="84"/>
    </row>
    <row r="4" spans="2:27" x14ac:dyDescent="0.3">
      <c r="B4" s="85" t="s">
        <v>7</v>
      </c>
      <c r="C4" s="86" t="s">
        <v>22</v>
      </c>
      <c r="D4" s="86"/>
      <c r="E4" s="86"/>
      <c r="F4" s="86"/>
      <c r="G4" s="86"/>
      <c r="I4" s="87" t="s">
        <v>30</v>
      </c>
      <c r="J4" s="87"/>
      <c r="K4" s="87"/>
      <c r="L4" s="87"/>
      <c r="M4" s="87"/>
      <c r="O4" s="43" t="s">
        <v>7</v>
      </c>
      <c r="P4" s="43" t="s">
        <v>8</v>
      </c>
      <c r="Q4" s="43" t="s">
        <v>31</v>
      </c>
      <c r="S4" s="78" t="s">
        <v>7</v>
      </c>
      <c r="T4" s="78" t="s">
        <v>75</v>
      </c>
      <c r="U4" s="78" t="s">
        <v>76</v>
      </c>
      <c r="W4" s="81" t="s">
        <v>7</v>
      </c>
      <c r="X4" s="81" t="s">
        <v>85</v>
      </c>
      <c r="Z4" s="80" t="s">
        <v>7</v>
      </c>
      <c r="AA4" s="79" t="s">
        <v>21</v>
      </c>
    </row>
    <row r="5" spans="2:27" x14ac:dyDescent="0.3">
      <c r="B5" s="85"/>
      <c r="C5" s="18" t="s">
        <v>23</v>
      </c>
      <c r="D5" s="18" t="s">
        <v>24</v>
      </c>
      <c r="E5" s="18" t="s">
        <v>25</v>
      </c>
      <c r="F5" s="18" t="s">
        <v>26</v>
      </c>
      <c r="G5" s="18" t="s">
        <v>27</v>
      </c>
      <c r="I5" s="23" t="s">
        <v>23</v>
      </c>
      <c r="J5" s="23" t="s">
        <v>24</v>
      </c>
      <c r="K5" s="23" t="s">
        <v>25</v>
      </c>
      <c r="L5" s="23" t="s">
        <v>26</v>
      </c>
      <c r="M5" s="23" t="s">
        <v>27</v>
      </c>
      <c r="O5" s="2">
        <v>2001</v>
      </c>
      <c r="P5" s="6">
        <v>4138012</v>
      </c>
      <c r="Q5" s="6">
        <v>7522163</v>
      </c>
      <c r="S5" s="2">
        <v>2018</v>
      </c>
      <c r="T5" s="35">
        <v>2969000</v>
      </c>
      <c r="U5" s="35">
        <v>1162408</v>
      </c>
      <c r="W5" s="68">
        <v>2008</v>
      </c>
      <c r="X5" s="68">
        <v>325</v>
      </c>
      <c r="Z5" s="68">
        <v>2015</v>
      </c>
      <c r="AA5" s="69">
        <v>1889000</v>
      </c>
    </row>
    <row r="6" spans="2:27" x14ac:dyDescent="0.3">
      <c r="B6" s="16">
        <v>2003</v>
      </c>
      <c r="C6" s="17">
        <v>0.11</v>
      </c>
      <c r="D6" s="17">
        <v>0.09</v>
      </c>
      <c r="E6" s="17">
        <v>0.48</v>
      </c>
      <c r="F6" s="17">
        <v>0.9</v>
      </c>
      <c r="G6" s="17">
        <v>0.7</v>
      </c>
      <c r="I6" s="30">
        <v>548000</v>
      </c>
      <c r="J6" s="30">
        <v>579900</v>
      </c>
      <c r="K6" s="30">
        <v>1084700</v>
      </c>
      <c r="L6" s="30">
        <v>950600</v>
      </c>
      <c r="M6" s="30">
        <v>1565000</v>
      </c>
      <c r="O6" s="2">
        <v>2002</v>
      </c>
      <c r="P6" s="6">
        <v>4175950</v>
      </c>
      <c r="Q6" s="6">
        <v>7566832</v>
      </c>
      <c r="S6" s="2">
        <v>2019</v>
      </c>
      <c r="T6" s="35">
        <v>2985000</v>
      </c>
      <c r="U6" s="35">
        <v>1173202</v>
      </c>
      <c r="W6" s="68">
        <v>2009</v>
      </c>
      <c r="X6" s="68">
        <v>323.10000000000002</v>
      </c>
      <c r="Z6" s="68">
        <v>2016</v>
      </c>
      <c r="AA6" s="69">
        <v>1757000</v>
      </c>
    </row>
    <row r="7" spans="2:27" x14ac:dyDescent="0.3">
      <c r="B7" s="16">
        <v>2004</v>
      </c>
      <c r="C7" s="17">
        <v>0.1</v>
      </c>
      <c r="D7" s="17">
        <v>0.08</v>
      </c>
      <c r="E7" s="17">
        <v>0.45</v>
      </c>
      <c r="F7" s="17">
        <v>0.91</v>
      </c>
      <c r="G7" s="17">
        <v>0.71</v>
      </c>
      <c r="I7" s="30">
        <v>531100</v>
      </c>
      <c r="J7" s="30">
        <v>683100</v>
      </c>
      <c r="K7" s="30">
        <v>1132100</v>
      </c>
      <c r="L7" s="30">
        <v>807100</v>
      </c>
      <c r="M7" s="30">
        <v>1636300</v>
      </c>
      <c r="O7" s="2">
        <v>2003</v>
      </c>
      <c r="P7" s="6">
        <v>4114826</v>
      </c>
      <c r="Q7" s="6">
        <v>6126948</v>
      </c>
      <c r="S7" s="2">
        <v>2020</v>
      </c>
      <c r="T7" s="35">
        <v>2840000</v>
      </c>
      <c r="U7" s="35">
        <v>1060607</v>
      </c>
      <c r="W7" s="68">
        <v>2010</v>
      </c>
      <c r="X7" s="68">
        <v>406</v>
      </c>
      <c r="Z7" s="68">
        <v>2017</v>
      </c>
      <c r="AA7" s="69">
        <v>1637000</v>
      </c>
    </row>
    <row r="8" spans="2:27" x14ac:dyDescent="0.3">
      <c r="B8" s="16">
        <v>2005</v>
      </c>
      <c r="C8" s="17">
        <v>0.12</v>
      </c>
      <c r="D8" s="17">
        <v>0.05</v>
      </c>
      <c r="E8" s="17">
        <v>0.44</v>
      </c>
      <c r="F8" s="17">
        <v>0.9</v>
      </c>
      <c r="G8" s="17">
        <v>0.72</v>
      </c>
      <c r="I8" s="30">
        <v>531500</v>
      </c>
      <c r="J8" s="30">
        <v>674800</v>
      </c>
      <c r="K8" s="30">
        <v>1098600</v>
      </c>
      <c r="L8" s="30">
        <v>907700</v>
      </c>
      <c r="M8" s="30">
        <v>1805600</v>
      </c>
      <c r="O8" s="2">
        <v>2004</v>
      </c>
      <c r="P8" s="6">
        <v>4166664</v>
      </c>
      <c r="Q8" s="6">
        <v>8328644</v>
      </c>
      <c r="S8" s="2">
        <v>2021</v>
      </c>
      <c r="T8" s="35">
        <v>3118000</v>
      </c>
      <c r="U8" s="35">
        <v>1177668</v>
      </c>
      <c r="W8" s="68">
        <v>2011</v>
      </c>
      <c r="X8" s="68">
        <v>349</v>
      </c>
      <c r="Z8" s="68">
        <v>2018</v>
      </c>
      <c r="AA8" s="69">
        <v>1579000</v>
      </c>
    </row>
    <row r="9" spans="2:27" x14ac:dyDescent="0.3">
      <c r="B9" s="16">
        <v>2006</v>
      </c>
      <c r="C9" s="17">
        <v>0.15</v>
      </c>
      <c r="D9" s="17">
        <v>0.09</v>
      </c>
      <c r="E9" s="17">
        <v>0.5</v>
      </c>
      <c r="F9" s="17">
        <v>0.92</v>
      </c>
      <c r="G9" s="17">
        <v>0.67</v>
      </c>
      <c r="I9" s="30">
        <v>542700</v>
      </c>
      <c r="J9" s="30">
        <v>656800</v>
      </c>
      <c r="K9" s="30">
        <v>1116300</v>
      </c>
      <c r="L9" s="30">
        <v>812600</v>
      </c>
      <c r="M9" s="30">
        <v>2092100</v>
      </c>
      <c r="O9" s="2">
        <v>2005</v>
      </c>
      <c r="P9" s="6">
        <v>4265762</v>
      </c>
      <c r="Q9" s="6">
        <v>8943021</v>
      </c>
      <c r="S9" s="2">
        <v>2022</v>
      </c>
      <c r="T9" s="35">
        <v>3197000</v>
      </c>
      <c r="U9" s="35">
        <v>1502487</v>
      </c>
      <c r="W9" s="68">
        <v>2012</v>
      </c>
      <c r="X9" s="68">
        <v>352.3</v>
      </c>
      <c r="Z9" s="68">
        <v>2019</v>
      </c>
      <c r="AA9" s="69">
        <v>1439000</v>
      </c>
    </row>
    <row r="10" spans="2:27" x14ac:dyDescent="0.3">
      <c r="B10" s="16">
        <v>2007</v>
      </c>
      <c r="C10" s="17">
        <v>0.13</v>
      </c>
      <c r="D10" s="17">
        <v>0.08</v>
      </c>
      <c r="E10" s="17">
        <v>0.51</v>
      </c>
      <c r="F10" s="17">
        <v>0.93</v>
      </c>
      <c r="G10" s="17">
        <v>0.7</v>
      </c>
      <c r="I10" s="30">
        <v>558900</v>
      </c>
      <c r="J10" s="30">
        <v>659800</v>
      </c>
      <c r="K10" s="30">
        <v>1202900</v>
      </c>
      <c r="L10" s="30">
        <v>828800</v>
      </c>
      <c r="M10" s="30">
        <v>2350400</v>
      </c>
      <c r="O10" s="2">
        <v>2006</v>
      </c>
      <c r="P10" s="6">
        <v>4401365</v>
      </c>
      <c r="Q10" s="6">
        <v>9751141</v>
      </c>
      <c r="W10" s="68">
        <v>2013</v>
      </c>
      <c r="X10" s="68">
        <v>325.2</v>
      </c>
    </row>
    <row r="11" spans="2:27" x14ac:dyDescent="0.3">
      <c r="B11" s="16">
        <v>2008</v>
      </c>
      <c r="C11" s="17">
        <v>0.12</v>
      </c>
      <c r="D11" s="17">
        <v>0.09</v>
      </c>
      <c r="E11" s="17">
        <v>0.48</v>
      </c>
      <c r="F11" s="17">
        <f>0.9277</f>
        <v>0.92769999999999997</v>
      </c>
      <c r="G11" s="17">
        <v>0.69616342680332621</v>
      </c>
      <c r="I11" s="31">
        <v>568000</v>
      </c>
      <c r="J11" s="31">
        <v>684400</v>
      </c>
      <c r="K11" s="31">
        <v>1262500</v>
      </c>
      <c r="L11" s="31">
        <v>869800</v>
      </c>
      <c r="M11" s="31">
        <v>2585500</v>
      </c>
      <c r="O11" s="2">
        <v>2007</v>
      </c>
      <c r="P11" s="6">
        <v>4588599</v>
      </c>
      <c r="Q11" s="6">
        <v>10284545</v>
      </c>
      <c r="W11" s="68">
        <v>2014</v>
      </c>
      <c r="X11" s="68">
        <v>427.3</v>
      </c>
    </row>
    <row r="12" spans="2:27" x14ac:dyDescent="0.3">
      <c r="B12" s="16">
        <v>2009</v>
      </c>
      <c r="C12" s="17">
        <v>0.13</v>
      </c>
      <c r="D12" s="17">
        <v>0.09</v>
      </c>
      <c r="E12" s="17">
        <v>0.48</v>
      </c>
      <c r="F12" s="17">
        <f>0.9183</f>
        <v>0.91830000000000001</v>
      </c>
      <c r="G12" s="17">
        <v>0.71202318021201405</v>
      </c>
      <c r="I12" s="31">
        <v>606100</v>
      </c>
      <c r="J12" s="31">
        <v>688900</v>
      </c>
      <c r="K12" s="31">
        <v>1201000</v>
      </c>
      <c r="L12" s="31">
        <v>929600</v>
      </c>
      <c r="M12" s="31">
        <v>2688500</v>
      </c>
      <c r="O12" s="2">
        <v>2008</v>
      </c>
      <c r="P12" s="6">
        <v>4839396</v>
      </c>
      <c r="Q12" s="6">
        <v>10116054</v>
      </c>
      <c r="W12" s="68">
        <v>2015</v>
      </c>
      <c r="X12" s="68">
        <v>567.29999999999995</v>
      </c>
    </row>
    <row r="13" spans="2:27" x14ac:dyDescent="0.3">
      <c r="B13" s="16">
        <v>2010</v>
      </c>
      <c r="C13" s="17">
        <v>0.16</v>
      </c>
      <c r="D13" s="17">
        <v>0.11</v>
      </c>
      <c r="E13" s="17">
        <v>0.53</v>
      </c>
      <c r="F13" s="17">
        <f>0.9378</f>
        <v>0.93779999999999997</v>
      </c>
      <c r="G13" s="17">
        <v>0.66325440718417528</v>
      </c>
      <c r="I13" s="31">
        <v>640500</v>
      </c>
      <c r="J13" s="31">
        <v>740400</v>
      </c>
      <c r="K13" s="31">
        <v>1383900</v>
      </c>
      <c r="L13" s="31">
        <v>1280100</v>
      </c>
      <c r="M13" s="31">
        <v>2472100</v>
      </c>
      <c r="O13" s="2">
        <v>2009</v>
      </c>
      <c r="P13" s="6">
        <v>4987573</v>
      </c>
      <c r="Q13" s="6">
        <v>9682690</v>
      </c>
      <c r="W13" s="68">
        <v>2016</v>
      </c>
      <c r="X13" s="68">
        <v>683.8</v>
      </c>
    </row>
    <row r="14" spans="2:27" x14ac:dyDescent="0.3">
      <c r="B14" s="16">
        <v>2011</v>
      </c>
      <c r="C14" s="17">
        <v>0.1</v>
      </c>
      <c r="D14" s="17">
        <v>0.11</v>
      </c>
      <c r="E14" s="17">
        <v>0.56000000000000005</v>
      </c>
      <c r="F14" s="17">
        <f>0.9394</f>
        <v>0.93940000000000001</v>
      </c>
      <c r="G14" s="17">
        <v>0.66910126216050048</v>
      </c>
      <c r="I14" s="31">
        <v>675500</v>
      </c>
      <c r="J14" s="31">
        <v>733000</v>
      </c>
      <c r="K14" s="31">
        <v>1368200</v>
      </c>
      <c r="L14" s="31">
        <v>1356500</v>
      </c>
      <c r="M14" s="31">
        <v>2765100</v>
      </c>
      <c r="O14" s="2">
        <v>2010</v>
      </c>
      <c r="P14" s="6">
        <v>5076732</v>
      </c>
      <c r="Q14" s="6">
        <v>11641701</v>
      </c>
      <c r="W14" s="68">
        <v>2017</v>
      </c>
      <c r="X14" s="68">
        <v>1549</v>
      </c>
    </row>
    <row r="15" spans="2:27" x14ac:dyDescent="0.3">
      <c r="B15" s="16">
        <v>2012</v>
      </c>
      <c r="C15" s="17">
        <v>0.12</v>
      </c>
      <c r="D15" s="17">
        <v>0.1</v>
      </c>
      <c r="E15" s="17">
        <v>0.56000000000000005</v>
      </c>
      <c r="F15" s="17">
        <f>0.9469</f>
        <v>0.94689999999999996</v>
      </c>
      <c r="G15" s="17">
        <v>0.67990852318145489</v>
      </c>
      <c r="I15" s="31">
        <v>703200</v>
      </c>
      <c r="J15" s="31">
        <v>803400</v>
      </c>
      <c r="K15" s="31">
        <v>1252000</v>
      </c>
      <c r="L15" s="31">
        <v>1508500</v>
      </c>
      <c r="M15" s="31">
        <v>3002400</v>
      </c>
      <c r="O15" s="2">
        <v>2011</v>
      </c>
      <c r="P15" s="6">
        <v>5183688</v>
      </c>
      <c r="Q15" s="6">
        <v>13171303</v>
      </c>
      <c r="W15" s="68">
        <v>2018</v>
      </c>
      <c r="X15" s="68">
        <v>839.1</v>
      </c>
    </row>
    <row r="16" spans="2:27" x14ac:dyDescent="0.3">
      <c r="B16" s="16">
        <v>2013</v>
      </c>
      <c r="C16" s="17">
        <v>0.13</v>
      </c>
      <c r="D16" s="17">
        <v>0.11</v>
      </c>
      <c r="E16" s="17">
        <v>0.54</v>
      </c>
      <c r="F16" s="17">
        <f>0.9562</f>
        <v>0.95620000000000005</v>
      </c>
      <c r="G16" s="17">
        <v>0.72314566562106053</v>
      </c>
      <c r="I16" s="31">
        <v>796000</v>
      </c>
      <c r="J16" s="31">
        <v>832200</v>
      </c>
      <c r="K16" s="31">
        <v>1261100</v>
      </c>
      <c r="L16" s="31">
        <v>1551100</v>
      </c>
      <c r="M16" s="31">
        <v>3411100</v>
      </c>
      <c r="O16" s="2">
        <v>2012</v>
      </c>
      <c r="P16" s="6">
        <v>5312437</v>
      </c>
      <c r="Q16" s="6">
        <v>14496092</v>
      </c>
      <c r="W16" s="68">
        <v>2019</v>
      </c>
      <c r="X16" s="68">
        <v>1075.9000000000001</v>
      </c>
    </row>
    <row r="17" spans="2:24" x14ac:dyDescent="0.3">
      <c r="B17" s="16">
        <v>2014</v>
      </c>
      <c r="C17" s="17">
        <v>0.13</v>
      </c>
      <c r="D17" s="17">
        <v>0.09</v>
      </c>
      <c r="E17" s="17">
        <v>0.52</v>
      </c>
      <c r="F17" s="17">
        <f>0.9484</f>
        <v>0.94840000000000002</v>
      </c>
      <c r="G17" s="17">
        <v>0.70808519245875878</v>
      </c>
      <c r="I17" s="31">
        <v>788600</v>
      </c>
      <c r="J17" s="31">
        <v>869000</v>
      </c>
      <c r="K17" s="31">
        <v>1237400</v>
      </c>
      <c r="L17" s="31">
        <v>1564300</v>
      </c>
      <c r="M17" s="31">
        <v>3055200</v>
      </c>
      <c r="O17" s="2">
        <v>2013</v>
      </c>
      <c r="P17" s="6">
        <v>5399162</v>
      </c>
      <c r="Q17" s="6">
        <v>15567923</v>
      </c>
      <c r="W17" s="68">
        <v>2020</v>
      </c>
      <c r="X17" s="68">
        <v>707.5</v>
      </c>
    </row>
    <row r="18" spans="2:24" x14ac:dyDescent="0.3">
      <c r="B18" s="16">
        <v>2015</v>
      </c>
      <c r="C18" s="17">
        <v>0.13</v>
      </c>
      <c r="D18" s="17">
        <v>7.0000000000000007E-2</v>
      </c>
      <c r="E18" s="17">
        <v>0.51</v>
      </c>
      <c r="F18" s="17">
        <f>0.9772</f>
        <v>0.97719999999999996</v>
      </c>
      <c r="G18" s="17">
        <v>0.71444963652137483</v>
      </c>
      <c r="I18" s="31">
        <v>785500</v>
      </c>
      <c r="J18" s="31">
        <v>824600</v>
      </c>
      <c r="K18" s="31">
        <v>1192200</v>
      </c>
      <c r="L18" s="31">
        <v>1528500</v>
      </c>
      <c r="M18" s="31">
        <v>3342700</v>
      </c>
      <c r="O18" s="2">
        <v>2014</v>
      </c>
      <c r="P18" s="6">
        <v>5469724</v>
      </c>
      <c r="Q18" s="6">
        <v>15095152</v>
      </c>
      <c r="W18" s="68">
        <v>2021</v>
      </c>
      <c r="X18" s="68">
        <v>905</v>
      </c>
    </row>
    <row r="19" spans="2:24" x14ac:dyDescent="0.3">
      <c r="B19" s="16">
        <v>2016</v>
      </c>
      <c r="C19" s="17">
        <v>0.14000000000000001</v>
      </c>
      <c r="D19" s="17">
        <v>7.0000000000000007E-2</v>
      </c>
      <c r="E19" s="17">
        <v>0.51</v>
      </c>
      <c r="F19" s="17">
        <f>0.9949</f>
        <v>0.99490000000000001</v>
      </c>
      <c r="G19" s="17">
        <v>0.71566119499326442</v>
      </c>
      <c r="I19" s="31">
        <v>791000</v>
      </c>
      <c r="J19" s="31">
        <v>822200</v>
      </c>
      <c r="K19" s="31">
        <v>1183100</v>
      </c>
      <c r="L19" s="31">
        <v>1454700</v>
      </c>
      <c r="M19" s="31">
        <v>3563200</v>
      </c>
      <c r="O19" s="2">
        <v>2015</v>
      </c>
      <c r="P19" s="6">
        <v>5535002</v>
      </c>
      <c r="Q19" s="6">
        <v>15231469</v>
      </c>
      <c r="W19" s="68">
        <v>2022</v>
      </c>
      <c r="X19" s="68">
        <v>1012</v>
      </c>
    </row>
    <row r="20" spans="2:24" x14ac:dyDescent="0.3">
      <c r="B20" s="16">
        <v>2017</v>
      </c>
      <c r="C20" s="17">
        <v>0.16</v>
      </c>
      <c r="D20" s="17">
        <v>0.06</v>
      </c>
      <c r="E20" s="17">
        <v>0.5</v>
      </c>
      <c r="F20" s="17">
        <f t="shared" ref="F20:F25" si="0">0.9949</f>
        <v>0.99490000000000001</v>
      </c>
      <c r="G20" s="17">
        <v>0.72450514302224789</v>
      </c>
      <c r="I20" s="31">
        <v>810000</v>
      </c>
      <c r="J20" s="31">
        <v>815000</v>
      </c>
      <c r="K20" s="31">
        <v>1145000</v>
      </c>
      <c r="L20" s="31">
        <v>1473000</v>
      </c>
      <c r="M20" s="31">
        <v>3461000</v>
      </c>
      <c r="O20" s="2">
        <v>2016</v>
      </c>
      <c r="P20" s="6">
        <v>5607283</v>
      </c>
      <c r="Q20" s="6">
        <v>16403459</v>
      </c>
    </row>
    <row r="21" spans="2:24" x14ac:dyDescent="0.3">
      <c r="B21" s="16">
        <v>2018</v>
      </c>
      <c r="C21" s="17">
        <v>0.17</v>
      </c>
      <c r="D21" s="17">
        <v>0.04</v>
      </c>
      <c r="E21" s="17">
        <v>0.56000000000000005</v>
      </c>
      <c r="F21" s="17">
        <f t="shared" si="0"/>
        <v>0.99490000000000001</v>
      </c>
      <c r="G21" s="17">
        <v>0.73161666197579511</v>
      </c>
      <c r="I21" s="31">
        <v>763000</v>
      </c>
      <c r="J21" s="31">
        <v>949000</v>
      </c>
      <c r="K21" s="31">
        <v>1054000</v>
      </c>
      <c r="L21" s="31">
        <v>1440000</v>
      </c>
      <c r="M21" s="31">
        <v>3553000</v>
      </c>
      <c r="O21" s="2">
        <v>2017</v>
      </c>
      <c r="P21" s="6">
        <v>5612253</v>
      </c>
      <c r="Q21" s="6">
        <v>17424611</v>
      </c>
    </row>
    <row r="22" spans="2:24" x14ac:dyDescent="0.3">
      <c r="B22" s="16">
        <v>2019</v>
      </c>
      <c r="C22" s="17">
        <v>0.18</v>
      </c>
      <c r="D22" s="17">
        <v>0.04</v>
      </c>
      <c r="E22" s="17">
        <v>0.44</v>
      </c>
      <c r="F22" s="17">
        <f t="shared" si="0"/>
        <v>0.99490000000000001</v>
      </c>
      <c r="G22" s="17">
        <v>0.71502050799623706</v>
      </c>
      <c r="I22" s="31">
        <v>744000</v>
      </c>
      <c r="J22" s="31">
        <v>930000</v>
      </c>
      <c r="K22" s="31">
        <v>1011000</v>
      </c>
      <c r="L22" s="31">
        <v>1404000</v>
      </c>
      <c r="M22" s="31">
        <v>3189000</v>
      </c>
      <c r="O22" s="2">
        <v>2018</v>
      </c>
      <c r="P22" s="6">
        <v>5638676</v>
      </c>
      <c r="Q22" s="6">
        <v>18508302</v>
      </c>
    </row>
    <row r="23" spans="2:24" x14ac:dyDescent="0.3">
      <c r="B23" s="16">
        <v>2020</v>
      </c>
      <c r="C23" s="17">
        <v>0.19</v>
      </c>
      <c r="D23" s="17">
        <v>0.04</v>
      </c>
      <c r="E23" s="17">
        <v>0.48589799999999994</v>
      </c>
      <c r="F23" s="17">
        <f t="shared" si="0"/>
        <v>0.99490000000000001</v>
      </c>
      <c r="G23" s="17">
        <v>0.60128012215132176</v>
      </c>
      <c r="I23" s="31">
        <v>665000</v>
      </c>
      <c r="J23" s="31">
        <v>868000</v>
      </c>
      <c r="K23" s="31">
        <v>1144000</v>
      </c>
      <c r="L23" s="31">
        <v>1009000</v>
      </c>
      <c r="M23" s="31">
        <v>2194000</v>
      </c>
      <c r="O23" s="2">
        <v>2019</v>
      </c>
      <c r="P23" s="6">
        <v>5703569</v>
      </c>
      <c r="Q23" s="6">
        <v>19116016</v>
      </c>
    </row>
    <row r="24" spans="2:24" x14ac:dyDescent="0.3">
      <c r="B24" s="16">
        <v>2021</v>
      </c>
      <c r="C24" s="17">
        <v>0.19</v>
      </c>
      <c r="D24" s="17">
        <v>0.06</v>
      </c>
      <c r="E24" s="17">
        <v>0.46232718000000006</v>
      </c>
      <c r="F24" s="17">
        <f t="shared" si="0"/>
        <v>0.99490000000000001</v>
      </c>
      <c r="G24" s="17">
        <v>0.649209016297432</v>
      </c>
      <c r="I24" s="31">
        <v>817000</v>
      </c>
      <c r="J24" s="31">
        <v>982000</v>
      </c>
      <c r="K24" s="31">
        <v>1136000</v>
      </c>
      <c r="L24" s="31">
        <v>1400000</v>
      </c>
      <c r="M24" s="31">
        <v>2609000</v>
      </c>
      <c r="O24" s="2">
        <v>2020</v>
      </c>
      <c r="P24" s="6">
        <v>5685807</v>
      </c>
      <c r="Q24" s="6">
        <v>2742443</v>
      </c>
    </row>
    <row r="25" spans="2:24" x14ac:dyDescent="0.3">
      <c r="B25" s="16">
        <v>2022</v>
      </c>
      <c r="C25" s="17">
        <v>0.18</v>
      </c>
      <c r="D25" s="17">
        <v>0.06</v>
      </c>
      <c r="E25" s="17">
        <v>0.44087773380000006</v>
      </c>
      <c r="F25" s="17">
        <f t="shared" si="0"/>
        <v>0.99490000000000001</v>
      </c>
      <c r="G25" s="17">
        <v>0.67916772545882353</v>
      </c>
      <c r="I25" s="31">
        <v>813000</v>
      </c>
      <c r="J25" s="31">
        <v>1001000</v>
      </c>
      <c r="K25" s="31">
        <v>1064000</v>
      </c>
      <c r="L25" s="31">
        <v>1430000</v>
      </c>
      <c r="M25" s="31">
        <v>3077000</v>
      </c>
      <c r="O25" s="2">
        <v>2021</v>
      </c>
      <c r="P25" s="6">
        <v>5453566</v>
      </c>
      <c r="Q25" s="6">
        <v>330059</v>
      </c>
    </row>
    <row r="26" spans="2:24" x14ac:dyDescent="0.3">
      <c r="O26" s="2">
        <v>2022</v>
      </c>
      <c r="P26" s="6">
        <v>5637022</v>
      </c>
      <c r="Q26" s="6">
        <v>6305744</v>
      </c>
    </row>
    <row r="27" spans="2:24" x14ac:dyDescent="0.3">
      <c r="O27" s="2">
        <v>2023</v>
      </c>
      <c r="P27" s="6">
        <v>5917648</v>
      </c>
      <c r="Q27" s="6">
        <v>14317707.673901305</v>
      </c>
    </row>
  </sheetData>
  <mergeCells count="9">
    <mergeCell ref="O2:Q2"/>
    <mergeCell ref="W2:X2"/>
    <mergeCell ref="Z2:AA2"/>
    <mergeCell ref="S2:U2"/>
    <mergeCell ref="B4:B5"/>
    <mergeCell ref="C4:G4"/>
    <mergeCell ref="I4:M4"/>
    <mergeCell ref="B2:G2"/>
    <mergeCell ref="I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42E2-399E-4735-8ACF-CF0D1CC20F58}">
  <dimension ref="B1:AM35"/>
  <sheetViews>
    <sheetView showGridLines="0" zoomScale="90" zoomScaleNormal="90" workbookViewId="0">
      <selection activeCell="AH18" sqref="AH18"/>
    </sheetView>
  </sheetViews>
  <sheetFormatPr defaultRowHeight="14.4" outlineLevelRow="1" outlineLevelCol="1" x14ac:dyDescent="0.3"/>
  <cols>
    <col min="2" max="2" width="60.88671875" bestFit="1" customWidth="1"/>
    <col min="3" max="3" width="20.109375" bestFit="1" customWidth="1"/>
    <col min="4" max="16" width="12.6640625" hidden="1" customWidth="1" outlineLevel="1"/>
    <col min="17" max="21" width="11.44140625" hidden="1" customWidth="1" outlineLevel="1"/>
    <col min="22" max="24" width="10.44140625" hidden="1" customWidth="1" outlineLevel="1"/>
    <col min="25" max="25" width="11.44140625" hidden="1" customWidth="1" outlineLevel="1"/>
    <col min="26" max="26" width="11.44140625" bestFit="1" customWidth="1" collapsed="1"/>
    <col min="27" max="32" width="11.44140625" bestFit="1" customWidth="1"/>
    <col min="37" max="37" width="5.5546875" bestFit="1" customWidth="1"/>
    <col min="38" max="39" width="13.33203125" bestFit="1" customWidth="1"/>
  </cols>
  <sheetData>
    <row r="1" spans="2:32" ht="15.6" x14ac:dyDescent="0.3">
      <c r="B1" s="4" t="s">
        <v>4</v>
      </c>
    </row>
    <row r="2" spans="2:32" x14ac:dyDescent="0.3">
      <c r="B2" s="75" t="s">
        <v>14</v>
      </c>
    </row>
    <row r="4" spans="2:32" x14ac:dyDescent="0.3">
      <c r="B4" s="66" t="s">
        <v>11</v>
      </c>
    </row>
    <row r="5" spans="2:32" outlineLevel="1" x14ac:dyDescent="0.3">
      <c r="C5" s="27" t="s">
        <v>15</v>
      </c>
      <c r="Z5" s="84" t="s">
        <v>16</v>
      </c>
      <c r="AA5" s="84"/>
      <c r="AB5" s="84"/>
      <c r="AC5" s="84"/>
      <c r="AD5" s="84"/>
      <c r="AE5" s="84"/>
      <c r="AF5" s="84"/>
    </row>
    <row r="6" spans="2:32" outlineLevel="1" x14ac:dyDescent="0.3"/>
    <row r="7" spans="2:32" outlineLevel="1" x14ac:dyDescent="0.3">
      <c r="B7" s="10" t="s">
        <v>7</v>
      </c>
      <c r="C7" s="10">
        <v>2001</v>
      </c>
      <c r="D7" s="10">
        <v>2002</v>
      </c>
      <c r="E7" s="10">
        <v>2003</v>
      </c>
      <c r="F7" s="10">
        <v>2004</v>
      </c>
      <c r="G7" s="10">
        <v>2005</v>
      </c>
      <c r="H7" s="10">
        <v>2006</v>
      </c>
      <c r="I7" s="10">
        <v>2007</v>
      </c>
      <c r="J7" s="10">
        <v>2008</v>
      </c>
      <c r="K7" s="10">
        <v>2009</v>
      </c>
      <c r="L7" s="10">
        <v>2010</v>
      </c>
      <c r="M7" s="10">
        <v>2011</v>
      </c>
      <c r="N7" s="10">
        <v>2012</v>
      </c>
      <c r="O7" s="10">
        <v>2013</v>
      </c>
      <c r="P7" s="10">
        <v>2014</v>
      </c>
      <c r="Q7" s="10">
        <v>2015</v>
      </c>
      <c r="R7" s="10">
        <v>2016</v>
      </c>
      <c r="S7" s="10">
        <v>2017</v>
      </c>
      <c r="T7" s="10">
        <v>2018</v>
      </c>
      <c r="U7" s="10">
        <v>2019</v>
      </c>
      <c r="V7" s="10">
        <v>2020</v>
      </c>
      <c r="W7" s="10">
        <v>2021</v>
      </c>
      <c r="X7" s="10">
        <v>2022</v>
      </c>
      <c r="Y7" s="10">
        <v>2023</v>
      </c>
      <c r="Z7" s="10">
        <v>2024</v>
      </c>
      <c r="AA7" s="10">
        <v>2025</v>
      </c>
      <c r="AB7" s="10">
        <v>2026</v>
      </c>
      <c r="AC7" s="10">
        <v>2027</v>
      </c>
      <c r="AD7" s="10">
        <v>2028</v>
      </c>
      <c r="AE7" s="10">
        <v>2029</v>
      </c>
      <c r="AF7" s="10">
        <v>2030</v>
      </c>
    </row>
    <row r="8" spans="2:32" outlineLevel="1" x14ac:dyDescent="0.3">
      <c r="B8" s="9" t="s">
        <v>8</v>
      </c>
      <c r="C8" s="12">
        <v>4138012</v>
      </c>
      <c r="D8" s="28">
        <v>4175950</v>
      </c>
      <c r="E8" s="28">
        <v>4114826</v>
      </c>
      <c r="F8" s="28">
        <v>4166664</v>
      </c>
      <c r="G8" s="28">
        <v>4265762</v>
      </c>
      <c r="H8" s="28">
        <v>4401365</v>
      </c>
      <c r="I8" s="28">
        <v>4588599</v>
      </c>
      <c r="J8" s="28">
        <v>4839396</v>
      </c>
      <c r="K8" s="28">
        <v>4987573</v>
      </c>
      <c r="L8" s="28">
        <v>5076732</v>
      </c>
      <c r="M8" s="28">
        <v>5183688</v>
      </c>
      <c r="N8" s="28">
        <v>5312437</v>
      </c>
      <c r="O8" s="28">
        <v>5399162</v>
      </c>
      <c r="P8" s="28">
        <v>5469724</v>
      </c>
      <c r="Q8" s="28">
        <v>5535002</v>
      </c>
      <c r="R8" s="28">
        <v>5607283</v>
      </c>
      <c r="S8" s="28">
        <v>5612253</v>
      </c>
      <c r="T8" s="28">
        <v>5638676</v>
      </c>
      <c r="U8" s="28">
        <v>5703569</v>
      </c>
      <c r="V8" s="28">
        <v>5685807</v>
      </c>
      <c r="W8" s="28">
        <v>5453566</v>
      </c>
      <c r="X8" s="28">
        <v>5637022</v>
      </c>
      <c r="Y8" s="28">
        <v>5917648</v>
      </c>
      <c r="Z8" s="29" cm="1">
        <f t="array" ref="Z8:AF8">FORECAST(Z7:AF7,C8:Y8,C7:Y7)</f>
        <v>6111263.5177865624</v>
      </c>
      <c r="AA8" s="29">
        <v>6196945.9268774688</v>
      </c>
      <c r="AB8" s="29">
        <v>6282628.3359683752</v>
      </c>
      <c r="AC8" s="29">
        <v>6368310.7450592816</v>
      </c>
      <c r="AD8" s="29">
        <v>6453993.154150188</v>
      </c>
      <c r="AE8" s="29">
        <v>6539675.5632410944</v>
      </c>
      <c r="AF8" s="29">
        <v>6625357.9723320007</v>
      </c>
    </row>
    <row r="9" spans="2:32" x14ac:dyDescent="0.3">
      <c r="C9" s="13"/>
    </row>
    <row r="10" spans="2:32" x14ac:dyDescent="0.3">
      <c r="C10" s="13"/>
    </row>
    <row r="11" spans="2:32" x14ac:dyDescent="0.3">
      <c r="B11" s="66" t="s">
        <v>12</v>
      </c>
      <c r="C11" s="13"/>
    </row>
    <row r="12" spans="2:32" outlineLevel="1" x14ac:dyDescent="0.3">
      <c r="B12" s="8"/>
      <c r="C12" s="27" t="s">
        <v>15</v>
      </c>
      <c r="Z12" s="84" t="s">
        <v>16</v>
      </c>
      <c r="AA12" s="84"/>
      <c r="AB12" s="84"/>
      <c r="AC12" s="84"/>
      <c r="AD12" s="84"/>
      <c r="AE12" s="84"/>
      <c r="AF12" s="84"/>
    </row>
    <row r="13" spans="2:32" outlineLevel="1" x14ac:dyDescent="0.3">
      <c r="C13" s="13"/>
    </row>
    <row r="14" spans="2:32" outlineLevel="1" x14ac:dyDescent="0.3">
      <c r="B14" s="10" t="s">
        <v>7</v>
      </c>
      <c r="C14" s="10">
        <v>2001</v>
      </c>
      <c r="D14" s="10">
        <v>2002</v>
      </c>
      <c r="E14" s="10">
        <v>2003</v>
      </c>
      <c r="F14" s="10">
        <v>2004</v>
      </c>
      <c r="G14" s="10">
        <v>2005</v>
      </c>
      <c r="H14" s="10">
        <v>2006</v>
      </c>
      <c r="I14" s="10">
        <v>2007</v>
      </c>
      <c r="J14" s="10">
        <v>2008</v>
      </c>
      <c r="K14" s="10">
        <v>2009</v>
      </c>
      <c r="L14" s="10">
        <v>2010</v>
      </c>
      <c r="M14" s="10">
        <v>2011</v>
      </c>
      <c r="N14" s="10">
        <v>2012</v>
      </c>
      <c r="O14" s="10">
        <v>2013</v>
      </c>
      <c r="P14" s="10">
        <v>2014</v>
      </c>
      <c r="Q14" s="10">
        <v>2015</v>
      </c>
      <c r="R14" s="10">
        <v>2016</v>
      </c>
      <c r="S14" s="10">
        <v>2017</v>
      </c>
      <c r="T14" s="10">
        <v>2018</v>
      </c>
      <c r="U14" s="10">
        <v>2019</v>
      </c>
      <c r="V14" s="10">
        <v>2020</v>
      </c>
      <c r="W14" s="10">
        <v>2021</v>
      </c>
      <c r="X14" s="10">
        <v>2022</v>
      </c>
      <c r="Y14" s="10">
        <v>2023</v>
      </c>
      <c r="Z14" s="10">
        <v>2024</v>
      </c>
      <c r="AA14" s="10">
        <v>2025</v>
      </c>
      <c r="AB14" s="10">
        <v>2026</v>
      </c>
      <c r="AC14" s="10">
        <v>2027</v>
      </c>
      <c r="AD14" s="10">
        <v>2028</v>
      </c>
      <c r="AE14" s="10">
        <v>2029</v>
      </c>
      <c r="AF14" s="10">
        <v>2030</v>
      </c>
    </row>
    <row r="15" spans="2:32" outlineLevel="1" x14ac:dyDescent="0.3">
      <c r="B15" s="9" t="s">
        <v>10</v>
      </c>
      <c r="C15" s="12">
        <v>7522163</v>
      </c>
      <c r="D15" s="12">
        <v>7566832</v>
      </c>
      <c r="E15" s="12">
        <v>6126948</v>
      </c>
      <c r="F15" s="12">
        <v>8328644</v>
      </c>
      <c r="G15" s="12">
        <v>8943021</v>
      </c>
      <c r="H15" s="12">
        <v>9751141</v>
      </c>
      <c r="I15" s="12">
        <v>10284545</v>
      </c>
      <c r="J15" s="12">
        <v>10116054</v>
      </c>
      <c r="K15" s="12">
        <v>9682690</v>
      </c>
      <c r="L15" s="12">
        <v>11641701</v>
      </c>
      <c r="M15" s="12">
        <v>13171303</v>
      </c>
      <c r="N15" s="12">
        <v>14496092</v>
      </c>
      <c r="O15" s="12">
        <v>15567923</v>
      </c>
      <c r="P15" s="12">
        <v>15095152</v>
      </c>
      <c r="Q15" s="12">
        <v>15231469</v>
      </c>
      <c r="R15" s="12">
        <v>16403459</v>
      </c>
      <c r="S15" s="12">
        <v>17424611</v>
      </c>
      <c r="T15" s="12">
        <v>18508302</v>
      </c>
      <c r="U15" s="12">
        <v>19116016</v>
      </c>
      <c r="V15" s="12">
        <v>2742443</v>
      </c>
      <c r="W15" s="12">
        <v>330059</v>
      </c>
      <c r="X15" s="12">
        <v>6305744</v>
      </c>
      <c r="Y15" s="12">
        <v>14317707.673901305</v>
      </c>
      <c r="Z15" s="11" cm="1">
        <f t="array" ref="Z15:AF15">FORECAST(Z14:AF14,E15:U15,E14:U14)</f>
        <v>22769760.674019575</v>
      </c>
      <c r="AA15" s="11">
        <v>23526307.5539217</v>
      </c>
      <c r="AB15" s="11">
        <v>24282854.433823586</v>
      </c>
      <c r="AC15" s="11">
        <v>25039401.313725471</v>
      </c>
      <c r="AD15" s="11">
        <v>25795948.193627596</v>
      </c>
      <c r="AE15" s="11">
        <v>26552495.073529482</v>
      </c>
      <c r="AF15" s="11">
        <v>27309041.953431368</v>
      </c>
    </row>
    <row r="17" spans="2:39" ht="26.4" x14ac:dyDescent="0.3">
      <c r="B17" s="67" t="s">
        <v>13</v>
      </c>
    </row>
    <row r="18" spans="2:39" ht="28.8" outlineLevel="1" x14ac:dyDescent="0.3">
      <c r="B18" s="67"/>
      <c r="C18" s="26" t="s">
        <v>19</v>
      </c>
      <c r="Y18" s="84" t="s">
        <v>16</v>
      </c>
      <c r="Z18" s="84"/>
      <c r="AA18" s="84"/>
      <c r="AB18" s="84"/>
      <c r="AC18" s="84"/>
      <c r="AD18" s="84"/>
      <c r="AE18" s="84"/>
      <c r="AF18" s="84"/>
      <c r="AK18" s="121"/>
      <c r="AL18" s="121" t="s">
        <v>129</v>
      </c>
      <c r="AM18" s="122" t="s">
        <v>130</v>
      </c>
    </row>
    <row r="19" spans="2:39" outlineLevel="1" x14ac:dyDescent="0.3">
      <c r="AK19" s="121">
        <v>2022</v>
      </c>
      <c r="AL19" s="123">
        <v>1012</v>
      </c>
      <c r="AM19" s="121">
        <v>1157469.7229999998</v>
      </c>
    </row>
    <row r="20" spans="2:39" outlineLevel="1" x14ac:dyDescent="0.3">
      <c r="B20" s="10" t="s">
        <v>7</v>
      </c>
      <c r="C20" s="10">
        <v>2001</v>
      </c>
      <c r="D20" s="10">
        <v>2002</v>
      </c>
      <c r="E20" s="10">
        <v>2003</v>
      </c>
      <c r="F20" s="10">
        <v>2004</v>
      </c>
      <c r="G20" s="10">
        <v>2005</v>
      </c>
      <c r="H20" s="10">
        <v>2006</v>
      </c>
      <c r="I20" s="10">
        <v>2007</v>
      </c>
      <c r="J20" s="10">
        <v>2008</v>
      </c>
      <c r="K20" s="10">
        <v>2009</v>
      </c>
      <c r="L20" s="10">
        <v>2010</v>
      </c>
      <c r="M20" s="10">
        <v>2011</v>
      </c>
      <c r="N20" s="10">
        <v>2012</v>
      </c>
      <c r="O20" s="10">
        <v>2013</v>
      </c>
      <c r="P20" s="10">
        <v>2014</v>
      </c>
      <c r="Q20" s="10">
        <v>2015</v>
      </c>
      <c r="R20" s="10">
        <v>2016</v>
      </c>
      <c r="S20" s="10">
        <v>2017</v>
      </c>
      <c r="T20" s="10">
        <v>2018</v>
      </c>
      <c r="U20" s="10">
        <v>2019</v>
      </c>
      <c r="V20" s="10">
        <v>2020</v>
      </c>
      <c r="W20" s="10">
        <v>2021</v>
      </c>
      <c r="X20" s="10">
        <v>2022</v>
      </c>
      <c r="Y20" s="10">
        <v>2023</v>
      </c>
      <c r="Z20" s="10">
        <v>2024</v>
      </c>
      <c r="AA20" s="10">
        <v>2025</v>
      </c>
      <c r="AB20" s="10">
        <v>2026</v>
      </c>
      <c r="AC20" s="10">
        <v>2027</v>
      </c>
      <c r="AD20" s="10">
        <v>2028</v>
      </c>
      <c r="AE20" s="10">
        <v>2029</v>
      </c>
      <c r="AF20" s="10">
        <v>2030</v>
      </c>
      <c r="AK20" s="121">
        <v>2023</v>
      </c>
      <c r="AL20" s="123">
        <v>1138.7857142857101</v>
      </c>
      <c r="AM20" s="121">
        <v>1076446.8423899997</v>
      </c>
    </row>
    <row r="21" spans="2:39" outlineLevel="1" x14ac:dyDescent="0.3">
      <c r="B21" s="9" t="s">
        <v>64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2" t="s">
        <v>17</v>
      </c>
      <c r="I21" s="12" t="s">
        <v>17</v>
      </c>
      <c r="J21" s="41">
        <v>325</v>
      </c>
      <c r="K21" s="41">
        <v>323.10000000000002</v>
      </c>
      <c r="L21" s="41">
        <v>406</v>
      </c>
      <c r="M21" s="41">
        <v>349</v>
      </c>
      <c r="N21" s="41">
        <v>352.3</v>
      </c>
      <c r="O21" s="41">
        <v>325.2</v>
      </c>
      <c r="P21" s="41">
        <v>427.3</v>
      </c>
      <c r="Q21" s="41">
        <v>567.29999999999995</v>
      </c>
      <c r="R21" s="41">
        <v>683.8</v>
      </c>
      <c r="S21" s="41">
        <v>1549</v>
      </c>
      <c r="T21" s="41">
        <v>839.1</v>
      </c>
      <c r="U21" s="41">
        <v>1075.9000000000001</v>
      </c>
      <c r="V21" s="41">
        <v>707.5</v>
      </c>
      <c r="W21" s="41">
        <v>905</v>
      </c>
      <c r="X21" s="41">
        <v>1012</v>
      </c>
      <c r="Y21" s="42" cm="1">
        <f t="array" ref="Y21:AF21">FORECAST(Y20:AF20,J21:X21,J20:X20)</f>
        <v>1138.7857142857101</v>
      </c>
      <c r="Z21" s="42">
        <v>1199.0714285714203</v>
      </c>
      <c r="AA21" s="42">
        <v>1259.3571428571304</v>
      </c>
      <c r="AB21" s="42">
        <v>1319.6428571428551</v>
      </c>
      <c r="AC21" s="42">
        <v>1379.9285714285652</v>
      </c>
      <c r="AD21" s="42">
        <v>1440.2142857142753</v>
      </c>
      <c r="AE21" s="42">
        <v>1500.5</v>
      </c>
      <c r="AF21" s="42">
        <v>1560.7857142857101</v>
      </c>
      <c r="AK21" s="121">
        <v>2024</v>
      </c>
      <c r="AL21" s="123">
        <v>1199.0714285714203</v>
      </c>
      <c r="AM21" s="121">
        <v>1001095.5634226996</v>
      </c>
    </row>
    <row r="22" spans="2:39" x14ac:dyDescent="0.3">
      <c r="AK22" s="121">
        <v>2025</v>
      </c>
      <c r="AL22" s="123">
        <v>1259.3571428571304</v>
      </c>
      <c r="AM22" s="121">
        <v>931018.87398311053</v>
      </c>
    </row>
    <row r="23" spans="2:39" x14ac:dyDescent="0.3">
      <c r="AK23" s="121">
        <v>2026</v>
      </c>
      <c r="AL23" s="123">
        <v>1319.6428571428551</v>
      </c>
      <c r="AM23" s="121">
        <v>865847.55280429276</v>
      </c>
    </row>
    <row r="24" spans="2:39" x14ac:dyDescent="0.3">
      <c r="AK24" s="121">
        <v>2027</v>
      </c>
      <c r="AL24" s="123">
        <v>1379.9285714285652</v>
      </c>
      <c r="AM24" s="121">
        <v>805238.22410799225</v>
      </c>
    </row>
    <row r="25" spans="2:39" ht="15.6" x14ac:dyDescent="0.3">
      <c r="B25" s="4" t="s">
        <v>5</v>
      </c>
      <c r="AK25" s="121">
        <v>2028</v>
      </c>
      <c r="AL25" s="123">
        <v>1440.2142857142753</v>
      </c>
      <c r="AM25" s="121">
        <v>748871.54842043272</v>
      </c>
    </row>
    <row r="26" spans="2:39" x14ac:dyDescent="0.3">
      <c r="B26" s="75" t="s">
        <v>18</v>
      </c>
      <c r="AK26" s="121">
        <v>2029</v>
      </c>
      <c r="AL26" s="123">
        <v>1500.5</v>
      </c>
      <c r="AM26" s="121">
        <v>696450.54003100237</v>
      </c>
    </row>
    <row r="27" spans="2:39" x14ac:dyDescent="0.3">
      <c r="AK27" s="121">
        <v>2030</v>
      </c>
      <c r="AL27" s="123">
        <v>1560.7857142857101</v>
      </c>
      <c r="AM27" s="121">
        <v>647699.00222883211</v>
      </c>
    </row>
    <row r="28" spans="2:39" x14ac:dyDescent="0.3">
      <c r="B28" s="8" t="s">
        <v>20</v>
      </c>
    </row>
    <row r="30" spans="2:39" outlineLevel="1" x14ac:dyDescent="0.3">
      <c r="B30" s="3" t="s">
        <v>29</v>
      </c>
      <c r="C30" s="44">
        <v>-7.0000000000000007E-2</v>
      </c>
    </row>
    <row r="31" spans="2:39" outlineLevel="1" x14ac:dyDescent="0.3">
      <c r="B31" s="1"/>
      <c r="C31" s="64"/>
    </row>
    <row r="32" spans="2:39" ht="43.2" outlineLevel="1" x14ac:dyDescent="0.3">
      <c r="C32" s="26" t="s">
        <v>81</v>
      </c>
      <c r="V32" s="1"/>
      <c r="Z32" s="84" t="s">
        <v>16</v>
      </c>
      <c r="AA32" s="84"/>
      <c r="AB32" s="84"/>
      <c r="AC32" s="84"/>
      <c r="AD32" s="84"/>
      <c r="AE32" s="84"/>
      <c r="AF32" s="84"/>
      <c r="AG32" s="84"/>
    </row>
    <row r="33" spans="2:32" outlineLevel="1" x14ac:dyDescent="0.3"/>
    <row r="34" spans="2:32" outlineLevel="1" x14ac:dyDescent="0.3">
      <c r="B34" s="10" t="s">
        <v>7</v>
      </c>
      <c r="C34" s="10">
        <v>2001</v>
      </c>
      <c r="D34" s="10">
        <v>2002</v>
      </c>
      <c r="E34" s="10">
        <v>2003</v>
      </c>
      <c r="F34" s="10">
        <v>2004</v>
      </c>
      <c r="G34" s="10">
        <v>2005</v>
      </c>
      <c r="H34" s="10">
        <v>2006</v>
      </c>
      <c r="I34" s="10">
        <v>2007</v>
      </c>
      <c r="J34" s="10">
        <v>2008</v>
      </c>
      <c r="K34" s="10">
        <v>2009</v>
      </c>
      <c r="L34" s="10">
        <v>2010</v>
      </c>
      <c r="M34" s="10">
        <v>2011</v>
      </c>
      <c r="N34" s="10">
        <v>2012</v>
      </c>
      <c r="O34" s="10">
        <v>2013</v>
      </c>
      <c r="P34" s="10">
        <v>2014</v>
      </c>
      <c r="Q34" s="10">
        <v>2015</v>
      </c>
      <c r="R34" s="10">
        <v>2016</v>
      </c>
      <c r="S34" s="10">
        <v>2017</v>
      </c>
      <c r="T34" s="10">
        <v>2018</v>
      </c>
      <c r="U34" s="10">
        <v>2019</v>
      </c>
      <c r="V34" s="10">
        <v>2020</v>
      </c>
      <c r="W34" s="10">
        <v>2021</v>
      </c>
      <c r="X34" s="10">
        <v>2022</v>
      </c>
      <c r="Y34" s="10">
        <v>2023</v>
      </c>
      <c r="Z34" s="10">
        <v>2024</v>
      </c>
      <c r="AA34" s="10">
        <v>2025</v>
      </c>
      <c r="AB34" s="10">
        <v>2026</v>
      </c>
      <c r="AC34" s="10">
        <v>2027</v>
      </c>
      <c r="AD34" s="10">
        <v>2028</v>
      </c>
      <c r="AE34" s="10">
        <v>2029</v>
      </c>
      <c r="AF34" s="10">
        <v>2030</v>
      </c>
    </row>
    <row r="35" spans="2:32" outlineLevel="1" x14ac:dyDescent="0.3">
      <c r="B35" s="15" t="s">
        <v>21</v>
      </c>
      <c r="C35" s="12" t="s">
        <v>17</v>
      </c>
      <c r="D35" s="12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2" t="s">
        <v>17</v>
      </c>
      <c r="O35" s="12" t="s">
        <v>17</v>
      </c>
      <c r="P35" s="12" t="s">
        <v>17</v>
      </c>
      <c r="Q35" s="12">
        <v>1889000</v>
      </c>
      <c r="R35" s="12">
        <v>1757000</v>
      </c>
      <c r="S35" s="12">
        <v>1637000</v>
      </c>
      <c r="T35" s="12">
        <v>1579000</v>
      </c>
      <c r="U35" s="12">
        <v>1439000</v>
      </c>
      <c r="V35" s="11">
        <f>U35*(1+$C$30)</f>
        <v>1338270</v>
      </c>
      <c r="W35" s="11">
        <f t="shared" ref="W35:AF35" si="0">V35*(1+$C$30)</f>
        <v>1244591.0999999999</v>
      </c>
      <c r="X35" s="11">
        <f t="shared" si="0"/>
        <v>1157469.7229999998</v>
      </c>
      <c r="Y35" s="11">
        <f t="shared" si="0"/>
        <v>1076446.8423899997</v>
      </c>
      <c r="Z35" s="11">
        <f t="shared" si="0"/>
        <v>1001095.5634226996</v>
      </c>
      <c r="AA35" s="11">
        <f t="shared" si="0"/>
        <v>931018.87398311053</v>
      </c>
      <c r="AB35" s="11">
        <f t="shared" si="0"/>
        <v>865847.55280429276</v>
      </c>
      <c r="AC35" s="11">
        <f t="shared" si="0"/>
        <v>805238.22410799225</v>
      </c>
      <c r="AD35" s="11">
        <f t="shared" si="0"/>
        <v>748871.54842043272</v>
      </c>
      <c r="AE35" s="11">
        <f t="shared" si="0"/>
        <v>696450.54003100237</v>
      </c>
      <c r="AF35" s="11">
        <f t="shared" si="0"/>
        <v>647699.00222883211</v>
      </c>
    </row>
  </sheetData>
  <mergeCells count="4">
    <mergeCell ref="Z5:AF5"/>
    <mergeCell ref="Z12:AF12"/>
    <mergeCell ref="Y18:AF18"/>
    <mergeCell ref="Z32:A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21EF-7F15-4637-B759-39BA77CF771C}">
  <dimension ref="B1:AE58"/>
  <sheetViews>
    <sheetView showGridLines="0" workbookViewId="0"/>
  </sheetViews>
  <sheetFormatPr defaultRowHeight="14.4" outlineLevelRow="1" x14ac:dyDescent="0.3"/>
  <cols>
    <col min="2" max="2" width="33.21875" bestFit="1" customWidth="1"/>
    <col min="3" max="12" width="10.44140625" bestFit="1" customWidth="1"/>
    <col min="13" max="13" width="9.6640625" customWidth="1"/>
    <col min="14" max="18" width="8.88671875" bestFit="1" customWidth="1"/>
    <col min="19" max="23" width="12.109375" bestFit="1" customWidth="1"/>
    <col min="24" max="24" width="9.109375" bestFit="1" customWidth="1"/>
    <col min="25" max="25" width="12.109375" bestFit="1" customWidth="1"/>
  </cols>
  <sheetData>
    <row r="1" spans="2:18" ht="15.6" x14ac:dyDescent="0.3">
      <c r="B1" s="4" t="s">
        <v>69</v>
      </c>
    </row>
    <row r="2" spans="2:18" x14ac:dyDescent="0.3">
      <c r="B2" s="75" t="s">
        <v>70</v>
      </c>
    </row>
    <row r="4" spans="2:18" x14ac:dyDescent="0.3">
      <c r="B4" s="8" t="s">
        <v>68</v>
      </c>
    </row>
    <row r="6" spans="2:18" x14ac:dyDescent="0.3">
      <c r="C6" s="84" t="s">
        <v>15</v>
      </c>
      <c r="D6" s="84"/>
      <c r="E6" s="84"/>
      <c r="F6" s="84"/>
      <c r="G6" s="84"/>
      <c r="H6" s="84" t="s">
        <v>16</v>
      </c>
      <c r="I6" s="84"/>
      <c r="J6" s="84"/>
      <c r="K6" s="84"/>
      <c r="L6" s="84"/>
      <c r="M6" s="84"/>
      <c r="N6" s="84"/>
      <c r="O6" s="84"/>
      <c r="P6" s="84"/>
      <c r="Q6" s="84"/>
      <c r="R6" s="84"/>
    </row>
    <row r="8" spans="2:18" x14ac:dyDescent="0.3">
      <c r="B8" s="10" t="s">
        <v>7</v>
      </c>
      <c r="C8" s="10">
        <v>2015</v>
      </c>
      <c r="D8" s="10">
        <v>2016</v>
      </c>
      <c r="E8" s="10">
        <v>2017</v>
      </c>
      <c r="F8" s="10">
        <v>2018</v>
      </c>
      <c r="G8" s="10">
        <v>2019</v>
      </c>
      <c r="H8" s="10">
        <v>2020</v>
      </c>
      <c r="I8" s="10">
        <v>2021</v>
      </c>
      <c r="J8" s="10">
        <v>2022</v>
      </c>
      <c r="K8" s="10">
        <v>2023</v>
      </c>
      <c r="L8" s="10">
        <v>2024</v>
      </c>
      <c r="M8" s="10">
        <v>2025</v>
      </c>
      <c r="N8" s="10">
        <v>2026</v>
      </c>
      <c r="O8" s="10">
        <v>2027</v>
      </c>
      <c r="P8" s="10">
        <v>2028</v>
      </c>
      <c r="Q8" s="10">
        <v>2029</v>
      </c>
      <c r="R8" s="10">
        <v>2030</v>
      </c>
    </row>
    <row r="9" spans="2:18" x14ac:dyDescent="0.3">
      <c r="B9" s="19" t="s">
        <v>21</v>
      </c>
      <c r="C9" s="12">
        <v>1889000</v>
      </c>
      <c r="D9" s="12">
        <v>1757000</v>
      </c>
      <c r="E9" s="12">
        <v>1637000</v>
      </c>
      <c r="F9" s="12">
        <v>1579000</v>
      </c>
      <c r="G9" s="12">
        <v>1439000</v>
      </c>
      <c r="H9" s="11">
        <v>1338270</v>
      </c>
      <c r="I9" s="11">
        <v>1244591.0999999999</v>
      </c>
      <c r="J9" s="11">
        <v>1157469.7229999998</v>
      </c>
      <c r="K9" s="11">
        <v>1076446.8423899997</v>
      </c>
      <c r="L9" s="11">
        <v>1001095.5634226996</v>
      </c>
      <c r="M9" s="11">
        <v>931018.87398311053</v>
      </c>
      <c r="N9" s="11">
        <v>865847.55280429276</v>
      </c>
      <c r="O9" s="11">
        <v>805238.22410799225</v>
      </c>
      <c r="P9" s="11">
        <v>748871.54842043272</v>
      </c>
      <c r="Q9" s="11">
        <v>696450.54003100237</v>
      </c>
      <c r="R9" s="11">
        <v>647699.00222883211</v>
      </c>
    </row>
    <row r="10" spans="2:18" x14ac:dyDescent="0.3">
      <c r="B10" s="15" t="s">
        <v>118</v>
      </c>
      <c r="C10" s="22" cm="1">
        <f t="array" ref="C10">INDEX('1.Data Sources'!$E$6:$E$25,MATCH('3. Consequence Variables'!C8,'1.Data Sources'!$B$6:$B$25,0),0)</f>
        <v>0.51</v>
      </c>
      <c r="D10" s="22" cm="1">
        <f t="array" ref="D10">INDEX('1.Data Sources'!$E$6:$E$25,MATCH('3. Consequence Variables'!D8,'1.Data Sources'!$B$6:$B$25,0),0)</f>
        <v>0.51</v>
      </c>
      <c r="E10" s="22" cm="1">
        <f t="array" ref="E10">INDEX('1.Data Sources'!$E$6:$E$25,MATCH('3. Consequence Variables'!E8,'1.Data Sources'!$B$6:$B$25,0),0)</f>
        <v>0.5</v>
      </c>
      <c r="F10" s="22" cm="1">
        <f t="array" ref="F10">INDEX('1.Data Sources'!$E$6:$E$25,MATCH('3. Consequence Variables'!F8,'1.Data Sources'!$B$6:$B$25,0),0)</f>
        <v>0.56000000000000005</v>
      </c>
      <c r="G10" s="22" cm="1">
        <f t="array" ref="G10">INDEX('1.Data Sources'!$E$6:$E$25,MATCH('3. Consequence Variables'!G8,'1.Data Sources'!$B$6:$B$25,0),0)</f>
        <v>0.44</v>
      </c>
      <c r="H10" s="50">
        <f t="shared" ref="H10:R10" si="0">H9*$C$14+$C$15</f>
        <v>0.49165400000000004</v>
      </c>
      <c r="I10" s="50">
        <f t="shared" si="0"/>
        <v>0.47291821999999994</v>
      </c>
      <c r="J10" s="50">
        <f t="shared" si="0"/>
        <v>0.45549394459999992</v>
      </c>
      <c r="K10" s="50">
        <f t="shared" si="0"/>
        <v>0.43928936847799993</v>
      </c>
      <c r="L10" s="50">
        <f t="shared" si="0"/>
        <v>0.42421911268453993</v>
      </c>
      <c r="M10" s="50">
        <f t="shared" si="0"/>
        <v>0.41020377479662207</v>
      </c>
      <c r="N10" s="50">
        <f t="shared" si="0"/>
        <v>0.39716951056085859</v>
      </c>
      <c r="O10" s="50">
        <f t="shared" si="0"/>
        <v>0.38504764482159848</v>
      </c>
      <c r="P10" s="50">
        <f t="shared" si="0"/>
        <v>0.37377430968408654</v>
      </c>
      <c r="Q10" s="50">
        <f t="shared" si="0"/>
        <v>0.36329010800620049</v>
      </c>
      <c r="R10" s="50">
        <f t="shared" si="0"/>
        <v>0.35353980044576638</v>
      </c>
    </row>
    <row r="13" spans="2:18" x14ac:dyDescent="0.3">
      <c r="B13" s="1" t="s">
        <v>28</v>
      </c>
    </row>
    <row r="14" spans="2:18" x14ac:dyDescent="0.3">
      <c r="B14" s="49" t="s">
        <v>66</v>
      </c>
      <c r="C14" s="52">
        <f>2*(10^(-7))</f>
        <v>1.9999999999999999E-7</v>
      </c>
    </row>
    <row r="15" spans="2:18" x14ac:dyDescent="0.3">
      <c r="B15" s="49" t="s">
        <v>58</v>
      </c>
      <c r="C15" s="51">
        <v>0.224</v>
      </c>
    </row>
    <row r="16" spans="2:18" x14ac:dyDescent="0.3">
      <c r="B16" s="1"/>
    </row>
    <row r="27" spans="2:31" x14ac:dyDescent="0.3">
      <c r="B27" s="8" t="s">
        <v>67</v>
      </c>
    </row>
    <row r="28" spans="2:31" x14ac:dyDescent="0.3">
      <c r="B28" s="8"/>
      <c r="C28" s="84" t="s">
        <v>15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 t="s">
        <v>16</v>
      </c>
      <c r="S28" s="84"/>
      <c r="T28" s="84"/>
      <c r="U28" s="84"/>
      <c r="V28" s="84"/>
      <c r="W28" s="84"/>
      <c r="X28" s="84"/>
      <c r="Y28" s="84"/>
    </row>
    <row r="29" spans="2:31" x14ac:dyDescent="0.3">
      <c r="B29" s="8"/>
      <c r="AB29" s="121" t="s">
        <v>7</v>
      </c>
      <c r="AC29" s="121" t="s">
        <v>71</v>
      </c>
      <c r="AD29" s="121" t="s">
        <v>131</v>
      </c>
      <c r="AE29" s="121"/>
    </row>
    <row r="30" spans="2:31" x14ac:dyDescent="0.3">
      <c r="B30" s="10" t="s">
        <v>7</v>
      </c>
      <c r="C30" s="10">
        <v>2008</v>
      </c>
      <c r="D30" s="10">
        <v>2009</v>
      </c>
      <c r="E30" s="10">
        <v>2010</v>
      </c>
      <c r="F30" s="10">
        <v>2011</v>
      </c>
      <c r="G30" s="10">
        <v>2012</v>
      </c>
      <c r="H30" s="10">
        <v>2013</v>
      </c>
      <c r="I30" s="10">
        <v>2014</v>
      </c>
      <c r="J30" s="10">
        <v>2015</v>
      </c>
      <c r="K30" s="10">
        <v>2016</v>
      </c>
      <c r="L30" s="10">
        <v>2017</v>
      </c>
      <c r="M30" s="10">
        <v>2018</v>
      </c>
      <c r="N30" s="10">
        <v>2019</v>
      </c>
      <c r="O30" s="10">
        <v>2020</v>
      </c>
      <c r="P30" s="10">
        <v>2021</v>
      </c>
      <c r="Q30" s="10">
        <v>2022</v>
      </c>
      <c r="R30" s="10">
        <v>2023</v>
      </c>
      <c r="S30" s="10">
        <v>2024</v>
      </c>
      <c r="T30" s="10">
        <v>2025</v>
      </c>
      <c r="U30" s="10">
        <v>2026</v>
      </c>
      <c r="V30" s="10">
        <v>2027</v>
      </c>
      <c r="W30" s="10">
        <v>2028</v>
      </c>
      <c r="X30" s="10">
        <v>2029</v>
      </c>
      <c r="Y30" s="10">
        <v>2030</v>
      </c>
      <c r="AB30" s="121">
        <v>2022</v>
      </c>
      <c r="AC30" s="124">
        <v>0.18</v>
      </c>
      <c r="AD30" s="124">
        <v>0.45549394459999992</v>
      </c>
      <c r="AE30" s="121"/>
    </row>
    <row r="31" spans="2:31" x14ac:dyDescent="0.3">
      <c r="B31" s="10" t="s">
        <v>74</v>
      </c>
      <c r="C31" s="41" cm="1">
        <f t="array" ref="C31:Y31">INDEX('2. Decisions &amp; Parameters'!$J$21:$AF$21,MATCH('3. Consequence Variables'!C30,'2. Decisions &amp; Parameters'!$J$20:$AF$20,0),0)</f>
        <v>325</v>
      </c>
      <c r="D31" s="41">
        <v>323.10000000000002</v>
      </c>
      <c r="E31" s="41">
        <v>406</v>
      </c>
      <c r="F31" s="41">
        <v>349</v>
      </c>
      <c r="G31" s="41">
        <v>352.3</v>
      </c>
      <c r="H31" s="41">
        <v>325.2</v>
      </c>
      <c r="I31" s="41">
        <v>427.3</v>
      </c>
      <c r="J31" s="41">
        <v>567.29999999999995</v>
      </c>
      <c r="K31" s="41">
        <v>683.8</v>
      </c>
      <c r="L31" s="41">
        <v>1549</v>
      </c>
      <c r="M31" s="41">
        <v>839.1</v>
      </c>
      <c r="N31" s="41">
        <v>1075.9000000000001</v>
      </c>
      <c r="O31" s="41">
        <v>707.5</v>
      </c>
      <c r="P31" s="41">
        <v>905</v>
      </c>
      <c r="Q31" s="41">
        <v>1012</v>
      </c>
      <c r="R31" s="42">
        <v>1138.7857142857101</v>
      </c>
      <c r="S31" s="42">
        <v>1199.0714285714203</v>
      </c>
      <c r="T31" s="42">
        <v>1259.3571428571304</v>
      </c>
      <c r="U31" s="42">
        <v>1319.6428571428551</v>
      </c>
      <c r="V31" s="42">
        <v>1379.9285714285652</v>
      </c>
      <c r="W31" s="42">
        <v>1440.2142857142753</v>
      </c>
      <c r="X31" s="42">
        <v>1500.5</v>
      </c>
      <c r="Y31" s="42">
        <v>1560.7857142857101</v>
      </c>
      <c r="AB31" s="121">
        <v>2023</v>
      </c>
      <c r="AC31" s="124">
        <v>0.15756171606589423</v>
      </c>
      <c r="AD31" s="124">
        <v>0.43928936847799993</v>
      </c>
      <c r="AE31" s="121"/>
    </row>
    <row r="32" spans="2:31" x14ac:dyDescent="0.3">
      <c r="B32" s="10" t="s">
        <v>72</v>
      </c>
      <c r="C32" s="2"/>
      <c r="D32" s="42">
        <f>C31</f>
        <v>325</v>
      </c>
      <c r="E32" s="42">
        <f t="shared" ref="E32:X33" si="1">D31</f>
        <v>323.10000000000002</v>
      </c>
      <c r="F32" s="42">
        <f t="shared" si="1"/>
        <v>406</v>
      </c>
      <c r="G32" s="42">
        <f t="shared" si="1"/>
        <v>349</v>
      </c>
      <c r="H32" s="42">
        <f t="shared" si="1"/>
        <v>352.3</v>
      </c>
      <c r="I32" s="42">
        <f t="shared" si="1"/>
        <v>325.2</v>
      </c>
      <c r="J32" s="42">
        <f t="shared" si="1"/>
        <v>427.3</v>
      </c>
      <c r="K32" s="42">
        <f t="shared" si="1"/>
        <v>567.29999999999995</v>
      </c>
      <c r="L32" s="42">
        <f t="shared" si="1"/>
        <v>683.8</v>
      </c>
      <c r="M32" s="42">
        <f t="shared" si="1"/>
        <v>1549</v>
      </c>
      <c r="N32" s="42">
        <f t="shared" si="1"/>
        <v>839.1</v>
      </c>
      <c r="O32" s="42">
        <f t="shared" si="1"/>
        <v>1075.9000000000001</v>
      </c>
      <c r="P32" s="42">
        <f t="shared" si="1"/>
        <v>707.5</v>
      </c>
      <c r="Q32" s="42">
        <f t="shared" si="1"/>
        <v>905</v>
      </c>
      <c r="R32" s="42">
        <f t="shared" si="1"/>
        <v>1012</v>
      </c>
      <c r="S32" s="42">
        <f t="shared" si="1"/>
        <v>1138.7857142857101</v>
      </c>
      <c r="T32" s="42">
        <f t="shared" si="1"/>
        <v>1199.0714285714203</v>
      </c>
      <c r="U32" s="42">
        <f t="shared" si="1"/>
        <v>1259.3571428571304</v>
      </c>
      <c r="V32" s="42">
        <f t="shared" si="1"/>
        <v>1319.6428571428551</v>
      </c>
      <c r="W32" s="42">
        <f t="shared" si="1"/>
        <v>1379.9285714285652</v>
      </c>
      <c r="X32" s="42">
        <f t="shared" si="1"/>
        <v>1440.2142857142753</v>
      </c>
      <c r="Y32" s="42">
        <f t="shared" ref="Y32" si="2">X31</f>
        <v>1500.5</v>
      </c>
      <c r="AB32" s="121">
        <v>2024</v>
      </c>
      <c r="AC32" s="124">
        <v>0.16555558339341822</v>
      </c>
      <c r="AD32" s="124">
        <v>0.42421911268453993</v>
      </c>
      <c r="AE32" s="121"/>
    </row>
    <row r="33" spans="2:31" x14ac:dyDescent="0.3">
      <c r="B33" s="10" t="s">
        <v>73</v>
      </c>
      <c r="C33" s="2"/>
      <c r="D33" s="2"/>
      <c r="E33" s="42">
        <f>D32</f>
        <v>325</v>
      </c>
      <c r="F33" s="42">
        <f t="shared" si="1"/>
        <v>323.10000000000002</v>
      </c>
      <c r="G33" s="42">
        <f t="shared" si="1"/>
        <v>406</v>
      </c>
      <c r="H33" s="42">
        <f t="shared" si="1"/>
        <v>349</v>
      </c>
      <c r="I33" s="42">
        <f t="shared" si="1"/>
        <v>352.3</v>
      </c>
      <c r="J33" s="42">
        <f t="shared" si="1"/>
        <v>325.2</v>
      </c>
      <c r="K33" s="42">
        <f t="shared" si="1"/>
        <v>427.3</v>
      </c>
      <c r="L33" s="42">
        <f t="shared" si="1"/>
        <v>567.29999999999995</v>
      </c>
      <c r="M33" s="42">
        <f t="shared" si="1"/>
        <v>683.8</v>
      </c>
      <c r="N33" s="42">
        <f t="shared" si="1"/>
        <v>1549</v>
      </c>
      <c r="O33" s="42">
        <f t="shared" si="1"/>
        <v>839.1</v>
      </c>
      <c r="P33" s="42">
        <f t="shared" si="1"/>
        <v>1075.9000000000001</v>
      </c>
      <c r="Q33" s="42">
        <f t="shared" si="1"/>
        <v>707.5</v>
      </c>
      <c r="R33" s="42">
        <f t="shared" si="1"/>
        <v>905</v>
      </c>
      <c r="S33" s="42">
        <f t="shared" si="1"/>
        <v>1012</v>
      </c>
      <c r="T33" s="42">
        <f t="shared" si="1"/>
        <v>1138.7857142857101</v>
      </c>
      <c r="U33" s="42">
        <f t="shared" si="1"/>
        <v>1199.0714285714203</v>
      </c>
      <c r="V33" s="42">
        <f t="shared" si="1"/>
        <v>1259.3571428571304</v>
      </c>
      <c r="W33" s="42">
        <f t="shared" si="1"/>
        <v>1319.6428571428551</v>
      </c>
      <c r="X33" s="42">
        <f t="shared" ref="X33:Y33" si="3">W32</f>
        <v>1379.9285714285652</v>
      </c>
      <c r="Y33" s="42">
        <f t="shared" si="3"/>
        <v>1440.2142857142753</v>
      </c>
      <c r="AB33" s="121">
        <v>2025</v>
      </c>
      <c r="AC33" s="124">
        <v>0.17221516035079404</v>
      </c>
      <c r="AD33" s="124">
        <v>0.41020377479662207</v>
      </c>
      <c r="AE33" s="121"/>
    </row>
    <row r="34" spans="2:31" x14ac:dyDescent="0.3">
      <c r="B34" s="10" t="s">
        <v>71</v>
      </c>
      <c r="C34" s="44" cm="1">
        <f t="array" ref="C34">INDEX('1.Data Sources'!$C$11:$C$25,MATCH('3. Consequence Variables'!C30,'1.Data Sources'!$B$11:$B$25,0),0)</f>
        <v>0.12</v>
      </c>
      <c r="D34" s="44" cm="1">
        <f t="array" ref="D34">INDEX('1.Data Sources'!$C$11:$C$25,MATCH('3. Consequence Variables'!D30,'1.Data Sources'!$B$11:$B$25,0),0)</f>
        <v>0.13</v>
      </c>
      <c r="E34" s="44" cm="1">
        <f t="array" ref="E34">INDEX('1.Data Sources'!$C$11:$C$25,MATCH('3. Consequence Variables'!E30,'1.Data Sources'!$B$11:$B$25,0),0)</f>
        <v>0.16</v>
      </c>
      <c r="F34" s="44" cm="1">
        <f t="array" ref="F34">INDEX('1.Data Sources'!$C$11:$C$25,MATCH('3. Consequence Variables'!F30,'1.Data Sources'!$B$11:$B$25,0),0)</f>
        <v>0.1</v>
      </c>
      <c r="G34" s="44" cm="1">
        <f t="array" ref="G34">INDEX('1.Data Sources'!$C$11:$C$25,MATCH('3. Consequence Variables'!G30,'1.Data Sources'!$B$11:$B$25,0),0)</f>
        <v>0.12</v>
      </c>
      <c r="H34" s="44" cm="1">
        <f t="array" ref="H34">INDEX('1.Data Sources'!$C$11:$C$25,MATCH('3. Consequence Variables'!H30,'1.Data Sources'!$B$11:$B$25,0),0)</f>
        <v>0.13</v>
      </c>
      <c r="I34" s="44" cm="1">
        <f t="array" ref="I34">INDEX('1.Data Sources'!$C$11:$C$25,MATCH('3. Consequence Variables'!I30,'1.Data Sources'!$B$11:$B$25,0),0)</f>
        <v>0.13</v>
      </c>
      <c r="J34" s="44" cm="1">
        <f t="array" ref="J34">INDEX('1.Data Sources'!$C$11:$C$25,MATCH('3. Consequence Variables'!J30,'1.Data Sources'!$B$11:$B$25,0),0)</f>
        <v>0.13</v>
      </c>
      <c r="K34" s="44" cm="1">
        <f t="array" ref="K34">INDEX('1.Data Sources'!$C$11:$C$25,MATCH('3. Consequence Variables'!K30,'1.Data Sources'!$B$11:$B$25,0),0)</f>
        <v>0.14000000000000001</v>
      </c>
      <c r="L34" s="44" cm="1">
        <f t="array" ref="L34">INDEX('1.Data Sources'!$C$11:$C$25,MATCH('3. Consequence Variables'!L30,'1.Data Sources'!$B$11:$B$25,0),0)</f>
        <v>0.16</v>
      </c>
      <c r="M34" s="44" cm="1">
        <f t="array" ref="M34">INDEX('1.Data Sources'!$C$11:$C$25,MATCH('3. Consequence Variables'!M30,'1.Data Sources'!$B$11:$B$25,0),0)</f>
        <v>0.17</v>
      </c>
      <c r="N34" s="44" cm="1">
        <f t="array" ref="N34">INDEX('1.Data Sources'!$C$11:$C$25,MATCH('3. Consequence Variables'!N30,'1.Data Sources'!$B$11:$B$25,0),0)</f>
        <v>0.18</v>
      </c>
      <c r="O34" s="44" cm="1">
        <f t="array" ref="O34">INDEX('1.Data Sources'!$C$11:$C$25,MATCH('3. Consequence Variables'!O30,'1.Data Sources'!$B$11:$B$25,0),0)</f>
        <v>0.19</v>
      </c>
      <c r="P34" s="44" cm="1">
        <f t="array" ref="P34">INDEX('1.Data Sources'!$C$11:$C$25,MATCH('3. Consequence Variables'!P30,'1.Data Sources'!$B$11:$B$25,0),0)</f>
        <v>0.19</v>
      </c>
      <c r="Q34" s="44" cm="1">
        <f t="array" ref="Q34">INDEX('1.Data Sources'!$C$11:$C$25,MATCH('3. Consequence Variables'!Q30,'1.Data Sources'!$B$11:$B$25,0),0)</f>
        <v>0.18</v>
      </c>
      <c r="R34" s="53">
        <f>$C$54+($C$56*R32)+(R33*$C$57)</f>
        <v>0.15756171606589423</v>
      </c>
      <c r="S34" s="53">
        <f t="shared" ref="S34:Y34" si="4">$C$54+($C$56*S32)+(S33*$C$57)</f>
        <v>0.16555558339341822</v>
      </c>
      <c r="T34" s="53">
        <f t="shared" si="4"/>
        <v>0.17221516035079404</v>
      </c>
      <c r="U34" s="53">
        <f t="shared" si="4"/>
        <v>0.17637047410013212</v>
      </c>
      <c r="V34" s="53">
        <f t="shared" si="4"/>
        <v>0.18052578784947068</v>
      </c>
      <c r="W34" s="53">
        <f t="shared" si="4"/>
        <v>0.18468110159880929</v>
      </c>
      <c r="X34" s="53">
        <f t="shared" si="4"/>
        <v>0.18883641534814738</v>
      </c>
      <c r="Y34" s="53">
        <f t="shared" si="4"/>
        <v>0.19299172909748591</v>
      </c>
      <c r="AB34" s="121">
        <v>2026</v>
      </c>
      <c r="AC34" s="124">
        <v>0.17637047410013212</v>
      </c>
      <c r="AD34" s="124">
        <v>0.39716951056085859</v>
      </c>
      <c r="AE34" s="121"/>
    </row>
    <row r="35" spans="2:31" x14ac:dyDescent="0.3">
      <c r="AB35" s="121">
        <v>2027</v>
      </c>
      <c r="AC35" s="124">
        <v>0.18052578784947068</v>
      </c>
      <c r="AD35" s="124">
        <v>0.38504764482159848</v>
      </c>
      <c r="AE35" s="121"/>
    </row>
    <row r="36" spans="2:31" x14ac:dyDescent="0.3">
      <c r="AB36" s="121">
        <v>2028</v>
      </c>
      <c r="AC36" s="124">
        <v>0.18468110159880929</v>
      </c>
      <c r="AD36" s="124">
        <v>0.37377430968408654</v>
      </c>
      <c r="AE36" s="121"/>
    </row>
    <row r="37" spans="2:31" x14ac:dyDescent="0.3">
      <c r="AB37" s="121">
        <v>2029</v>
      </c>
      <c r="AC37" s="124">
        <v>0.18883641534814738</v>
      </c>
      <c r="AD37" s="124">
        <v>0.36329010800620049</v>
      </c>
      <c r="AE37" s="121"/>
    </row>
    <row r="38" spans="2:31" x14ac:dyDescent="0.3">
      <c r="B38" s="8" t="s">
        <v>91</v>
      </c>
      <c r="AB38" s="121">
        <v>2030</v>
      </c>
      <c r="AC38" s="124">
        <v>0.19299172909748591</v>
      </c>
      <c r="AD38" s="124">
        <v>0.35353980044576638</v>
      </c>
      <c r="AE38" s="121"/>
    </row>
    <row r="40" spans="2:31" x14ac:dyDescent="0.3">
      <c r="B40" s="88" t="s">
        <v>36</v>
      </c>
      <c r="C40" s="89"/>
    </row>
    <row r="41" spans="2:31" hidden="1" outlineLevel="1" x14ac:dyDescent="0.3">
      <c r="B41" s="55" t="s">
        <v>37</v>
      </c>
      <c r="C41" s="56">
        <v>0.89496010099254397</v>
      </c>
    </row>
    <row r="42" spans="2:31" hidden="1" outlineLevel="1" x14ac:dyDescent="0.3">
      <c r="B42" s="55" t="s">
        <v>38</v>
      </c>
      <c r="C42" s="56">
        <v>0.8009535823685846</v>
      </c>
    </row>
    <row r="43" spans="2:31" hidden="1" outlineLevel="1" x14ac:dyDescent="0.3">
      <c r="B43" s="55" t="s">
        <v>39</v>
      </c>
      <c r="C43" s="56">
        <v>0.72631117575680393</v>
      </c>
    </row>
    <row r="44" spans="2:31" hidden="1" outlineLevel="1" x14ac:dyDescent="0.3">
      <c r="B44" s="55" t="s">
        <v>40</v>
      </c>
      <c r="C44" s="56">
        <v>1.590455351170194E-2</v>
      </c>
    </row>
    <row r="45" spans="2:31" hidden="1" outlineLevel="1" x14ac:dyDescent="0.3">
      <c r="B45" s="55" t="s">
        <v>41</v>
      </c>
      <c r="C45" s="56">
        <v>12</v>
      </c>
    </row>
    <row r="46" spans="2:31" collapsed="1" x14ac:dyDescent="0.3"/>
    <row r="47" spans="2:31" x14ac:dyDescent="0.3">
      <c r="B47" s="88" t="s">
        <v>42</v>
      </c>
      <c r="C47" s="89"/>
    </row>
    <row r="48" spans="2:31" hidden="1" outlineLevel="1" x14ac:dyDescent="0.3">
      <c r="B48" s="25"/>
      <c r="C48" s="88" t="s">
        <v>43</v>
      </c>
      <c r="D48" s="89" t="s">
        <v>44</v>
      </c>
      <c r="E48" s="88" t="s">
        <v>45</v>
      </c>
      <c r="F48" s="89" t="s">
        <v>46</v>
      </c>
      <c r="G48" s="54" t="s">
        <v>47</v>
      </c>
    </row>
    <row r="49" spans="2:10" hidden="1" outlineLevel="1" x14ac:dyDescent="0.3">
      <c r="B49" s="55" t="s">
        <v>48</v>
      </c>
      <c r="C49" s="56">
        <v>3</v>
      </c>
      <c r="D49" s="56">
        <v>8.1430280874139442E-3</v>
      </c>
      <c r="E49" s="56">
        <v>2.7143426958046481E-3</v>
      </c>
      <c r="F49" s="56">
        <v>10.730543383125191</v>
      </c>
      <c r="G49" s="56">
        <v>3.5414015844740607E-3</v>
      </c>
    </row>
    <row r="50" spans="2:10" hidden="1" outlineLevel="1" x14ac:dyDescent="0.3">
      <c r="B50" s="55" t="s">
        <v>49</v>
      </c>
      <c r="C50" s="56">
        <v>8</v>
      </c>
      <c r="D50" s="56">
        <v>2.0236385792527243E-3</v>
      </c>
      <c r="E50" s="56">
        <v>2.5295482240659053E-4</v>
      </c>
      <c r="F50" s="56"/>
      <c r="G50" s="56"/>
    </row>
    <row r="51" spans="2:10" hidden="1" outlineLevel="1" x14ac:dyDescent="0.3">
      <c r="B51" s="55" t="s">
        <v>50</v>
      </c>
      <c r="C51" s="56">
        <v>11</v>
      </c>
      <c r="D51" s="56">
        <v>1.0166666666666668E-2</v>
      </c>
      <c r="E51" s="56"/>
      <c r="F51" s="56"/>
      <c r="G51" s="56"/>
    </row>
    <row r="52" spans="2:10" ht="15" hidden="1" outlineLevel="1" thickBot="1" x14ac:dyDescent="0.35"/>
    <row r="53" spans="2:10" hidden="1" outlineLevel="1" x14ac:dyDescent="0.3">
      <c r="B53" s="25"/>
      <c r="C53" s="54" t="s">
        <v>51</v>
      </c>
      <c r="D53" s="88" t="s">
        <v>40</v>
      </c>
      <c r="E53" s="89" t="s">
        <v>52</v>
      </c>
      <c r="F53" s="88" t="s">
        <v>53</v>
      </c>
      <c r="G53" s="89" t="s">
        <v>54</v>
      </c>
      <c r="H53" s="54" t="s">
        <v>55</v>
      </c>
      <c r="I53" s="54" t="s">
        <v>56</v>
      </c>
      <c r="J53" s="54" t="s">
        <v>57</v>
      </c>
    </row>
    <row r="54" spans="2:10" hidden="1" outlineLevel="1" x14ac:dyDescent="0.3">
      <c r="B54" s="55" t="s">
        <v>58</v>
      </c>
      <c r="C54" s="56">
        <v>9.1837002670138973E-2</v>
      </c>
      <c r="D54" s="56">
        <v>1.1838915901884756E-2</v>
      </c>
      <c r="E54" s="56">
        <v>7.7572138725572426</v>
      </c>
      <c r="F54" s="56">
        <v>5.4476793390254473E-5</v>
      </c>
      <c r="G54" s="56">
        <v>6.4536413644058349E-2</v>
      </c>
      <c r="H54" s="56">
        <v>0.1191375916962196</v>
      </c>
      <c r="I54" s="56">
        <v>6.4536413644058349E-2</v>
      </c>
      <c r="J54" s="56">
        <v>0.1191375916962196</v>
      </c>
    </row>
    <row r="55" spans="2:10" hidden="1" outlineLevel="1" x14ac:dyDescent="0.3">
      <c r="B55" s="55" t="s">
        <v>119</v>
      </c>
      <c r="C55" s="56">
        <v>1.9962272740652416E-5</v>
      </c>
      <c r="D55" s="56">
        <v>1.6343674860543004E-5</v>
      </c>
      <c r="E55" s="56">
        <v>1.2214066243354762</v>
      </c>
      <c r="F55" s="56">
        <v>0.25670189411934674</v>
      </c>
      <c r="G55" s="56">
        <v>-1.7726309072192138E-5</v>
      </c>
      <c r="H55" s="56">
        <v>5.7650854553496967E-5</v>
      </c>
      <c r="I55" s="56">
        <v>-1.7726309072192138E-5</v>
      </c>
      <c r="J55" s="56">
        <v>5.7650854553496967E-5</v>
      </c>
    </row>
    <row r="56" spans="2:10" hidden="1" outlineLevel="1" x14ac:dyDescent="0.3">
      <c r="B56" s="55" t="s">
        <v>120</v>
      </c>
      <c r="C56" s="56">
        <v>3.1268911966827717E-5</v>
      </c>
      <c r="D56" s="56">
        <v>1.5803850165722599E-5</v>
      </c>
      <c r="E56" s="56">
        <v>1.9785629222585084</v>
      </c>
      <c r="F56" s="56">
        <v>8.3233620251442472E-2</v>
      </c>
      <c r="G56" s="56">
        <v>-5.1748318674756552E-6</v>
      </c>
      <c r="H56" s="56">
        <v>6.7712655801131083E-5</v>
      </c>
      <c r="I56" s="56">
        <v>-5.1748318674756552E-6</v>
      </c>
      <c r="J56" s="56">
        <v>6.7712655801131083E-5</v>
      </c>
    </row>
    <row r="57" spans="2:10" hidden="1" outlineLevel="1" x14ac:dyDescent="0.3">
      <c r="B57" s="55" t="s">
        <v>121</v>
      </c>
      <c r="C57" s="56">
        <v>3.7658093353950944E-5</v>
      </c>
      <c r="D57" s="56">
        <v>1.6175024085542168E-5</v>
      </c>
      <c r="E57" s="56">
        <v>2.3281630466078336</v>
      </c>
      <c r="F57" s="56">
        <v>4.8299996595562354E-2</v>
      </c>
      <c r="G57" s="56">
        <v>3.5842092566370137E-7</v>
      </c>
      <c r="H57" s="56">
        <v>7.4957765782238193E-5</v>
      </c>
      <c r="I57" s="56">
        <v>3.5842092566370137E-7</v>
      </c>
      <c r="J57" s="56">
        <v>7.4957765782238193E-5</v>
      </c>
    </row>
    <row r="58" spans="2:10" collapsed="1" x14ac:dyDescent="0.3"/>
  </sheetData>
  <mergeCells count="10">
    <mergeCell ref="C48:D48"/>
    <mergeCell ref="E48:F48"/>
    <mergeCell ref="D53:E53"/>
    <mergeCell ref="F53:G53"/>
    <mergeCell ref="B47:C47"/>
    <mergeCell ref="C6:G6"/>
    <mergeCell ref="H6:R6"/>
    <mergeCell ref="C28:Q28"/>
    <mergeCell ref="R28:Y28"/>
    <mergeCell ref="B40:C4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D799-4130-4C01-94BE-3CDE3A43F730}">
  <dimension ref="B1:L126"/>
  <sheetViews>
    <sheetView showGridLines="0" topLeftCell="A27" zoomScale="90" zoomScaleNormal="90" workbookViewId="0">
      <selection activeCell="D119" sqref="D119"/>
    </sheetView>
  </sheetViews>
  <sheetFormatPr defaultRowHeight="14.4" outlineLevelRow="1" x14ac:dyDescent="0.3"/>
  <cols>
    <col min="2" max="2" width="19.21875" bestFit="1" customWidth="1"/>
    <col min="3" max="3" width="13.33203125" bestFit="1" customWidth="1"/>
    <col min="4" max="4" width="16.6640625" bestFit="1" customWidth="1"/>
    <col min="5" max="5" width="17.88671875" bestFit="1" customWidth="1"/>
    <col min="6" max="6" width="20.5546875" customWidth="1"/>
    <col min="7" max="7" width="13.33203125" bestFit="1" customWidth="1"/>
    <col min="8" max="12" width="11.109375" bestFit="1" customWidth="1"/>
    <col min="14" max="14" width="26.5546875" bestFit="1" customWidth="1"/>
    <col min="15" max="15" width="13.88671875" bestFit="1" customWidth="1"/>
    <col min="16" max="16" width="14.6640625" bestFit="1" customWidth="1"/>
    <col min="17" max="17" width="13.88671875" bestFit="1" customWidth="1"/>
    <col min="18" max="18" width="13.33203125" bestFit="1" customWidth="1"/>
    <col min="19" max="19" width="13.88671875" bestFit="1" customWidth="1"/>
    <col min="20" max="20" width="13.33203125" bestFit="1" customWidth="1"/>
    <col min="21" max="21" width="13.88671875" bestFit="1" customWidth="1"/>
    <col min="22" max="22" width="13.33203125" bestFit="1" customWidth="1"/>
  </cols>
  <sheetData>
    <row r="1" spans="2:12" ht="15.6" x14ac:dyDescent="0.3">
      <c r="B1" s="4" t="s">
        <v>92</v>
      </c>
    </row>
    <row r="3" spans="2:12" x14ac:dyDescent="0.3">
      <c r="B3" s="8" t="s">
        <v>94</v>
      </c>
    </row>
    <row r="5" spans="2:12" x14ac:dyDescent="0.3">
      <c r="C5" s="32"/>
      <c r="D5" s="33" t="s">
        <v>34</v>
      </c>
      <c r="E5" s="33" t="s">
        <v>35</v>
      </c>
    </row>
    <row r="6" spans="2:12" x14ac:dyDescent="0.3">
      <c r="C6" s="33" t="s">
        <v>31</v>
      </c>
      <c r="D6" s="34">
        <f>AVERAGE(E12:E39)</f>
        <v>14237861.79658613</v>
      </c>
      <c r="E6" s="34">
        <f>_xlfn.STDEV.P(E12:E39)</f>
        <v>6289486.8755637975</v>
      </c>
    </row>
    <row r="7" spans="2:12" x14ac:dyDescent="0.3">
      <c r="C7" s="33" t="s">
        <v>8</v>
      </c>
      <c r="D7" s="34">
        <f>AVERAGE(C12:C39)</f>
        <v>5470533.1862648204</v>
      </c>
      <c r="E7" s="34">
        <f>_xlfn.STDEV.P(C12:C39)</f>
        <v>708540.37679885991</v>
      </c>
    </row>
    <row r="10" spans="2:12" x14ac:dyDescent="0.3">
      <c r="B10" s="90" t="s">
        <v>7</v>
      </c>
      <c r="C10" s="90" t="s">
        <v>8</v>
      </c>
      <c r="D10" s="92" t="s">
        <v>33</v>
      </c>
      <c r="E10" s="90" t="s">
        <v>31</v>
      </c>
      <c r="F10" s="92" t="s">
        <v>32</v>
      </c>
      <c r="G10" s="87" t="s">
        <v>30</v>
      </c>
      <c r="H10" s="87"/>
      <c r="I10" s="87"/>
      <c r="J10" s="87"/>
      <c r="K10" s="87"/>
      <c r="L10" s="87"/>
    </row>
    <row r="11" spans="2:12" ht="34.200000000000003" customHeight="1" x14ac:dyDescent="0.3">
      <c r="B11" s="91"/>
      <c r="C11" s="91"/>
      <c r="D11" s="93"/>
      <c r="E11" s="91"/>
      <c r="F11" s="93"/>
      <c r="G11" s="23" t="s">
        <v>23</v>
      </c>
      <c r="H11" s="23" t="s">
        <v>24</v>
      </c>
      <c r="I11" s="23" t="s">
        <v>25</v>
      </c>
      <c r="J11" s="23" t="s">
        <v>65</v>
      </c>
      <c r="K11" s="23" t="s">
        <v>27</v>
      </c>
      <c r="L11" s="23" t="s">
        <v>50</v>
      </c>
    </row>
    <row r="12" spans="2:12" x14ac:dyDescent="0.3">
      <c r="B12" s="21">
        <v>2003</v>
      </c>
      <c r="C12" s="12">
        <f>VLOOKUP(B12,'1.Data Sources'!$O$4:$P$27,2,0)</f>
        <v>4114826</v>
      </c>
      <c r="D12" s="45">
        <f>STANDARDIZE(C12,$D$7,$E$7)</f>
        <v>-1.9133802824192161</v>
      </c>
      <c r="E12" s="12">
        <f>VLOOKUP(B12,'1.Data Sources'!$O$4:$Q$27,3,0)</f>
        <v>6126948</v>
      </c>
      <c r="F12" s="45">
        <f>STANDARDIZE(E12,$D$6,$E$6)</f>
        <v>-1.2895986520138907</v>
      </c>
      <c r="G12" s="12" cm="1">
        <f t="array" ref="G12">INDEX('1.Data Sources'!$I$6:$I$25,MATCH('4. Secondary Perf Variables'!B12,'1.Data Sources'!$B$6:$B$25,0),0)</f>
        <v>548000</v>
      </c>
      <c r="H12" s="12" cm="1">
        <f t="array" ref="H12">INDEX('1.Data Sources'!$J$6:$J$25,MATCH('4. Secondary Perf Variables'!B12,'1.Data Sources'!$B$6:$B$25,0),0)</f>
        <v>579900</v>
      </c>
      <c r="I12" s="12" cm="1">
        <f t="array" ref="I12">INDEX('1.Data Sources'!$K$6:$K$25,MATCH('4. Secondary Perf Variables'!B12,'1.Data Sources'!$B$6:$B$25,0),0)</f>
        <v>1084700</v>
      </c>
      <c r="J12" s="12" cm="1">
        <f t="array" ref="J12">INDEX('1.Data Sources'!$L$6:$L$25,MATCH('4. Secondary Perf Variables'!B12,'1.Data Sources'!$B$6:$B$25,0),0)</f>
        <v>950600</v>
      </c>
      <c r="K12" s="12" cm="1">
        <f t="array" ref="K12">INDEX('1.Data Sources'!$M$6:$M$25,MATCH('4. Secondary Perf Variables'!B12,'1.Data Sources'!$B$6:$B$25,0),0)</f>
        <v>1565000</v>
      </c>
      <c r="L12" s="11">
        <f>SUM(G12:K12)</f>
        <v>4728200</v>
      </c>
    </row>
    <row r="13" spans="2:12" x14ac:dyDescent="0.3">
      <c r="B13" s="21">
        <v>2004</v>
      </c>
      <c r="C13" s="12">
        <f>VLOOKUP(B13,'1.Data Sources'!$O$4:$P$27,2,0)</f>
        <v>4166664</v>
      </c>
      <c r="D13" s="45">
        <f t="shared" ref="D13:D39" si="0">STANDARDIZE(C13,$D$7,$E$7)</f>
        <v>-1.8402186085084071</v>
      </c>
      <c r="E13" s="12">
        <f>VLOOKUP(B13,'1.Data Sources'!$O$4:$Q$27,3,0)</f>
        <v>8328644</v>
      </c>
      <c r="F13" s="45">
        <f t="shared" ref="F13:F39" si="1">STANDARDIZE(E13,$D$6,$E$6)</f>
        <v>-0.93953893433578717</v>
      </c>
      <c r="G13" s="12" cm="1">
        <f t="array" ref="G13">INDEX('1.Data Sources'!$I$6:$I$25,MATCH('4. Secondary Perf Variables'!B13,'1.Data Sources'!$B$6:$B$25,0),0)</f>
        <v>531100</v>
      </c>
      <c r="H13" s="12" cm="1">
        <f t="array" ref="H13">INDEX('1.Data Sources'!$J$6:$J$25,MATCH('4. Secondary Perf Variables'!B13,'1.Data Sources'!$B$6:$B$25,0),0)</f>
        <v>683100</v>
      </c>
      <c r="I13" s="12" cm="1">
        <f t="array" ref="I13">INDEX('1.Data Sources'!$K$6:$K$25,MATCH('4. Secondary Perf Variables'!B13,'1.Data Sources'!$B$6:$B$25,0),0)</f>
        <v>1132100</v>
      </c>
      <c r="J13" s="12" cm="1">
        <f t="array" ref="J13">INDEX('1.Data Sources'!$L$6:$L$25,MATCH('4. Secondary Perf Variables'!B13,'1.Data Sources'!$B$6:$B$25,0),0)</f>
        <v>807100</v>
      </c>
      <c r="K13" s="12" cm="1">
        <f t="array" ref="K13">INDEX('1.Data Sources'!$M$6:$M$25,MATCH('4. Secondary Perf Variables'!B13,'1.Data Sources'!$B$6:$B$25,0),0)</f>
        <v>1636300</v>
      </c>
      <c r="L13" s="11">
        <f t="shared" ref="L13:L39" si="2">SUM(G13:K13)</f>
        <v>4789700</v>
      </c>
    </row>
    <row r="14" spans="2:12" x14ac:dyDescent="0.3">
      <c r="B14" s="21">
        <v>2005</v>
      </c>
      <c r="C14" s="12">
        <f>VLOOKUP(B14,'1.Data Sources'!$O$4:$P$27,2,0)</f>
        <v>4265762</v>
      </c>
      <c r="D14" s="45">
        <f t="shared" si="0"/>
        <v>-1.700356430931854</v>
      </c>
      <c r="E14" s="12">
        <f>VLOOKUP(B14,'1.Data Sources'!$O$4:$Q$27,3,0)</f>
        <v>8943021</v>
      </c>
      <c r="F14" s="45">
        <f t="shared" si="1"/>
        <v>-0.84185576682859264</v>
      </c>
      <c r="G14" s="12" cm="1">
        <f t="array" ref="G14">INDEX('1.Data Sources'!$I$6:$I$25,MATCH('4. Secondary Perf Variables'!B14,'1.Data Sources'!$B$6:$B$25,0),0)</f>
        <v>531500</v>
      </c>
      <c r="H14" s="12" cm="1">
        <f t="array" ref="H14">INDEX('1.Data Sources'!$J$6:$J$25,MATCH('4. Secondary Perf Variables'!B14,'1.Data Sources'!$B$6:$B$25,0),0)</f>
        <v>674800</v>
      </c>
      <c r="I14" s="12" cm="1">
        <f t="array" ref="I14">INDEX('1.Data Sources'!$K$6:$K$25,MATCH('4. Secondary Perf Variables'!B14,'1.Data Sources'!$B$6:$B$25,0),0)</f>
        <v>1098600</v>
      </c>
      <c r="J14" s="12" cm="1">
        <f t="array" ref="J14">INDEX('1.Data Sources'!$L$6:$L$25,MATCH('4. Secondary Perf Variables'!B14,'1.Data Sources'!$B$6:$B$25,0),0)</f>
        <v>907700</v>
      </c>
      <c r="K14" s="12" cm="1">
        <f t="array" ref="K14">INDEX('1.Data Sources'!$M$6:$M$25,MATCH('4. Secondary Perf Variables'!B14,'1.Data Sources'!$B$6:$B$25,0),0)</f>
        <v>1805600</v>
      </c>
      <c r="L14" s="11">
        <f t="shared" si="2"/>
        <v>5018200</v>
      </c>
    </row>
    <row r="15" spans="2:12" x14ac:dyDescent="0.3">
      <c r="B15" s="21">
        <v>2006</v>
      </c>
      <c r="C15" s="12">
        <f>VLOOKUP(B15,'1.Data Sources'!$O$4:$P$27,2,0)</f>
        <v>4401365</v>
      </c>
      <c r="D15" s="45">
        <f t="shared" si="0"/>
        <v>-1.5089728423032909</v>
      </c>
      <c r="E15" s="12">
        <f>VLOOKUP(B15,'1.Data Sources'!$O$4:$Q$27,3,0)</f>
        <v>9751141</v>
      </c>
      <c r="F15" s="45">
        <f t="shared" si="1"/>
        <v>-0.71336833756949913</v>
      </c>
      <c r="G15" s="12" cm="1">
        <f t="array" ref="G15">INDEX('1.Data Sources'!$I$6:$I$25,MATCH('4. Secondary Perf Variables'!B15,'1.Data Sources'!$B$6:$B$25,0),0)</f>
        <v>542700</v>
      </c>
      <c r="H15" s="12" cm="1">
        <f t="array" ref="H15">INDEX('1.Data Sources'!$J$6:$J$25,MATCH('4. Secondary Perf Variables'!B15,'1.Data Sources'!$B$6:$B$25,0),0)</f>
        <v>656800</v>
      </c>
      <c r="I15" s="12" cm="1">
        <f t="array" ref="I15">INDEX('1.Data Sources'!$K$6:$K$25,MATCH('4. Secondary Perf Variables'!B15,'1.Data Sources'!$B$6:$B$25,0),0)</f>
        <v>1116300</v>
      </c>
      <c r="J15" s="12" cm="1">
        <f t="array" ref="J15">INDEX('1.Data Sources'!$L$6:$L$25,MATCH('4. Secondary Perf Variables'!B15,'1.Data Sources'!$B$6:$B$25,0),0)</f>
        <v>812600</v>
      </c>
      <c r="K15" s="12" cm="1">
        <f t="array" ref="K15">INDEX('1.Data Sources'!$M$6:$M$25,MATCH('4. Secondary Perf Variables'!B15,'1.Data Sources'!$B$6:$B$25,0),0)</f>
        <v>2092100</v>
      </c>
      <c r="L15" s="11">
        <f t="shared" si="2"/>
        <v>5220500</v>
      </c>
    </row>
    <row r="16" spans="2:12" x14ac:dyDescent="0.3">
      <c r="B16" s="21">
        <v>2007</v>
      </c>
      <c r="C16" s="12">
        <f>VLOOKUP(B16,'1.Data Sources'!$O$4:$P$27,2,0)</f>
        <v>4588599</v>
      </c>
      <c r="D16" s="45">
        <f t="shared" si="0"/>
        <v>-1.2447197296635975</v>
      </c>
      <c r="E16" s="12">
        <f>VLOOKUP(B16,'1.Data Sources'!$O$4:$Q$27,3,0)</f>
        <v>10284545</v>
      </c>
      <c r="F16" s="45">
        <f t="shared" si="1"/>
        <v>-0.62855951126088483</v>
      </c>
      <c r="G16" s="12" cm="1">
        <f t="array" ref="G16">INDEX('1.Data Sources'!$I$6:$I$25,MATCH('4. Secondary Perf Variables'!B16,'1.Data Sources'!$B$6:$B$25,0),0)</f>
        <v>558900</v>
      </c>
      <c r="H16" s="12" cm="1">
        <f t="array" ref="H16">INDEX('1.Data Sources'!$J$6:$J$25,MATCH('4. Secondary Perf Variables'!B16,'1.Data Sources'!$B$6:$B$25,0),0)</f>
        <v>659800</v>
      </c>
      <c r="I16" s="12" cm="1">
        <f t="array" ref="I16">INDEX('1.Data Sources'!$K$6:$K$25,MATCH('4. Secondary Perf Variables'!B16,'1.Data Sources'!$B$6:$B$25,0),0)</f>
        <v>1202900</v>
      </c>
      <c r="J16" s="12" cm="1">
        <f t="array" ref="J16">INDEX('1.Data Sources'!$L$6:$L$25,MATCH('4. Secondary Perf Variables'!B16,'1.Data Sources'!$B$6:$B$25,0),0)</f>
        <v>828800</v>
      </c>
      <c r="K16" s="12" cm="1">
        <f t="array" ref="K16">INDEX('1.Data Sources'!$M$6:$M$25,MATCH('4. Secondary Perf Variables'!B16,'1.Data Sources'!$B$6:$B$25,0),0)</f>
        <v>2350400</v>
      </c>
      <c r="L16" s="11">
        <f t="shared" si="2"/>
        <v>5600800</v>
      </c>
    </row>
    <row r="17" spans="2:12" x14ac:dyDescent="0.3">
      <c r="B17" s="21">
        <v>2008</v>
      </c>
      <c r="C17" s="12">
        <f>VLOOKUP(B17,'1.Data Sources'!$O$4:$P$27,2,0)</f>
        <v>4839396</v>
      </c>
      <c r="D17" s="45">
        <f t="shared" si="0"/>
        <v>-0.89075683889217128</v>
      </c>
      <c r="E17" s="12">
        <f>VLOOKUP(B17,'1.Data Sources'!$O$4:$Q$27,3,0)</f>
        <v>10116054</v>
      </c>
      <c r="F17" s="45">
        <f t="shared" si="1"/>
        <v>-0.65534881909053122</v>
      </c>
      <c r="G17" s="12" cm="1">
        <f t="array" ref="G17">INDEX('1.Data Sources'!$I$6:$I$25,MATCH('4. Secondary Perf Variables'!B17,'1.Data Sources'!$B$6:$B$25,0),0)</f>
        <v>568000</v>
      </c>
      <c r="H17" s="12" cm="1">
        <f t="array" ref="H17">INDEX('1.Data Sources'!$J$6:$J$25,MATCH('4. Secondary Perf Variables'!B17,'1.Data Sources'!$B$6:$B$25,0),0)</f>
        <v>684400</v>
      </c>
      <c r="I17" s="12" cm="1">
        <f t="array" ref="I17">INDEX('1.Data Sources'!$K$6:$K$25,MATCH('4. Secondary Perf Variables'!B17,'1.Data Sources'!$B$6:$B$25,0),0)</f>
        <v>1262500</v>
      </c>
      <c r="J17" s="12" cm="1">
        <f t="array" ref="J17">INDEX('1.Data Sources'!$L$6:$L$25,MATCH('4. Secondary Perf Variables'!B17,'1.Data Sources'!$B$6:$B$25,0),0)</f>
        <v>869800</v>
      </c>
      <c r="K17" s="12" cm="1">
        <f t="array" ref="K17">INDEX('1.Data Sources'!$M$6:$M$25,MATCH('4. Secondary Perf Variables'!B17,'1.Data Sources'!$B$6:$B$25,0),0)</f>
        <v>2585500</v>
      </c>
      <c r="L17" s="11">
        <f t="shared" si="2"/>
        <v>5970200</v>
      </c>
    </row>
    <row r="18" spans="2:12" x14ac:dyDescent="0.3">
      <c r="B18" s="21">
        <v>2009</v>
      </c>
      <c r="C18" s="12">
        <f>VLOOKUP(B18,'1.Data Sources'!$O$4:$P$27,2,0)</f>
        <v>4987573</v>
      </c>
      <c r="D18" s="45">
        <f t="shared" si="0"/>
        <v>-0.68162690804835091</v>
      </c>
      <c r="E18" s="12">
        <f>VLOOKUP(B18,'1.Data Sources'!$O$4:$Q$27,3,0)</f>
        <v>9682690</v>
      </c>
      <c r="F18" s="45">
        <f t="shared" si="1"/>
        <v>-0.72425173733712556</v>
      </c>
      <c r="G18" s="12" cm="1">
        <f t="array" ref="G18">INDEX('1.Data Sources'!$I$6:$I$25,MATCH('4. Secondary Perf Variables'!B18,'1.Data Sources'!$B$6:$B$25,0),0)</f>
        <v>606100</v>
      </c>
      <c r="H18" s="12" cm="1">
        <f t="array" ref="H18">INDEX('1.Data Sources'!$J$6:$J$25,MATCH('4. Secondary Perf Variables'!B18,'1.Data Sources'!$B$6:$B$25,0),0)</f>
        <v>688900</v>
      </c>
      <c r="I18" s="12" cm="1">
        <f t="array" ref="I18">INDEX('1.Data Sources'!$K$6:$K$25,MATCH('4. Secondary Perf Variables'!B18,'1.Data Sources'!$B$6:$B$25,0),0)</f>
        <v>1201000</v>
      </c>
      <c r="J18" s="12" cm="1">
        <f t="array" ref="J18">INDEX('1.Data Sources'!$L$6:$L$25,MATCH('4. Secondary Perf Variables'!B18,'1.Data Sources'!$B$6:$B$25,0),0)</f>
        <v>929600</v>
      </c>
      <c r="K18" s="12" cm="1">
        <f t="array" ref="K18">INDEX('1.Data Sources'!$M$6:$M$25,MATCH('4. Secondary Perf Variables'!B18,'1.Data Sources'!$B$6:$B$25,0),0)</f>
        <v>2688500</v>
      </c>
      <c r="L18" s="11">
        <f t="shared" si="2"/>
        <v>6114100</v>
      </c>
    </row>
    <row r="19" spans="2:12" x14ac:dyDescent="0.3">
      <c r="B19" s="21">
        <v>2010</v>
      </c>
      <c r="C19" s="12">
        <f>VLOOKUP(B19,'1.Data Sources'!$O$4:$P$27,2,0)</f>
        <v>5076732</v>
      </c>
      <c r="D19" s="45">
        <f t="shared" si="0"/>
        <v>-0.55579215971288598</v>
      </c>
      <c r="E19" s="12">
        <f>VLOOKUP(B19,'1.Data Sources'!$O$4:$Q$27,3,0)</f>
        <v>11641701</v>
      </c>
      <c r="F19" s="45">
        <f t="shared" si="1"/>
        <v>-0.41277783831187448</v>
      </c>
      <c r="G19" s="12" cm="1">
        <f t="array" ref="G19">INDEX('1.Data Sources'!$I$6:$I$25,MATCH('4. Secondary Perf Variables'!B19,'1.Data Sources'!$B$6:$B$25,0),0)</f>
        <v>640500</v>
      </c>
      <c r="H19" s="12" cm="1">
        <f t="array" ref="H19">INDEX('1.Data Sources'!$J$6:$J$25,MATCH('4. Secondary Perf Variables'!B19,'1.Data Sources'!$B$6:$B$25,0),0)</f>
        <v>740400</v>
      </c>
      <c r="I19" s="12" cm="1">
        <f t="array" ref="I19">INDEX('1.Data Sources'!$K$6:$K$25,MATCH('4. Secondary Perf Variables'!B19,'1.Data Sources'!$B$6:$B$25,0),0)</f>
        <v>1383900</v>
      </c>
      <c r="J19" s="12" cm="1">
        <f t="array" ref="J19">INDEX('1.Data Sources'!$L$6:$L$25,MATCH('4. Secondary Perf Variables'!B19,'1.Data Sources'!$B$6:$B$25,0),0)</f>
        <v>1280100</v>
      </c>
      <c r="K19" s="12" cm="1">
        <f t="array" ref="K19">INDEX('1.Data Sources'!$M$6:$M$25,MATCH('4. Secondary Perf Variables'!B19,'1.Data Sources'!$B$6:$B$25,0),0)</f>
        <v>2472100</v>
      </c>
      <c r="L19" s="11">
        <f t="shared" si="2"/>
        <v>6517000</v>
      </c>
    </row>
    <row r="20" spans="2:12" x14ac:dyDescent="0.3">
      <c r="B20" s="21">
        <v>2011</v>
      </c>
      <c r="C20" s="12">
        <f>VLOOKUP(B20,'1.Data Sources'!$O$4:$P$27,2,0)</f>
        <v>5183688</v>
      </c>
      <c r="D20" s="45">
        <f t="shared" si="0"/>
        <v>-0.4048395767659263</v>
      </c>
      <c r="E20" s="12">
        <f>VLOOKUP(B20,'1.Data Sources'!$O$4:$Q$27,3,0)</f>
        <v>13171303</v>
      </c>
      <c r="F20" s="45">
        <f t="shared" si="1"/>
        <v>-0.16957803040021802</v>
      </c>
      <c r="G20" s="12" cm="1">
        <f t="array" ref="G20">INDEX('1.Data Sources'!$I$6:$I$25,MATCH('4. Secondary Perf Variables'!B20,'1.Data Sources'!$B$6:$B$25,0),0)</f>
        <v>675500</v>
      </c>
      <c r="H20" s="12" cm="1">
        <f t="array" ref="H20">INDEX('1.Data Sources'!$J$6:$J$25,MATCH('4. Secondary Perf Variables'!B20,'1.Data Sources'!$B$6:$B$25,0),0)</f>
        <v>733000</v>
      </c>
      <c r="I20" s="12" cm="1">
        <f t="array" ref="I20">INDEX('1.Data Sources'!$K$6:$K$25,MATCH('4. Secondary Perf Variables'!B20,'1.Data Sources'!$B$6:$B$25,0),0)</f>
        <v>1368200</v>
      </c>
      <c r="J20" s="12" cm="1">
        <f t="array" ref="J20">INDEX('1.Data Sources'!$L$6:$L$25,MATCH('4. Secondary Perf Variables'!B20,'1.Data Sources'!$B$6:$B$25,0),0)</f>
        <v>1356500</v>
      </c>
      <c r="K20" s="12" cm="1">
        <f t="array" ref="K20">INDEX('1.Data Sources'!$M$6:$M$25,MATCH('4. Secondary Perf Variables'!B20,'1.Data Sources'!$B$6:$B$25,0),0)</f>
        <v>2765100</v>
      </c>
      <c r="L20" s="11">
        <f t="shared" si="2"/>
        <v>6898300</v>
      </c>
    </row>
    <row r="21" spans="2:12" x14ac:dyDescent="0.3">
      <c r="B21" s="21">
        <v>2012</v>
      </c>
      <c r="C21" s="12">
        <f>VLOOKUP(B21,'1.Data Sources'!$O$4:$P$27,2,0)</f>
        <v>5312437</v>
      </c>
      <c r="D21" s="45">
        <f t="shared" si="0"/>
        <v>-0.22312939592672029</v>
      </c>
      <c r="E21" s="12">
        <f>VLOOKUP(B21,'1.Data Sources'!$O$4:$Q$27,3,0)</f>
        <v>14496092</v>
      </c>
      <c r="F21" s="45">
        <f t="shared" si="1"/>
        <v>4.105743576907013E-2</v>
      </c>
      <c r="G21" s="12" cm="1">
        <f t="array" ref="G21">INDEX('1.Data Sources'!$I$6:$I$25,MATCH('4. Secondary Perf Variables'!B21,'1.Data Sources'!$B$6:$B$25,0),0)</f>
        <v>703200</v>
      </c>
      <c r="H21" s="12" cm="1">
        <f t="array" ref="H21">INDEX('1.Data Sources'!$J$6:$J$25,MATCH('4. Secondary Perf Variables'!B21,'1.Data Sources'!$B$6:$B$25,0),0)</f>
        <v>803400</v>
      </c>
      <c r="I21" s="12" cm="1">
        <f t="array" ref="I21">INDEX('1.Data Sources'!$K$6:$K$25,MATCH('4. Secondary Perf Variables'!B21,'1.Data Sources'!$B$6:$B$25,0),0)</f>
        <v>1252000</v>
      </c>
      <c r="J21" s="12" cm="1">
        <f t="array" ref="J21">INDEX('1.Data Sources'!$L$6:$L$25,MATCH('4. Secondary Perf Variables'!B21,'1.Data Sources'!$B$6:$B$25,0),0)</f>
        <v>1508500</v>
      </c>
      <c r="K21" s="12" cm="1">
        <f t="array" ref="K21">INDEX('1.Data Sources'!$M$6:$M$25,MATCH('4. Secondary Perf Variables'!B21,'1.Data Sources'!$B$6:$B$25,0),0)</f>
        <v>3002400</v>
      </c>
      <c r="L21" s="11">
        <f t="shared" si="2"/>
        <v>7269500</v>
      </c>
    </row>
    <row r="22" spans="2:12" x14ac:dyDescent="0.3">
      <c r="B22" s="21">
        <v>2013</v>
      </c>
      <c r="C22" s="12">
        <f>VLOOKUP(B22,'1.Data Sources'!$O$4:$P$27,2,0)</f>
        <v>5399162</v>
      </c>
      <c r="D22" s="45">
        <f t="shared" si="0"/>
        <v>-0.10072987877878019</v>
      </c>
      <c r="E22" s="12">
        <f>VLOOKUP(B22,'1.Data Sources'!$O$4:$Q$27,3,0)</f>
        <v>15567923</v>
      </c>
      <c r="F22" s="45">
        <f t="shared" si="1"/>
        <v>0.21147372269453091</v>
      </c>
      <c r="G22" s="12" cm="1">
        <f t="array" ref="G22">INDEX('1.Data Sources'!$I$6:$I$25,MATCH('4. Secondary Perf Variables'!B22,'1.Data Sources'!$B$6:$B$25,0),0)</f>
        <v>796000</v>
      </c>
      <c r="H22" s="12" cm="1">
        <f t="array" ref="H22">INDEX('1.Data Sources'!$J$6:$J$25,MATCH('4. Secondary Perf Variables'!B22,'1.Data Sources'!$B$6:$B$25,0),0)</f>
        <v>832200</v>
      </c>
      <c r="I22" s="12" cm="1">
        <f t="array" ref="I22">INDEX('1.Data Sources'!$K$6:$K$25,MATCH('4. Secondary Perf Variables'!B22,'1.Data Sources'!$B$6:$B$25,0),0)</f>
        <v>1261100</v>
      </c>
      <c r="J22" s="12" cm="1">
        <f t="array" ref="J22">INDEX('1.Data Sources'!$L$6:$L$25,MATCH('4. Secondary Perf Variables'!B22,'1.Data Sources'!$B$6:$B$25,0),0)</f>
        <v>1551100</v>
      </c>
      <c r="K22" s="12" cm="1">
        <f t="array" ref="K22">INDEX('1.Data Sources'!$M$6:$M$25,MATCH('4. Secondary Perf Variables'!B22,'1.Data Sources'!$B$6:$B$25,0),0)</f>
        <v>3411100</v>
      </c>
      <c r="L22" s="11">
        <f t="shared" si="2"/>
        <v>7851500</v>
      </c>
    </row>
    <row r="23" spans="2:12" x14ac:dyDescent="0.3">
      <c r="B23" s="21">
        <v>2014</v>
      </c>
      <c r="C23" s="12">
        <f>VLOOKUP(B23,'1.Data Sources'!$O$4:$P$27,2,0)</f>
        <v>5469724</v>
      </c>
      <c r="D23" s="45">
        <f t="shared" si="0"/>
        <v>-1.1420467926983196E-3</v>
      </c>
      <c r="E23" s="12">
        <f>VLOOKUP(B23,'1.Data Sources'!$O$4:$Q$27,3,0)</f>
        <v>15095152</v>
      </c>
      <c r="F23" s="45">
        <f t="shared" si="1"/>
        <v>0.13630526947192678</v>
      </c>
      <c r="G23" s="12" cm="1">
        <f t="array" ref="G23">INDEX('1.Data Sources'!$I$6:$I$25,MATCH('4. Secondary Perf Variables'!B23,'1.Data Sources'!$B$6:$B$25,0),0)</f>
        <v>788600</v>
      </c>
      <c r="H23" s="12" cm="1">
        <f t="array" ref="H23">INDEX('1.Data Sources'!$J$6:$J$25,MATCH('4. Secondary Perf Variables'!B23,'1.Data Sources'!$B$6:$B$25,0),0)</f>
        <v>869000</v>
      </c>
      <c r="I23" s="12" cm="1">
        <f t="array" ref="I23">INDEX('1.Data Sources'!$K$6:$K$25,MATCH('4. Secondary Perf Variables'!B23,'1.Data Sources'!$B$6:$B$25,0),0)</f>
        <v>1237400</v>
      </c>
      <c r="J23" s="12" cm="1">
        <f t="array" ref="J23">INDEX('1.Data Sources'!$L$6:$L$25,MATCH('4. Secondary Perf Variables'!B23,'1.Data Sources'!$B$6:$B$25,0),0)</f>
        <v>1564300</v>
      </c>
      <c r="K23" s="12" cm="1">
        <f t="array" ref="K23">INDEX('1.Data Sources'!$M$6:$M$25,MATCH('4. Secondary Perf Variables'!B23,'1.Data Sources'!$B$6:$B$25,0),0)</f>
        <v>3055200</v>
      </c>
      <c r="L23" s="11">
        <f t="shared" si="2"/>
        <v>7514500</v>
      </c>
    </row>
    <row r="24" spans="2:12" x14ac:dyDescent="0.3">
      <c r="B24" s="21">
        <v>2015</v>
      </c>
      <c r="C24" s="12">
        <f>VLOOKUP(B24,'1.Data Sources'!$O$4:$P$27,2,0)</f>
        <v>5535002</v>
      </c>
      <c r="D24" s="45">
        <f t="shared" si="0"/>
        <v>9.0988200314632145E-2</v>
      </c>
      <c r="E24" s="12">
        <f>VLOOKUP(B24,'1.Data Sources'!$O$4:$Q$27,3,0)</f>
        <v>15231469</v>
      </c>
      <c r="F24" s="45">
        <f t="shared" si="1"/>
        <v>0.15797905664995954</v>
      </c>
      <c r="G24" s="12" cm="1">
        <f t="array" ref="G24">INDEX('1.Data Sources'!$I$6:$I$25,MATCH('4. Secondary Perf Variables'!B24,'1.Data Sources'!$B$6:$B$25,0),0)</f>
        <v>785500</v>
      </c>
      <c r="H24" s="12" cm="1">
        <f t="array" ref="H24">INDEX('1.Data Sources'!$J$6:$J$25,MATCH('4. Secondary Perf Variables'!B24,'1.Data Sources'!$B$6:$B$25,0),0)</f>
        <v>824600</v>
      </c>
      <c r="I24" s="12" cm="1">
        <f t="array" ref="I24">INDEX('1.Data Sources'!$K$6:$K$25,MATCH('4. Secondary Perf Variables'!B24,'1.Data Sources'!$B$6:$B$25,0),0)</f>
        <v>1192200</v>
      </c>
      <c r="J24" s="12" cm="1">
        <f t="array" ref="J24">INDEX('1.Data Sources'!$L$6:$L$25,MATCH('4. Secondary Perf Variables'!B24,'1.Data Sources'!$B$6:$B$25,0),0)</f>
        <v>1528500</v>
      </c>
      <c r="K24" s="12" cm="1">
        <f t="array" ref="K24">INDEX('1.Data Sources'!$M$6:$M$25,MATCH('4. Secondary Perf Variables'!B24,'1.Data Sources'!$B$6:$B$25,0),0)</f>
        <v>3342700</v>
      </c>
      <c r="L24" s="11">
        <f t="shared" si="2"/>
        <v>7673500</v>
      </c>
    </row>
    <row r="25" spans="2:12" x14ac:dyDescent="0.3">
      <c r="B25" s="21">
        <v>2016</v>
      </c>
      <c r="C25" s="12">
        <f>VLOOKUP(B25,'1.Data Sources'!$O$4:$P$27,2,0)</f>
        <v>5607283</v>
      </c>
      <c r="D25" s="45">
        <f t="shared" si="0"/>
        <v>0.19300214668500124</v>
      </c>
      <c r="E25" s="12">
        <f>VLOOKUP(B25,'1.Data Sources'!$O$4:$Q$27,3,0)</f>
        <v>16403459</v>
      </c>
      <c r="F25" s="45">
        <f t="shared" si="1"/>
        <v>0.34432017209984928</v>
      </c>
      <c r="G25" s="12" cm="1">
        <f t="array" ref="G25">INDEX('1.Data Sources'!$I$6:$I$25,MATCH('4. Secondary Perf Variables'!B25,'1.Data Sources'!$B$6:$B$25,0),0)</f>
        <v>791000</v>
      </c>
      <c r="H25" s="12" cm="1">
        <f t="array" ref="H25">INDEX('1.Data Sources'!$J$6:$J$25,MATCH('4. Secondary Perf Variables'!B25,'1.Data Sources'!$B$6:$B$25,0),0)</f>
        <v>822200</v>
      </c>
      <c r="I25" s="12" cm="1">
        <f t="array" ref="I25">INDEX('1.Data Sources'!$K$6:$K$25,MATCH('4. Secondary Perf Variables'!B25,'1.Data Sources'!$B$6:$B$25,0),0)</f>
        <v>1183100</v>
      </c>
      <c r="J25" s="12" cm="1">
        <f t="array" ref="J25">INDEX('1.Data Sources'!$L$6:$L$25,MATCH('4. Secondary Perf Variables'!B25,'1.Data Sources'!$B$6:$B$25,0),0)</f>
        <v>1454700</v>
      </c>
      <c r="K25" s="12" cm="1">
        <f t="array" ref="K25">INDEX('1.Data Sources'!$M$6:$M$25,MATCH('4. Secondary Perf Variables'!B25,'1.Data Sources'!$B$6:$B$25,0),0)</f>
        <v>3563200</v>
      </c>
      <c r="L25" s="11">
        <f t="shared" si="2"/>
        <v>7814200</v>
      </c>
    </row>
    <row r="26" spans="2:12" x14ac:dyDescent="0.3">
      <c r="B26" s="21">
        <v>2017</v>
      </c>
      <c r="C26" s="12">
        <f>VLOOKUP(B26,'1.Data Sources'!$O$4:$P$27,2,0)</f>
        <v>5612253</v>
      </c>
      <c r="D26" s="45">
        <f t="shared" si="0"/>
        <v>0.20001656698163153</v>
      </c>
      <c r="E26" s="12">
        <f>VLOOKUP(B26,'1.Data Sources'!$O$4:$Q$27,3,0)</f>
        <v>17424611</v>
      </c>
      <c r="F26" s="45">
        <f t="shared" si="1"/>
        <v>0.5066787269713805</v>
      </c>
      <c r="G26" s="12" cm="1">
        <f t="array" ref="G26">INDEX('1.Data Sources'!$I$6:$I$25,MATCH('4. Secondary Perf Variables'!B26,'1.Data Sources'!$B$6:$B$25,0),0)</f>
        <v>810000</v>
      </c>
      <c r="H26" s="12" cm="1">
        <f t="array" ref="H26">INDEX('1.Data Sources'!$J$6:$J$25,MATCH('4. Secondary Perf Variables'!B26,'1.Data Sources'!$B$6:$B$25,0),0)</f>
        <v>815000</v>
      </c>
      <c r="I26" s="12" cm="1">
        <f t="array" ref="I26">INDEX('1.Data Sources'!$K$6:$K$25,MATCH('4. Secondary Perf Variables'!B26,'1.Data Sources'!$B$6:$B$25,0),0)</f>
        <v>1145000</v>
      </c>
      <c r="J26" s="12" cm="1">
        <f t="array" ref="J26">INDEX('1.Data Sources'!$L$6:$L$25,MATCH('4. Secondary Perf Variables'!B26,'1.Data Sources'!$B$6:$B$25,0),0)</f>
        <v>1473000</v>
      </c>
      <c r="K26" s="12" cm="1">
        <f t="array" ref="K26">INDEX('1.Data Sources'!$M$6:$M$25,MATCH('4. Secondary Perf Variables'!B26,'1.Data Sources'!$B$6:$B$25,0),0)</f>
        <v>3461000</v>
      </c>
      <c r="L26" s="11">
        <f t="shared" si="2"/>
        <v>7704000</v>
      </c>
    </row>
    <row r="27" spans="2:12" x14ac:dyDescent="0.3">
      <c r="B27" s="21">
        <v>2018</v>
      </c>
      <c r="C27" s="12">
        <f>VLOOKUP(B27,'1.Data Sources'!$O$4:$P$27,2,0)</f>
        <v>5638676</v>
      </c>
      <c r="D27" s="45">
        <f t="shared" si="0"/>
        <v>0.23730872543190562</v>
      </c>
      <c r="E27" s="12">
        <f>VLOOKUP(B27,'1.Data Sources'!$O$4:$Q$27,3,0)</f>
        <v>18508302</v>
      </c>
      <c r="F27" s="45">
        <f t="shared" si="1"/>
        <v>0.67898070031842817</v>
      </c>
      <c r="G27" s="12" cm="1">
        <f t="array" ref="G27">INDEX('1.Data Sources'!$I$6:$I$25,MATCH('4. Secondary Perf Variables'!B27,'1.Data Sources'!$B$6:$B$25,0),0)</f>
        <v>763000</v>
      </c>
      <c r="H27" s="12" cm="1">
        <f t="array" ref="H27">INDEX('1.Data Sources'!$J$6:$J$25,MATCH('4. Secondary Perf Variables'!B27,'1.Data Sources'!$B$6:$B$25,0),0)</f>
        <v>949000</v>
      </c>
      <c r="I27" s="12" cm="1">
        <f t="array" ref="I27">INDEX('1.Data Sources'!$K$6:$K$25,MATCH('4. Secondary Perf Variables'!B27,'1.Data Sources'!$B$6:$B$25,0),0)</f>
        <v>1054000</v>
      </c>
      <c r="J27" s="12" cm="1">
        <f t="array" ref="J27">INDEX('1.Data Sources'!$L$6:$L$25,MATCH('4. Secondary Perf Variables'!B27,'1.Data Sources'!$B$6:$B$25,0),0)</f>
        <v>1440000</v>
      </c>
      <c r="K27" s="12" cm="1">
        <f t="array" ref="K27">INDEX('1.Data Sources'!$M$6:$M$25,MATCH('4. Secondary Perf Variables'!B27,'1.Data Sources'!$B$6:$B$25,0),0)</f>
        <v>3553000</v>
      </c>
      <c r="L27" s="11">
        <f t="shared" si="2"/>
        <v>7759000</v>
      </c>
    </row>
    <row r="28" spans="2:12" x14ac:dyDescent="0.3">
      <c r="B28" s="21">
        <v>2019</v>
      </c>
      <c r="C28" s="12">
        <f>VLOOKUP(B28,'1.Data Sources'!$O$4:$P$27,2,0)</f>
        <v>5703569</v>
      </c>
      <c r="D28" s="45">
        <f t="shared" si="0"/>
        <v>0.32889560195287743</v>
      </c>
      <c r="E28" s="12">
        <f>VLOOKUP(B28,'1.Data Sources'!$O$4:$Q$27,3,0)</f>
        <v>19116016</v>
      </c>
      <c r="F28" s="45">
        <f t="shared" si="1"/>
        <v>0.77560448092621015</v>
      </c>
      <c r="G28" s="12" cm="1">
        <f t="array" ref="G28">INDEX('1.Data Sources'!$I$6:$I$25,MATCH('4. Secondary Perf Variables'!B28,'1.Data Sources'!$B$6:$B$25,0),0)</f>
        <v>744000</v>
      </c>
      <c r="H28" s="12" cm="1">
        <f t="array" ref="H28">INDEX('1.Data Sources'!$J$6:$J$25,MATCH('4. Secondary Perf Variables'!B28,'1.Data Sources'!$B$6:$B$25,0),0)</f>
        <v>930000</v>
      </c>
      <c r="I28" s="12" cm="1">
        <f t="array" ref="I28">INDEX('1.Data Sources'!$K$6:$K$25,MATCH('4. Secondary Perf Variables'!B28,'1.Data Sources'!$B$6:$B$25,0),0)</f>
        <v>1011000</v>
      </c>
      <c r="J28" s="12" cm="1">
        <f t="array" ref="J28">INDEX('1.Data Sources'!$L$6:$L$25,MATCH('4. Secondary Perf Variables'!B28,'1.Data Sources'!$B$6:$B$25,0),0)</f>
        <v>1404000</v>
      </c>
      <c r="K28" s="12" cm="1">
        <f t="array" ref="K28">INDEX('1.Data Sources'!$M$6:$M$25,MATCH('4. Secondary Perf Variables'!B28,'1.Data Sources'!$B$6:$B$25,0),0)</f>
        <v>3189000</v>
      </c>
      <c r="L28" s="11">
        <f t="shared" si="2"/>
        <v>7278000</v>
      </c>
    </row>
    <row r="29" spans="2:12" x14ac:dyDescent="0.3">
      <c r="B29" s="21">
        <v>2020</v>
      </c>
      <c r="C29" s="12">
        <f>VLOOKUP(B29,'1.Data Sources'!$O$4:$P$27,2,0)</f>
        <v>5685807</v>
      </c>
      <c r="D29" s="45">
        <f t="shared" si="0"/>
        <v>0.30382716466741516</v>
      </c>
      <c r="E29" s="12">
        <f>VLOOKUP(B29,'1.Data Sources'!$O$4:$Q$27,3,0)</f>
        <v>2742443</v>
      </c>
      <c r="F29" s="45">
        <f t="shared" si="1"/>
        <v>-1.827719657266264</v>
      </c>
      <c r="G29" s="12" cm="1">
        <f t="array" ref="G29">INDEX('1.Data Sources'!$I$6:$I$25,MATCH('4. Secondary Perf Variables'!B29,'1.Data Sources'!$B$6:$B$25,0),0)</f>
        <v>665000</v>
      </c>
      <c r="H29" s="12" cm="1">
        <f t="array" ref="H29">INDEX('1.Data Sources'!$J$6:$J$25,MATCH('4. Secondary Perf Variables'!B29,'1.Data Sources'!$B$6:$B$25,0),0)</f>
        <v>868000</v>
      </c>
      <c r="I29" s="12" cm="1">
        <f t="array" ref="I29">INDEX('1.Data Sources'!$K$6:$K$25,MATCH('4. Secondary Perf Variables'!B29,'1.Data Sources'!$B$6:$B$25,0),0)</f>
        <v>1144000</v>
      </c>
      <c r="J29" s="12" cm="1">
        <f t="array" ref="J29">INDEX('1.Data Sources'!$L$6:$L$25,MATCH('4. Secondary Perf Variables'!B29,'1.Data Sources'!$B$6:$B$25,0),0)</f>
        <v>1009000</v>
      </c>
      <c r="K29" s="12" cm="1">
        <f t="array" ref="K29">INDEX('1.Data Sources'!$M$6:$M$25,MATCH('4. Secondary Perf Variables'!B29,'1.Data Sources'!$B$6:$B$25,0),0)</f>
        <v>2194000</v>
      </c>
      <c r="L29" s="11">
        <f t="shared" si="2"/>
        <v>5880000</v>
      </c>
    </row>
    <row r="30" spans="2:12" x14ac:dyDescent="0.3">
      <c r="B30" s="21">
        <v>2021</v>
      </c>
      <c r="C30" s="12">
        <f>VLOOKUP(B30,'1.Data Sources'!$O$4:$P$27,2,0)</f>
        <v>5453566</v>
      </c>
      <c r="D30" s="45">
        <f t="shared" si="0"/>
        <v>-2.3946675193694759E-2</v>
      </c>
      <c r="E30" s="12">
        <f>VLOOKUP(B30,'1.Data Sources'!$O$4:$Q$27,3,0)</f>
        <v>330059</v>
      </c>
      <c r="F30" s="45">
        <f t="shared" si="1"/>
        <v>-2.211277815145996</v>
      </c>
      <c r="G30" s="12" cm="1">
        <f t="array" ref="G30">INDEX('1.Data Sources'!$I$6:$I$25,MATCH('4. Secondary Perf Variables'!B30,'1.Data Sources'!$B$6:$B$25,0),0)</f>
        <v>817000</v>
      </c>
      <c r="H30" s="12" cm="1">
        <f t="array" ref="H30">INDEX('1.Data Sources'!$J$6:$J$25,MATCH('4. Secondary Perf Variables'!B30,'1.Data Sources'!$B$6:$B$25,0),0)</f>
        <v>982000</v>
      </c>
      <c r="I30" s="12" cm="1">
        <f t="array" ref="I30">INDEX('1.Data Sources'!$K$6:$K$25,MATCH('4. Secondary Perf Variables'!B30,'1.Data Sources'!$B$6:$B$25,0),0)</f>
        <v>1136000</v>
      </c>
      <c r="J30" s="12" cm="1">
        <f t="array" ref="J30">INDEX('1.Data Sources'!$L$6:$L$25,MATCH('4. Secondary Perf Variables'!B30,'1.Data Sources'!$B$6:$B$25,0),0)</f>
        <v>1400000</v>
      </c>
      <c r="K30" s="12" cm="1">
        <f t="array" ref="K30">INDEX('1.Data Sources'!$M$6:$M$25,MATCH('4. Secondary Perf Variables'!B30,'1.Data Sources'!$B$6:$B$25,0),0)</f>
        <v>2609000</v>
      </c>
      <c r="L30" s="11">
        <f t="shared" si="2"/>
        <v>6944000</v>
      </c>
    </row>
    <row r="31" spans="2:12" x14ac:dyDescent="0.3">
      <c r="B31" s="21">
        <v>2022</v>
      </c>
      <c r="C31" s="12">
        <f>VLOOKUP(B31,'1.Data Sources'!$O$4:$P$27,2,0)</f>
        <v>5637022</v>
      </c>
      <c r="D31" s="45">
        <f t="shared" si="0"/>
        <v>0.23497434893882183</v>
      </c>
      <c r="E31" s="12">
        <f>VLOOKUP(B31,'1.Data Sources'!$O$4:$Q$27,3,0)</f>
        <v>6305744</v>
      </c>
      <c r="F31" s="45">
        <f t="shared" si="1"/>
        <v>-1.2611708957378316</v>
      </c>
      <c r="G31" s="12" cm="1">
        <f t="array" ref="G31">INDEX('1.Data Sources'!$I$6:$I$25,MATCH('4. Secondary Perf Variables'!B31,'1.Data Sources'!$B$6:$B$25,0),0)</f>
        <v>813000</v>
      </c>
      <c r="H31" s="12" cm="1">
        <f t="array" ref="H31">INDEX('1.Data Sources'!$J$6:$J$25,MATCH('4. Secondary Perf Variables'!B31,'1.Data Sources'!$B$6:$B$25,0),0)</f>
        <v>1001000</v>
      </c>
      <c r="I31" s="12" cm="1">
        <f t="array" ref="I31">INDEX('1.Data Sources'!$K$6:$K$25,MATCH('4. Secondary Perf Variables'!B31,'1.Data Sources'!$B$6:$B$25,0),0)</f>
        <v>1064000</v>
      </c>
      <c r="J31" s="12" cm="1">
        <f t="array" ref="J31">INDEX('1.Data Sources'!$L$6:$L$25,MATCH('4. Secondary Perf Variables'!B31,'1.Data Sources'!$B$6:$B$25,0),0)</f>
        <v>1430000</v>
      </c>
      <c r="K31" s="12" cm="1">
        <f t="array" ref="K31">INDEX('1.Data Sources'!$M$6:$M$25,MATCH('4. Secondary Perf Variables'!B31,'1.Data Sources'!$B$6:$B$25,0),0)</f>
        <v>3077000</v>
      </c>
      <c r="L31" s="11">
        <f t="shared" si="2"/>
        <v>7385000</v>
      </c>
    </row>
    <row r="32" spans="2:12" x14ac:dyDescent="0.3">
      <c r="B32" s="21">
        <v>2023</v>
      </c>
      <c r="C32" s="12">
        <v>5917648</v>
      </c>
      <c r="D32" s="45">
        <f t="shared" si="0"/>
        <v>0.63103646365958099</v>
      </c>
      <c r="E32" s="12">
        <v>14317707.673901305</v>
      </c>
      <c r="F32" s="45">
        <f t="shared" si="1"/>
        <v>1.2695133783551667E-2</v>
      </c>
      <c r="G32" s="11">
        <f t="shared" ref="G32:G39" si="3">(D32*$C$60)+$C$58</f>
        <v>824399.70647654601</v>
      </c>
      <c r="H32" s="11">
        <f t="shared" ref="H32:H39" si="4">(D32*$C$72)+(F32*$C$71)+$C$70</f>
        <v>936985.5771630368</v>
      </c>
      <c r="I32" s="11">
        <f ca="1">SMALL($I$12:$I$31,RANDBETWEEN(1,COUNT($I$12:$I$31)))</f>
        <v>1383900</v>
      </c>
      <c r="J32" s="11">
        <f t="shared" ref="J32:J39" si="5">(D32*$C$96)+($C$95*F32)+$C$94</f>
        <v>1565832.3933627997</v>
      </c>
      <c r="K32" s="11">
        <f t="shared" ref="K32:K39" si="6">(D32*$C$107)+(F32*$C$106)+$C$105</f>
        <v>3497734.2940651798</v>
      </c>
      <c r="L32" s="11">
        <f t="shared" ca="1" si="2"/>
        <v>8208851.9710675627</v>
      </c>
    </row>
    <row r="33" spans="2:12" x14ac:dyDescent="0.3">
      <c r="B33" s="21">
        <v>2024</v>
      </c>
      <c r="C33" s="12">
        <v>6111263.5177865624</v>
      </c>
      <c r="D33" s="45">
        <f t="shared" si="0"/>
        <v>0.90429614529029478</v>
      </c>
      <c r="E33" s="12">
        <v>20364915.01145196</v>
      </c>
      <c r="F33" s="45">
        <f t="shared" si="1"/>
        <v>0.97417378175490554</v>
      </c>
      <c r="G33" s="11">
        <f t="shared" si="3"/>
        <v>858630.58167594066</v>
      </c>
      <c r="H33" s="11">
        <f t="shared" si="4"/>
        <v>946862.1575034376</v>
      </c>
      <c r="I33" s="11">
        <f t="shared" ref="I33:I39" ca="1" si="7">SMALL($I$12:$I$31,RANDBETWEEN(1,COUNT($I$12:$I$31)))</f>
        <v>1252000</v>
      </c>
      <c r="J33" s="11">
        <f t="shared" si="5"/>
        <v>1728151.7130468939</v>
      </c>
      <c r="K33" s="11">
        <f t="shared" si="6"/>
        <v>3977234.9968625978</v>
      </c>
      <c r="L33" s="11">
        <f t="shared" ca="1" si="2"/>
        <v>8762879.4490888696</v>
      </c>
    </row>
    <row r="34" spans="2:12" x14ac:dyDescent="0.3">
      <c r="B34" s="21">
        <v>2025</v>
      </c>
      <c r="C34" s="12">
        <v>6196945.9268774688</v>
      </c>
      <c r="D34" s="45">
        <f t="shared" si="0"/>
        <v>1.0252241994938025</v>
      </c>
      <c r="E34" s="12">
        <v>20961138.847182751</v>
      </c>
      <c r="F34" s="45">
        <f t="shared" si="1"/>
        <v>1.0689706781515365</v>
      </c>
      <c r="G34" s="11">
        <f t="shared" si="3"/>
        <v>873779.07744686096</v>
      </c>
      <c r="H34" s="11">
        <f t="shared" si="4"/>
        <v>961538.1143921318</v>
      </c>
      <c r="I34" s="11">
        <f t="shared" ca="1" si="7"/>
        <v>1136000</v>
      </c>
      <c r="J34" s="11">
        <f t="shared" si="5"/>
        <v>1769542.198902149</v>
      </c>
      <c r="K34" s="11">
        <f t="shared" si="6"/>
        <v>4077463.5838415138</v>
      </c>
      <c r="L34" s="11">
        <f t="shared" ca="1" si="2"/>
        <v>8818322.9745826554</v>
      </c>
    </row>
    <row r="35" spans="2:12" x14ac:dyDescent="0.3">
      <c r="B35" s="21">
        <v>2026</v>
      </c>
      <c r="C35" s="12">
        <v>6282628.3359683752</v>
      </c>
      <c r="D35" s="45">
        <f t="shared" si="0"/>
        <v>1.1461522536973103</v>
      </c>
      <c r="E35" s="12">
        <v>21557362.682913542</v>
      </c>
      <c r="F35" s="45">
        <f t="shared" si="1"/>
        <v>1.1637675745481673</v>
      </c>
      <c r="G35" s="11">
        <f t="shared" si="3"/>
        <v>888927.57321778126</v>
      </c>
      <c r="H35" s="11">
        <f t="shared" si="4"/>
        <v>976214.071280826</v>
      </c>
      <c r="I35" s="11">
        <f t="shared" ca="1" si="7"/>
        <v>1183100</v>
      </c>
      <c r="J35" s="11">
        <f t="shared" si="5"/>
        <v>1810932.684757404</v>
      </c>
      <c r="K35" s="11">
        <f t="shared" si="6"/>
        <v>4177692.1708204304</v>
      </c>
      <c r="L35" s="11">
        <f t="shared" ca="1" si="2"/>
        <v>9036866.5000764411</v>
      </c>
    </row>
    <row r="36" spans="2:12" x14ac:dyDescent="0.3">
      <c r="B36" s="21">
        <v>2027</v>
      </c>
      <c r="C36" s="12">
        <v>6368310.7450592816</v>
      </c>
      <c r="D36" s="45">
        <f t="shared" si="0"/>
        <v>1.2670803079008182</v>
      </c>
      <c r="E36" s="12">
        <v>22153586.518644333</v>
      </c>
      <c r="F36" s="45">
        <f t="shared" si="1"/>
        <v>1.2585644709447983</v>
      </c>
      <c r="G36" s="11">
        <f t="shared" si="3"/>
        <v>904076.06898870156</v>
      </c>
      <c r="H36" s="11">
        <f t="shared" si="4"/>
        <v>990890.0281695202</v>
      </c>
      <c r="I36" s="11">
        <f t="shared" ca="1" si="7"/>
        <v>1201000</v>
      </c>
      <c r="J36" s="11">
        <f t="shared" si="5"/>
        <v>1852323.1706126588</v>
      </c>
      <c r="K36" s="11">
        <f t="shared" si="6"/>
        <v>4277920.7577993469</v>
      </c>
      <c r="L36" s="11">
        <f t="shared" ca="1" si="2"/>
        <v>9226210.0255702287</v>
      </c>
    </row>
    <row r="37" spans="2:12" x14ac:dyDescent="0.3">
      <c r="B37" s="21">
        <v>2028</v>
      </c>
      <c r="C37" s="12">
        <v>6453993.154150188</v>
      </c>
      <c r="D37" s="45">
        <f t="shared" si="0"/>
        <v>1.388008362104326</v>
      </c>
      <c r="E37" s="12">
        <v>22749810.354375124</v>
      </c>
      <c r="F37" s="45">
        <f t="shared" si="1"/>
        <v>1.3533613673414291</v>
      </c>
      <c r="G37" s="11">
        <f t="shared" si="3"/>
        <v>919224.56475962198</v>
      </c>
      <c r="H37" s="11">
        <f t="shared" si="4"/>
        <v>1005565.9850582145</v>
      </c>
      <c r="I37" s="11">
        <f t="shared" ca="1" si="7"/>
        <v>1064000</v>
      </c>
      <c r="J37" s="11">
        <f t="shared" si="5"/>
        <v>1893713.6564679136</v>
      </c>
      <c r="K37" s="11">
        <f t="shared" si="6"/>
        <v>4378149.344778263</v>
      </c>
      <c r="L37" s="11">
        <f t="shared" ca="1" si="2"/>
        <v>9260653.5510640144</v>
      </c>
    </row>
    <row r="38" spans="2:12" x14ac:dyDescent="0.3">
      <c r="B38" s="21">
        <v>2029</v>
      </c>
      <c r="C38" s="12">
        <v>6539675.5632410944</v>
      </c>
      <c r="D38" s="45">
        <f t="shared" si="0"/>
        <v>1.5089364163078338</v>
      </c>
      <c r="E38" s="12">
        <v>23346034.190105915</v>
      </c>
      <c r="F38" s="45">
        <f t="shared" si="1"/>
        <v>1.4481582637380601</v>
      </c>
      <c r="G38" s="11">
        <f t="shared" si="3"/>
        <v>934373.06053054228</v>
      </c>
      <c r="H38" s="11">
        <f t="shared" si="4"/>
        <v>1020241.9419469086</v>
      </c>
      <c r="I38" s="11">
        <f t="shared" ca="1" si="7"/>
        <v>1098600</v>
      </c>
      <c r="J38" s="11">
        <f t="shared" si="5"/>
        <v>1935104.1423231687</v>
      </c>
      <c r="K38" s="11">
        <f t="shared" si="6"/>
        <v>4478377.93175718</v>
      </c>
      <c r="L38" s="11">
        <f t="shared" ca="1" si="2"/>
        <v>9466697.0765578002</v>
      </c>
    </row>
    <row r="39" spans="2:12" x14ac:dyDescent="0.3">
      <c r="B39" s="21">
        <v>2030</v>
      </c>
      <c r="C39" s="12">
        <v>6625357.9723320007</v>
      </c>
      <c r="D39" s="45">
        <f t="shared" si="0"/>
        <v>1.6298644705113416</v>
      </c>
      <c r="E39" s="12">
        <v>23942258.025836706</v>
      </c>
      <c r="F39" s="45">
        <f t="shared" si="1"/>
        <v>1.5429551601346909</v>
      </c>
      <c r="G39" s="11">
        <f t="shared" si="3"/>
        <v>949521.55630146258</v>
      </c>
      <c r="H39" s="11">
        <f t="shared" si="4"/>
        <v>1034917.8988356029</v>
      </c>
      <c r="I39" s="11">
        <f t="shared" ca="1" si="7"/>
        <v>1202900</v>
      </c>
      <c r="J39" s="11">
        <f t="shared" si="5"/>
        <v>1976494.6281784237</v>
      </c>
      <c r="K39" s="11">
        <f t="shared" si="6"/>
        <v>4578606.5187360961</v>
      </c>
      <c r="L39" s="11">
        <f t="shared" ca="1" si="2"/>
        <v>9742440.6020515859</v>
      </c>
    </row>
    <row r="42" spans="2:12" x14ac:dyDescent="0.3">
      <c r="B42" s="1" t="s">
        <v>93</v>
      </c>
    </row>
    <row r="43" spans="2:12" x14ac:dyDescent="0.3">
      <c r="B43" s="1"/>
    </row>
    <row r="44" spans="2:12" x14ac:dyDescent="0.3">
      <c r="B44" s="39" t="s">
        <v>36</v>
      </c>
    </row>
    <row r="45" spans="2:12" hidden="1" outlineLevel="1" x14ac:dyDescent="0.3">
      <c r="B45" s="39" t="s">
        <v>2</v>
      </c>
      <c r="C45" s="40" t="s">
        <v>23</v>
      </c>
      <c r="D45" s="39" t="s">
        <v>24</v>
      </c>
      <c r="E45" s="40" t="s">
        <v>25</v>
      </c>
      <c r="F45" s="39" t="s">
        <v>26</v>
      </c>
      <c r="G45" s="40" t="s">
        <v>27</v>
      </c>
    </row>
    <row r="46" spans="2:12" hidden="1" outlineLevel="1" x14ac:dyDescent="0.3">
      <c r="B46" s="2" t="s">
        <v>37</v>
      </c>
      <c r="C46" s="46">
        <v>0.89931524414031916</v>
      </c>
      <c r="D46" s="46">
        <v>0.88623341965807767</v>
      </c>
      <c r="E46" s="46">
        <v>0.10690651339529732</v>
      </c>
      <c r="F46" s="46">
        <v>0.84829032090818324</v>
      </c>
      <c r="G46" s="46">
        <v>0.9448111008353135</v>
      </c>
    </row>
    <row r="47" spans="2:12" hidden="1" outlineLevel="1" x14ac:dyDescent="0.3">
      <c r="B47" s="2" t="s">
        <v>38</v>
      </c>
      <c r="C47" s="46">
        <v>0.80876790834316181</v>
      </c>
      <c r="D47" s="46">
        <v>0.78540967411885032</v>
      </c>
      <c r="E47" s="46">
        <v>1.1429002606338884E-2</v>
      </c>
      <c r="F47" s="46">
        <v>0.71959646854650849</v>
      </c>
      <c r="G47" s="46">
        <v>0.89266801626163694</v>
      </c>
    </row>
    <row r="48" spans="2:12" hidden="1" outlineLevel="1" x14ac:dyDescent="0.3">
      <c r="B48" s="2" t="s">
        <v>39</v>
      </c>
      <c r="C48" s="46">
        <v>0.78627001520706319</v>
      </c>
      <c r="D48" s="46">
        <v>0.76016375342695042</v>
      </c>
      <c r="E48" s="46">
        <v>-0.10487346767526831</v>
      </c>
      <c r="F48" s="46">
        <v>0.6866078177872742</v>
      </c>
      <c r="G48" s="46">
        <v>0.88004072405712364</v>
      </c>
    </row>
    <row r="49" spans="2:10" hidden="1" outlineLevel="1" x14ac:dyDescent="0.3">
      <c r="B49" s="2" t="s">
        <v>40</v>
      </c>
      <c r="C49" s="34">
        <v>50671.017885278903</v>
      </c>
      <c r="D49" s="34">
        <v>58813.50944852511</v>
      </c>
      <c r="E49" s="34">
        <v>103480.91001650099</v>
      </c>
      <c r="F49" s="34">
        <v>163323.99216003084</v>
      </c>
      <c r="G49" s="34">
        <v>219135.72365449797</v>
      </c>
    </row>
    <row r="50" spans="2:10" hidden="1" outlineLevel="1" x14ac:dyDescent="0.3">
      <c r="B50" s="2" t="s">
        <v>41</v>
      </c>
      <c r="C50" s="34">
        <v>20</v>
      </c>
      <c r="D50" s="47">
        <v>20</v>
      </c>
      <c r="E50" s="47">
        <v>20</v>
      </c>
      <c r="F50" s="47">
        <v>20</v>
      </c>
      <c r="G50" s="47">
        <v>20</v>
      </c>
    </row>
    <row r="51" spans="2:10" collapsed="1" x14ac:dyDescent="0.3"/>
    <row r="52" spans="2:10" x14ac:dyDescent="0.3">
      <c r="B52" s="39" t="s">
        <v>59</v>
      </c>
    </row>
    <row r="53" spans="2:10" hidden="1" outlineLevel="1" x14ac:dyDescent="0.3">
      <c r="B53" s="25"/>
      <c r="C53" s="25" t="s">
        <v>43</v>
      </c>
      <c r="D53" s="25" t="s">
        <v>44</v>
      </c>
      <c r="E53" s="25" t="s">
        <v>45</v>
      </c>
      <c r="F53" s="25" t="s">
        <v>46</v>
      </c>
      <c r="G53" s="25" t="s">
        <v>47</v>
      </c>
    </row>
    <row r="54" spans="2:10" hidden="1" outlineLevel="1" x14ac:dyDescent="0.3">
      <c r="B54" t="s">
        <v>48</v>
      </c>
      <c r="C54">
        <v>2</v>
      </c>
      <c r="D54">
        <v>184599837089.98566</v>
      </c>
      <c r="E54">
        <v>92299918544.992828</v>
      </c>
      <c r="F54">
        <v>35.948606540648356</v>
      </c>
      <c r="G54">
        <v>7.8210775093679319E-7</v>
      </c>
    </row>
    <row r="55" spans="2:10" hidden="1" outlineLevel="1" x14ac:dyDescent="0.3">
      <c r="B55" t="s">
        <v>49</v>
      </c>
      <c r="C55">
        <v>17</v>
      </c>
      <c r="D55">
        <v>43648384910.014328</v>
      </c>
      <c r="E55">
        <v>2567552053.5302544</v>
      </c>
    </row>
    <row r="56" spans="2:10" ht="15" hidden="1" outlineLevel="1" thickBot="1" x14ac:dyDescent="0.35">
      <c r="B56" s="24" t="s">
        <v>50</v>
      </c>
      <c r="C56" s="24">
        <v>19</v>
      </c>
      <c r="D56" s="24">
        <v>228248222000</v>
      </c>
      <c r="E56" s="24"/>
      <c r="F56" s="24"/>
      <c r="G56" s="24"/>
    </row>
    <row r="57" spans="2:10" hidden="1" outlineLevel="1" x14ac:dyDescent="0.3">
      <c r="B57" s="25"/>
      <c r="C57" s="25" t="s">
        <v>51</v>
      </c>
      <c r="D57" s="25" t="s">
        <v>40</v>
      </c>
      <c r="E57" s="25" t="s">
        <v>52</v>
      </c>
      <c r="F57" s="25" t="s">
        <v>53</v>
      </c>
      <c r="G57" s="25" t="s">
        <v>54</v>
      </c>
      <c r="H57" s="25" t="s">
        <v>55</v>
      </c>
      <c r="I57" s="25" t="s">
        <v>56</v>
      </c>
      <c r="J57" s="25" t="s">
        <v>57</v>
      </c>
    </row>
    <row r="58" spans="2:10" hidden="1" outlineLevel="1" x14ac:dyDescent="0.3">
      <c r="B58" t="s">
        <v>58</v>
      </c>
      <c r="C58">
        <v>745350.61183919595</v>
      </c>
      <c r="D58">
        <v>13940.770089344691</v>
      </c>
      <c r="E58">
        <v>53.465526442394143</v>
      </c>
      <c r="F58">
        <v>2.1935938308254058E-20</v>
      </c>
      <c r="G58">
        <v>715938.15793770377</v>
      </c>
      <c r="H58">
        <v>774763.06574068812</v>
      </c>
      <c r="I58">
        <v>715938.15793770377</v>
      </c>
      <c r="J58">
        <v>774763.06574068812</v>
      </c>
    </row>
    <row r="59" spans="2:10" hidden="1" outlineLevel="1" x14ac:dyDescent="0.3">
      <c r="B59" t="s">
        <v>32</v>
      </c>
      <c r="C59">
        <v>4339.3943531642526</v>
      </c>
      <c r="D59">
        <v>15246.694484506919</v>
      </c>
      <c r="E59">
        <v>0.2846121405248706</v>
      </c>
      <c r="F59">
        <v>0.77937922248220659</v>
      </c>
      <c r="G59">
        <v>-27828.319180713763</v>
      </c>
      <c r="H59">
        <v>36507.107887042264</v>
      </c>
      <c r="I59">
        <v>-27828.319180713763</v>
      </c>
      <c r="J59">
        <v>36507.107887042264</v>
      </c>
    </row>
    <row r="60" spans="2:10" ht="15" hidden="1" outlineLevel="1" thickBot="1" x14ac:dyDescent="0.35">
      <c r="B60" s="24" t="s">
        <v>33</v>
      </c>
      <c r="C60" s="24">
        <v>125268.66384062693</v>
      </c>
      <c r="D60" s="24">
        <v>16107.011146773231</v>
      </c>
      <c r="E60" s="24">
        <v>7.7772755416340793</v>
      </c>
      <c r="F60" s="24">
        <v>5.3494478068425362E-7</v>
      </c>
      <c r="G60" s="24">
        <v>91285.84081082989</v>
      </c>
      <c r="H60" s="24">
        <v>159251.48687042398</v>
      </c>
      <c r="I60" s="24">
        <v>91285.84081082989</v>
      </c>
      <c r="J60" s="24">
        <v>159251.48687042398</v>
      </c>
    </row>
    <row r="61" spans="2:10" collapsed="1" x14ac:dyDescent="0.3"/>
    <row r="63" spans="2:10" x14ac:dyDescent="0.3">
      <c r="B63" s="39" t="s">
        <v>60</v>
      </c>
    </row>
    <row r="64" spans="2:10" hidden="1" outlineLevel="1" x14ac:dyDescent="0.3">
      <c r="B64" s="25"/>
      <c r="C64" s="25" t="s">
        <v>43</v>
      </c>
      <c r="D64" s="25" t="s">
        <v>44</v>
      </c>
      <c r="E64" s="25" t="s">
        <v>45</v>
      </c>
      <c r="F64" s="25" t="s">
        <v>46</v>
      </c>
      <c r="G64" s="25" t="s">
        <v>47</v>
      </c>
    </row>
    <row r="65" spans="2:10" hidden="1" outlineLevel="1" x14ac:dyDescent="0.3">
      <c r="B65" t="s">
        <v>48</v>
      </c>
      <c r="C65">
        <v>2</v>
      </c>
      <c r="D65">
        <v>215223266307.92023</v>
      </c>
      <c r="E65">
        <v>107611633153.96011</v>
      </c>
      <c r="F65">
        <v>31.110359717276829</v>
      </c>
      <c r="G65">
        <v>2.0829851989171026E-6</v>
      </c>
    </row>
    <row r="66" spans="2:10" hidden="1" outlineLevel="1" x14ac:dyDescent="0.3">
      <c r="B66" t="s">
        <v>49</v>
      </c>
      <c r="C66">
        <v>17</v>
      </c>
      <c r="D66">
        <v>58803491192.079788</v>
      </c>
      <c r="E66">
        <v>3459028893.6517525</v>
      </c>
    </row>
    <row r="67" spans="2:10" ht="15" hidden="1" outlineLevel="1" thickBot="1" x14ac:dyDescent="0.35">
      <c r="B67" s="24" t="s">
        <v>50</v>
      </c>
      <c r="C67" s="24">
        <v>19</v>
      </c>
      <c r="D67" s="24">
        <v>274026757500</v>
      </c>
      <c r="E67" s="24"/>
      <c r="F67" s="24"/>
      <c r="G67" s="24"/>
    </row>
    <row r="68" spans="2:10" ht="15" hidden="1" outlineLevel="1" thickBot="1" x14ac:dyDescent="0.35"/>
    <row r="69" spans="2:10" hidden="1" outlineLevel="1" x14ac:dyDescent="0.3">
      <c r="B69" s="25"/>
      <c r="C69" s="25" t="s">
        <v>51</v>
      </c>
      <c r="D69" s="25" t="s">
        <v>40</v>
      </c>
      <c r="E69" s="25" t="s">
        <v>52</v>
      </c>
      <c r="F69" s="25" t="s">
        <v>53</v>
      </c>
      <c r="G69" s="25" t="s">
        <v>54</v>
      </c>
      <c r="H69" s="25" t="s">
        <v>55</v>
      </c>
      <c r="I69" s="25" t="s">
        <v>56</v>
      </c>
      <c r="J69" s="25" t="s">
        <v>57</v>
      </c>
    </row>
    <row r="70" spans="2:10" hidden="1" outlineLevel="1" x14ac:dyDescent="0.3">
      <c r="B70" t="s">
        <v>58</v>
      </c>
      <c r="C70">
        <v>845382.70622677426</v>
      </c>
      <c r="D70">
        <v>16180.958022704172</v>
      </c>
      <c r="E70">
        <v>52.245528666509287</v>
      </c>
      <c r="F70">
        <v>3.2404080119961436E-20</v>
      </c>
      <c r="G70">
        <v>811243.86892620602</v>
      </c>
      <c r="H70">
        <v>879521.5435273425</v>
      </c>
      <c r="I70">
        <v>811243.86892620602</v>
      </c>
      <c r="J70">
        <v>879521.5435273425</v>
      </c>
    </row>
    <row r="71" spans="2:10" hidden="1" outlineLevel="1" x14ac:dyDescent="0.3">
      <c r="B71" t="s">
        <v>32</v>
      </c>
      <c r="C71">
        <v>-31162.217996533585</v>
      </c>
      <c r="D71">
        <v>17696.735679427486</v>
      </c>
      <c r="E71">
        <v>-1.7609020421071084</v>
      </c>
      <c r="F71">
        <v>9.623072667723144E-2</v>
      </c>
      <c r="G71">
        <v>-68499.066609788366</v>
      </c>
      <c r="H71">
        <v>6174.6306167211915</v>
      </c>
      <c r="I71">
        <v>-68499.066609788366</v>
      </c>
      <c r="J71">
        <v>6174.6306167211915</v>
      </c>
    </row>
    <row r="72" spans="2:10" ht="15" hidden="1" outlineLevel="1" thickBot="1" x14ac:dyDescent="0.35">
      <c r="B72" s="24" t="s">
        <v>33</v>
      </c>
      <c r="C72" s="24">
        <v>145789.48247965306</v>
      </c>
      <c r="D72" s="24">
        <v>18695.299439474296</v>
      </c>
      <c r="E72" s="24">
        <v>7.7981892160456665</v>
      </c>
      <c r="F72" s="24">
        <v>5.159408692028082E-7</v>
      </c>
      <c r="G72" s="24">
        <v>106345.84848999171</v>
      </c>
      <c r="H72" s="24">
        <v>185233.11646931441</v>
      </c>
      <c r="I72" s="24">
        <v>106345.84848999171</v>
      </c>
      <c r="J72" s="24">
        <v>185233.11646931441</v>
      </c>
    </row>
    <row r="73" spans="2:10" collapsed="1" x14ac:dyDescent="0.3"/>
    <row r="75" spans="2:10" x14ac:dyDescent="0.3">
      <c r="B75" s="39" t="s">
        <v>61</v>
      </c>
    </row>
    <row r="76" spans="2:10" hidden="1" outlineLevel="1" x14ac:dyDescent="0.3">
      <c r="B76" s="25"/>
      <c r="C76" s="25" t="s">
        <v>43</v>
      </c>
      <c r="D76" s="25" t="s">
        <v>44</v>
      </c>
      <c r="E76" s="25" t="s">
        <v>45</v>
      </c>
      <c r="F76" s="25" t="s">
        <v>46</v>
      </c>
      <c r="G76" s="25" t="s">
        <v>47</v>
      </c>
    </row>
    <row r="77" spans="2:10" hidden="1" outlineLevel="1" x14ac:dyDescent="0.3">
      <c r="B77" t="s">
        <v>48</v>
      </c>
      <c r="C77">
        <v>2</v>
      </c>
      <c r="D77">
        <v>2104601456.6660461</v>
      </c>
      <c r="E77">
        <v>1052300728.3330231</v>
      </c>
      <c r="F77">
        <v>9.8269646196382981E-2</v>
      </c>
      <c r="G77">
        <v>0.90691555893522591</v>
      </c>
    </row>
    <row r="78" spans="2:10" hidden="1" outlineLevel="1" x14ac:dyDescent="0.3">
      <c r="B78" t="s">
        <v>49</v>
      </c>
      <c r="C78">
        <v>17</v>
      </c>
      <c r="D78">
        <v>182041078543.33395</v>
      </c>
      <c r="E78">
        <v>10708298737.843174</v>
      </c>
    </row>
    <row r="79" spans="2:10" ht="15" hidden="1" outlineLevel="1" thickBot="1" x14ac:dyDescent="0.35">
      <c r="B79" s="24" t="s">
        <v>50</v>
      </c>
      <c r="C79" s="24">
        <v>19</v>
      </c>
      <c r="D79" s="24">
        <v>184145680000</v>
      </c>
      <c r="E79" s="24"/>
      <c r="F79" s="24"/>
      <c r="G79" s="24"/>
    </row>
    <row r="80" spans="2:10" ht="15" hidden="1" outlineLevel="1" thickBot="1" x14ac:dyDescent="0.35"/>
    <row r="81" spans="2:10" hidden="1" outlineLevel="1" x14ac:dyDescent="0.3">
      <c r="B81" s="25"/>
      <c r="C81" s="25" t="s">
        <v>51</v>
      </c>
      <c r="D81" s="25" t="s">
        <v>40</v>
      </c>
      <c r="E81" s="25" t="s">
        <v>52</v>
      </c>
      <c r="F81" s="25" t="s">
        <v>53</v>
      </c>
      <c r="G81" s="25" t="s">
        <v>54</v>
      </c>
      <c r="H81" s="25" t="s">
        <v>55</v>
      </c>
      <c r="I81" s="25" t="s">
        <v>56</v>
      </c>
      <c r="J81" s="25" t="s">
        <v>57</v>
      </c>
    </row>
    <row r="82" spans="2:10" hidden="1" outlineLevel="1" x14ac:dyDescent="0.3">
      <c r="B82" t="s">
        <v>58</v>
      </c>
      <c r="C82">
        <v>1180600.5757708868</v>
      </c>
      <c r="D82">
        <v>28469.994000166236</v>
      </c>
      <c r="E82">
        <v>41.468241116032317</v>
      </c>
      <c r="F82">
        <v>1.5980069622475408E-18</v>
      </c>
      <c r="G82">
        <v>1120534.1389285151</v>
      </c>
      <c r="H82">
        <v>1240667.0126132586</v>
      </c>
      <c r="I82">
        <v>1120534.1389285151</v>
      </c>
      <c r="J82">
        <v>1240667.0126132586</v>
      </c>
    </row>
    <row r="83" spans="2:10" hidden="1" outlineLevel="1" x14ac:dyDescent="0.3">
      <c r="B83" t="s">
        <v>32</v>
      </c>
      <c r="C83">
        <v>13749.732878223593</v>
      </c>
      <c r="D83">
        <v>31136.967162815028</v>
      </c>
      <c r="E83">
        <v>0.44158870086242874</v>
      </c>
      <c r="F83" s="37">
        <v>0.66435232963097368</v>
      </c>
      <c r="G83">
        <v>-51943.52548836801</v>
      </c>
      <c r="H83">
        <v>79442.991244815203</v>
      </c>
      <c r="I83">
        <v>-51943.52548836801</v>
      </c>
      <c r="J83">
        <v>79442.991244815203</v>
      </c>
    </row>
    <row r="84" spans="2:10" ht="15" hidden="1" outlineLevel="1" thickBot="1" x14ac:dyDescent="0.35">
      <c r="B84" s="24" t="s">
        <v>33</v>
      </c>
      <c r="C84" s="24">
        <v>-4136.3200210130444</v>
      </c>
      <c r="D84" s="24">
        <v>32893.915312450306</v>
      </c>
      <c r="E84" s="24">
        <v>-0.12574726911415901</v>
      </c>
      <c r="F84" s="38">
        <v>0.90140714716609338</v>
      </c>
      <c r="G84" s="24">
        <v>-73536.414963150586</v>
      </c>
      <c r="H84" s="24">
        <v>65263.774921124495</v>
      </c>
      <c r="I84" s="24">
        <v>-73536.414963150586</v>
      </c>
      <c r="J84" s="24">
        <v>65263.774921124495</v>
      </c>
    </row>
    <row r="85" spans="2:10" collapsed="1" x14ac:dyDescent="0.3"/>
    <row r="87" spans="2:10" x14ac:dyDescent="0.3">
      <c r="B87" s="39" t="s">
        <v>63</v>
      </c>
    </row>
    <row r="88" spans="2:10" hidden="1" outlineLevel="1" x14ac:dyDescent="0.3">
      <c r="B88" s="25"/>
      <c r="C88" s="25" t="s">
        <v>43</v>
      </c>
      <c r="D88" s="25" t="s">
        <v>44</v>
      </c>
      <c r="E88" s="25" t="s">
        <v>45</v>
      </c>
      <c r="F88" s="25" t="s">
        <v>46</v>
      </c>
      <c r="G88" s="25" t="s">
        <v>47</v>
      </c>
    </row>
    <row r="89" spans="2:10" hidden="1" outlineLevel="1" x14ac:dyDescent="0.3">
      <c r="B89" t="s">
        <v>48</v>
      </c>
      <c r="C89">
        <v>2</v>
      </c>
      <c r="D89">
        <v>1163735920443.4731</v>
      </c>
      <c r="E89">
        <v>581867960221.73657</v>
      </c>
      <c r="F89">
        <v>21.813455597151901</v>
      </c>
      <c r="G89">
        <v>2.0237626236025021E-5</v>
      </c>
    </row>
    <row r="90" spans="2:10" hidden="1" outlineLevel="1" x14ac:dyDescent="0.3">
      <c r="B90" t="s">
        <v>49</v>
      </c>
      <c r="C90">
        <v>17</v>
      </c>
      <c r="D90">
        <v>453470349056.52679</v>
      </c>
      <c r="E90">
        <v>26674726415.089813</v>
      </c>
    </row>
    <row r="91" spans="2:10" ht="15" hidden="1" outlineLevel="1" thickBot="1" x14ac:dyDescent="0.35">
      <c r="B91" s="24" t="s">
        <v>50</v>
      </c>
      <c r="C91" s="24">
        <v>19</v>
      </c>
      <c r="D91" s="24">
        <v>1617206269500</v>
      </c>
      <c r="E91" s="24"/>
      <c r="F91" s="24"/>
      <c r="G91" s="24"/>
    </row>
    <row r="92" spans="2:10" ht="15" hidden="1" outlineLevel="1" thickBot="1" x14ac:dyDescent="0.35"/>
    <row r="93" spans="2:10" hidden="1" outlineLevel="1" x14ac:dyDescent="0.3">
      <c r="B93" s="25"/>
      <c r="C93" s="25" t="s">
        <v>51</v>
      </c>
      <c r="D93" s="25" t="s">
        <v>40</v>
      </c>
      <c r="E93" s="25" t="s">
        <v>52</v>
      </c>
      <c r="F93" s="25" t="s">
        <v>53</v>
      </c>
      <c r="G93" s="25" t="s">
        <v>54</v>
      </c>
      <c r="H93" s="25" t="s">
        <v>55</v>
      </c>
      <c r="I93" s="25" t="s">
        <v>56</v>
      </c>
      <c r="J93" s="25" t="s">
        <v>57</v>
      </c>
    </row>
    <row r="94" spans="2:10" hidden="1" outlineLevel="1" x14ac:dyDescent="0.3">
      <c r="B94" t="s">
        <v>58</v>
      </c>
      <c r="C94">
        <v>1394214.0924161219</v>
      </c>
      <c r="D94">
        <v>44934.211306586076</v>
      </c>
      <c r="E94">
        <v>31.027897271933863</v>
      </c>
      <c r="F94">
        <v>2.0803699577626765E-16</v>
      </c>
      <c r="G94">
        <v>1299411.1934238325</v>
      </c>
      <c r="H94">
        <v>1489016.9914084112</v>
      </c>
      <c r="I94">
        <v>1299411.1934238325</v>
      </c>
      <c r="J94">
        <v>1489016.9914084112</v>
      </c>
    </row>
    <row r="95" spans="2:10" hidden="1" outlineLevel="1" x14ac:dyDescent="0.3">
      <c r="B95" t="s">
        <v>32</v>
      </c>
      <c r="C95">
        <v>92055.063530717525</v>
      </c>
      <c r="D95">
        <v>49143.496901755338</v>
      </c>
      <c r="E95">
        <v>1.8731891162476362</v>
      </c>
      <c r="F95">
        <v>7.8341173988187476E-2</v>
      </c>
      <c r="G95">
        <v>-11628.65178180924</v>
      </c>
      <c r="H95">
        <v>195738.7788432443</v>
      </c>
      <c r="I95">
        <v>-11628.65178180924</v>
      </c>
      <c r="J95">
        <v>195738.7788432443</v>
      </c>
    </row>
    <row r="96" spans="2:10" ht="15" hidden="1" outlineLevel="1" thickBot="1" x14ac:dyDescent="0.35">
      <c r="B96" s="24" t="s">
        <v>33</v>
      </c>
      <c r="C96" s="24">
        <v>270110.61866569531</v>
      </c>
      <c r="D96" s="24">
        <v>51916.489386754314</v>
      </c>
      <c r="E96" s="24">
        <v>5.2027905171610049</v>
      </c>
      <c r="F96" s="24">
        <v>7.1849132389232954E-5</v>
      </c>
      <c r="G96" s="24">
        <v>160576.40061110299</v>
      </c>
      <c r="H96" s="24">
        <v>379644.83672028763</v>
      </c>
      <c r="I96" s="24">
        <v>160576.40061110299</v>
      </c>
      <c r="J96" s="24">
        <v>379644.83672028763</v>
      </c>
    </row>
    <row r="97" spans="2:10" collapsed="1" x14ac:dyDescent="0.3"/>
    <row r="98" spans="2:10" x14ac:dyDescent="0.3">
      <c r="B98" s="39" t="s">
        <v>62</v>
      </c>
    </row>
    <row r="99" spans="2:10" hidden="1" outlineLevel="1" x14ac:dyDescent="0.3">
      <c r="B99" s="25"/>
      <c r="C99" s="25" t="s">
        <v>43</v>
      </c>
      <c r="D99" s="25" t="s">
        <v>44</v>
      </c>
      <c r="E99" s="25" t="s">
        <v>45</v>
      </c>
      <c r="F99" s="25" t="s">
        <v>46</v>
      </c>
      <c r="G99" s="25" t="s">
        <v>47</v>
      </c>
    </row>
    <row r="100" spans="2:10" hidden="1" outlineLevel="1" x14ac:dyDescent="0.3">
      <c r="B100" t="s">
        <v>48</v>
      </c>
      <c r="C100">
        <v>2</v>
      </c>
      <c r="D100">
        <v>6789473606513.1318</v>
      </c>
      <c r="E100">
        <v>3394736803256.5659</v>
      </c>
      <c r="F100">
        <v>70.693542352854948</v>
      </c>
      <c r="G100">
        <v>5.7702924886685664E-9</v>
      </c>
    </row>
    <row r="101" spans="2:10" hidden="1" outlineLevel="1" x14ac:dyDescent="0.3">
      <c r="B101" t="s">
        <v>49</v>
      </c>
      <c r="C101">
        <v>17</v>
      </c>
      <c r="D101">
        <v>816347911486.86841</v>
      </c>
      <c r="E101">
        <v>48020465381.580498</v>
      </c>
    </row>
    <row r="102" spans="2:10" ht="15" hidden="1" outlineLevel="1" thickBot="1" x14ac:dyDescent="0.35">
      <c r="B102" s="24" t="s">
        <v>50</v>
      </c>
      <c r="C102" s="24">
        <v>19</v>
      </c>
      <c r="D102" s="24">
        <v>7605821518000</v>
      </c>
      <c r="E102" s="24"/>
      <c r="F102" s="24"/>
      <c r="G102" s="24"/>
    </row>
    <row r="103" spans="2:10" ht="15" hidden="1" outlineLevel="1" thickBot="1" x14ac:dyDescent="0.35"/>
    <row r="104" spans="2:10" hidden="1" outlineLevel="1" x14ac:dyDescent="0.3">
      <c r="B104" s="25"/>
      <c r="C104" s="25" t="s">
        <v>51</v>
      </c>
      <c r="D104" s="25" t="s">
        <v>40</v>
      </c>
      <c r="E104" s="25" t="s">
        <v>52</v>
      </c>
      <c r="F104" s="25" t="s">
        <v>53</v>
      </c>
      <c r="G104" s="25" t="s">
        <v>54</v>
      </c>
      <c r="H104" s="25" t="s">
        <v>55</v>
      </c>
      <c r="I104" s="25" t="s">
        <v>56</v>
      </c>
      <c r="J104" s="25" t="s">
        <v>57</v>
      </c>
    </row>
    <row r="105" spans="2:10" hidden="1" outlineLevel="1" x14ac:dyDescent="0.3">
      <c r="B105" t="s">
        <v>58</v>
      </c>
      <c r="C105">
        <v>3137906.4142378788</v>
      </c>
      <c r="D105">
        <v>60289.310720893445</v>
      </c>
      <c r="E105">
        <v>52.04747536034489</v>
      </c>
      <c r="F105">
        <v>3.4552180829874559E-20</v>
      </c>
      <c r="G105">
        <v>3010707.0873021046</v>
      </c>
      <c r="H105">
        <v>3265105.7411736529</v>
      </c>
      <c r="I105">
        <v>3010707.0873021046</v>
      </c>
      <c r="J105">
        <v>3265105.7411736529</v>
      </c>
    </row>
    <row r="106" spans="2:10" hidden="1" outlineLevel="1" x14ac:dyDescent="0.3">
      <c r="B106" t="s">
        <v>32</v>
      </c>
      <c r="C106">
        <v>338587.52201706474</v>
      </c>
      <c r="D106">
        <v>65937.010319505178</v>
      </c>
      <c r="E106">
        <v>5.1350147720741495</v>
      </c>
      <c r="F106">
        <v>8.2692219008016163E-5</v>
      </c>
      <c r="G106">
        <v>199472.59048921653</v>
      </c>
      <c r="H106">
        <v>477702.45354491298</v>
      </c>
      <c r="I106">
        <v>199472.59048921653</v>
      </c>
      <c r="J106">
        <v>477702.45354491298</v>
      </c>
    </row>
    <row r="107" spans="2:10" ht="15" hidden="1" outlineLevel="1" thickBot="1" x14ac:dyDescent="0.35">
      <c r="B107" s="24" t="s">
        <v>33</v>
      </c>
      <c r="C107" s="24">
        <v>563405.58178845153</v>
      </c>
      <c r="D107" s="24">
        <v>69657.600949529238</v>
      </c>
      <c r="E107" s="24">
        <v>8.0882139796440864</v>
      </c>
      <c r="F107" s="24">
        <v>3.1426737660654672E-7</v>
      </c>
      <c r="G107" s="24">
        <v>416440.8901906379</v>
      </c>
      <c r="H107" s="24">
        <v>710370.27338626515</v>
      </c>
      <c r="I107" s="24">
        <v>416440.8901906379</v>
      </c>
      <c r="J107" s="24">
        <v>710370.27338626515</v>
      </c>
    </row>
    <row r="108" spans="2:10" collapsed="1" x14ac:dyDescent="0.3"/>
    <row r="110" spans="2:10" x14ac:dyDescent="0.3">
      <c r="B110" s="8" t="s">
        <v>95</v>
      </c>
    </row>
    <row r="113" spans="2:7" ht="39.6" x14ac:dyDescent="0.3">
      <c r="B113" s="36" t="s">
        <v>7</v>
      </c>
      <c r="C113" s="36" t="s">
        <v>75</v>
      </c>
      <c r="D113" s="36" t="s">
        <v>76</v>
      </c>
    </row>
    <row r="114" spans="2:7" x14ac:dyDescent="0.3">
      <c r="B114" s="21">
        <v>2018</v>
      </c>
      <c r="C114" s="12">
        <f>VLOOKUP(B114,'1.Data Sources'!$S$4:$T$9,2,0)</f>
        <v>2969000</v>
      </c>
      <c r="D114" s="12">
        <f>VLOOKUP(B114,'1.Data Sources'!$S$4:$U$9,3,0)</f>
        <v>1162408</v>
      </c>
      <c r="F114" s="1" t="s">
        <v>28</v>
      </c>
    </row>
    <row r="115" spans="2:7" x14ac:dyDescent="0.3">
      <c r="B115" s="21">
        <v>2019</v>
      </c>
      <c r="C115" s="12">
        <f>VLOOKUP(B115,'1.Data Sources'!$S$4:$T$9,2,0)</f>
        <v>2985000</v>
      </c>
      <c r="D115" s="12">
        <f>VLOOKUP(B115,'1.Data Sources'!$S$4:$U$9,3,0)</f>
        <v>1173202</v>
      </c>
      <c r="F115" s="49" t="s">
        <v>66</v>
      </c>
      <c r="G115" s="51">
        <v>1.0261</v>
      </c>
    </row>
    <row r="116" spans="2:7" x14ac:dyDescent="0.3">
      <c r="B116" s="21">
        <v>2020</v>
      </c>
      <c r="C116" s="12">
        <f>VLOOKUP(B116,'1.Data Sources'!$S$4:$T$9,2,0)</f>
        <v>2840000</v>
      </c>
      <c r="D116" s="12">
        <f>VLOOKUP(B116,'1.Data Sources'!$S$4:$U$9,3,0)</f>
        <v>1060607</v>
      </c>
      <c r="F116" s="49" t="s">
        <v>58</v>
      </c>
      <c r="G116" s="51">
        <f>-(2*(10^6))</f>
        <v>-2000000</v>
      </c>
    </row>
    <row r="117" spans="2:7" x14ac:dyDescent="0.3">
      <c r="B117" s="21">
        <v>2021</v>
      </c>
      <c r="C117" s="12">
        <f>VLOOKUP(B117,'1.Data Sources'!$S$4:$T$9,2,0)</f>
        <v>3118000</v>
      </c>
      <c r="D117" s="12">
        <f>VLOOKUP(B117,'1.Data Sources'!$S$4:$U$9,3,0)</f>
        <v>1177668</v>
      </c>
    </row>
    <row r="118" spans="2:7" x14ac:dyDescent="0.3">
      <c r="B118" s="21">
        <v>2022</v>
      </c>
      <c r="C118" s="12">
        <f>VLOOKUP(B118,'1.Data Sources'!$S$4:$T$9,2,0)</f>
        <v>3197000</v>
      </c>
      <c r="D118" s="12">
        <f>VLOOKUP(B118,'1.Data Sources'!$S$4:$U$9,3,0)</f>
        <v>1502487</v>
      </c>
    </row>
    <row r="119" spans="2:7" x14ac:dyDescent="0.3">
      <c r="B119" s="21">
        <v>2023</v>
      </c>
      <c r="C119" s="11" cm="1">
        <f t="array" aca="1" ref="C119" ca="1">INDEX('5.As-is Analysis'!$Z$7:$Z$29,MATCH('4. Secondary Perf Variables'!B119,'5.As-is Analysis'!$B$7:$B$29,0),0)</f>
        <v>3319537.9463307643</v>
      </c>
      <c r="D119" s="11">
        <f ca="1">(C119*$G$115)+$G$116</f>
        <v>1406177.8867299971</v>
      </c>
    </row>
    <row r="120" spans="2:7" x14ac:dyDescent="0.3">
      <c r="B120" s="21">
        <v>2024</v>
      </c>
      <c r="C120" s="11" cm="1">
        <f t="array" aca="1" ref="C120" ca="1">INDEX('5.As-is Analysis'!$Z$7:$Z$29,MATCH('4. Secondary Perf Variables'!B120,'5.As-is Analysis'!$B$7:$B$29,0),0)</f>
        <v>3445579.8778581829</v>
      </c>
      <c r="D120" s="11">
        <f t="shared" ref="D120:D126" ca="1" si="8">(C120*$G$115)+$G$116</f>
        <v>1535509.5126702813</v>
      </c>
    </row>
    <row r="121" spans="2:7" x14ac:dyDescent="0.3">
      <c r="B121" s="21">
        <v>2025</v>
      </c>
      <c r="C121" s="11" cm="1">
        <f t="array" aca="1" ref="C121" ca="1">INDEX('5.As-is Analysis'!$Z$7:$Z$29,MATCH('4. Secondary Perf Variables'!B121,'5.As-is Analysis'!$B$7:$B$29,0),0)</f>
        <v>3426522.0421291459</v>
      </c>
      <c r="D121" s="11">
        <f t="shared" ca="1" si="8"/>
        <v>1515954.2674287166</v>
      </c>
    </row>
    <row r="122" spans="2:7" x14ac:dyDescent="0.3">
      <c r="B122" s="21">
        <v>2026</v>
      </c>
      <c r="C122" s="11" cm="1">
        <f t="array" aca="1" ref="C122" ca="1">INDEX('5.As-is Analysis'!$Z$7:$Z$29,MATCH('4. Secondary Perf Variables'!B122,'5.As-is Analysis'!$B$7:$B$29,0),0)</f>
        <v>4057121.1976469434</v>
      </c>
      <c r="D122" s="11">
        <f t="shared" ca="1" si="8"/>
        <v>2163012.0609055287</v>
      </c>
    </row>
    <row r="123" spans="2:7" x14ac:dyDescent="0.3">
      <c r="B123" s="21">
        <v>2027</v>
      </c>
      <c r="C123" s="11" cm="1">
        <f t="array" aca="1" ref="C123" ca="1">INDEX('5.As-is Analysis'!$Z$7:$Z$29,MATCH('4. Secondary Perf Variables'!B123,'5.As-is Analysis'!$B$7:$B$29,0),0)</f>
        <v>3721246.8300051065</v>
      </c>
      <c r="D123" s="11">
        <f t="shared" ca="1" si="8"/>
        <v>1818371.37226824</v>
      </c>
    </row>
    <row r="124" spans="2:7" x14ac:dyDescent="0.3">
      <c r="B124" s="21">
        <v>2028</v>
      </c>
      <c r="C124" s="11" cm="1">
        <f t="array" aca="1" ref="C124" ca="1">INDEX('5.As-is Analysis'!$Z$7:$Z$29,MATCH('4. Secondary Perf Variables'!B124,'5.As-is Analysis'!$B$7:$B$29,0),0)</f>
        <v>3573997.1395940091</v>
      </c>
      <c r="D124" s="11">
        <f t="shared" ca="1" si="8"/>
        <v>1667278.4649374126</v>
      </c>
    </row>
    <row r="125" spans="2:7" x14ac:dyDescent="0.3">
      <c r="B125" s="21">
        <v>2029</v>
      </c>
      <c r="C125" s="11" cm="1">
        <f t="array" aca="1" ref="C125" ca="1">INDEX('5.As-is Analysis'!$Z$7:$Z$29,MATCH('4. Secondary Perf Variables'!B125,'5.As-is Analysis'!$B$7:$B$29,0),0)</f>
        <v>3753317.4192328714</v>
      </c>
      <c r="D125" s="11">
        <f t="shared" ca="1" si="8"/>
        <v>1851279.0038748495</v>
      </c>
    </row>
    <row r="126" spans="2:7" x14ac:dyDescent="0.3">
      <c r="B126" s="21">
        <v>2030</v>
      </c>
      <c r="C126" s="11" cm="1">
        <f t="array" aca="1" ref="C126" ca="1">INDEX('5.As-is Analysis'!$Z$7:$Z$29,MATCH('4. Secondary Perf Variables'!B126,'5.As-is Analysis'!$B$7:$B$29,0),0)</f>
        <v>4091420.9580977806</v>
      </c>
      <c r="D126" s="11">
        <f t="shared" ca="1" si="8"/>
        <v>2198207.045104133</v>
      </c>
    </row>
  </sheetData>
  <mergeCells count="6">
    <mergeCell ref="G10:L10"/>
    <mergeCell ref="B10:B11"/>
    <mergeCell ref="C10:C11"/>
    <mergeCell ref="D10:D11"/>
    <mergeCell ref="E10:E11"/>
    <mergeCell ref="F10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A115-B230-49E0-AA5C-5B8076032B09}">
  <dimension ref="B1:Z29"/>
  <sheetViews>
    <sheetView showGridLines="0" topLeftCell="B4" workbookViewId="0">
      <selection activeCell="B22" sqref="B22"/>
    </sheetView>
  </sheetViews>
  <sheetFormatPr defaultRowHeight="14.4" x14ac:dyDescent="0.3"/>
  <cols>
    <col min="2" max="2" width="5.21875" customWidth="1"/>
    <col min="3" max="3" width="9.88671875" customWidth="1"/>
    <col min="4" max="7" width="10.44140625" bestFit="1" customWidth="1"/>
    <col min="8" max="8" width="5.21875" bestFit="1" customWidth="1"/>
    <col min="9" max="9" width="6.33203125" bestFit="1" customWidth="1"/>
    <col min="10" max="10" width="5.88671875" bestFit="1" customWidth="1"/>
    <col min="11" max="11" width="6.6640625" bestFit="1" customWidth="1"/>
    <col min="12" max="12" width="5.77734375" bestFit="1" customWidth="1"/>
    <col min="13" max="15" width="8.88671875" bestFit="1" customWidth="1"/>
    <col min="16" max="17" width="10.44140625" bestFit="1" customWidth="1"/>
    <col min="18" max="18" width="10.109375" customWidth="1"/>
    <col min="19" max="20" width="8.88671875" bestFit="1" customWidth="1"/>
    <col min="21" max="21" width="7.88671875" bestFit="1" customWidth="1"/>
    <col min="22" max="22" width="10.44140625" bestFit="1" customWidth="1"/>
    <col min="23" max="23" width="15.5546875" bestFit="1" customWidth="1"/>
    <col min="24" max="24" width="13.21875" bestFit="1" customWidth="1"/>
    <col min="25" max="25" width="14.21875" bestFit="1" customWidth="1"/>
    <col min="26" max="26" width="17.6640625" bestFit="1" customWidth="1"/>
  </cols>
  <sheetData>
    <row r="1" spans="2:26" ht="15.6" x14ac:dyDescent="0.3">
      <c r="B1" s="4" t="s">
        <v>98</v>
      </c>
    </row>
    <row r="5" spans="2:26" x14ac:dyDescent="0.3">
      <c r="B5" s="95" t="s">
        <v>7</v>
      </c>
      <c r="C5" s="87" t="s">
        <v>30</v>
      </c>
      <c r="D5" s="87"/>
      <c r="E5" s="87"/>
      <c r="F5" s="87"/>
      <c r="G5" s="87"/>
      <c r="H5" s="97" t="s">
        <v>22</v>
      </c>
      <c r="I5" s="97"/>
      <c r="J5" s="97"/>
      <c r="K5" s="97"/>
      <c r="L5" s="97"/>
      <c r="M5" s="98" t="s">
        <v>77</v>
      </c>
      <c r="N5" s="98"/>
      <c r="O5" s="98"/>
      <c r="P5" s="98"/>
      <c r="Q5" s="98"/>
      <c r="R5" s="99" t="s">
        <v>79</v>
      </c>
      <c r="S5" s="99"/>
      <c r="T5" s="99"/>
      <c r="U5" s="99"/>
      <c r="V5" s="99"/>
      <c r="W5" s="94" t="s">
        <v>78</v>
      </c>
      <c r="X5" s="94"/>
      <c r="Y5" s="94"/>
      <c r="Z5" s="94"/>
    </row>
    <row r="6" spans="2:26" x14ac:dyDescent="0.3">
      <c r="B6" s="96"/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18" t="s">
        <v>23</v>
      </c>
      <c r="I6" s="18" t="s">
        <v>24</v>
      </c>
      <c r="J6" s="18" t="s">
        <v>25</v>
      </c>
      <c r="K6" s="18" t="s">
        <v>26</v>
      </c>
      <c r="L6" s="18" t="s">
        <v>27</v>
      </c>
      <c r="M6" s="57" t="s">
        <v>23</v>
      </c>
      <c r="N6" s="57" t="s">
        <v>24</v>
      </c>
      <c r="O6" s="57" t="s">
        <v>25</v>
      </c>
      <c r="P6" s="57" t="s">
        <v>26</v>
      </c>
      <c r="Q6" s="57" t="s">
        <v>27</v>
      </c>
      <c r="R6" s="58" t="s">
        <v>23</v>
      </c>
      <c r="S6" s="58" t="s">
        <v>24</v>
      </c>
      <c r="T6" s="58" t="s">
        <v>25</v>
      </c>
      <c r="U6" s="58" t="s">
        <v>26</v>
      </c>
      <c r="V6" s="58" t="s">
        <v>27</v>
      </c>
      <c r="W6" s="59" t="s">
        <v>30</v>
      </c>
      <c r="X6" s="60" t="s">
        <v>22</v>
      </c>
      <c r="Y6" s="61" t="s">
        <v>77</v>
      </c>
      <c r="Z6" s="58" t="s">
        <v>80</v>
      </c>
    </row>
    <row r="7" spans="2:26" x14ac:dyDescent="0.3">
      <c r="B7" s="21">
        <v>2008</v>
      </c>
      <c r="C7" s="12" cm="1">
        <f t="array" ref="C7">INDEX('1.Data Sources'!$I$6:$I$25,MATCH('5.As-is Analysis'!B7,'1.Data Sources'!$B$6:$B$25,0),0)</f>
        <v>568000</v>
      </c>
      <c r="D7" s="12" cm="1">
        <f t="array" ref="D7">INDEX('1.Data Sources'!$J$6:$J$25,MATCH('5.As-is Analysis'!B7,'1.Data Sources'!$B$6:$B$25,0),0)</f>
        <v>684400</v>
      </c>
      <c r="E7" s="12" cm="1">
        <f t="array" ref="E7">INDEX('1.Data Sources'!$K$6:$K$25,MATCH('5.As-is Analysis'!B7,'1.Data Sources'!$B$6:$B$25,0),0)</f>
        <v>1262500</v>
      </c>
      <c r="F7" s="12" cm="1">
        <f t="array" ref="F7">INDEX('1.Data Sources'!$L$6:$L$25,MATCH('5.As-is Analysis'!B7,'1.Data Sources'!$B$6:$B$25,0),0)</f>
        <v>869800</v>
      </c>
      <c r="G7" s="12" cm="1">
        <f t="array" ref="G7">INDEX('1.Data Sources'!$M$6:$M$25,MATCH('5.As-is Analysis'!B7,'1.Data Sources'!$B$6:$B$25,0),0)</f>
        <v>2585500</v>
      </c>
      <c r="H7" s="20" cm="1">
        <f t="array" ref="H7">INDEX('1.Data Sources'!$C$6:$C$25,MATCH('5.As-is Analysis'!B7,'1.Data Sources'!$B$6:$B$25,0),0)</f>
        <v>0.12</v>
      </c>
      <c r="I7" s="20" cm="1">
        <f t="array" ref="I7">INDEX('1.Data Sources'!$D$6:$D$25,MATCH('5.As-is Analysis'!B7,'1.Data Sources'!$B$6:$B$25,0),0)</f>
        <v>0.09</v>
      </c>
      <c r="J7" s="20" cm="1">
        <f t="array" ref="J7">INDEX('1.Data Sources'!$E$6:$E$25,MATCH('5.As-is Analysis'!B7,'1.Data Sources'!$B$6:$B$25,0),0)</f>
        <v>0.48</v>
      </c>
      <c r="K7" s="20" cm="1">
        <f t="array" ref="K7">INDEX('1.Data Sources'!$F$6:$F$25,MATCH('5.As-is Analysis'!B7,'1.Data Sources'!$B$6:$B$25,0),0)</f>
        <v>0.92769999999999997</v>
      </c>
      <c r="L7" s="20" cm="1">
        <f t="array" ref="L7">INDEX('1.Data Sources'!$G$6:$G$25,MATCH('5.As-is Analysis'!B7,'1.Data Sources'!$B$6:$B$25,0),0)</f>
        <v>0.69616342680332621</v>
      </c>
      <c r="M7" s="48">
        <f>C7*H7</f>
        <v>68160</v>
      </c>
      <c r="N7" s="48">
        <f>D7*I7</f>
        <v>61596</v>
      </c>
      <c r="O7" s="48">
        <f>E7*J7</f>
        <v>606000</v>
      </c>
      <c r="P7" s="48">
        <f>F7*K7</f>
        <v>806913.46</v>
      </c>
      <c r="Q7" s="48">
        <f>G7*L7</f>
        <v>1799930.54</v>
      </c>
      <c r="R7" s="48">
        <f>C7-M7</f>
        <v>499840</v>
      </c>
      <c r="S7" s="48">
        <f t="shared" ref="S7:V7" si="0">D7-N7</f>
        <v>622804</v>
      </c>
      <c r="T7" s="48">
        <f t="shared" si="0"/>
        <v>656500</v>
      </c>
      <c r="U7" s="48">
        <f t="shared" si="0"/>
        <v>62886.540000000037</v>
      </c>
      <c r="V7" s="48">
        <f t="shared" si="0"/>
        <v>785569.46</v>
      </c>
      <c r="W7" s="48">
        <f>SUM(C7:G7)</f>
        <v>5970200</v>
      </c>
      <c r="X7" s="63">
        <f>Y7/W7</f>
        <v>0.55988074101370133</v>
      </c>
      <c r="Y7" s="48">
        <f>SUM(M7:Q7)</f>
        <v>3342600</v>
      </c>
      <c r="Z7" s="48">
        <f>SUM(R7:V7)</f>
        <v>2627600</v>
      </c>
    </row>
    <row r="8" spans="2:26" x14ac:dyDescent="0.3">
      <c r="B8" s="21">
        <v>2009</v>
      </c>
      <c r="C8" s="12" cm="1">
        <f t="array" ref="C8">INDEX('1.Data Sources'!$I$6:$I$25,MATCH('5.As-is Analysis'!B8,'1.Data Sources'!$B$6:$B$25,0),0)</f>
        <v>606100</v>
      </c>
      <c r="D8" s="12" cm="1">
        <f t="array" ref="D8">INDEX('1.Data Sources'!$J$6:$J$25,MATCH('5.As-is Analysis'!B8,'1.Data Sources'!$B$6:$B$25,0),0)</f>
        <v>688900</v>
      </c>
      <c r="E8" s="12" cm="1">
        <f t="array" ref="E8">INDEX('1.Data Sources'!$K$6:$K$25,MATCH('5.As-is Analysis'!B8,'1.Data Sources'!$B$6:$B$25,0),0)</f>
        <v>1201000</v>
      </c>
      <c r="F8" s="12" cm="1">
        <f t="array" ref="F8">INDEX('1.Data Sources'!$L$6:$L$25,MATCH('5.As-is Analysis'!B8,'1.Data Sources'!$B$6:$B$25,0),0)</f>
        <v>929600</v>
      </c>
      <c r="G8" s="12" cm="1">
        <f t="array" ref="G8">INDEX('1.Data Sources'!$M$6:$M$25,MATCH('5.As-is Analysis'!B8,'1.Data Sources'!$B$6:$B$25,0),0)</f>
        <v>2688500</v>
      </c>
      <c r="H8" s="20" cm="1">
        <f t="array" ref="H8">INDEX('1.Data Sources'!$C$6:$C$25,MATCH('5.As-is Analysis'!B8,'1.Data Sources'!$B$6:$B$25,0),0)</f>
        <v>0.13</v>
      </c>
      <c r="I8" s="20" cm="1">
        <f t="array" ref="I8">INDEX('1.Data Sources'!$D$6:$D$25,MATCH('5.As-is Analysis'!B8,'1.Data Sources'!$B$6:$B$25,0),0)</f>
        <v>0.09</v>
      </c>
      <c r="J8" s="20" cm="1">
        <f t="array" ref="J8">INDEX('1.Data Sources'!$E$6:$E$25,MATCH('5.As-is Analysis'!B8,'1.Data Sources'!$B$6:$B$25,0),0)</f>
        <v>0.48</v>
      </c>
      <c r="K8" s="20" cm="1">
        <f t="array" ref="K8">INDEX('1.Data Sources'!$F$6:$F$25,MATCH('5.As-is Analysis'!B8,'1.Data Sources'!$B$6:$B$25,0),0)</f>
        <v>0.91830000000000001</v>
      </c>
      <c r="L8" s="20" cm="1">
        <f t="array" ref="L8">INDEX('1.Data Sources'!$G$6:$G$25,MATCH('5.As-is Analysis'!B8,'1.Data Sources'!$B$6:$B$25,0),0)</f>
        <v>0.71202318021201405</v>
      </c>
      <c r="M8" s="48">
        <f t="shared" ref="M8:M29" si="1">C8*H8</f>
        <v>78793</v>
      </c>
      <c r="N8" s="48">
        <f t="shared" ref="N8:N29" si="2">D8*I8</f>
        <v>62001</v>
      </c>
      <c r="O8" s="48">
        <f t="shared" ref="O8:O29" si="3">E8*J8</f>
        <v>576480</v>
      </c>
      <c r="P8" s="48">
        <f t="shared" ref="P8:P29" si="4">F8*K8</f>
        <v>853651.68</v>
      </c>
      <c r="Q8" s="48">
        <f t="shared" ref="Q8:Q29" si="5">G8*L8</f>
        <v>1914274.3199999998</v>
      </c>
      <c r="R8" s="48">
        <f t="shared" ref="R8:R29" si="6">C8-M8</f>
        <v>527307</v>
      </c>
      <c r="S8" s="48">
        <f t="shared" ref="S8:S29" si="7">D8-N8</f>
        <v>626899</v>
      </c>
      <c r="T8" s="48">
        <f t="shared" ref="T8:T29" si="8">E8-O8</f>
        <v>624520</v>
      </c>
      <c r="U8" s="48">
        <f t="shared" ref="U8:U29" si="9">F8-P8</f>
        <v>75948.319999999949</v>
      </c>
      <c r="V8" s="48">
        <f t="shared" ref="V8:V29" si="10">G8-Q8</f>
        <v>774225.68000000017</v>
      </c>
      <c r="W8" s="48">
        <f t="shared" ref="W8:W29" si="11">SUM(C8:G8)</f>
        <v>6114100</v>
      </c>
      <c r="X8" s="63">
        <f t="shared" ref="X8:X29" si="12">Y8/W8</f>
        <v>0.57002665968826161</v>
      </c>
      <c r="Y8" s="48">
        <f t="shared" ref="Y8:Y29" si="13">SUM(M8:Q8)</f>
        <v>3485200</v>
      </c>
      <c r="Z8" s="48">
        <f t="shared" ref="Z8:Z29" si="14">SUM(R8:V8)</f>
        <v>2628900</v>
      </c>
    </row>
    <row r="9" spans="2:26" x14ac:dyDescent="0.3">
      <c r="B9" s="21">
        <v>2010</v>
      </c>
      <c r="C9" s="12" cm="1">
        <f t="array" ref="C9">INDEX('1.Data Sources'!$I$6:$I$25,MATCH('5.As-is Analysis'!B9,'1.Data Sources'!$B$6:$B$25,0),0)</f>
        <v>640500</v>
      </c>
      <c r="D9" s="12" cm="1">
        <f t="array" ref="D9">INDEX('1.Data Sources'!$J$6:$J$25,MATCH('5.As-is Analysis'!B9,'1.Data Sources'!$B$6:$B$25,0),0)</f>
        <v>740400</v>
      </c>
      <c r="E9" s="12" cm="1">
        <f t="array" ref="E9">INDEX('1.Data Sources'!$K$6:$K$25,MATCH('5.As-is Analysis'!B9,'1.Data Sources'!$B$6:$B$25,0),0)</f>
        <v>1383900</v>
      </c>
      <c r="F9" s="12" cm="1">
        <f t="array" ref="F9">INDEX('1.Data Sources'!$L$6:$L$25,MATCH('5.As-is Analysis'!B9,'1.Data Sources'!$B$6:$B$25,0),0)</f>
        <v>1280100</v>
      </c>
      <c r="G9" s="12" cm="1">
        <f t="array" ref="G9">INDEX('1.Data Sources'!$M$6:$M$25,MATCH('5.As-is Analysis'!B9,'1.Data Sources'!$B$6:$B$25,0),0)</f>
        <v>2472100</v>
      </c>
      <c r="H9" s="20" cm="1">
        <f t="array" ref="H9">INDEX('1.Data Sources'!$C$6:$C$25,MATCH('5.As-is Analysis'!B9,'1.Data Sources'!$B$6:$B$25,0),0)</f>
        <v>0.16</v>
      </c>
      <c r="I9" s="20" cm="1">
        <f t="array" ref="I9">INDEX('1.Data Sources'!$D$6:$D$25,MATCH('5.As-is Analysis'!B9,'1.Data Sources'!$B$6:$B$25,0),0)</f>
        <v>0.11</v>
      </c>
      <c r="J9" s="20" cm="1">
        <f t="array" ref="J9">INDEX('1.Data Sources'!$E$6:$E$25,MATCH('5.As-is Analysis'!B9,'1.Data Sources'!$B$6:$B$25,0),0)</f>
        <v>0.53</v>
      </c>
      <c r="K9" s="20" cm="1">
        <f t="array" ref="K9">INDEX('1.Data Sources'!$F$6:$F$25,MATCH('5.As-is Analysis'!B9,'1.Data Sources'!$B$6:$B$25,0),0)</f>
        <v>0.93779999999999997</v>
      </c>
      <c r="L9" s="20" cm="1">
        <f t="array" ref="L9">INDEX('1.Data Sources'!$G$6:$G$25,MATCH('5.As-is Analysis'!B9,'1.Data Sources'!$B$6:$B$25,0),0)</f>
        <v>0.66325440718417528</v>
      </c>
      <c r="M9" s="48">
        <f t="shared" si="1"/>
        <v>102480</v>
      </c>
      <c r="N9" s="48">
        <f t="shared" si="2"/>
        <v>81444</v>
      </c>
      <c r="O9" s="48">
        <f t="shared" si="3"/>
        <v>733467</v>
      </c>
      <c r="P9" s="48">
        <f t="shared" si="4"/>
        <v>1200477.78</v>
      </c>
      <c r="Q9" s="48">
        <f t="shared" si="5"/>
        <v>1639631.2199999997</v>
      </c>
      <c r="R9" s="48">
        <f t="shared" si="6"/>
        <v>538020</v>
      </c>
      <c r="S9" s="48">
        <f t="shared" si="7"/>
        <v>658956</v>
      </c>
      <c r="T9" s="48">
        <f t="shared" si="8"/>
        <v>650433</v>
      </c>
      <c r="U9" s="48">
        <f t="shared" si="9"/>
        <v>79622.219999999972</v>
      </c>
      <c r="V9" s="48">
        <f t="shared" si="10"/>
        <v>832468.78000000026</v>
      </c>
      <c r="W9" s="48">
        <f t="shared" si="11"/>
        <v>6517000</v>
      </c>
      <c r="X9" s="63">
        <f t="shared" si="12"/>
        <v>0.57656897345404323</v>
      </c>
      <c r="Y9" s="48">
        <f t="shared" si="13"/>
        <v>3757500</v>
      </c>
      <c r="Z9" s="48">
        <f t="shared" si="14"/>
        <v>2759500</v>
      </c>
    </row>
    <row r="10" spans="2:26" x14ac:dyDescent="0.3">
      <c r="B10" s="21">
        <v>2011</v>
      </c>
      <c r="C10" s="12" cm="1">
        <f t="array" ref="C10">INDEX('1.Data Sources'!$I$6:$I$25,MATCH('5.As-is Analysis'!B10,'1.Data Sources'!$B$6:$B$25,0),0)</f>
        <v>675500</v>
      </c>
      <c r="D10" s="12" cm="1">
        <f t="array" ref="D10">INDEX('1.Data Sources'!$J$6:$J$25,MATCH('5.As-is Analysis'!B10,'1.Data Sources'!$B$6:$B$25,0),0)</f>
        <v>733000</v>
      </c>
      <c r="E10" s="12" cm="1">
        <f t="array" ref="E10">INDEX('1.Data Sources'!$K$6:$K$25,MATCH('5.As-is Analysis'!B10,'1.Data Sources'!$B$6:$B$25,0),0)</f>
        <v>1368200</v>
      </c>
      <c r="F10" s="12" cm="1">
        <f t="array" ref="F10">INDEX('1.Data Sources'!$L$6:$L$25,MATCH('5.As-is Analysis'!B10,'1.Data Sources'!$B$6:$B$25,0),0)</f>
        <v>1356500</v>
      </c>
      <c r="G10" s="12" cm="1">
        <f t="array" ref="G10">INDEX('1.Data Sources'!$M$6:$M$25,MATCH('5.As-is Analysis'!B10,'1.Data Sources'!$B$6:$B$25,0),0)</f>
        <v>2765100</v>
      </c>
      <c r="H10" s="20" cm="1">
        <f t="array" ref="H10">INDEX('1.Data Sources'!$C$6:$C$25,MATCH('5.As-is Analysis'!B10,'1.Data Sources'!$B$6:$B$25,0),0)</f>
        <v>0.1</v>
      </c>
      <c r="I10" s="20" cm="1">
        <f t="array" ref="I10">INDEX('1.Data Sources'!$D$6:$D$25,MATCH('5.As-is Analysis'!B10,'1.Data Sources'!$B$6:$B$25,0),0)</f>
        <v>0.11</v>
      </c>
      <c r="J10" s="20" cm="1">
        <f t="array" ref="J10">INDEX('1.Data Sources'!$E$6:$E$25,MATCH('5.As-is Analysis'!B10,'1.Data Sources'!$B$6:$B$25,0),0)</f>
        <v>0.56000000000000005</v>
      </c>
      <c r="K10" s="20" cm="1">
        <f t="array" ref="K10">INDEX('1.Data Sources'!$F$6:$F$25,MATCH('5.As-is Analysis'!B10,'1.Data Sources'!$B$6:$B$25,0),0)</f>
        <v>0.93940000000000001</v>
      </c>
      <c r="L10" s="20" cm="1">
        <f t="array" ref="L10">INDEX('1.Data Sources'!$G$6:$G$25,MATCH('5.As-is Analysis'!B10,'1.Data Sources'!$B$6:$B$25,0),0)</f>
        <v>0.66910126216050048</v>
      </c>
      <c r="M10" s="48">
        <f t="shared" si="1"/>
        <v>67550</v>
      </c>
      <c r="N10" s="48">
        <f t="shared" si="2"/>
        <v>80630</v>
      </c>
      <c r="O10" s="48">
        <f t="shared" si="3"/>
        <v>766192.00000000012</v>
      </c>
      <c r="P10" s="48">
        <f t="shared" si="4"/>
        <v>1274296.1000000001</v>
      </c>
      <c r="Q10" s="48">
        <f t="shared" si="5"/>
        <v>1850131.9</v>
      </c>
      <c r="R10" s="48">
        <f t="shared" si="6"/>
        <v>607950</v>
      </c>
      <c r="S10" s="48">
        <f t="shared" si="7"/>
        <v>652370</v>
      </c>
      <c r="T10" s="48">
        <f t="shared" si="8"/>
        <v>602007.99999999988</v>
      </c>
      <c r="U10" s="48">
        <f t="shared" si="9"/>
        <v>82203.899999999907</v>
      </c>
      <c r="V10" s="48">
        <f t="shared" si="10"/>
        <v>914968.10000000009</v>
      </c>
      <c r="W10" s="48">
        <f t="shared" si="11"/>
        <v>6898300</v>
      </c>
      <c r="X10" s="63">
        <f t="shared" si="12"/>
        <v>0.58547758143310669</v>
      </c>
      <c r="Y10" s="48">
        <f t="shared" si="13"/>
        <v>4038800</v>
      </c>
      <c r="Z10" s="48">
        <f t="shared" si="14"/>
        <v>2859500</v>
      </c>
    </row>
    <row r="11" spans="2:26" x14ac:dyDescent="0.3">
      <c r="B11" s="21">
        <v>2012</v>
      </c>
      <c r="C11" s="12" cm="1">
        <f t="array" ref="C11">INDEX('1.Data Sources'!$I$6:$I$25,MATCH('5.As-is Analysis'!B11,'1.Data Sources'!$B$6:$B$25,0),0)</f>
        <v>703200</v>
      </c>
      <c r="D11" s="12" cm="1">
        <f t="array" ref="D11">INDEX('1.Data Sources'!$J$6:$J$25,MATCH('5.As-is Analysis'!B11,'1.Data Sources'!$B$6:$B$25,0),0)</f>
        <v>803400</v>
      </c>
      <c r="E11" s="12" cm="1">
        <f t="array" ref="E11">INDEX('1.Data Sources'!$K$6:$K$25,MATCH('5.As-is Analysis'!B11,'1.Data Sources'!$B$6:$B$25,0),0)</f>
        <v>1252000</v>
      </c>
      <c r="F11" s="12" cm="1">
        <f t="array" ref="F11">INDEX('1.Data Sources'!$L$6:$L$25,MATCH('5.As-is Analysis'!B11,'1.Data Sources'!$B$6:$B$25,0),0)</f>
        <v>1508500</v>
      </c>
      <c r="G11" s="12" cm="1">
        <f t="array" ref="G11">INDEX('1.Data Sources'!$M$6:$M$25,MATCH('5.As-is Analysis'!B11,'1.Data Sources'!$B$6:$B$25,0),0)</f>
        <v>3002400</v>
      </c>
      <c r="H11" s="20" cm="1">
        <f t="array" ref="H11">INDEX('1.Data Sources'!$C$6:$C$25,MATCH('5.As-is Analysis'!B11,'1.Data Sources'!$B$6:$B$25,0),0)</f>
        <v>0.12</v>
      </c>
      <c r="I11" s="20" cm="1">
        <f t="array" ref="I11">INDEX('1.Data Sources'!$D$6:$D$25,MATCH('5.As-is Analysis'!B11,'1.Data Sources'!$B$6:$B$25,0),0)</f>
        <v>0.1</v>
      </c>
      <c r="J11" s="20" cm="1">
        <f t="array" ref="J11">INDEX('1.Data Sources'!$E$6:$E$25,MATCH('5.As-is Analysis'!B11,'1.Data Sources'!$B$6:$B$25,0),0)</f>
        <v>0.56000000000000005</v>
      </c>
      <c r="K11" s="20" cm="1">
        <f t="array" ref="K11">INDEX('1.Data Sources'!$F$6:$F$25,MATCH('5.As-is Analysis'!B11,'1.Data Sources'!$B$6:$B$25,0),0)</f>
        <v>0.94689999999999996</v>
      </c>
      <c r="L11" s="20" cm="1">
        <f t="array" ref="L11">INDEX('1.Data Sources'!$G$6:$G$25,MATCH('5.As-is Analysis'!B11,'1.Data Sources'!$B$6:$B$25,0),0)</f>
        <v>0.67990852318145489</v>
      </c>
      <c r="M11" s="48">
        <f t="shared" si="1"/>
        <v>84384</v>
      </c>
      <c r="N11" s="48">
        <f t="shared" si="2"/>
        <v>80340</v>
      </c>
      <c r="O11" s="48">
        <f t="shared" si="3"/>
        <v>701120.00000000012</v>
      </c>
      <c r="P11" s="48">
        <f t="shared" si="4"/>
        <v>1428398.65</v>
      </c>
      <c r="Q11" s="48">
        <f t="shared" si="5"/>
        <v>2041357.35</v>
      </c>
      <c r="R11" s="48">
        <f t="shared" si="6"/>
        <v>618816</v>
      </c>
      <c r="S11" s="48">
        <f t="shared" si="7"/>
        <v>723060</v>
      </c>
      <c r="T11" s="48">
        <f t="shared" si="8"/>
        <v>550879.99999999988</v>
      </c>
      <c r="U11" s="48">
        <f t="shared" si="9"/>
        <v>80101.350000000093</v>
      </c>
      <c r="V11" s="48">
        <f t="shared" si="10"/>
        <v>961042.64999999991</v>
      </c>
      <c r="W11" s="48">
        <f t="shared" si="11"/>
        <v>7269500</v>
      </c>
      <c r="X11" s="63">
        <f t="shared" si="12"/>
        <v>0.59640965678519842</v>
      </c>
      <c r="Y11" s="48">
        <f t="shared" si="13"/>
        <v>4335600</v>
      </c>
      <c r="Z11" s="48">
        <f t="shared" si="14"/>
        <v>2933900</v>
      </c>
    </row>
    <row r="12" spans="2:26" x14ac:dyDescent="0.3">
      <c r="B12" s="21">
        <v>2013</v>
      </c>
      <c r="C12" s="12" cm="1">
        <f t="array" ref="C12">INDEX('1.Data Sources'!$I$6:$I$25,MATCH('5.As-is Analysis'!B12,'1.Data Sources'!$B$6:$B$25,0),0)</f>
        <v>796000</v>
      </c>
      <c r="D12" s="12" cm="1">
        <f t="array" ref="D12">INDEX('1.Data Sources'!$J$6:$J$25,MATCH('5.As-is Analysis'!B12,'1.Data Sources'!$B$6:$B$25,0),0)</f>
        <v>832200</v>
      </c>
      <c r="E12" s="12" cm="1">
        <f t="array" ref="E12">INDEX('1.Data Sources'!$K$6:$K$25,MATCH('5.As-is Analysis'!B12,'1.Data Sources'!$B$6:$B$25,0),0)</f>
        <v>1261100</v>
      </c>
      <c r="F12" s="12" cm="1">
        <f t="array" ref="F12">INDEX('1.Data Sources'!$L$6:$L$25,MATCH('5.As-is Analysis'!B12,'1.Data Sources'!$B$6:$B$25,0),0)</f>
        <v>1551100</v>
      </c>
      <c r="G12" s="12" cm="1">
        <f t="array" ref="G12">INDEX('1.Data Sources'!$M$6:$M$25,MATCH('5.As-is Analysis'!B12,'1.Data Sources'!$B$6:$B$25,0),0)</f>
        <v>3411100</v>
      </c>
      <c r="H12" s="20" cm="1">
        <f t="array" ref="H12">INDEX('1.Data Sources'!$C$6:$C$25,MATCH('5.As-is Analysis'!B12,'1.Data Sources'!$B$6:$B$25,0),0)</f>
        <v>0.13</v>
      </c>
      <c r="I12" s="20" cm="1">
        <f t="array" ref="I12">INDEX('1.Data Sources'!$D$6:$D$25,MATCH('5.As-is Analysis'!B12,'1.Data Sources'!$B$6:$B$25,0),0)</f>
        <v>0.11</v>
      </c>
      <c r="J12" s="20" cm="1">
        <f t="array" ref="J12">INDEX('1.Data Sources'!$E$6:$E$25,MATCH('5.As-is Analysis'!B12,'1.Data Sources'!$B$6:$B$25,0),0)</f>
        <v>0.54</v>
      </c>
      <c r="K12" s="20" cm="1">
        <f t="array" ref="K12">INDEX('1.Data Sources'!$F$6:$F$25,MATCH('5.As-is Analysis'!B12,'1.Data Sources'!$B$6:$B$25,0),0)</f>
        <v>0.95620000000000005</v>
      </c>
      <c r="L12" s="20" cm="1">
        <f t="array" ref="L12">INDEX('1.Data Sources'!$G$6:$G$25,MATCH('5.As-is Analysis'!B12,'1.Data Sources'!$B$6:$B$25,0),0)</f>
        <v>0.72314566562106053</v>
      </c>
      <c r="M12" s="48">
        <f t="shared" si="1"/>
        <v>103480</v>
      </c>
      <c r="N12" s="48">
        <f t="shared" si="2"/>
        <v>91542</v>
      </c>
      <c r="O12" s="48">
        <f t="shared" si="3"/>
        <v>680994</v>
      </c>
      <c r="P12" s="48">
        <f t="shared" si="4"/>
        <v>1483161.82</v>
      </c>
      <c r="Q12" s="48">
        <f t="shared" si="5"/>
        <v>2466722.1799999997</v>
      </c>
      <c r="R12" s="48">
        <f t="shared" si="6"/>
        <v>692520</v>
      </c>
      <c r="S12" s="48">
        <f t="shared" si="7"/>
        <v>740658</v>
      </c>
      <c r="T12" s="48">
        <f t="shared" si="8"/>
        <v>580106</v>
      </c>
      <c r="U12" s="48">
        <f t="shared" si="9"/>
        <v>67938.179999999935</v>
      </c>
      <c r="V12" s="48">
        <f t="shared" si="10"/>
        <v>944377.8200000003</v>
      </c>
      <c r="W12" s="48">
        <f t="shared" si="11"/>
        <v>7851500</v>
      </c>
      <c r="X12" s="63">
        <f t="shared" si="12"/>
        <v>0.61464688276125579</v>
      </c>
      <c r="Y12" s="48">
        <f t="shared" si="13"/>
        <v>4825900</v>
      </c>
      <c r="Z12" s="48">
        <f t="shared" si="14"/>
        <v>3025600</v>
      </c>
    </row>
    <row r="13" spans="2:26" x14ac:dyDescent="0.3">
      <c r="B13" s="21">
        <v>2014</v>
      </c>
      <c r="C13" s="12" cm="1">
        <f t="array" ref="C13">INDEX('1.Data Sources'!$I$6:$I$25,MATCH('5.As-is Analysis'!B13,'1.Data Sources'!$B$6:$B$25,0),0)</f>
        <v>788600</v>
      </c>
      <c r="D13" s="12" cm="1">
        <f t="array" ref="D13">INDEX('1.Data Sources'!$J$6:$J$25,MATCH('5.As-is Analysis'!B13,'1.Data Sources'!$B$6:$B$25,0),0)</f>
        <v>869000</v>
      </c>
      <c r="E13" s="12" cm="1">
        <f t="array" ref="E13">INDEX('1.Data Sources'!$K$6:$K$25,MATCH('5.As-is Analysis'!B13,'1.Data Sources'!$B$6:$B$25,0),0)</f>
        <v>1237400</v>
      </c>
      <c r="F13" s="12" cm="1">
        <f t="array" ref="F13">INDEX('1.Data Sources'!$L$6:$L$25,MATCH('5.As-is Analysis'!B13,'1.Data Sources'!$B$6:$B$25,0),0)</f>
        <v>1564300</v>
      </c>
      <c r="G13" s="12" cm="1">
        <f t="array" ref="G13">INDEX('1.Data Sources'!$M$6:$M$25,MATCH('5.As-is Analysis'!B13,'1.Data Sources'!$B$6:$B$25,0),0)</f>
        <v>3055200</v>
      </c>
      <c r="H13" s="20" cm="1">
        <f t="array" ref="H13">INDEX('1.Data Sources'!$C$6:$C$25,MATCH('5.As-is Analysis'!B13,'1.Data Sources'!$B$6:$B$25,0),0)</f>
        <v>0.13</v>
      </c>
      <c r="I13" s="20" cm="1">
        <f t="array" ref="I13">INDEX('1.Data Sources'!$D$6:$D$25,MATCH('5.As-is Analysis'!B13,'1.Data Sources'!$B$6:$B$25,0),0)</f>
        <v>0.09</v>
      </c>
      <c r="J13" s="20" cm="1">
        <f t="array" ref="J13">INDEX('1.Data Sources'!$E$6:$E$25,MATCH('5.As-is Analysis'!B13,'1.Data Sources'!$B$6:$B$25,0),0)</f>
        <v>0.52</v>
      </c>
      <c r="K13" s="20" cm="1">
        <f t="array" ref="K13">INDEX('1.Data Sources'!$F$6:$F$25,MATCH('5.As-is Analysis'!B13,'1.Data Sources'!$B$6:$B$25,0),0)</f>
        <v>0.94840000000000002</v>
      </c>
      <c r="L13" s="20" cm="1">
        <f t="array" ref="L13">INDEX('1.Data Sources'!$G$6:$G$25,MATCH('5.As-is Analysis'!B13,'1.Data Sources'!$B$6:$B$25,0),0)</f>
        <v>0.70808519245875878</v>
      </c>
      <c r="M13" s="48">
        <f t="shared" si="1"/>
        <v>102518</v>
      </c>
      <c r="N13" s="48">
        <f t="shared" si="2"/>
        <v>78210</v>
      </c>
      <c r="O13" s="48">
        <f t="shared" si="3"/>
        <v>643448</v>
      </c>
      <c r="P13" s="48">
        <f t="shared" si="4"/>
        <v>1483582.12</v>
      </c>
      <c r="Q13" s="48">
        <f t="shared" si="5"/>
        <v>2163341.88</v>
      </c>
      <c r="R13" s="48">
        <f t="shared" si="6"/>
        <v>686082</v>
      </c>
      <c r="S13" s="48">
        <f t="shared" si="7"/>
        <v>790790</v>
      </c>
      <c r="T13" s="48">
        <f t="shared" si="8"/>
        <v>593952</v>
      </c>
      <c r="U13" s="48">
        <f t="shared" si="9"/>
        <v>80717.879999999888</v>
      </c>
      <c r="V13" s="48">
        <f t="shared" si="10"/>
        <v>891858.12000000011</v>
      </c>
      <c r="W13" s="48">
        <f t="shared" si="11"/>
        <v>7514500</v>
      </c>
      <c r="X13" s="63">
        <f t="shared" si="12"/>
        <v>0.59499634040854343</v>
      </c>
      <c r="Y13" s="48">
        <f t="shared" si="13"/>
        <v>4471100</v>
      </c>
      <c r="Z13" s="48">
        <f t="shared" si="14"/>
        <v>3043400</v>
      </c>
    </row>
    <row r="14" spans="2:26" x14ac:dyDescent="0.3">
      <c r="B14" s="21">
        <v>2015</v>
      </c>
      <c r="C14" s="12" cm="1">
        <f t="array" ref="C14">INDEX('1.Data Sources'!$I$6:$I$25,MATCH('5.As-is Analysis'!B14,'1.Data Sources'!$B$6:$B$25,0),0)</f>
        <v>785500</v>
      </c>
      <c r="D14" s="12" cm="1">
        <f t="array" ref="D14">INDEX('1.Data Sources'!$J$6:$J$25,MATCH('5.As-is Analysis'!B14,'1.Data Sources'!$B$6:$B$25,0),0)</f>
        <v>824600</v>
      </c>
      <c r="E14" s="12" cm="1">
        <f t="array" ref="E14">INDEX('1.Data Sources'!$K$6:$K$25,MATCH('5.As-is Analysis'!B14,'1.Data Sources'!$B$6:$B$25,0),0)</f>
        <v>1192200</v>
      </c>
      <c r="F14" s="12" cm="1">
        <f t="array" ref="F14">INDEX('1.Data Sources'!$L$6:$L$25,MATCH('5.As-is Analysis'!B14,'1.Data Sources'!$B$6:$B$25,0),0)</f>
        <v>1528500</v>
      </c>
      <c r="G14" s="12" cm="1">
        <f t="array" ref="G14">INDEX('1.Data Sources'!$M$6:$M$25,MATCH('5.As-is Analysis'!B14,'1.Data Sources'!$B$6:$B$25,0),0)</f>
        <v>3342700</v>
      </c>
      <c r="H14" s="20" cm="1">
        <f t="array" ref="H14">INDEX('1.Data Sources'!$C$6:$C$25,MATCH('5.As-is Analysis'!B14,'1.Data Sources'!$B$6:$B$25,0),0)</f>
        <v>0.13</v>
      </c>
      <c r="I14" s="20" cm="1">
        <f t="array" ref="I14">INDEX('1.Data Sources'!$D$6:$D$25,MATCH('5.As-is Analysis'!B14,'1.Data Sources'!$B$6:$B$25,0),0)</f>
        <v>7.0000000000000007E-2</v>
      </c>
      <c r="J14" s="20" cm="1">
        <f t="array" ref="J14">INDEX('1.Data Sources'!$E$6:$E$25,MATCH('5.As-is Analysis'!B14,'1.Data Sources'!$B$6:$B$25,0),0)</f>
        <v>0.51</v>
      </c>
      <c r="K14" s="20" cm="1">
        <f t="array" ref="K14">INDEX('1.Data Sources'!$F$6:$F$25,MATCH('5.As-is Analysis'!B14,'1.Data Sources'!$B$6:$B$25,0),0)</f>
        <v>0.97719999999999996</v>
      </c>
      <c r="L14" s="20" cm="1">
        <f t="array" ref="L14">INDEX('1.Data Sources'!$G$6:$G$25,MATCH('5.As-is Analysis'!B14,'1.Data Sources'!$B$6:$B$25,0),0)</f>
        <v>0.71444963652137483</v>
      </c>
      <c r="M14" s="48">
        <f t="shared" si="1"/>
        <v>102115</v>
      </c>
      <c r="N14" s="48">
        <f t="shared" si="2"/>
        <v>57722.000000000007</v>
      </c>
      <c r="O14" s="48">
        <f t="shared" si="3"/>
        <v>608022</v>
      </c>
      <c r="P14" s="48">
        <f t="shared" si="4"/>
        <v>1493650.2</v>
      </c>
      <c r="Q14" s="48">
        <f t="shared" si="5"/>
        <v>2388190.7999999998</v>
      </c>
      <c r="R14" s="48">
        <f t="shared" si="6"/>
        <v>683385</v>
      </c>
      <c r="S14" s="48">
        <f t="shared" si="7"/>
        <v>766878</v>
      </c>
      <c r="T14" s="48">
        <f t="shared" si="8"/>
        <v>584178</v>
      </c>
      <c r="U14" s="48">
        <f t="shared" si="9"/>
        <v>34849.800000000047</v>
      </c>
      <c r="V14" s="48">
        <f t="shared" si="10"/>
        <v>954509.20000000019</v>
      </c>
      <c r="W14" s="48">
        <f t="shared" si="11"/>
        <v>7673500</v>
      </c>
      <c r="X14" s="63">
        <f t="shared" si="12"/>
        <v>0.60594252948458982</v>
      </c>
      <c r="Y14" s="48">
        <f t="shared" si="13"/>
        <v>4649700</v>
      </c>
      <c r="Z14" s="48">
        <f t="shared" si="14"/>
        <v>3023800</v>
      </c>
    </row>
    <row r="15" spans="2:26" x14ac:dyDescent="0.3">
      <c r="B15" s="21">
        <v>2016</v>
      </c>
      <c r="C15" s="12" cm="1">
        <f t="array" ref="C15">INDEX('1.Data Sources'!$I$6:$I$25,MATCH('5.As-is Analysis'!B15,'1.Data Sources'!$B$6:$B$25,0),0)</f>
        <v>791000</v>
      </c>
      <c r="D15" s="12" cm="1">
        <f t="array" ref="D15">INDEX('1.Data Sources'!$J$6:$J$25,MATCH('5.As-is Analysis'!B15,'1.Data Sources'!$B$6:$B$25,0),0)</f>
        <v>822200</v>
      </c>
      <c r="E15" s="12" cm="1">
        <f t="array" ref="E15">INDEX('1.Data Sources'!$K$6:$K$25,MATCH('5.As-is Analysis'!B15,'1.Data Sources'!$B$6:$B$25,0),0)</f>
        <v>1183100</v>
      </c>
      <c r="F15" s="12" cm="1">
        <f t="array" ref="F15">INDEX('1.Data Sources'!$L$6:$L$25,MATCH('5.As-is Analysis'!B15,'1.Data Sources'!$B$6:$B$25,0),0)</f>
        <v>1454700</v>
      </c>
      <c r="G15" s="12" cm="1">
        <f t="array" ref="G15">INDEX('1.Data Sources'!$M$6:$M$25,MATCH('5.As-is Analysis'!B15,'1.Data Sources'!$B$6:$B$25,0),0)</f>
        <v>3563200</v>
      </c>
      <c r="H15" s="20" cm="1">
        <f t="array" ref="H15">INDEX('1.Data Sources'!$C$6:$C$25,MATCH('5.As-is Analysis'!B15,'1.Data Sources'!$B$6:$B$25,0),0)</f>
        <v>0.14000000000000001</v>
      </c>
      <c r="I15" s="20" cm="1">
        <f t="array" ref="I15">INDEX('1.Data Sources'!$D$6:$D$25,MATCH('5.As-is Analysis'!B15,'1.Data Sources'!$B$6:$B$25,0),0)</f>
        <v>7.0000000000000007E-2</v>
      </c>
      <c r="J15" s="20" cm="1">
        <f t="array" ref="J15">INDEX('1.Data Sources'!$E$6:$E$25,MATCH('5.As-is Analysis'!B15,'1.Data Sources'!$B$6:$B$25,0),0)</f>
        <v>0.51</v>
      </c>
      <c r="K15" s="20" cm="1">
        <f t="array" ref="K15">INDEX('1.Data Sources'!$F$6:$F$25,MATCH('5.As-is Analysis'!B15,'1.Data Sources'!$B$6:$B$25,0),0)</f>
        <v>0.99490000000000001</v>
      </c>
      <c r="L15" s="20" cm="1">
        <f t="array" ref="L15">INDEX('1.Data Sources'!$G$6:$G$25,MATCH('5.As-is Analysis'!B15,'1.Data Sources'!$B$6:$B$25,0),0)</f>
        <v>0.71566119499326442</v>
      </c>
      <c r="M15" s="48">
        <f t="shared" si="1"/>
        <v>110740.00000000001</v>
      </c>
      <c r="N15" s="48">
        <f t="shared" si="2"/>
        <v>57554.000000000007</v>
      </c>
      <c r="O15" s="48">
        <f t="shared" si="3"/>
        <v>603381</v>
      </c>
      <c r="P15" s="48">
        <f t="shared" si="4"/>
        <v>1447281.03</v>
      </c>
      <c r="Q15" s="48">
        <f t="shared" si="5"/>
        <v>2550043.9699999997</v>
      </c>
      <c r="R15" s="48">
        <f t="shared" si="6"/>
        <v>680260</v>
      </c>
      <c r="S15" s="48">
        <f t="shared" si="7"/>
        <v>764646</v>
      </c>
      <c r="T15" s="48">
        <f t="shared" si="8"/>
        <v>579719</v>
      </c>
      <c r="U15" s="48">
        <f t="shared" si="9"/>
        <v>7418.9699999999721</v>
      </c>
      <c r="V15" s="48">
        <f t="shared" si="10"/>
        <v>1013156.0300000003</v>
      </c>
      <c r="W15" s="48">
        <f t="shared" si="11"/>
        <v>7814200</v>
      </c>
      <c r="X15" s="63">
        <f t="shared" si="12"/>
        <v>0.6102991988943206</v>
      </c>
      <c r="Y15" s="48">
        <f t="shared" si="13"/>
        <v>4769000</v>
      </c>
      <c r="Z15" s="48">
        <f t="shared" si="14"/>
        <v>3045200</v>
      </c>
    </row>
    <row r="16" spans="2:26" x14ac:dyDescent="0.3">
      <c r="B16" s="21">
        <v>2017</v>
      </c>
      <c r="C16" s="12" cm="1">
        <f t="array" ref="C16">INDEX('1.Data Sources'!$I$6:$I$25,MATCH('5.As-is Analysis'!B16,'1.Data Sources'!$B$6:$B$25,0),0)</f>
        <v>810000</v>
      </c>
      <c r="D16" s="12" cm="1">
        <f t="array" ref="D16">INDEX('1.Data Sources'!$J$6:$J$25,MATCH('5.As-is Analysis'!B16,'1.Data Sources'!$B$6:$B$25,0),0)</f>
        <v>815000</v>
      </c>
      <c r="E16" s="12" cm="1">
        <f t="array" ref="E16">INDEX('1.Data Sources'!$K$6:$K$25,MATCH('5.As-is Analysis'!B16,'1.Data Sources'!$B$6:$B$25,0),0)</f>
        <v>1145000</v>
      </c>
      <c r="F16" s="12" cm="1">
        <f t="array" ref="F16">INDEX('1.Data Sources'!$L$6:$L$25,MATCH('5.As-is Analysis'!B16,'1.Data Sources'!$B$6:$B$25,0),0)</f>
        <v>1473000</v>
      </c>
      <c r="G16" s="12" cm="1">
        <f t="array" ref="G16">INDEX('1.Data Sources'!$M$6:$M$25,MATCH('5.As-is Analysis'!B16,'1.Data Sources'!$B$6:$B$25,0),0)</f>
        <v>3461000</v>
      </c>
      <c r="H16" s="20" cm="1">
        <f t="array" ref="H16">INDEX('1.Data Sources'!$C$6:$C$25,MATCH('5.As-is Analysis'!B16,'1.Data Sources'!$B$6:$B$25,0),0)</f>
        <v>0.16</v>
      </c>
      <c r="I16" s="20" cm="1">
        <f t="array" ref="I16">INDEX('1.Data Sources'!$D$6:$D$25,MATCH('5.As-is Analysis'!B16,'1.Data Sources'!$B$6:$B$25,0),0)</f>
        <v>0.06</v>
      </c>
      <c r="J16" s="20" cm="1">
        <f t="array" ref="J16">INDEX('1.Data Sources'!$E$6:$E$25,MATCH('5.As-is Analysis'!B16,'1.Data Sources'!$B$6:$B$25,0),0)</f>
        <v>0.5</v>
      </c>
      <c r="K16" s="20" cm="1">
        <f t="array" ref="K16">INDEX('1.Data Sources'!$F$6:$F$25,MATCH('5.As-is Analysis'!B16,'1.Data Sources'!$B$6:$B$25,0),0)</f>
        <v>0.99490000000000001</v>
      </c>
      <c r="L16" s="20" cm="1">
        <f t="array" ref="L16">INDEX('1.Data Sources'!$G$6:$G$25,MATCH('5.As-is Analysis'!B16,'1.Data Sources'!$B$6:$B$25,0),0)</f>
        <v>0.72450514302224789</v>
      </c>
      <c r="M16" s="48">
        <f t="shared" si="1"/>
        <v>129600</v>
      </c>
      <c r="N16" s="48">
        <f t="shared" si="2"/>
        <v>48900</v>
      </c>
      <c r="O16" s="48">
        <f t="shared" si="3"/>
        <v>572500</v>
      </c>
      <c r="P16" s="48">
        <f t="shared" si="4"/>
        <v>1465487.7</v>
      </c>
      <c r="Q16" s="48">
        <f t="shared" si="5"/>
        <v>2507512.2999999998</v>
      </c>
      <c r="R16" s="48">
        <f t="shared" si="6"/>
        <v>680400</v>
      </c>
      <c r="S16" s="48">
        <f t="shared" si="7"/>
        <v>766100</v>
      </c>
      <c r="T16" s="48">
        <f t="shared" si="8"/>
        <v>572500</v>
      </c>
      <c r="U16" s="48">
        <f t="shared" si="9"/>
        <v>7512.3000000000466</v>
      </c>
      <c r="V16" s="48">
        <f t="shared" si="10"/>
        <v>953487.70000000019</v>
      </c>
      <c r="W16" s="48">
        <f t="shared" si="11"/>
        <v>7704000</v>
      </c>
      <c r="X16" s="63">
        <f t="shared" si="12"/>
        <v>0.61318795430944961</v>
      </c>
      <c r="Y16" s="48">
        <f t="shared" si="13"/>
        <v>4724000</v>
      </c>
      <c r="Z16" s="48">
        <f t="shared" si="14"/>
        <v>2980000</v>
      </c>
    </row>
    <row r="17" spans="2:26" x14ac:dyDescent="0.3">
      <c r="B17" s="21">
        <v>2018</v>
      </c>
      <c r="C17" s="12" cm="1">
        <f t="array" ref="C17">INDEX('1.Data Sources'!$I$6:$I$25,MATCH('5.As-is Analysis'!B17,'1.Data Sources'!$B$6:$B$25,0),0)</f>
        <v>763000</v>
      </c>
      <c r="D17" s="12" cm="1">
        <f t="array" ref="D17">INDEX('1.Data Sources'!$J$6:$J$25,MATCH('5.As-is Analysis'!B17,'1.Data Sources'!$B$6:$B$25,0),0)</f>
        <v>949000</v>
      </c>
      <c r="E17" s="12" cm="1">
        <f t="array" ref="E17">INDEX('1.Data Sources'!$K$6:$K$25,MATCH('5.As-is Analysis'!B17,'1.Data Sources'!$B$6:$B$25,0),0)</f>
        <v>1054000</v>
      </c>
      <c r="F17" s="12" cm="1">
        <f t="array" ref="F17">INDEX('1.Data Sources'!$L$6:$L$25,MATCH('5.As-is Analysis'!B17,'1.Data Sources'!$B$6:$B$25,0),0)</f>
        <v>1440000</v>
      </c>
      <c r="G17" s="12" cm="1">
        <f t="array" ref="G17">INDEX('1.Data Sources'!$M$6:$M$25,MATCH('5.As-is Analysis'!B17,'1.Data Sources'!$B$6:$B$25,0),0)</f>
        <v>3553000</v>
      </c>
      <c r="H17" s="20" cm="1">
        <f t="array" ref="H17">INDEX('1.Data Sources'!$C$6:$C$25,MATCH('5.As-is Analysis'!B17,'1.Data Sources'!$B$6:$B$25,0),0)</f>
        <v>0.17</v>
      </c>
      <c r="I17" s="20" cm="1">
        <f t="array" ref="I17">INDEX('1.Data Sources'!$D$6:$D$25,MATCH('5.As-is Analysis'!B17,'1.Data Sources'!$B$6:$B$25,0),0)</f>
        <v>0.04</v>
      </c>
      <c r="J17" s="20" cm="1">
        <f t="array" ref="J17">INDEX('1.Data Sources'!$E$6:$E$25,MATCH('5.As-is Analysis'!B17,'1.Data Sources'!$B$6:$B$25,0),0)</f>
        <v>0.56000000000000005</v>
      </c>
      <c r="K17" s="20" cm="1">
        <f t="array" ref="K17">INDEX('1.Data Sources'!$F$6:$F$25,MATCH('5.As-is Analysis'!B17,'1.Data Sources'!$B$6:$B$25,0),0)</f>
        <v>0.99490000000000001</v>
      </c>
      <c r="L17" s="20" cm="1">
        <f t="array" ref="L17">INDEX('1.Data Sources'!$G$6:$G$25,MATCH('5.As-is Analysis'!B17,'1.Data Sources'!$B$6:$B$25,0),0)</f>
        <v>0.73161666197579511</v>
      </c>
      <c r="M17" s="48">
        <f t="shared" si="1"/>
        <v>129710.00000000001</v>
      </c>
      <c r="N17" s="48">
        <f t="shared" si="2"/>
        <v>37960</v>
      </c>
      <c r="O17" s="48">
        <f t="shared" si="3"/>
        <v>590240</v>
      </c>
      <c r="P17" s="48">
        <f t="shared" si="4"/>
        <v>1432656</v>
      </c>
      <c r="Q17" s="48">
        <f t="shared" si="5"/>
        <v>2599434</v>
      </c>
      <c r="R17" s="48">
        <f t="shared" si="6"/>
        <v>633290</v>
      </c>
      <c r="S17" s="48">
        <f t="shared" si="7"/>
        <v>911040</v>
      </c>
      <c r="T17" s="48">
        <f t="shared" si="8"/>
        <v>463760</v>
      </c>
      <c r="U17" s="48">
        <f t="shared" si="9"/>
        <v>7344</v>
      </c>
      <c r="V17" s="48">
        <f t="shared" si="10"/>
        <v>953566</v>
      </c>
      <c r="W17" s="48">
        <f t="shared" si="11"/>
        <v>7759000</v>
      </c>
      <c r="X17" s="63">
        <f t="shared" si="12"/>
        <v>0.61734759633973446</v>
      </c>
      <c r="Y17" s="48">
        <f t="shared" si="13"/>
        <v>4790000</v>
      </c>
      <c r="Z17" s="48">
        <f t="shared" si="14"/>
        <v>2969000</v>
      </c>
    </row>
    <row r="18" spans="2:26" x14ac:dyDescent="0.3">
      <c r="B18" s="21">
        <v>2019</v>
      </c>
      <c r="C18" s="12" cm="1">
        <f t="array" ref="C18">INDEX('1.Data Sources'!$I$6:$I$25,MATCH('5.As-is Analysis'!B18,'1.Data Sources'!$B$6:$B$25,0),0)</f>
        <v>744000</v>
      </c>
      <c r="D18" s="12" cm="1">
        <f t="array" ref="D18">INDEX('1.Data Sources'!$J$6:$J$25,MATCH('5.As-is Analysis'!B18,'1.Data Sources'!$B$6:$B$25,0),0)</f>
        <v>930000</v>
      </c>
      <c r="E18" s="12" cm="1">
        <f t="array" ref="E18">INDEX('1.Data Sources'!$K$6:$K$25,MATCH('5.As-is Analysis'!B18,'1.Data Sources'!$B$6:$B$25,0),0)</f>
        <v>1011000</v>
      </c>
      <c r="F18" s="12" cm="1">
        <f t="array" ref="F18">INDEX('1.Data Sources'!$L$6:$L$25,MATCH('5.As-is Analysis'!B18,'1.Data Sources'!$B$6:$B$25,0),0)</f>
        <v>1404000</v>
      </c>
      <c r="G18" s="12" cm="1">
        <f t="array" ref="G18">INDEX('1.Data Sources'!$M$6:$M$25,MATCH('5.As-is Analysis'!B18,'1.Data Sources'!$B$6:$B$25,0),0)</f>
        <v>3189000</v>
      </c>
      <c r="H18" s="20" cm="1">
        <f t="array" ref="H18">INDEX('1.Data Sources'!$C$6:$C$25,MATCH('5.As-is Analysis'!B18,'1.Data Sources'!$B$6:$B$25,0),0)</f>
        <v>0.18</v>
      </c>
      <c r="I18" s="20" cm="1">
        <f t="array" ref="I18">INDEX('1.Data Sources'!$D$6:$D$25,MATCH('5.As-is Analysis'!B18,'1.Data Sources'!$B$6:$B$25,0),0)</f>
        <v>0.04</v>
      </c>
      <c r="J18" s="20" cm="1">
        <f t="array" ref="J18">INDEX('1.Data Sources'!$E$6:$E$25,MATCH('5.As-is Analysis'!B18,'1.Data Sources'!$B$6:$B$25,0),0)</f>
        <v>0.44</v>
      </c>
      <c r="K18" s="20" cm="1">
        <f t="array" ref="K18">INDEX('1.Data Sources'!$F$6:$F$25,MATCH('5.As-is Analysis'!B18,'1.Data Sources'!$B$6:$B$25,0),0)</f>
        <v>0.99490000000000001</v>
      </c>
      <c r="L18" s="20" cm="1">
        <f t="array" ref="L18">INDEX('1.Data Sources'!$G$6:$G$25,MATCH('5.As-is Analysis'!B18,'1.Data Sources'!$B$6:$B$25,0),0)</f>
        <v>0.71502050799623706</v>
      </c>
      <c r="M18" s="48">
        <f t="shared" si="1"/>
        <v>133920</v>
      </c>
      <c r="N18" s="48">
        <f t="shared" si="2"/>
        <v>37200</v>
      </c>
      <c r="O18" s="48">
        <f t="shared" si="3"/>
        <v>444840</v>
      </c>
      <c r="P18" s="48">
        <f t="shared" si="4"/>
        <v>1396839.6</v>
      </c>
      <c r="Q18" s="48">
        <f t="shared" si="5"/>
        <v>2280200.4</v>
      </c>
      <c r="R18" s="48">
        <f t="shared" si="6"/>
        <v>610080</v>
      </c>
      <c r="S18" s="48">
        <f t="shared" si="7"/>
        <v>892800</v>
      </c>
      <c r="T18" s="48">
        <f t="shared" si="8"/>
        <v>566160</v>
      </c>
      <c r="U18" s="48">
        <f t="shared" si="9"/>
        <v>7160.3999999999069</v>
      </c>
      <c r="V18" s="48">
        <f t="shared" si="10"/>
        <v>908799.60000000009</v>
      </c>
      <c r="W18" s="48">
        <f t="shared" si="11"/>
        <v>7278000</v>
      </c>
      <c r="X18" s="63">
        <f t="shared" si="12"/>
        <v>0.58985985160758447</v>
      </c>
      <c r="Y18" s="48">
        <f t="shared" si="13"/>
        <v>4293000</v>
      </c>
      <c r="Z18" s="48">
        <f t="shared" si="14"/>
        <v>2985000</v>
      </c>
    </row>
    <row r="19" spans="2:26" x14ac:dyDescent="0.3">
      <c r="B19" s="21">
        <v>2020</v>
      </c>
      <c r="C19" s="12" cm="1">
        <f t="array" ref="C19">INDEX('1.Data Sources'!$I$6:$I$25,MATCH('5.As-is Analysis'!B19,'1.Data Sources'!$B$6:$B$25,0),0)</f>
        <v>665000</v>
      </c>
      <c r="D19" s="12" cm="1">
        <f t="array" ref="D19">INDEX('1.Data Sources'!$J$6:$J$25,MATCH('5.As-is Analysis'!B19,'1.Data Sources'!$B$6:$B$25,0),0)</f>
        <v>868000</v>
      </c>
      <c r="E19" s="12" cm="1">
        <f t="array" ref="E19">INDEX('1.Data Sources'!$K$6:$K$25,MATCH('5.As-is Analysis'!B19,'1.Data Sources'!$B$6:$B$25,0),0)</f>
        <v>1144000</v>
      </c>
      <c r="F19" s="12" cm="1">
        <f t="array" ref="F19">INDEX('1.Data Sources'!$L$6:$L$25,MATCH('5.As-is Analysis'!B19,'1.Data Sources'!$B$6:$B$25,0),0)</f>
        <v>1009000</v>
      </c>
      <c r="G19" s="12" cm="1">
        <f t="array" ref="G19">INDEX('1.Data Sources'!$M$6:$M$25,MATCH('5.As-is Analysis'!B19,'1.Data Sources'!$B$6:$B$25,0),0)</f>
        <v>2194000</v>
      </c>
      <c r="H19" s="20" cm="1">
        <f t="array" ref="H19">INDEX('1.Data Sources'!$C$6:$C$25,MATCH('5.As-is Analysis'!B19,'1.Data Sources'!$B$6:$B$25,0),0)</f>
        <v>0.19</v>
      </c>
      <c r="I19" s="20" cm="1">
        <f t="array" ref="I19">INDEX('1.Data Sources'!$D$6:$D$25,MATCH('5.As-is Analysis'!B19,'1.Data Sources'!$B$6:$B$25,0),0)</f>
        <v>0.04</v>
      </c>
      <c r="J19" s="20" cm="1">
        <f t="array" ref="J19">INDEX('1.Data Sources'!$E$6:$E$25,MATCH('5.As-is Analysis'!B19,'1.Data Sources'!$B$6:$B$25,0),0)</f>
        <v>0.48589799999999994</v>
      </c>
      <c r="K19" s="20" cm="1">
        <f t="array" ref="K19">INDEX('1.Data Sources'!$F$6:$F$25,MATCH('5.As-is Analysis'!B19,'1.Data Sources'!$B$6:$B$25,0),0)</f>
        <v>0.99490000000000001</v>
      </c>
      <c r="L19" s="20" cm="1">
        <f t="array" ref="L19">INDEX('1.Data Sources'!$G$6:$G$25,MATCH('5.As-is Analysis'!B19,'1.Data Sources'!$B$6:$B$25,0),0)</f>
        <v>0.60128012215132176</v>
      </c>
      <c r="M19" s="48">
        <f t="shared" si="1"/>
        <v>126350</v>
      </c>
      <c r="N19" s="48">
        <f t="shared" si="2"/>
        <v>34720</v>
      </c>
      <c r="O19" s="48">
        <f t="shared" si="3"/>
        <v>555867.31199999992</v>
      </c>
      <c r="P19" s="48">
        <f t="shared" si="4"/>
        <v>1003854.1</v>
      </c>
      <c r="Q19" s="48">
        <f t="shared" si="5"/>
        <v>1319208.588</v>
      </c>
      <c r="R19" s="48">
        <f t="shared" si="6"/>
        <v>538650</v>
      </c>
      <c r="S19" s="48">
        <f t="shared" si="7"/>
        <v>833280</v>
      </c>
      <c r="T19" s="48">
        <f t="shared" si="8"/>
        <v>588132.68800000008</v>
      </c>
      <c r="U19" s="48">
        <f t="shared" si="9"/>
        <v>5145.9000000000233</v>
      </c>
      <c r="V19" s="48">
        <f t="shared" si="10"/>
        <v>874791.41200000001</v>
      </c>
      <c r="W19" s="48">
        <f t="shared" si="11"/>
        <v>5880000</v>
      </c>
      <c r="X19" s="63">
        <f t="shared" si="12"/>
        <v>0.51700680272108845</v>
      </c>
      <c r="Y19" s="48">
        <f t="shared" si="13"/>
        <v>3040000</v>
      </c>
      <c r="Z19" s="48">
        <f t="shared" si="14"/>
        <v>2840000</v>
      </c>
    </row>
    <row r="20" spans="2:26" x14ac:dyDescent="0.3">
      <c r="B20" s="21">
        <v>2021</v>
      </c>
      <c r="C20" s="12" cm="1">
        <f t="array" ref="C20">INDEX('1.Data Sources'!$I$6:$I$25,MATCH('5.As-is Analysis'!B20,'1.Data Sources'!$B$6:$B$25,0),0)</f>
        <v>817000</v>
      </c>
      <c r="D20" s="12" cm="1">
        <f t="array" ref="D20">INDEX('1.Data Sources'!$J$6:$J$25,MATCH('5.As-is Analysis'!B20,'1.Data Sources'!$B$6:$B$25,0),0)</f>
        <v>982000</v>
      </c>
      <c r="E20" s="12" cm="1">
        <f t="array" ref="E20">INDEX('1.Data Sources'!$K$6:$K$25,MATCH('5.As-is Analysis'!B20,'1.Data Sources'!$B$6:$B$25,0),0)</f>
        <v>1136000</v>
      </c>
      <c r="F20" s="12" cm="1">
        <f t="array" ref="F20">INDEX('1.Data Sources'!$L$6:$L$25,MATCH('5.As-is Analysis'!B20,'1.Data Sources'!$B$6:$B$25,0),0)</f>
        <v>1400000</v>
      </c>
      <c r="G20" s="12" cm="1">
        <f t="array" ref="G20">INDEX('1.Data Sources'!$M$6:$M$25,MATCH('5.As-is Analysis'!B20,'1.Data Sources'!$B$6:$B$25,0),0)</f>
        <v>2609000</v>
      </c>
      <c r="H20" s="20" cm="1">
        <f t="array" ref="H20">INDEX('1.Data Sources'!$C$6:$C$25,MATCH('5.As-is Analysis'!B20,'1.Data Sources'!$B$6:$B$25,0),0)</f>
        <v>0.19</v>
      </c>
      <c r="I20" s="20" cm="1">
        <f t="array" ref="I20">INDEX('1.Data Sources'!$D$6:$D$25,MATCH('5.As-is Analysis'!B20,'1.Data Sources'!$B$6:$B$25,0),0)</f>
        <v>0.06</v>
      </c>
      <c r="J20" s="20" cm="1">
        <f t="array" ref="J20">INDEX('1.Data Sources'!$E$6:$E$25,MATCH('5.As-is Analysis'!B20,'1.Data Sources'!$B$6:$B$25,0),0)</f>
        <v>0.46232718000000006</v>
      </c>
      <c r="K20" s="20" cm="1">
        <f t="array" ref="K20">INDEX('1.Data Sources'!$F$6:$F$25,MATCH('5.As-is Analysis'!B20,'1.Data Sources'!$B$6:$B$25,0),0)</f>
        <v>0.99490000000000001</v>
      </c>
      <c r="L20" s="20" cm="1">
        <f t="array" ref="L20">INDEX('1.Data Sources'!$G$6:$G$25,MATCH('5.As-is Analysis'!B20,'1.Data Sources'!$B$6:$B$25,0),0)</f>
        <v>0.649209016297432</v>
      </c>
      <c r="M20" s="48">
        <f t="shared" si="1"/>
        <v>155230</v>
      </c>
      <c r="N20" s="48">
        <f t="shared" si="2"/>
        <v>58920</v>
      </c>
      <c r="O20" s="48">
        <f t="shared" si="3"/>
        <v>525203.67648000002</v>
      </c>
      <c r="P20" s="48">
        <f t="shared" si="4"/>
        <v>1392860</v>
      </c>
      <c r="Q20" s="48">
        <f t="shared" si="5"/>
        <v>1693786.3235200001</v>
      </c>
      <c r="R20" s="48">
        <f t="shared" si="6"/>
        <v>661770</v>
      </c>
      <c r="S20" s="48">
        <f t="shared" si="7"/>
        <v>923080</v>
      </c>
      <c r="T20" s="48">
        <f t="shared" si="8"/>
        <v>610796.32351999998</v>
      </c>
      <c r="U20" s="48">
        <f t="shared" si="9"/>
        <v>7140</v>
      </c>
      <c r="V20" s="48">
        <f t="shared" si="10"/>
        <v>915213.67647999991</v>
      </c>
      <c r="W20" s="48">
        <f t="shared" si="11"/>
        <v>6944000</v>
      </c>
      <c r="X20" s="63">
        <f t="shared" si="12"/>
        <v>0.55097926267281105</v>
      </c>
      <c r="Y20" s="48">
        <f t="shared" si="13"/>
        <v>3826000</v>
      </c>
      <c r="Z20" s="48">
        <f t="shared" si="14"/>
        <v>3118000</v>
      </c>
    </row>
    <row r="21" spans="2:26" x14ac:dyDescent="0.3">
      <c r="B21" s="21">
        <v>2022</v>
      </c>
      <c r="C21" s="12" cm="1">
        <f t="array" ref="C21">INDEX('1.Data Sources'!$I$6:$I$25,MATCH('5.As-is Analysis'!B21,'1.Data Sources'!$B$6:$B$25,0),0)</f>
        <v>813000</v>
      </c>
      <c r="D21" s="12" cm="1">
        <f t="array" ref="D21">INDEX('1.Data Sources'!$J$6:$J$25,MATCH('5.As-is Analysis'!B21,'1.Data Sources'!$B$6:$B$25,0),0)</f>
        <v>1001000</v>
      </c>
      <c r="E21" s="12" cm="1">
        <f t="array" ref="E21">INDEX('1.Data Sources'!$K$6:$K$25,MATCH('5.As-is Analysis'!B21,'1.Data Sources'!$B$6:$B$25,0),0)</f>
        <v>1064000</v>
      </c>
      <c r="F21" s="12" cm="1">
        <f t="array" ref="F21">INDEX('1.Data Sources'!$L$6:$L$25,MATCH('5.As-is Analysis'!B21,'1.Data Sources'!$B$6:$B$25,0),0)</f>
        <v>1430000</v>
      </c>
      <c r="G21" s="12" cm="1">
        <f t="array" ref="G21">INDEX('1.Data Sources'!$M$6:$M$25,MATCH('5.As-is Analysis'!B21,'1.Data Sources'!$B$6:$B$25,0),0)</f>
        <v>3077000</v>
      </c>
      <c r="H21" s="20" cm="1">
        <f t="array" ref="H21">INDEX('1.Data Sources'!$C$6:$C$25,MATCH('5.As-is Analysis'!B21,'1.Data Sources'!$B$6:$B$25,0),0)</f>
        <v>0.18</v>
      </c>
      <c r="I21" s="20" cm="1">
        <f t="array" ref="I21">INDEX('1.Data Sources'!$D$6:$D$25,MATCH('5.As-is Analysis'!B21,'1.Data Sources'!$B$6:$B$25,0),0)</f>
        <v>0.06</v>
      </c>
      <c r="J21" s="20" cm="1">
        <f t="array" ref="J21">INDEX('1.Data Sources'!$E$6:$E$25,MATCH('5.As-is Analysis'!B21,'1.Data Sources'!$B$6:$B$25,0),0)</f>
        <v>0.44087773380000006</v>
      </c>
      <c r="K21" s="20" cm="1">
        <f t="array" ref="K21">INDEX('1.Data Sources'!$F$6:$F$25,MATCH('5.As-is Analysis'!B21,'1.Data Sources'!$B$6:$B$25,0),0)</f>
        <v>0.99490000000000001</v>
      </c>
      <c r="L21" s="20" cm="1">
        <f t="array" ref="L21">INDEX('1.Data Sources'!$G$6:$G$25,MATCH('5.As-is Analysis'!B21,'1.Data Sources'!$B$6:$B$25,0),0)</f>
        <v>0.67916772545882353</v>
      </c>
      <c r="M21" s="48">
        <f t="shared" si="1"/>
        <v>146340</v>
      </c>
      <c r="N21" s="48">
        <f t="shared" si="2"/>
        <v>60060</v>
      </c>
      <c r="O21" s="48">
        <f t="shared" si="3"/>
        <v>469093.90876320004</v>
      </c>
      <c r="P21" s="48">
        <f t="shared" si="4"/>
        <v>1422707</v>
      </c>
      <c r="Q21" s="48">
        <f t="shared" si="5"/>
        <v>2089799.0912368</v>
      </c>
      <c r="R21" s="48">
        <f t="shared" si="6"/>
        <v>666660</v>
      </c>
      <c r="S21" s="48">
        <f t="shared" si="7"/>
        <v>940940</v>
      </c>
      <c r="T21" s="48">
        <f t="shared" si="8"/>
        <v>594906.09123679996</v>
      </c>
      <c r="U21" s="48">
        <f t="shared" si="9"/>
        <v>7293</v>
      </c>
      <c r="V21" s="48">
        <f t="shared" si="10"/>
        <v>987200.90876320004</v>
      </c>
      <c r="W21" s="48">
        <f t="shared" si="11"/>
        <v>7385000</v>
      </c>
      <c r="X21" s="63">
        <f t="shared" si="12"/>
        <v>0.56709546377792819</v>
      </c>
      <c r="Y21" s="48">
        <f t="shared" si="13"/>
        <v>4188000</v>
      </c>
      <c r="Z21" s="48">
        <f t="shared" si="14"/>
        <v>3197000</v>
      </c>
    </row>
    <row r="22" spans="2:26" x14ac:dyDescent="0.3">
      <c r="B22" s="21">
        <v>2023</v>
      </c>
      <c r="C22" s="11" cm="1">
        <f t="array" ref="C22">INDEX('4. Secondary Perf Variables'!$G$32:$G$39,MATCH('5.As-is Analysis'!B22,'4. Secondary Perf Variables'!$B$32:$B$39,0),0)</f>
        <v>824399.70647654601</v>
      </c>
      <c r="D22" s="11" cm="1">
        <f t="array" ref="D22">INDEX('4. Secondary Perf Variables'!$H$32:$H$39,MATCH('5.As-is Analysis'!B22,'4. Secondary Perf Variables'!$B$32:$B$39,0),0)</f>
        <v>936985.5771630368</v>
      </c>
      <c r="E22" s="11" cm="1">
        <f t="array" aca="1" ref="E22" ca="1">INDEX('4. Secondary Perf Variables'!$I$12:$I$39,MATCH('5.As-is Analysis'!B22,'4. Secondary Perf Variables'!$B$12:$B$39,0),0)</f>
        <v>1383900</v>
      </c>
      <c r="F22" s="11" cm="1">
        <f t="array" ref="F22">INDEX('4. Secondary Perf Variables'!$J$32:$J$39,MATCH('5.As-is Analysis'!B22,'4. Secondary Perf Variables'!$B$32:$B$39,0),0)</f>
        <v>1565832.3933627997</v>
      </c>
      <c r="G22" s="11" cm="1">
        <f t="array" ref="G22">INDEX('4. Secondary Perf Variables'!$K$32:$K$39,MATCH('5.As-is Analysis'!B22,'4. Secondary Perf Variables'!$B$32:$B$39,0),0)</f>
        <v>3497734.2940651798</v>
      </c>
      <c r="H22" s="53">
        <v>0.15756171606589423</v>
      </c>
      <c r="I22" s="53">
        <v>0.09</v>
      </c>
      <c r="J22" s="53">
        <v>0.42135873775800003</v>
      </c>
      <c r="K22" s="53">
        <f>$K$21</f>
        <v>0.99490000000000001</v>
      </c>
      <c r="L22" s="53">
        <v>0.724505143022248</v>
      </c>
      <c r="M22" s="11">
        <f t="shared" si="1"/>
        <v>129893.83247666409</v>
      </c>
      <c r="N22" s="11">
        <f t="shared" si="2"/>
        <v>84328.701944673303</v>
      </c>
      <c r="O22" s="11">
        <f t="shared" ca="1" si="3"/>
        <v>583118.35718329623</v>
      </c>
      <c r="P22" s="11">
        <f t="shared" si="4"/>
        <v>1557846.6481566494</v>
      </c>
      <c r="Q22" s="11">
        <f t="shared" si="5"/>
        <v>2534126.4849755149</v>
      </c>
      <c r="R22" s="11">
        <f t="shared" si="6"/>
        <v>694505.87399988191</v>
      </c>
      <c r="S22" s="11">
        <f t="shared" si="7"/>
        <v>852656.87521836348</v>
      </c>
      <c r="T22" s="11">
        <f t="shared" ca="1" si="8"/>
        <v>800781.64281670377</v>
      </c>
      <c r="U22" s="11">
        <f t="shared" si="9"/>
        <v>7985.7452061502263</v>
      </c>
      <c r="V22" s="11">
        <f t="shared" si="10"/>
        <v>963607.80908966484</v>
      </c>
      <c r="W22" s="11">
        <f t="shared" ca="1" si="11"/>
        <v>8208851.9710675627</v>
      </c>
      <c r="X22" s="53">
        <f t="shared" ca="1" si="12"/>
        <v>0.59561483651665137</v>
      </c>
      <c r="Y22" s="11">
        <f t="shared" ca="1" si="13"/>
        <v>4889314.0247367974</v>
      </c>
      <c r="Z22" s="11">
        <f t="shared" ca="1" si="14"/>
        <v>3319537.9463307643</v>
      </c>
    </row>
    <row r="23" spans="2:26" x14ac:dyDescent="0.3">
      <c r="B23" s="21">
        <v>2024</v>
      </c>
      <c r="C23" s="11" cm="1">
        <f t="array" ref="C23">INDEX('4. Secondary Perf Variables'!$G$32:$G$39,MATCH('5.As-is Analysis'!B23,'4. Secondary Perf Variables'!$B$32:$B$39,0),0)</f>
        <v>858630.58167594066</v>
      </c>
      <c r="D23" s="11" cm="1">
        <f t="array" ref="D23">INDEX('4. Secondary Perf Variables'!$H$32:$H$39,MATCH('5.As-is Analysis'!B23,'4. Secondary Perf Variables'!$B$32:$B$39,0),0)</f>
        <v>946862.1575034376</v>
      </c>
      <c r="E23" s="11" cm="1">
        <f t="array" aca="1" ref="E23" ca="1">INDEX('4. Secondary Perf Variables'!$I$12:$I$39,MATCH('5.As-is Analysis'!B23,'4. Secondary Perf Variables'!$B$12:$B$39,0),0)</f>
        <v>1252000</v>
      </c>
      <c r="F23" s="11" cm="1">
        <f t="array" ref="F23">INDEX('4. Secondary Perf Variables'!$J$32:$J$39,MATCH('5.As-is Analysis'!B23,'4. Secondary Perf Variables'!$B$32:$B$39,0),0)</f>
        <v>1728151.7130468939</v>
      </c>
      <c r="G23" s="11" cm="1">
        <f t="array" ref="G23">INDEX('4. Secondary Perf Variables'!$K$32:$K$39,MATCH('5.As-is Analysis'!B23,'4. Secondary Perf Variables'!$B$32:$B$39,0),0)</f>
        <v>3977234.9968625978</v>
      </c>
      <c r="H23" s="53">
        <v>0.16555558339341822</v>
      </c>
      <c r="I23" s="53">
        <v>0.11</v>
      </c>
      <c r="J23" s="53">
        <v>0.40359645135978006</v>
      </c>
      <c r="K23" s="53">
        <f t="shared" ref="K23:K29" si="15">$K$21</f>
        <v>0.99490000000000001</v>
      </c>
      <c r="L23" s="53">
        <v>0.71566119499326442</v>
      </c>
      <c r="M23" s="11">
        <f t="shared" si="1"/>
        <v>142151.08686879039</v>
      </c>
      <c r="N23" s="11">
        <f t="shared" si="2"/>
        <v>104154.83732537813</v>
      </c>
      <c r="O23" s="11">
        <f t="shared" ca="1" si="3"/>
        <v>505302.75710244465</v>
      </c>
      <c r="P23" s="11">
        <f t="shared" si="4"/>
        <v>1719338.1393103548</v>
      </c>
      <c r="Q23" s="11">
        <f t="shared" si="5"/>
        <v>2846352.7506237188</v>
      </c>
      <c r="R23" s="11">
        <f t="shared" si="6"/>
        <v>716479.49480715021</v>
      </c>
      <c r="S23" s="11">
        <f t="shared" si="7"/>
        <v>842707.32017805951</v>
      </c>
      <c r="T23" s="11">
        <f t="shared" ca="1" si="8"/>
        <v>746697.24289755535</v>
      </c>
      <c r="U23" s="11">
        <f t="shared" si="9"/>
        <v>8813.5737365391105</v>
      </c>
      <c r="V23" s="11">
        <f t="shared" si="10"/>
        <v>1130882.2462388789</v>
      </c>
      <c r="W23" s="11">
        <f t="shared" ca="1" si="11"/>
        <v>8762879.4490888696</v>
      </c>
      <c r="X23" s="53">
        <f t="shared" ca="1" si="12"/>
        <v>0.60679821080769969</v>
      </c>
      <c r="Y23" s="11">
        <f t="shared" ca="1" si="13"/>
        <v>5317299.5712306872</v>
      </c>
      <c r="Z23" s="11">
        <f t="shared" ca="1" si="14"/>
        <v>3445579.8778581829</v>
      </c>
    </row>
    <row r="24" spans="2:26" x14ac:dyDescent="0.3">
      <c r="B24" s="21">
        <v>2025</v>
      </c>
      <c r="C24" s="11" cm="1">
        <f t="array" ref="C24">INDEX('4. Secondary Perf Variables'!$G$32:$G$39,MATCH('5.As-is Analysis'!B24,'4. Secondary Perf Variables'!$B$32:$B$39,0),0)</f>
        <v>873779.07744686096</v>
      </c>
      <c r="D24" s="11" cm="1">
        <f t="array" ref="D24">INDEX('4. Secondary Perf Variables'!$H$32:$H$39,MATCH('5.As-is Analysis'!B24,'4. Secondary Perf Variables'!$B$32:$B$39,0),0)</f>
        <v>961538.1143921318</v>
      </c>
      <c r="E24" s="11" cm="1">
        <f t="array" aca="1" ref="E24" ca="1">INDEX('4. Secondary Perf Variables'!$I$12:$I$39,MATCH('5.As-is Analysis'!B24,'4. Secondary Perf Variables'!$B$12:$B$39,0),0)</f>
        <v>1136000</v>
      </c>
      <c r="F24" s="11" cm="1">
        <f t="array" ref="F24">INDEX('4. Secondary Perf Variables'!$J$32:$J$39,MATCH('5.As-is Analysis'!B24,'4. Secondary Perf Variables'!$B$32:$B$39,0),0)</f>
        <v>1769542.198902149</v>
      </c>
      <c r="G24" s="11" cm="1">
        <f t="array" ref="G24">INDEX('4. Secondary Perf Variables'!$K$32:$K$39,MATCH('5.As-is Analysis'!B24,'4. Secondary Perf Variables'!$B$32:$B$39,0),0)</f>
        <v>4077463.5838415138</v>
      </c>
      <c r="H24" s="53">
        <v>0.17221516035079404</v>
      </c>
      <c r="I24" s="53">
        <v>0.09</v>
      </c>
      <c r="J24" s="53">
        <v>0.38743277073739985</v>
      </c>
      <c r="K24" s="53">
        <f t="shared" si="15"/>
        <v>0.99490000000000001</v>
      </c>
      <c r="L24" s="53">
        <v>0.72450514302224789</v>
      </c>
      <c r="M24" s="11">
        <f t="shared" si="1"/>
        <v>150478.00393368004</v>
      </c>
      <c r="N24" s="11">
        <f t="shared" si="2"/>
        <v>86538.430295291852</v>
      </c>
      <c r="O24" s="11">
        <f t="shared" ca="1" si="3"/>
        <v>440123.62755768624</v>
      </c>
      <c r="P24" s="11">
        <f t="shared" si="4"/>
        <v>1760517.533687748</v>
      </c>
      <c r="Q24" s="11">
        <f t="shared" si="5"/>
        <v>2954143.3369791033</v>
      </c>
      <c r="R24" s="11">
        <f t="shared" si="6"/>
        <v>723301.07351318095</v>
      </c>
      <c r="S24" s="11">
        <f t="shared" si="7"/>
        <v>874999.68409683998</v>
      </c>
      <c r="T24" s="11">
        <f t="shared" ca="1" si="8"/>
        <v>695876.3724423137</v>
      </c>
      <c r="U24" s="11">
        <f t="shared" si="9"/>
        <v>9024.6652144009713</v>
      </c>
      <c r="V24" s="11">
        <f t="shared" si="10"/>
        <v>1123320.2468624106</v>
      </c>
      <c r="W24" s="11">
        <f t="shared" ca="1" si="11"/>
        <v>8818322.9745826554</v>
      </c>
      <c r="X24" s="53">
        <f t="shared" ca="1" si="12"/>
        <v>0.61143155540962557</v>
      </c>
      <c r="Y24" s="11">
        <f t="shared" ca="1" si="13"/>
        <v>5391800.9324535094</v>
      </c>
      <c r="Z24" s="11">
        <f t="shared" ca="1" si="14"/>
        <v>3426522.0421291459</v>
      </c>
    </row>
    <row r="25" spans="2:26" x14ac:dyDescent="0.3">
      <c r="B25" s="21">
        <v>2026</v>
      </c>
      <c r="C25" s="11" cm="1">
        <f t="array" ref="C25">INDEX('4. Secondary Perf Variables'!$G$32:$G$39,MATCH('5.As-is Analysis'!B25,'4. Secondary Perf Variables'!$B$32:$B$39,0),0)</f>
        <v>888927.57321778126</v>
      </c>
      <c r="D25" s="11" cm="1">
        <f t="array" ref="D25">INDEX('4. Secondary Perf Variables'!$H$32:$H$39,MATCH('5.As-is Analysis'!B25,'4. Secondary Perf Variables'!$B$32:$B$39,0),0)</f>
        <v>976214.071280826</v>
      </c>
      <c r="E25" s="11" cm="1">
        <f t="array" aca="1" ref="E25" ca="1">INDEX('4. Secondary Perf Variables'!$I$12:$I$39,MATCH('5.As-is Analysis'!B25,'4. Secondary Perf Variables'!$B$12:$B$39,0),0)</f>
        <v>1183100</v>
      </c>
      <c r="F25" s="11" cm="1">
        <f t="array" ref="F25">INDEX('4. Secondary Perf Variables'!$J$32:$J$39,MATCH('5.As-is Analysis'!B25,'4. Secondary Perf Variables'!$B$32:$B$39,0),0)</f>
        <v>1810932.684757404</v>
      </c>
      <c r="G25" s="11" cm="1">
        <f t="array" ref="G25">INDEX('4. Secondary Perf Variables'!$K$32:$K$39,MATCH('5.As-is Analysis'!B25,'4. Secondary Perf Variables'!$B$32:$B$39,0),0)</f>
        <v>4177692.1708204304</v>
      </c>
      <c r="H25" s="53">
        <v>0.17637047410013212</v>
      </c>
      <c r="I25" s="53">
        <v>7.0000000000000007E-2</v>
      </c>
      <c r="J25" s="53">
        <v>0.37272382137103388</v>
      </c>
      <c r="K25" s="53">
        <f t="shared" si="15"/>
        <v>0.99490000000000001</v>
      </c>
      <c r="L25" s="53">
        <v>0.60128012215132176</v>
      </c>
      <c r="M25" s="11">
        <f t="shared" si="1"/>
        <v>156780.5775291</v>
      </c>
      <c r="N25" s="11">
        <f t="shared" si="2"/>
        <v>68334.984989657823</v>
      </c>
      <c r="O25" s="11">
        <f t="shared" ca="1" si="3"/>
        <v>440969.55306407018</v>
      </c>
      <c r="P25" s="11">
        <f t="shared" si="4"/>
        <v>1801696.9280651412</v>
      </c>
      <c r="Q25" s="11">
        <f t="shared" si="5"/>
        <v>2511963.258781529</v>
      </c>
      <c r="R25" s="11">
        <f t="shared" si="6"/>
        <v>732146.99568868126</v>
      </c>
      <c r="S25" s="11">
        <f t="shared" si="7"/>
        <v>907879.08629116812</v>
      </c>
      <c r="T25" s="11">
        <f t="shared" ca="1" si="8"/>
        <v>742130.44693592982</v>
      </c>
      <c r="U25" s="11">
        <f t="shared" si="9"/>
        <v>9235.7566922628321</v>
      </c>
      <c r="V25" s="11">
        <f t="shared" si="10"/>
        <v>1665728.9120389014</v>
      </c>
      <c r="W25" s="11">
        <f t="shared" ca="1" si="11"/>
        <v>9036866.5000764411</v>
      </c>
      <c r="X25" s="53">
        <f t="shared" ca="1" si="12"/>
        <v>0.55104778878689598</v>
      </c>
      <c r="Y25" s="11">
        <f t="shared" ca="1" si="13"/>
        <v>4979745.3024294982</v>
      </c>
      <c r="Z25" s="11">
        <f t="shared" ca="1" si="14"/>
        <v>4057121.1976469434</v>
      </c>
    </row>
    <row r="26" spans="2:26" x14ac:dyDescent="0.3">
      <c r="B26" s="21">
        <v>2027</v>
      </c>
      <c r="C26" s="11" cm="1">
        <f t="array" ref="C26">INDEX('4. Secondary Perf Variables'!$G$32:$G$39,MATCH('5.As-is Analysis'!B26,'4. Secondary Perf Variables'!$B$32:$B$39,0),0)</f>
        <v>904076.06898870156</v>
      </c>
      <c r="D26" s="11" cm="1">
        <f t="array" ref="D26">INDEX('4. Secondary Perf Variables'!$H$32:$H$39,MATCH('5.As-is Analysis'!B26,'4. Secondary Perf Variables'!$B$32:$B$39,0),0)</f>
        <v>990890.0281695202</v>
      </c>
      <c r="E26" s="11" cm="1">
        <f t="array" aca="1" ref="E26" ca="1">INDEX('4. Secondary Perf Variables'!$I$12:$I$39,MATCH('5.As-is Analysis'!B26,'4. Secondary Perf Variables'!$B$12:$B$39,0),0)</f>
        <v>1201000</v>
      </c>
      <c r="F26" s="11" cm="1">
        <f t="array" ref="F26">INDEX('4. Secondary Perf Variables'!$J$32:$J$39,MATCH('5.As-is Analysis'!B26,'4. Secondary Perf Variables'!$B$32:$B$39,0),0)</f>
        <v>1852323.1706126588</v>
      </c>
      <c r="G26" s="11" cm="1">
        <f t="array" ref="G26">INDEX('4. Secondary Perf Variables'!$K$32:$K$39,MATCH('5.As-is Analysis'!B26,'4. Secondary Perf Variables'!$B$32:$B$39,0),0)</f>
        <v>4277920.7577993469</v>
      </c>
      <c r="H26" s="53">
        <v>0.18052578784947068</v>
      </c>
      <c r="I26" s="53">
        <v>0.09</v>
      </c>
      <c r="J26" s="53">
        <v>0.35933867744764081</v>
      </c>
      <c r="K26" s="53">
        <f t="shared" si="15"/>
        <v>0.99490000000000001</v>
      </c>
      <c r="L26" s="53">
        <v>0.69616342680332621</v>
      </c>
      <c r="M26" s="11">
        <f t="shared" si="1"/>
        <v>163209.04463003777</v>
      </c>
      <c r="N26" s="11">
        <f t="shared" si="2"/>
        <v>89180.10253525681</v>
      </c>
      <c r="O26" s="11">
        <f t="shared" ca="1" si="3"/>
        <v>431565.7516146166</v>
      </c>
      <c r="P26" s="11">
        <f t="shared" si="4"/>
        <v>1842876.3224425344</v>
      </c>
      <c r="Q26" s="11">
        <f t="shared" si="5"/>
        <v>2978131.9743426754</v>
      </c>
      <c r="R26" s="11">
        <f t="shared" si="6"/>
        <v>740867.02435866382</v>
      </c>
      <c r="S26" s="11">
        <f t="shared" si="7"/>
        <v>901709.92563426343</v>
      </c>
      <c r="T26" s="11">
        <f t="shared" ca="1" si="8"/>
        <v>769434.2483853834</v>
      </c>
      <c r="U26" s="11">
        <f t="shared" si="9"/>
        <v>9446.84817012446</v>
      </c>
      <c r="V26" s="11">
        <f t="shared" si="10"/>
        <v>1299788.7834566715</v>
      </c>
      <c r="W26" s="11">
        <f t="shared" ca="1" si="11"/>
        <v>9226210.0255702287</v>
      </c>
      <c r="X26" s="53">
        <f t="shared" ca="1" si="12"/>
        <v>0.59666571434080107</v>
      </c>
      <c r="Y26" s="11">
        <f t="shared" ca="1" si="13"/>
        <v>5504963.1955651212</v>
      </c>
      <c r="Z26" s="11">
        <f t="shared" ca="1" si="14"/>
        <v>3721246.8300051065</v>
      </c>
    </row>
    <row r="27" spans="2:26" x14ac:dyDescent="0.3">
      <c r="B27" s="21">
        <v>2028</v>
      </c>
      <c r="C27" s="11" cm="1">
        <f t="array" ref="C27">INDEX('4. Secondary Perf Variables'!$G$32:$G$39,MATCH('5.As-is Analysis'!B27,'4. Secondary Perf Variables'!$B$32:$B$39,0),0)</f>
        <v>919224.56475962198</v>
      </c>
      <c r="D27" s="11" cm="1">
        <f t="array" ref="D27">INDEX('4. Secondary Perf Variables'!$H$32:$H$39,MATCH('5.As-is Analysis'!B27,'4. Secondary Perf Variables'!$B$32:$B$39,0),0)</f>
        <v>1005565.9850582145</v>
      </c>
      <c r="E27" s="11" cm="1">
        <f t="array" aca="1" ref="E27" ca="1">INDEX('4. Secondary Perf Variables'!$I$12:$I$39,MATCH('5.As-is Analysis'!B27,'4. Secondary Perf Variables'!$B$12:$B$39,0),0)</f>
        <v>1064000</v>
      </c>
      <c r="F27" s="11" cm="1">
        <f t="array" ref="F27">INDEX('4. Secondary Perf Variables'!$J$32:$J$39,MATCH('5.As-is Analysis'!B27,'4. Secondary Perf Variables'!$B$32:$B$39,0),0)</f>
        <v>1893713.6564679136</v>
      </c>
      <c r="G27" s="11" cm="1">
        <f t="array" ref="G27">INDEX('4. Secondary Perf Variables'!$K$32:$K$39,MATCH('5.As-is Analysis'!B27,'4. Secondary Perf Variables'!$B$32:$B$39,0),0)</f>
        <v>4378149.344778263</v>
      </c>
      <c r="H27" s="53">
        <v>0.18468110159880929</v>
      </c>
      <c r="I27" s="53">
        <v>0.06</v>
      </c>
      <c r="J27" s="53">
        <v>0.34715819647735313</v>
      </c>
      <c r="K27" s="53">
        <f t="shared" si="15"/>
        <v>0.99490000000000001</v>
      </c>
      <c r="L27" s="53">
        <v>0.73161666197579511</v>
      </c>
      <c r="M27" s="11">
        <f t="shared" si="1"/>
        <v>169763.40523649301</v>
      </c>
      <c r="N27" s="11">
        <f t="shared" si="2"/>
        <v>60333.959103492867</v>
      </c>
      <c r="O27" s="11">
        <f t="shared" ca="1" si="3"/>
        <v>369376.32105190371</v>
      </c>
      <c r="P27" s="11">
        <f t="shared" si="4"/>
        <v>1884055.7168199273</v>
      </c>
      <c r="Q27" s="11">
        <f t="shared" si="5"/>
        <v>3203127.0092581874</v>
      </c>
      <c r="R27" s="11">
        <f t="shared" si="6"/>
        <v>749461.159523129</v>
      </c>
      <c r="S27" s="11">
        <f t="shared" si="7"/>
        <v>945232.02595472161</v>
      </c>
      <c r="T27" s="11">
        <f t="shared" ca="1" si="8"/>
        <v>694623.67894809623</v>
      </c>
      <c r="U27" s="11">
        <f t="shared" si="9"/>
        <v>9657.9396479863208</v>
      </c>
      <c r="V27" s="11">
        <f t="shared" si="10"/>
        <v>1175022.3355200756</v>
      </c>
      <c r="W27" s="11">
        <f t="shared" ca="1" si="11"/>
        <v>9260653.5510640144</v>
      </c>
      <c r="X27" s="53">
        <f t="shared" ca="1" si="12"/>
        <v>0.61406642415822033</v>
      </c>
      <c r="Y27" s="11">
        <f t="shared" ca="1" si="13"/>
        <v>5686656.4114700044</v>
      </c>
      <c r="Z27" s="11">
        <f t="shared" ca="1" si="14"/>
        <v>3573997.1395940091</v>
      </c>
    </row>
    <row r="28" spans="2:26" x14ac:dyDescent="0.3">
      <c r="B28" s="21">
        <v>2029</v>
      </c>
      <c r="C28" s="11" cm="1">
        <f t="array" ref="C28">INDEX('4. Secondary Perf Variables'!$G$32:$G$39,MATCH('5.As-is Analysis'!B28,'4. Secondary Perf Variables'!$B$32:$B$39,0),0)</f>
        <v>934373.06053054228</v>
      </c>
      <c r="D28" s="11" cm="1">
        <f t="array" ref="D28">INDEX('4. Secondary Perf Variables'!$H$32:$H$39,MATCH('5.As-is Analysis'!B28,'4. Secondary Perf Variables'!$B$32:$B$39,0),0)</f>
        <v>1020241.9419469086</v>
      </c>
      <c r="E28" s="11" cm="1">
        <f t="array" aca="1" ref="E28" ca="1">INDEX('4. Secondary Perf Variables'!$I$12:$I$39,MATCH('5.As-is Analysis'!B28,'4. Secondary Perf Variables'!$B$12:$B$39,0),0)</f>
        <v>1098600</v>
      </c>
      <c r="F28" s="11" cm="1">
        <f t="array" ref="F28">INDEX('4. Secondary Perf Variables'!$J$32:$J$39,MATCH('5.As-is Analysis'!B28,'4. Secondary Perf Variables'!$B$32:$B$39,0),0)</f>
        <v>1935104.1423231687</v>
      </c>
      <c r="G28" s="11" cm="1">
        <f t="array" ref="G28">INDEX('4. Secondary Perf Variables'!$K$32:$K$39,MATCH('5.As-is Analysis'!B28,'4. Secondary Perf Variables'!$B$32:$B$39,0),0)</f>
        <v>4478377.93175718</v>
      </c>
      <c r="H28" s="53">
        <v>0.18883641534814738</v>
      </c>
      <c r="I28" s="53">
        <v>7.0000000000000007E-2</v>
      </c>
      <c r="J28" s="53">
        <v>0.33607395879439139</v>
      </c>
      <c r="K28" s="53">
        <f t="shared" si="15"/>
        <v>0.99490000000000001</v>
      </c>
      <c r="L28" s="53">
        <v>0.70808519245875878</v>
      </c>
      <c r="M28" s="11">
        <f t="shared" si="1"/>
        <v>176443.65934846512</v>
      </c>
      <c r="N28" s="11">
        <f t="shared" si="2"/>
        <v>71416.935936283611</v>
      </c>
      <c r="O28" s="11">
        <f t="shared" ca="1" si="3"/>
        <v>369210.85113151837</v>
      </c>
      <c r="P28" s="11">
        <f t="shared" si="4"/>
        <v>1925235.1111973205</v>
      </c>
      <c r="Q28" s="11">
        <f t="shared" si="5"/>
        <v>3171073.0997113409</v>
      </c>
      <c r="R28" s="11">
        <f t="shared" si="6"/>
        <v>757929.40118207713</v>
      </c>
      <c r="S28" s="11">
        <f t="shared" si="7"/>
        <v>948825.00601062505</v>
      </c>
      <c r="T28" s="11">
        <f t="shared" ca="1" si="8"/>
        <v>729389.14886848163</v>
      </c>
      <c r="U28" s="11">
        <f t="shared" si="9"/>
        <v>9869.0311258481815</v>
      </c>
      <c r="V28" s="11">
        <f t="shared" si="10"/>
        <v>1307304.8320458392</v>
      </c>
      <c r="W28" s="11">
        <f t="shared" ca="1" si="11"/>
        <v>9466697.0765578002</v>
      </c>
      <c r="X28" s="53">
        <f t="shared" ca="1" si="12"/>
        <v>0.60352408143204039</v>
      </c>
      <c r="Y28" s="11">
        <f t="shared" ca="1" si="13"/>
        <v>5713379.6573249288</v>
      </c>
      <c r="Z28" s="11">
        <f t="shared" ca="1" si="14"/>
        <v>3753317.4192328714</v>
      </c>
    </row>
    <row r="29" spans="2:26" x14ac:dyDescent="0.3">
      <c r="B29" s="21">
        <v>2030</v>
      </c>
      <c r="C29" s="11" cm="1">
        <f t="array" ref="C29">INDEX('4. Secondary Perf Variables'!$G$32:$G$39,MATCH('5.As-is Analysis'!B29,'4. Secondary Perf Variables'!$B$32:$B$39,0),0)</f>
        <v>949521.55630146258</v>
      </c>
      <c r="D29" s="11" cm="1">
        <f t="array" ref="D29">INDEX('4. Secondary Perf Variables'!$H$32:$H$39,MATCH('5.As-is Analysis'!B29,'4. Secondary Perf Variables'!$B$32:$B$39,0),0)</f>
        <v>1034917.8988356029</v>
      </c>
      <c r="E29" s="11" cm="1">
        <f t="array" aca="1" ref="E29" ca="1">INDEX('4. Secondary Perf Variables'!$I$12:$I$39,MATCH('5.As-is Analysis'!B29,'4. Secondary Perf Variables'!$B$12:$B$39,0),0)</f>
        <v>1202900</v>
      </c>
      <c r="F29" s="11" cm="1">
        <f t="array" ref="F29">INDEX('4. Secondary Perf Variables'!$J$32:$J$39,MATCH('5.As-is Analysis'!B29,'4. Secondary Perf Variables'!$B$32:$B$39,0),0)</f>
        <v>1976494.6281784237</v>
      </c>
      <c r="G29" s="11" cm="1">
        <f t="array" ref="G29">INDEX('4. Secondary Perf Variables'!$K$32:$K$39,MATCH('5.As-is Analysis'!B29,'4. Secondary Perf Variables'!$B$32:$B$39,0),0)</f>
        <v>4578606.5187360961</v>
      </c>
      <c r="H29" s="53">
        <v>0.19299172909748591</v>
      </c>
      <c r="I29" s="53">
        <v>7.0000000000000007E-2</v>
      </c>
      <c r="J29" s="53">
        <v>0.32598730250289615</v>
      </c>
      <c r="K29" s="53">
        <f t="shared" si="15"/>
        <v>0.99490000000000001</v>
      </c>
      <c r="L29" s="53">
        <v>0.66325440718417528</v>
      </c>
      <c r="M29" s="11">
        <f t="shared" si="1"/>
        <v>183249.80696595507</v>
      </c>
      <c r="N29" s="11">
        <f t="shared" si="2"/>
        <v>72444.252918492217</v>
      </c>
      <c r="O29" s="11">
        <f t="shared" ca="1" si="3"/>
        <v>392130.12618073379</v>
      </c>
      <c r="P29" s="11">
        <f t="shared" si="4"/>
        <v>1966414.5055747137</v>
      </c>
      <c r="Q29" s="11">
        <f t="shared" si="5"/>
        <v>3036780.9523139098</v>
      </c>
      <c r="R29" s="11">
        <f t="shared" si="6"/>
        <v>766271.74933550751</v>
      </c>
      <c r="S29" s="11">
        <f t="shared" si="7"/>
        <v>962473.64591711073</v>
      </c>
      <c r="T29" s="11">
        <f t="shared" ca="1" si="8"/>
        <v>810769.87381926621</v>
      </c>
      <c r="U29" s="11">
        <f t="shared" si="9"/>
        <v>10080.122603710042</v>
      </c>
      <c r="V29" s="11">
        <f t="shared" si="10"/>
        <v>1541825.5664221863</v>
      </c>
      <c r="W29" s="11">
        <f t="shared" ca="1" si="11"/>
        <v>9742440.6020515859</v>
      </c>
      <c r="X29" s="62">
        <f t="shared" ca="1" si="12"/>
        <v>0.58004147777547643</v>
      </c>
      <c r="Y29" s="11">
        <f t="shared" ca="1" si="13"/>
        <v>5651019.6439538039</v>
      </c>
      <c r="Z29" s="11">
        <f t="shared" ca="1" si="14"/>
        <v>4091420.9580977806</v>
      </c>
    </row>
  </sheetData>
  <mergeCells count="6">
    <mergeCell ref="W5:Z5"/>
    <mergeCell ref="B5:B6"/>
    <mergeCell ref="C5:G5"/>
    <mergeCell ref="H5:L5"/>
    <mergeCell ref="M5:Q5"/>
    <mergeCell ref="R5:V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0979-8323-46A3-97D9-618DEF5CD4F5}">
  <dimension ref="B4:Q60"/>
  <sheetViews>
    <sheetView showGridLines="0" zoomScaleNormal="100" workbookViewId="0">
      <selection activeCell="F26" sqref="F26"/>
    </sheetView>
  </sheetViews>
  <sheetFormatPr defaultRowHeight="14.4" x14ac:dyDescent="0.3"/>
  <cols>
    <col min="1" max="1" width="14.33203125" customWidth="1"/>
    <col min="2" max="2" width="4.88671875" customWidth="1"/>
    <col min="3" max="3" width="12.88671875" customWidth="1"/>
    <col min="4" max="4" width="14.109375" customWidth="1"/>
    <col min="5" max="5" width="14.44140625" customWidth="1"/>
    <col min="6" max="6" width="12.88671875" customWidth="1"/>
    <col min="7" max="7" width="13.21875" customWidth="1"/>
    <col min="8" max="8" width="13.44140625" customWidth="1"/>
    <col min="9" max="9" width="13" customWidth="1"/>
    <col min="10" max="10" width="17.44140625" customWidth="1"/>
    <col min="11" max="11" width="16.33203125" customWidth="1"/>
    <col min="12" max="12" width="16.88671875" customWidth="1"/>
    <col min="13" max="13" width="18.109375" customWidth="1"/>
    <col min="14" max="14" width="17.21875" customWidth="1"/>
    <col min="15" max="15" width="20.88671875" customWidth="1"/>
    <col min="16" max="16" width="19.77734375" customWidth="1"/>
    <col min="17" max="17" width="19.21875" customWidth="1"/>
  </cols>
  <sheetData>
    <row r="4" spans="2:17" x14ac:dyDescent="0.3">
      <c r="B4" s="103" t="s">
        <v>7</v>
      </c>
      <c r="C4" s="111" t="s">
        <v>9</v>
      </c>
      <c r="D4" s="103" t="s">
        <v>84</v>
      </c>
      <c r="E4" s="97" t="s">
        <v>22</v>
      </c>
      <c r="F4" s="97"/>
      <c r="G4" s="97"/>
      <c r="H4" s="97"/>
      <c r="I4" s="97"/>
      <c r="J4" s="87" t="s">
        <v>30</v>
      </c>
      <c r="K4" s="87"/>
      <c r="L4" s="87"/>
      <c r="M4" s="87"/>
      <c r="N4" s="87"/>
      <c r="O4" s="126" t="s">
        <v>78</v>
      </c>
      <c r="P4" s="127"/>
      <c r="Q4" s="128"/>
    </row>
    <row r="5" spans="2:17" x14ac:dyDescent="0.3">
      <c r="B5" s="91"/>
      <c r="C5" s="93"/>
      <c r="D5" s="91"/>
      <c r="E5" s="18" t="s">
        <v>24</v>
      </c>
      <c r="F5" s="18" t="s">
        <v>23</v>
      </c>
      <c r="G5" s="18" t="s">
        <v>25</v>
      </c>
      <c r="H5" s="18" t="s">
        <v>26</v>
      </c>
      <c r="I5" s="18" t="s">
        <v>27</v>
      </c>
      <c r="J5" s="23" t="s">
        <v>24</v>
      </c>
      <c r="K5" s="23" t="s">
        <v>23</v>
      </c>
      <c r="L5" s="23" t="s">
        <v>25</v>
      </c>
      <c r="M5" s="23" t="s">
        <v>26</v>
      </c>
      <c r="N5" s="23" t="s">
        <v>27</v>
      </c>
      <c r="O5" s="59" t="s">
        <v>30</v>
      </c>
      <c r="P5" s="61" t="s">
        <v>77</v>
      </c>
      <c r="Q5" s="60" t="s">
        <v>22</v>
      </c>
    </row>
    <row r="6" spans="2:17" x14ac:dyDescent="0.3">
      <c r="B6" s="21">
        <v>2008</v>
      </c>
      <c r="C6" s="129">
        <v>325</v>
      </c>
      <c r="D6" s="131" t="s">
        <v>17</v>
      </c>
      <c r="E6" s="17">
        <v>0.09</v>
      </c>
      <c r="F6" s="17">
        <v>0.12</v>
      </c>
      <c r="G6" s="17">
        <v>0.48</v>
      </c>
      <c r="H6" s="17">
        <f>0.9277</f>
        <v>0.92769999999999997</v>
      </c>
      <c r="I6" s="17">
        <v>0.69616342680332621</v>
      </c>
      <c r="J6" s="130">
        <v>684400</v>
      </c>
      <c r="K6" s="130">
        <v>568000</v>
      </c>
      <c r="L6" s="130">
        <v>1262500</v>
      </c>
      <c r="M6" s="130">
        <f>784800+85000</f>
        <v>869800</v>
      </c>
      <c r="N6" s="130">
        <v>2585500</v>
      </c>
      <c r="O6" s="130">
        <f>N6+M6+L6+K6+J6</f>
        <v>5970200</v>
      </c>
      <c r="P6" s="130">
        <f>(N6*I6)+(M6*H6)+(L6*G6)+(K6*F6)+(J6*E6)</f>
        <v>3342600</v>
      </c>
      <c r="Q6" s="17">
        <f>P6/O6</f>
        <v>0.55988074101370133</v>
      </c>
    </row>
    <row r="7" spans="2:17" x14ac:dyDescent="0.3">
      <c r="B7" s="21">
        <v>2009</v>
      </c>
      <c r="C7" s="129">
        <v>323.10000000000002</v>
      </c>
      <c r="D7" s="131" t="s">
        <v>17</v>
      </c>
      <c r="E7" s="17">
        <v>0.09</v>
      </c>
      <c r="F7" s="17">
        <v>0.13</v>
      </c>
      <c r="G7" s="17">
        <v>0.48</v>
      </c>
      <c r="H7" s="17">
        <f>0.9183</f>
        <v>0.91830000000000001</v>
      </c>
      <c r="I7" s="17">
        <v>0.71202318021201405</v>
      </c>
      <c r="J7" s="130">
        <v>688900</v>
      </c>
      <c r="K7" s="130">
        <v>606100</v>
      </c>
      <c r="L7" s="130">
        <v>1201000</v>
      </c>
      <c r="M7" s="130">
        <f>872000+57600</f>
        <v>929600</v>
      </c>
      <c r="N7" s="130">
        <v>2688500</v>
      </c>
      <c r="O7" s="130">
        <f t="shared" ref="O7:O28" si="0">N7+M7+L7+K7+J7</f>
        <v>6114100</v>
      </c>
      <c r="P7" s="130">
        <f t="shared" ref="P7:P28" si="1">(N7*I7)+(M7*H7)+(L7*G7)+(K7*F7)+(J7*E7)</f>
        <v>3485200</v>
      </c>
      <c r="Q7" s="17">
        <f t="shared" ref="Q7:Q28" si="2">P7/O7</f>
        <v>0.57002665968826161</v>
      </c>
    </row>
    <row r="8" spans="2:17" x14ac:dyDescent="0.3">
      <c r="B8" s="21">
        <v>2010</v>
      </c>
      <c r="C8" s="129">
        <v>406</v>
      </c>
      <c r="D8" s="131" t="s">
        <v>17</v>
      </c>
      <c r="E8" s="17">
        <v>0.11</v>
      </c>
      <c r="F8" s="17">
        <v>0.16</v>
      </c>
      <c r="G8" s="17">
        <v>0.53</v>
      </c>
      <c r="H8" s="17">
        <f>0.9378</f>
        <v>0.93779999999999997</v>
      </c>
      <c r="I8" s="17">
        <v>0.66325440718417528</v>
      </c>
      <c r="J8" s="130">
        <v>740400</v>
      </c>
      <c r="K8" s="130">
        <v>640500</v>
      </c>
      <c r="L8" s="130">
        <v>1383900</v>
      </c>
      <c r="M8" s="130">
        <f>1194600+85500</f>
        <v>1280100</v>
      </c>
      <c r="N8" s="130">
        <v>2472100</v>
      </c>
      <c r="O8" s="130">
        <f t="shared" si="0"/>
        <v>6517000</v>
      </c>
      <c r="P8" s="130">
        <f t="shared" si="1"/>
        <v>3757500</v>
      </c>
      <c r="Q8" s="17">
        <f t="shared" si="2"/>
        <v>0.57656897345404323</v>
      </c>
    </row>
    <row r="9" spans="2:17" x14ac:dyDescent="0.3">
      <c r="B9" s="21">
        <v>2011</v>
      </c>
      <c r="C9" s="129">
        <v>349</v>
      </c>
      <c r="D9" s="131" t="s">
        <v>17</v>
      </c>
      <c r="E9" s="17">
        <v>0.11</v>
      </c>
      <c r="F9" s="17">
        <v>0.1</v>
      </c>
      <c r="G9" s="17">
        <v>0.56000000000000005</v>
      </c>
      <c r="H9" s="17">
        <f>0.9394</f>
        <v>0.93940000000000001</v>
      </c>
      <c r="I9" s="17">
        <v>0.66910126216050048</v>
      </c>
      <c r="J9" s="130">
        <v>733000</v>
      </c>
      <c r="K9" s="130">
        <v>675500</v>
      </c>
      <c r="L9" s="130">
        <v>1368200</v>
      </c>
      <c r="M9" s="130">
        <f>1239200+117300</f>
        <v>1356500</v>
      </c>
      <c r="N9" s="130">
        <v>2765100</v>
      </c>
      <c r="O9" s="130">
        <f t="shared" si="0"/>
        <v>6898300</v>
      </c>
      <c r="P9" s="130">
        <f t="shared" si="1"/>
        <v>4038800</v>
      </c>
      <c r="Q9" s="17">
        <f t="shared" si="2"/>
        <v>0.58547758143310669</v>
      </c>
    </row>
    <row r="10" spans="2:17" x14ac:dyDescent="0.3">
      <c r="B10" s="21">
        <v>2012</v>
      </c>
      <c r="C10" s="129">
        <v>352.3</v>
      </c>
      <c r="D10" s="131" t="s">
        <v>17</v>
      </c>
      <c r="E10" s="17">
        <v>0.1</v>
      </c>
      <c r="F10" s="17">
        <v>0.12</v>
      </c>
      <c r="G10" s="17">
        <v>0.56000000000000005</v>
      </c>
      <c r="H10" s="17">
        <f>0.9469</f>
        <v>0.94689999999999996</v>
      </c>
      <c r="I10" s="17">
        <v>0.67990852318145489</v>
      </c>
      <c r="J10" s="130">
        <v>803400</v>
      </c>
      <c r="K10" s="130">
        <v>703200</v>
      </c>
      <c r="L10" s="130">
        <v>1252000</v>
      </c>
      <c r="M10" s="130">
        <f>1386000+122500</f>
        <v>1508500</v>
      </c>
      <c r="N10" s="130">
        <v>3002400</v>
      </c>
      <c r="O10" s="130">
        <f t="shared" si="0"/>
        <v>7269500</v>
      </c>
      <c r="P10" s="130">
        <f t="shared" si="1"/>
        <v>4335600</v>
      </c>
      <c r="Q10" s="17">
        <f t="shared" si="2"/>
        <v>0.59640965678519842</v>
      </c>
    </row>
    <row r="11" spans="2:17" x14ac:dyDescent="0.3">
      <c r="B11" s="21">
        <v>2013</v>
      </c>
      <c r="C11" s="129">
        <v>325.2</v>
      </c>
      <c r="D11" s="131" t="s">
        <v>17</v>
      </c>
      <c r="E11" s="17">
        <v>0.11</v>
      </c>
      <c r="F11" s="17">
        <v>0.13</v>
      </c>
      <c r="G11" s="17">
        <v>0.54</v>
      </c>
      <c r="H11" s="17">
        <f>0.9562</f>
        <v>0.95620000000000005</v>
      </c>
      <c r="I11" s="17">
        <v>0.72314566562106053</v>
      </c>
      <c r="J11" s="130">
        <v>832200</v>
      </c>
      <c r="K11" s="130">
        <v>796000</v>
      </c>
      <c r="L11" s="130">
        <v>1261100</v>
      </c>
      <c r="M11" s="130">
        <f>1416000+135100</f>
        <v>1551100</v>
      </c>
      <c r="N11" s="130">
        <v>3411100</v>
      </c>
      <c r="O11" s="130">
        <f t="shared" si="0"/>
        <v>7851500</v>
      </c>
      <c r="P11" s="130">
        <f t="shared" si="1"/>
        <v>4825900</v>
      </c>
      <c r="Q11" s="17">
        <f t="shared" si="2"/>
        <v>0.61464688276125579</v>
      </c>
    </row>
    <row r="12" spans="2:17" x14ac:dyDescent="0.3">
      <c r="B12" s="21">
        <v>2014</v>
      </c>
      <c r="C12" s="129">
        <v>427.3</v>
      </c>
      <c r="D12" s="131" t="s">
        <v>17</v>
      </c>
      <c r="E12" s="17">
        <v>0.09</v>
      </c>
      <c r="F12" s="17">
        <v>0.13</v>
      </c>
      <c r="G12" s="17">
        <v>0.52</v>
      </c>
      <c r="H12" s="17">
        <f>0.9484</f>
        <v>0.94840000000000002</v>
      </c>
      <c r="I12" s="17">
        <v>0.70808519245875878</v>
      </c>
      <c r="J12" s="130">
        <v>869000</v>
      </c>
      <c r="K12" s="130">
        <v>788600</v>
      </c>
      <c r="L12" s="130">
        <v>1237400</v>
      </c>
      <c r="M12" s="130">
        <f>1445900+118400</f>
        <v>1564300</v>
      </c>
      <c r="N12" s="130">
        <v>3055200</v>
      </c>
      <c r="O12" s="130">
        <f t="shared" si="0"/>
        <v>7514500</v>
      </c>
      <c r="P12" s="130">
        <f t="shared" si="1"/>
        <v>4471100</v>
      </c>
      <c r="Q12" s="17">
        <f t="shared" si="2"/>
        <v>0.59499634040854343</v>
      </c>
    </row>
    <row r="13" spans="2:17" x14ac:dyDescent="0.3">
      <c r="B13" s="21">
        <v>2015</v>
      </c>
      <c r="C13" s="129">
        <v>567.29999999999995</v>
      </c>
      <c r="D13" s="130">
        <v>1889000</v>
      </c>
      <c r="E13" s="17">
        <v>7.0000000000000007E-2</v>
      </c>
      <c r="F13" s="17">
        <v>0.13</v>
      </c>
      <c r="G13" s="17">
        <v>0.51</v>
      </c>
      <c r="H13" s="17">
        <f>0.9772</f>
        <v>0.97719999999999996</v>
      </c>
      <c r="I13" s="17">
        <v>0.71444963652137483</v>
      </c>
      <c r="J13" s="130">
        <v>824600</v>
      </c>
      <c r="K13" s="130">
        <v>785500</v>
      </c>
      <c r="L13" s="130">
        <v>1192200</v>
      </c>
      <c r="M13" s="130">
        <f>1348500+180000</f>
        <v>1528500</v>
      </c>
      <c r="N13" s="130">
        <v>3342700</v>
      </c>
      <c r="O13" s="130">
        <f t="shared" si="0"/>
        <v>7673500</v>
      </c>
      <c r="P13" s="130">
        <f t="shared" si="1"/>
        <v>4649700</v>
      </c>
      <c r="Q13" s="17">
        <f t="shared" si="2"/>
        <v>0.60594252948458982</v>
      </c>
    </row>
    <row r="14" spans="2:17" x14ac:dyDescent="0.3">
      <c r="B14" s="21">
        <v>2016</v>
      </c>
      <c r="C14" s="129">
        <v>683.8</v>
      </c>
      <c r="D14" s="130">
        <v>1757000</v>
      </c>
      <c r="E14" s="17">
        <v>7.0000000000000007E-2</v>
      </c>
      <c r="F14" s="17">
        <v>0.14000000000000001</v>
      </c>
      <c r="G14" s="17">
        <v>0.51</v>
      </c>
      <c r="H14" s="17">
        <f>0.9949</f>
        <v>0.99490000000000001</v>
      </c>
      <c r="I14" s="17">
        <v>0.71566119499326442</v>
      </c>
      <c r="J14" s="130">
        <v>822200</v>
      </c>
      <c r="K14" s="130">
        <v>791000</v>
      </c>
      <c r="L14" s="130">
        <v>1183100</v>
      </c>
      <c r="M14" s="130">
        <f>1357500+97200</f>
        <v>1454700</v>
      </c>
      <c r="N14" s="130">
        <v>3563200</v>
      </c>
      <c r="O14" s="130">
        <f t="shared" si="0"/>
        <v>7814200</v>
      </c>
      <c r="P14" s="130">
        <f t="shared" si="1"/>
        <v>4769000</v>
      </c>
      <c r="Q14" s="17">
        <f t="shared" si="2"/>
        <v>0.6102991988943206</v>
      </c>
    </row>
    <row r="15" spans="2:17" x14ac:dyDescent="0.3">
      <c r="B15" s="21">
        <v>2017</v>
      </c>
      <c r="C15" s="129">
        <v>1549</v>
      </c>
      <c r="D15" s="130">
        <v>1637000</v>
      </c>
      <c r="E15" s="17">
        <v>0.06</v>
      </c>
      <c r="F15" s="17">
        <v>0.16</v>
      </c>
      <c r="G15" s="17">
        <v>0.5</v>
      </c>
      <c r="H15" s="17">
        <f t="shared" ref="H15:H20" si="3">0.9949</f>
        <v>0.99490000000000001</v>
      </c>
      <c r="I15" s="17">
        <v>0.72450514302224789</v>
      </c>
      <c r="J15" s="130">
        <v>815000</v>
      </c>
      <c r="K15" s="130">
        <v>810000</v>
      </c>
      <c r="L15" s="130">
        <v>1145000</v>
      </c>
      <c r="M15" s="130">
        <f>1379000+94000</f>
        <v>1473000</v>
      </c>
      <c r="N15" s="130">
        <v>3461000</v>
      </c>
      <c r="O15" s="130">
        <f t="shared" si="0"/>
        <v>7704000</v>
      </c>
      <c r="P15" s="130">
        <f t="shared" si="1"/>
        <v>4724000</v>
      </c>
      <c r="Q15" s="17">
        <f t="shared" si="2"/>
        <v>0.61318795430944961</v>
      </c>
    </row>
    <row r="16" spans="2:17" x14ac:dyDescent="0.3">
      <c r="B16" s="21">
        <v>2018</v>
      </c>
      <c r="C16" s="129">
        <v>839.1</v>
      </c>
      <c r="D16" s="130">
        <v>1579000</v>
      </c>
      <c r="E16" s="17">
        <v>0.04</v>
      </c>
      <c r="F16" s="17">
        <v>0.17</v>
      </c>
      <c r="G16" s="17">
        <v>0.44</v>
      </c>
      <c r="H16" s="17">
        <f t="shared" si="3"/>
        <v>0.99490000000000001</v>
      </c>
      <c r="I16" s="17">
        <v>0.73161666197579511</v>
      </c>
      <c r="J16" s="130">
        <v>949000</v>
      </c>
      <c r="K16" s="130">
        <v>763000</v>
      </c>
      <c r="L16" s="130">
        <v>1054000</v>
      </c>
      <c r="M16" s="130">
        <f>1269000+171000</f>
        <v>1440000</v>
      </c>
      <c r="N16" s="130">
        <v>3553000</v>
      </c>
      <c r="O16" s="130">
        <f t="shared" si="0"/>
        <v>7759000</v>
      </c>
      <c r="P16" s="130">
        <f t="shared" si="1"/>
        <v>4663520</v>
      </c>
      <c r="Q16" s="17">
        <f t="shared" si="2"/>
        <v>0.60104652661425439</v>
      </c>
    </row>
    <row r="17" spans="2:17" x14ac:dyDescent="0.3">
      <c r="B17" s="21">
        <v>2019</v>
      </c>
      <c r="C17" s="129">
        <v>1075.9000000000001</v>
      </c>
      <c r="D17" s="130">
        <v>1439000</v>
      </c>
      <c r="E17" s="17">
        <v>0.04</v>
      </c>
      <c r="F17" s="17">
        <v>0.18</v>
      </c>
      <c r="G17" s="17">
        <f>2*(10^(-7))*D17+0.224</f>
        <v>0.51180000000000003</v>
      </c>
      <c r="H17" s="17">
        <f t="shared" si="3"/>
        <v>0.99490000000000001</v>
      </c>
      <c r="I17" s="17">
        <v>0.71502050799623706</v>
      </c>
      <c r="J17" s="130">
        <v>930000</v>
      </c>
      <c r="K17" s="130">
        <v>744000</v>
      </c>
      <c r="L17" s="130">
        <v>1011000</v>
      </c>
      <c r="M17" s="130">
        <f>1278000+126000</f>
        <v>1404000</v>
      </c>
      <c r="N17" s="130">
        <v>3189000</v>
      </c>
      <c r="O17" s="130">
        <f t="shared" si="0"/>
        <v>7278000</v>
      </c>
      <c r="P17" s="130">
        <f t="shared" si="1"/>
        <v>4365589.8</v>
      </c>
      <c r="Q17" s="17">
        <f t="shared" si="2"/>
        <v>0.59983371805441055</v>
      </c>
    </row>
    <row r="18" spans="2:17" x14ac:dyDescent="0.3">
      <c r="B18" s="21">
        <v>2020</v>
      </c>
      <c r="C18" s="129">
        <v>707.5</v>
      </c>
      <c r="D18" s="130">
        <f>D17*(1-0.07)</f>
        <v>1338270</v>
      </c>
      <c r="E18" s="17">
        <v>0.04</v>
      </c>
      <c r="F18" s="17">
        <v>0.19</v>
      </c>
      <c r="G18" s="17">
        <f t="shared" ref="G18:G28" si="4">2*(10^(-7))*D18+0.224</f>
        <v>0.49165400000000004</v>
      </c>
      <c r="H18" s="17">
        <f t="shared" si="3"/>
        <v>0.99490000000000001</v>
      </c>
      <c r="I18" s="17">
        <v>0.60128012215132176</v>
      </c>
      <c r="J18" s="130">
        <v>868000</v>
      </c>
      <c r="K18" s="130">
        <v>665000</v>
      </c>
      <c r="L18" s="130">
        <v>1144000</v>
      </c>
      <c r="M18" s="130">
        <f>934000+75000</f>
        <v>1009000</v>
      </c>
      <c r="N18" s="130">
        <v>2194000</v>
      </c>
      <c r="O18" s="130">
        <f t="shared" si="0"/>
        <v>5880000</v>
      </c>
      <c r="P18" s="130">
        <f t="shared" si="1"/>
        <v>3046584.8640000001</v>
      </c>
      <c r="Q18" s="17">
        <f t="shared" si="2"/>
        <v>0.51812667755102038</v>
      </c>
    </row>
    <row r="19" spans="2:17" x14ac:dyDescent="0.3">
      <c r="B19" s="21">
        <v>2021</v>
      </c>
      <c r="C19" s="129">
        <v>905</v>
      </c>
      <c r="D19" s="130">
        <f t="shared" ref="D19:D20" si="5">D18*(1-0.07)</f>
        <v>1244591.0999999999</v>
      </c>
      <c r="E19" s="17">
        <v>0.06</v>
      </c>
      <c r="F19" s="17">
        <v>0.19</v>
      </c>
      <c r="G19" s="17">
        <f t="shared" si="4"/>
        <v>0.47291821999999994</v>
      </c>
      <c r="H19" s="17">
        <f t="shared" si="3"/>
        <v>0.99490000000000001</v>
      </c>
      <c r="I19" s="17">
        <v>0.649209016297432</v>
      </c>
      <c r="J19" s="130">
        <v>982000</v>
      </c>
      <c r="K19" s="130">
        <v>817000</v>
      </c>
      <c r="L19" s="130">
        <v>1136000</v>
      </c>
      <c r="M19" s="130">
        <f>1312000+88000</f>
        <v>1400000</v>
      </c>
      <c r="N19" s="130">
        <v>2609000</v>
      </c>
      <c r="O19" s="130">
        <f t="shared" si="0"/>
        <v>6944000</v>
      </c>
      <c r="P19" s="130">
        <f t="shared" si="1"/>
        <v>3838031.4214400002</v>
      </c>
      <c r="Q19" s="17">
        <f t="shared" si="2"/>
        <v>0.55271189824884792</v>
      </c>
    </row>
    <row r="20" spans="2:17" x14ac:dyDescent="0.3">
      <c r="B20" s="21">
        <v>2022</v>
      </c>
      <c r="C20" s="129">
        <v>1012</v>
      </c>
      <c r="D20" s="130">
        <f t="shared" si="5"/>
        <v>1157469.7229999998</v>
      </c>
      <c r="E20" s="17">
        <v>0.06</v>
      </c>
      <c r="F20" s="17">
        <v>0.18</v>
      </c>
      <c r="G20" s="17">
        <f t="shared" si="4"/>
        <v>0.45549394459999992</v>
      </c>
      <c r="H20" s="17">
        <f t="shared" si="3"/>
        <v>0.99490000000000001</v>
      </c>
      <c r="I20" s="17">
        <v>0.67916772545882353</v>
      </c>
      <c r="J20" s="130">
        <v>1001000</v>
      </c>
      <c r="K20" s="130">
        <v>813000</v>
      </c>
      <c r="L20" s="130">
        <v>1064000</v>
      </c>
      <c r="M20" s="130">
        <f>1338000+92000</f>
        <v>1430000</v>
      </c>
      <c r="N20" s="130">
        <v>3077000</v>
      </c>
      <c r="O20" s="130">
        <f t="shared" si="0"/>
        <v>7385000</v>
      </c>
      <c r="P20" s="130">
        <f t="shared" si="1"/>
        <v>4203551.6482912004</v>
      </c>
      <c r="Q20" s="17">
        <f t="shared" si="2"/>
        <v>0.569201306471388</v>
      </c>
    </row>
    <row r="21" spans="2:17" x14ac:dyDescent="0.3">
      <c r="B21" s="21">
        <v>2023</v>
      </c>
      <c r="C21" s="113">
        <v>3154.931313579415</v>
      </c>
      <c r="D21" s="11">
        <v>352196.12695766974</v>
      </c>
      <c r="E21" s="53">
        <v>0.1</v>
      </c>
      <c r="F21" s="53">
        <f t="shared" ref="F21:F28" si="6">0.113265809+(5.39236*(10^-5))*C21</f>
        <v>0.28339106318093099</v>
      </c>
      <c r="G21" s="53">
        <f t="shared" si="4"/>
        <v>0.29443922539153394</v>
      </c>
      <c r="H21" s="53">
        <f t="shared" ref="H21:H28" si="7">H20</f>
        <v>0.99490000000000001</v>
      </c>
      <c r="I21" s="53">
        <v>0.71566119499326442</v>
      </c>
      <c r="J21" s="11">
        <f t="shared" ref="J21:J28" si="8">845382.7062+((-31162.218)*C53)+(D53*145789.4825)</f>
        <v>936985.57714905823</v>
      </c>
      <c r="K21" s="11">
        <f t="shared" ref="K21:K28" si="9">745350.6118+(125268.6638*D53)</f>
        <v>824399.70641171292</v>
      </c>
      <c r="L21" s="11">
        <v>1368200</v>
      </c>
      <c r="M21" s="11">
        <f t="shared" ref="M21:M28" si="10">1394214.092+(270110.6187*D53)+(C53*92055.066353)</f>
        <v>1565832.3930041546</v>
      </c>
      <c r="N21" s="11">
        <f t="shared" ref="N21:N28" si="11">3137906+(338587.522*C53)+(D53*563405.5818)</f>
        <v>3497733.8798343721</v>
      </c>
      <c r="O21" s="11">
        <f t="shared" si="0"/>
        <v>8193151.556399297</v>
      </c>
      <c r="P21" s="11">
        <f t="shared" si="1"/>
        <v>4791216.8711921927</v>
      </c>
      <c r="Q21" s="125">
        <f t="shared" si="2"/>
        <v>0.58478313725931164</v>
      </c>
    </row>
    <row r="22" spans="2:17" x14ac:dyDescent="0.3">
      <c r="B22" s="21">
        <v>2024</v>
      </c>
      <c r="C22" s="113">
        <v>3652.4351485057964</v>
      </c>
      <c r="D22" s="11">
        <v>568184.32291556394</v>
      </c>
      <c r="E22" s="53">
        <v>0.14480698266951747</v>
      </c>
      <c r="F22" s="53">
        <f t="shared" si="6"/>
        <v>0.31021826097396721</v>
      </c>
      <c r="G22" s="53">
        <f t="shared" si="4"/>
        <v>0.33763686458311282</v>
      </c>
      <c r="H22" s="53">
        <f t="shared" si="7"/>
        <v>0.99490000000000001</v>
      </c>
      <c r="I22" s="53">
        <v>0.71566119499326442</v>
      </c>
      <c r="J22" s="11">
        <f t="shared" si="8"/>
        <v>946862.15749168606</v>
      </c>
      <c r="K22" s="11">
        <f t="shared" si="9"/>
        <v>858630.58160000585</v>
      </c>
      <c r="L22" s="11">
        <v>1368200</v>
      </c>
      <c r="M22" s="11">
        <f t="shared" si="10"/>
        <v>1728151.7154111871</v>
      </c>
      <c r="N22" s="11">
        <f t="shared" si="11"/>
        <v>3977234.5826185383</v>
      </c>
      <c r="O22" s="11">
        <f t="shared" si="0"/>
        <v>8879079.037121417</v>
      </c>
      <c r="P22" s="11">
        <f t="shared" si="1"/>
        <v>5431120.491823866</v>
      </c>
      <c r="Q22" s="125">
        <f t="shared" si="2"/>
        <v>0.61167610617245127</v>
      </c>
    </row>
    <row r="23" spans="2:17" x14ac:dyDescent="0.3">
      <c r="B23" s="21">
        <v>2025</v>
      </c>
      <c r="C23" s="113">
        <v>3543.9579006094909</v>
      </c>
      <c r="D23" s="11">
        <v>737810.76984115446</v>
      </c>
      <c r="E23" s="53">
        <v>0.16402575960305693</v>
      </c>
      <c r="F23" s="53">
        <f t="shared" si="6"/>
        <v>0.304368777249306</v>
      </c>
      <c r="G23" s="53">
        <f t="shared" si="4"/>
        <v>0.37156215396823089</v>
      </c>
      <c r="H23" s="53">
        <f t="shared" si="7"/>
        <v>0.99490000000000001</v>
      </c>
      <c r="I23" s="53">
        <v>0.72450514302224789</v>
      </c>
      <c r="J23" s="11">
        <f t="shared" si="8"/>
        <v>961538.11438251229</v>
      </c>
      <c r="K23" s="11">
        <f t="shared" si="9"/>
        <v>873779.0773660132</v>
      </c>
      <c r="L23" s="11">
        <v>1183100</v>
      </c>
      <c r="M23" s="11">
        <f t="shared" si="10"/>
        <v>1769542.2015381344</v>
      </c>
      <c r="N23" s="11">
        <f t="shared" si="11"/>
        <v>4077463.1695972336</v>
      </c>
      <c r="O23" s="11">
        <f t="shared" si="0"/>
        <v>8865422.562883893</v>
      </c>
      <c r="P23" s="11">
        <f t="shared" si="1"/>
        <v>5577923.8464898989</v>
      </c>
      <c r="Q23" s="125">
        <f t="shared" si="2"/>
        <v>0.62917743705105678</v>
      </c>
    </row>
    <row r="24" spans="2:17" x14ac:dyDescent="0.3">
      <c r="B24" s="21">
        <v>2026</v>
      </c>
      <c r="C24" s="113">
        <v>9668.0672267584596</v>
      </c>
      <c r="D24" s="11">
        <v>1416457.1004564518</v>
      </c>
      <c r="E24" s="53">
        <v>0.3</v>
      </c>
      <c r="F24" s="53">
        <f t="shared" si="6"/>
        <v>0.63460279890883253</v>
      </c>
      <c r="G24" s="53">
        <f t="shared" si="4"/>
        <v>0.50729142009129036</v>
      </c>
      <c r="H24" s="53">
        <f t="shared" si="7"/>
        <v>0.99490000000000001</v>
      </c>
      <c r="I24" s="53">
        <v>0.60128012215132176</v>
      </c>
      <c r="J24" s="11">
        <f t="shared" si="8"/>
        <v>976214.07127333828</v>
      </c>
      <c r="K24" s="11">
        <f t="shared" si="9"/>
        <v>888927.57313202065</v>
      </c>
      <c r="L24" s="11">
        <v>1192200</v>
      </c>
      <c r="M24" s="11">
        <f t="shared" si="10"/>
        <v>1810932.6876650811</v>
      </c>
      <c r="N24" s="11">
        <f t="shared" si="11"/>
        <v>4177691.7565759285</v>
      </c>
      <c r="O24" s="11">
        <f t="shared" si="0"/>
        <v>9045966.0886463691</v>
      </c>
      <c r="P24" s="11">
        <f t="shared" si="1"/>
        <v>5775432.9190141875</v>
      </c>
      <c r="Q24" s="125">
        <f t="shared" si="2"/>
        <v>0.63845396527220666</v>
      </c>
    </row>
    <row r="25" spans="2:17" x14ac:dyDescent="0.3">
      <c r="B25" s="21">
        <v>2027</v>
      </c>
      <c r="C25" s="113">
        <v>3148.529872160902</v>
      </c>
      <c r="D25" s="11">
        <v>769936.99288312392</v>
      </c>
      <c r="E25" s="53">
        <v>0.18265518922508811</v>
      </c>
      <c r="F25" s="53">
        <f t="shared" si="6"/>
        <v>0.28304587441445561</v>
      </c>
      <c r="G25" s="53">
        <f t="shared" si="4"/>
        <v>0.37798739857662478</v>
      </c>
      <c r="H25" s="53">
        <f t="shared" si="7"/>
        <v>0.99490000000000001</v>
      </c>
      <c r="I25" s="53">
        <v>0.69616342680332621</v>
      </c>
      <c r="J25" s="11">
        <f t="shared" si="8"/>
        <v>990890.02816416451</v>
      </c>
      <c r="K25" s="11">
        <f t="shared" si="9"/>
        <v>904076.068898028</v>
      </c>
      <c r="L25" s="11">
        <v>1144000</v>
      </c>
      <c r="M25" s="11">
        <f t="shared" si="10"/>
        <v>1852323.1737920281</v>
      </c>
      <c r="N25" s="11">
        <f t="shared" si="11"/>
        <v>4277920.3435546234</v>
      </c>
      <c r="O25" s="11">
        <f t="shared" si="0"/>
        <v>9169209.6144088432</v>
      </c>
      <c r="P25" s="11">
        <f t="shared" si="1"/>
        <v>5690311.8025920009</v>
      </c>
      <c r="Q25" s="125">
        <f t="shared" si="2"/>
        <v>0.62058912838572577</v>
      </c>
    </row>
    <row r="26" spans="2:17" x14ac:dyDescent="0.3">
      <c r="B26" s="21">
        <v>2028</v>
      </c>
      <c r="C26" s="113">
        <v>3607.8248469599853</v>
      </c>
      <c r="D26" s="11">
        <v>686352.73308645922</v>
      </c>
      <c r="E26" s="53">
        <v>0.19134093819945897</v>
      </c>
      <c r="F26" s="53">
        <f t="shared" si="6"/>
        <v>0.30781271291753148</v>
      </c>
      <c r="G26" s="53">
        <f t="shared" si="4"/>
        <v>0.36127054661729185</v>
      </c>
      <c r="H26" s="53">
        <f t="shared" si="7"/>
        <v>0.99490000000000001</v>
      </c>
      <c r="I26" s="53">
        <v>0.73161666197579511</v>
      </c>
      <c r="J26" s="11">
        <f t="shared" si="8"/>
        <v>1005565.9850549906</v>
      </c>
      <c r="K26" s="11">
        <f t="shared" si="9"/>
        <v>919224.56466403545</v>
      </c>
      <c r="L26" s="11">
        <v>1383900</v>
      </c>
      <c r="M26" s="11">
        <f t="shared" si="10"/>
        <v>1893713.6599189751</v>
      </c>
      <c r="N26" s="11">
        <f t="shared" si="11"/>
        <v>4378148.9305333188</v>
      </c>
      <c r="O26" s="11">
        <f t="shared" si="0"/>
        <v>9580553.1401713192</v>
      </c>
      <c r="P26" s="11">
        <f t="shared" si="1"/>
        <v>6062499.6819383018</v>
      </c>
      <c r="Q26" s="125">
        <f t="shared" si="2"/>
        <v>0.6327922399927205</v>
      </c>
    </row>
    <row r="27" spans="2:17" x14ac:dyDescent="0.3">
      <c r="B27" s="21">
        <v>2029</v>
      </c>
      <c r="C27" s="113">
        <v>10470.938867806619</v>
      </c>
      <c r="D27" s="11">
        <v>1139337.1839518498</v>
      </c>
      <c r="E27" s="53">
        <v>0.45</v>
      </c>
      <c r="F27" s="53">
        <f t="shared" si="6"/>
        <v>0.67789652813205703</v>
      </c>
      <c r="G27" s="53">
        <f t="shared" si="4"/>
        <v>0.45186743679036995</v>
      </c>
      <c r="H27" s="53">
        <f t="shared" si="7"/>
        <v>0.99490000000000001</v>
      </c>
      <c r="I27" s="53">
        <v>0.70808519245875878</v>
      </c>
      <c r="J27" s="11">
        <f t="shared" si="8"/>
        <v>1020241.9419458167</v>
      </c>
      <c r="K27" s="11">
        <f t="shared" si="9"/>
        <v>934373.06043004279</v>
      </c>
      <c r="L27" s="11">
        <v>1262500</v>
      </c>
      <c r="M27" s="11">
        <f t="shared" si="10"/>
        <v>1935104.1460459223</v>
      </c>
      <c r="N27" s="11">
        <f t="shared" si="11"/>
        <v>4478377.5175120141</v>
      </c>
      <c r="O27" s="11">
        <f t="shared" si="0"/>
        <v>9630596.6659337971</v>
      </c>
      <c r="P27" s="11">
        <f t="shared" si="1"/>
        <v>6759307.6877606716</v>
      </c>
      <c r="Q27" s="125">
        <f t="shared" si="2"/>
        <v>0.70185762338799795</v>
      </c>
    </row>
    <row r="28" spans="2:17" x14ac:dyDescent="0.3">
      <c r="B28" s="21">
        <v>2030</v>
      </c>
      <c r="C28" s="113">
        <v>10880.842358447901</v>
      </c>
      <c r="D28" s="11">
        <v>1556746.1276632953</v>
      </c>
      <c r="E28" s="53">
        <v>0.5</v>
      </c>
      <c r="F28" s="53">
        <f t="shared" si="6"/>
        <v>0.70000000000000129</v>
      </c>
      <c r="G28" s="53">
        <f t="shared" si="4"/>
        <v>0.53534922553265907</v>
      </c>
      <c r="H28" s="53">
        <f t="shared" si="7"/>
        <v>0.99490000000000001</v>
      </c>
      <c r="I28" s="53">
        <v>0.66325440718417528</v>
      </c>
      <c r="J28" s="11">
        <f t="shared" si="8"/>
        <v>1034917.8988366429</v>
      </c>
      <c r="K28" s="11">
        <f t="shared" si="9"/>
        <v>949521.55619605025</v>
      </c>
      <c r="L28" s="11">
        <v>1261100</v>
      </c>
      <c r="M28" s="11">
        <f t="shared" si="10"/>
        <v>1976494.6321728691</v>
      </c>
      <c r="N28" s="11">
        <f t="shared" si="11"/>
        <v>4578606.1044907095</v>
      </c>
      <c r="O28" s="11">
        <f t="shared" si="0"/>
        <v>9800640.1916962713</v>
      </c>
      <c r="P28" s="11">
        <f t="shared" si="1"/>
        <v>6860448.1341874134</v>
      </c>
      <c r="Q28" s="125">
        <f t="shared" si="2"/>
        <v>0.7000000000000024</v>
      </c>
    </row>
    <row r="32" spans="2:17" x14ac:dyDescent="0.3">
      <c r="B32" t="s">
        <v>7</v>
      </c>
      <c r="C32" t="s">
        <v>32</v>
      </c>
      <c r="D32" t="s">
        <v>33</v>
      </c>
    </row>
    <row r="33" spans="2:4" x14ac:dyDescent="0.3">
      <c r="B33">
        <v>2003</v>
      </c>
      <c r="C33">
        <v>-1.2895986520138907</v>
      </c>
      <c r="D33">
        <v>-1.9133802824192161</v>
      </c>
    </row>
    <row r="34" spans="2:4" x14ac:dyDescent="0.3">
      <c r="B34">
        <v>2004</v>
      </c>
      <c r="C34">
        <v>-0.93953893433578717</v>
      </c>
      <c r="D34">
        <v>-1.8402186085084071</v>
      </c>
    </row>
    <row r="35" spans="2:4" x14ac:dyDescent="0.3">
      <c r="B35">
        <v>2005</v>
      </c>
      <c r="C35">
        <v>-0.84185576682859264</v>
      </c>
      <c r="D35">
        <v>-1.700356430931854</v>
      </c>
    </row>
    <row r="36" spans="2:4" x14ac:dyDescent="0.3">
      <c r="B36">
        <v>2006</v>
      </c>
      <c r="C36">
        <v>-0.71336833756949913</v>
      </c>
      <c r="D36">
        <v>-1.5089728423032909</v>
      </c>
    </row>
    <row r="37" spans="2:4" x14ac:dyDescent="0.3">
      <c r="B37">
        <v>2007</v>
      </c>
      <c r="C37">
        <v>-0.62855951126088483</v>
      </c>
      <c r="D37">
        <v>-1.2447197296635975</v>
      </c>
    </row>
    <row r="38" spans="2:4" x14ac:dyDescent="0.3">
      <c r="B38">
        <v>2008</v>
      </c>
      <c r="C38">
        <v>-0.65534881909053122</v>
      </c>
      <c r="D38">
        <v>-0.89075683889217128</v>
      </c>
    </row>
    <row r="39" spans="2:4" x14ac:dyDescent="0.3">
      <c r="B39">
        <v>2009</v>
      </c>
      <c r="C39">
        <v>-0.72425173733712556</v>
      </c>
      <c r="D39">
        <v>-0.68162690804835091</v>
      </c>
    </row>
    <row r="40" spans="2:4" x14ac:dyDescent="0.3">
      <c r="B40">
        <v>2010</v>
      </c>
      <c r="C40">
        <v>-0.41277783831187448</v>
      </c>
      <c r="D40">
        <v>-0.55579215971288598</v>
      </c>
    </row>
    <row r="41" spans="2:4" x14ac:dyDescent="0.3">
      <c r="B41">
        <v>2011</v>
      </c>
      <c r="C41">
        <v>-0.16957803040021802</v>
      </c>
      <c r="D41">
        <v>-0.4048395767659263</v>
      </c>
    </row>
    <row r="42" spans="2:4" x14ac:dyDescent="0.3">
      <c r="B42">
        <v>2012</v>
      </c>
      <c r="C42">
        <v>4.105743576907013E-2</v>
      </c>
      <c r="D42">
        <v>-0.22312939592672029</v>
      </c>
    </row>
    <row r="43" spans="2:4" x14ac:dyDescent="0.3">
      <c r="B43">
        <v>2013</v>
      </c>
      <c r="C43">
        <v>0.21147372269453091</v>
      </c>
      <c r="D43">
        <v>-0.10072987877878019</v>
      </c>
    </row>
    <row r="44" spans="2:4" x14ac:dyDescent="0.3">
      <c r="B44">
        <v>2014</v>
      </c>
      <c r="C44">
        <v>0.13630526947192678</v>
      </c>
      <c r="D44">
        <v>-1.1420467926983196E-3</v>
      </c>
    </row>
    <row r="45" spans="2:4" x14ac:dyDescent="0.3">
      <c r="B45">
        <v>2015</v>
      </c>
      <c r="C45">
        <v>0.15797905664995954</v>
      </c>
      <c r="D45">
        <v>9.0988200314632145E-2</v>
      </c>
    </row>
    <row r="46" spans="2:4" x14ac:dyDescent="0.3">
      <c r="B46">
        <v>2016</v>
      </c>
      <c r="C46">
        <v>0.34432017209984928</v>
      </c>
      <c r="D46">
        <v>0.19300214668500124</v>
      </c>
    </row>
    <row r="47" spans="2:4" x14ac:dyDescent="0.3">
      <c r="B47">
        <v>2017</v>
      </c>
      <c r="C47">
        <v>0.5066787269713805</v>
      </c>
      <c r="D47">
        <v>0.20001656698163153</v>
      </c>
    </row>
    <row r="48" spans="2:4" x14ac:dyDescent="0.3">
      <c r="B48">
        <v>2018</v>
      </c>
      <c r="C48">
        <v>0.67898070031842817</v>
      </c>
      <c r="D48">
        <v>0.23730872543190562</v>
      </c>
    </row>
    <row r="49" spans="2:4" x14ac:dyDescent="0.3">
      <c r="B49">
        <v>2019</v>
      </c>
      <c r="C49">
        <v>0.77560448092621015</v>
      </c>
      <c r="D49">
        <v>0.32889560195287743</v>
      </c>
    </row>
    <row r="50" spans="2:4" x14ac:dyDescent="0.3">
      <c r="B50">
        <v>2020</v>
      </c>
      <c r="C50">
        <v>-1.827719657266264</v>
      </c>
      <c r="D50">
        <v>0.30382716466741516</v>
      </c>
    </row>
    <row r="51" spans="2:4" x14ac:dyDescent="0.3">
      <c r="B51">
        <v>2021</v>
      </c>
      <c r="C51">
        <v>-2.211277815145996</v>
      </c>
      <c r="D51">
        <v>-2.3946675193694759E-2</v>
      </c>
    </row>
    <row r="52" spans="2:4" x14ac:dyDescent="0.3">
      <c r="B52">
        <v>2022</v>
      </c>
      <c r="C52">
        <v>-1.2611708957378316</v>
      </c>
      <c r="D52">
        <v>0.23497434893882183</v>
      </c>
    </row>
    <row r="53" spans="2:4" x14ac:dyDescent="0.3">
      <c r="B53">
        <v>2023</v>
      </c>
      <c r="C53">
        <v>1.2695133783551667E-2</v>
      </c>
      <c r="D53">
        <v>0.63103646365958099</v>
      </c>
    </row>
    <row r="54" spans="2:4" x14ac:dyDescent="0.3">
      <c r="B54">
        <v>2024</v>
      </c>
      <c r="C54">
        <v>0.97417378175490554</v>
      </c>
      <c r="D54">
        <v>0.90429614529029478</v>
      </c>
    </row>
    <row r="55" spans="2:4" x14ac:dyDescent="0.3">
      <c r="B55">
        <v>2025</v>
      </c>
      <c r="C55">
        <v>1.0689706781515365</v>
      </c>
      <c r="D55">
        <v>1.0252241994938025</v>
      </c>
    </row>
    <row r="56" spans="2:4" x14ac:dyDescent="0.3">
      <c r="B56">
        <v>2026</v>
      </c>
      <c r="C56">
        <v>1.1637675745481673</v>
      </c>
      <c r="D56">
        <v>1.1461522536973103</v>
      </c>
    </row>
    <row r="57" spans="2:4" x14ac:dyDescent="0.3">
      <c r="B57">
        <v>2027</v>
      </c>
      <c r="C57">
        <v>1.2585644709447983</v>
      </c>
      <c r="D57">
        <v>1.2670803079008182</v>
      </c>
    </row>
    <row r="58" spans="2:4" x14ac:dyDescent="0.3">
      <c r="B58">
        <v>2028</v>
      </c>
      <c r="C58">
        <v>1.3533613673414291</v>
      </c>
      <c r="D58">
        <v>1.388008362104326</v>
      </c>
    </row>
    <row r="59" spans="2:4" x14ac:dyDescent="0.3">
      <c r="B59">
        <v>2029</v>
      </c>
      <c r="C59">
        <v>1.4481582637380601</v>
      </c>
      <c r="D59">
        <v>1.5089364163078338</v>
      </c>
    </row>
    <row r="60" spans="2:4" x14ac:dyDescent="0.3">
      <c r="B60">
        <v>2030</v>
      </c>
      <c r="C60">
        <v>1.5429551601346909</v>
      </c>
      <c r="D60">
        <v>1.6298644705113416</v>
      </c>
    </row>
  </sheetData>
  <mergeCells count="6">
    <mergeCell ref="E4:I4"/>
    <mergeCell ref="J4:N4"/>
    <mergeCell ref="O4:Q4"/>
    <mergeCell ref="B4:B5"/>
    <mergeCell ref="C4:C5"/>
    <mergeCell ref="D4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C4B9-41E6-4C12-9CBE-B0D5125C71C8}">
  <dimension ref="B1:V61"/>
  <sheetViews>
    <sheetView showGridLines="0" workbookViewId="0">
      <selection activeCell="B39" sqref="B39:D40"/>
    </sheetView>
  </sheetViews>
  <sheetFormatPr defaultRowHeight="14.4" x14ac:dyDescent="0.3"/>
  <cols>
    <col min="2" max="2" width="24.5546875" customWidth="1"/>
    <col min="3" max="3" width="12.109375" bestFit="1" customWidth="1"/>
    <col min="4" max="4" width="13.44140625" bestFit="1" customWidth="1"/>
    <col min="5" max="5" width="5.44140625" bestFit="1" customWidth="1"/>
    <col min="6" max="6" width="7" bestFit="1" customWidth="1"/>
    <col min="7" max="7" width="6.109375" bestFit="1" customWidth="1"/>
    <col min="8" max="8" width="6.5546875" bestFit="1" customWidth="1"/>
    <col min="9" max="9" width="6" bestFit="1" customWidth="1"/>
    <col min="10" max="10" width="11.109375" bestFit="1" customWidth="1"/>
    <col min="11" max="14" width="12.5546875" bestFit="1" customWidth="1"/>
    <col min="15" max="17" width="8.5546875" bestFit="1" customWidth="1"/>
    <col min="18" max="19" width="10" bestFit="1" customWidth="1"/>
    <col min="20" max="20" width="16.33203125" bestFit="1" customWidth="1"/>
    <col min="21" max="21" width="15.109375" bestFit="1" customWidth="1"/>
    <col min="22" max="22" width="14.109375" bestFit="1" customWidth="1"/>
  </cols>
  <sheetData>
    <row r="1" spans="2:22" ht="21" x14ac:dyDescent="0.4">
      <c r="B1" s="65" t="s">
        <v>6</v>
      </c>
    </row>
    <row r="3" spans="2:22" x14ac:dyDescent="0.3">
      <c r="B3" s="8" t="s">
        <v>115</v>
      </c>
    </row>
    <row r="5" spans="2:22" x14ac:dyDescent="0.3">
      <c r="B5" s="7" t="s">
        <v>82</v>
      </c>
    </row>
    <row r="6" spans="2:22" ht="28.8" x14ac:dyDescent="0.3">
      <c r="B6" s="109" t="s">
        <v>83</v>
      </c>
      <c r="C6" s="108">
        <v>2.5000000000000001E-2</v>
      </c>
    </row>
    <row r="8" spans="2:22" x14ac:dyDescent="0.3">
      <c r="B8" s="103" t="s">
        <v>7</v>
      </c>
      <c r="C8" s="111" t="s">
        <v>117</v>
      </c>
      <c r="D8" s="103" t="s">
        <v>84</v>
      </c>
      <c r="E8" s="104" t="s">
        <v>22</v>
      </c>
      <c r="F8" s="104"/>
      <c r="G8" s="104"/>
      <c r="H8" s="104"/>
      <c r="I8" s="104"/>
      <c r="J8" s="105" t="s">
        <v>30</v>
      </c>
      <c r="K8" s="105"/>
      <c r="L8" s="105"/>
      <c r="M8" s="105"/>
      <c r="N8" s="105"/>
      <c r="O8" s="106" t="s">
        <v>77</v>
      </c>
      <c r="P8" s="106"/>
      <c r="Q8" s="106"/>
      <c r="R8" s="106"/>
      <c r="S8" s="106"/>
      <c r="T8" s="100" t="s">
        <v>78</v>
      </c>
      <c r="U8" s="101"/>
      <c r="V8" s="102"/>
    </row>
    <row r="9" spans="2:22" ht="30" customHeight="1" x14ac:dyDescent="0.3">
      <c r="B9" s="91"/>
      <c r="C9" s="93"/>
      <c r="D9" s="91"/>
      <c r="E9" s="72" t="s">
        <v>23</v>
      </c>
      <c r="F9" s="72" t="s">
        <v>24</v>
      </c>
      <c r="G9" s="72" t="s">
        <v>25</v>
      </c>
      <c r="H9" s="72" t="s">
        <v>26</v>
      </c>
      <c r="I9" s="72" t="s">
        <v>27</v>
      </c>
      <c r="J9" s="73" t="s">
        <v>23</v>
      </c>
      <c r="K9" s="73" t="s">
        <v>24</v>
      </c>
      <c r="L9" s="73" t="s">
        <v>25</v>
      </c>
      <c r="M9" s="73" t="s">
        <v>26</v>
      </c>
      <c r="N9" s="73" t="s">
        <v>27</v>
      </c>
      <c r="O9" s="74" t="s">
        <v>23</v>
      </c>
      <c r="P9" s="74" t="s">
        <v>24</v>
      </c>
      <c r="Q9" s="74" t="s">
        <v>25</v>
      </c>
      <c r="R9" s="74" t="s">
        <v>26</v>
      </c>
      <c r="S9" s="74" t="s">
        <v>27</v>
      </c>
      <c r="T9" s="73" t="s">
        <v>30</v>
      </c>
      <c r="U9" s="74" t="s">
        <v>77</v>
      </c>
      <c r="V9" s="72" t="s">
        <v>22</v>
      </c>
    </row>
    <row r="10" spans="2:22" x14ac:dyDescent="0.3">
      <c r="B10" s="21">
        <v>2022</v>
      </c>
      <c r="C10" s="112" cm="1">
        <f t="array" ref="C10">INDEX('1.Data Sources'!$X$5:$X$19,MATCH('7.Sensitivity Analysis'!B10,'1.Data Sources'!$W$5:$W$19,0),0)</f>
        <v>1012</v>
      </c>
      <c r="D10" s="69">
        <f>'2. Decisions &amp; Parameters'!X35</f>
        <v>1157469.7229999998</v>
      </c>
      <c r="E10" s="70" cm="1">
        <f t="array" ref="E10">INDEX('5.As-is Analysis'!$H$7:$H$29,MATCH('7.Sensitivity Analysis'!B10,'5.As-is Analysis'!$B$7:$B$29,0),0)</f>
        <v>0.18</v>
      </c>
      <c r="F10" s="70" cm="1">
        <f t="array" ref="F10">INDEX('5.As-is Analysis'!$I$7:$I$29,MATCH('7.Sensitivity Analysis'!B10,'5.As-is Analysis'!$B$7:$B$29,0),0)</f>
        <v>0.06</v>
      </c>
      <c r="G10" s="70">
        <f>(D10*'3. Consequence Variables'!$C$14)+'3. Consequence Variables'!$C$15</f>
        <v>0.45549394459999992</v>
      </c>
      <c r="H10" s="70" cm="1">
        <f t="array" ref="H10">INDEX('5.As-is Analysis'!$K$7:$K$29,MATCH('7.Sensitivity Analysis'!B10,'5.As-is Analysis'!$B$7:$B$29,0),0)</f>
        <v>0.99490000000000001</v>
      </c>
      <c r="I10" s="70" cm="1">
        <f t="array" ref="I10">INDEX('5.As-is Analysis'!$L$7:$L$29,MATCH('7.Sensitivity Analysis'!B10,'5.As-is Analysis'!$B$7:$B$29,0),0)</f>
        <v>0.67916772545882353</v>
      </c>
      <c r="J10" s="69" cm="1">
        <f t="array" ref="J10">INDEX('4. Secondary Perf Variables'!$G$12:$G$39,MATCH('7.Sensitivity Analysis'!B10,'4. Secondary Perf Variables'!$B$12:$B$39,0),0)</f>
        <v>813000</v>
      </c>
      <c r="K10" s="69" cm="1">
        <f t="array" ref="K10">INDEX('4. Secondary Perf Variables'!$H$12:$H$39,MATCH('7.Sensitivity Analysis'!B10,'4. Secondary Perf Variables'!$B$12:$B$39,0),0)</f>
        <v>1001000</v>
      </c>
      <c r="L10" s="69" cm="1">
        <f t="array" ref="L10">INDEX('4. Secondary Perf Variables'!$I$12:$I$39,MATCH('7.Sensitivity Analysis'!B10,'4. Secondary Perf Variables'!$B$12:$B$39,0),0)</f>
        <v>1064000</v>
      </c>
      <c r="M10" s="69" cm="1">
        <f t="array" ref="M10">INDEX('4. Secondary Perf Variables'!$J$12:$J$39,MATCH('7.Sensitivity Analysis'!B10,'4. Secondary Perf Variables'!$B$12:$B$39,0),0)</f>
        <v>1430000</v>
      </c>
      <c r="N10" s="69" cm="1">
        <f t="array" ref="N10">INDEX('4. Secondary Perf Variables'!$K$12:$K$39,MATCH('7.Sensitivity Analysis'!B10,'4. Secondary Perf Variables'!$B$12:$B$39,0),0)</f>
        <v>3077000</v>
      </c>
      <c r="O10" s="71">
        <f>E10*J10</f>
        <v>146340</v>
      </c>
      <c r="P10" s="71">
        <f t="shared" ref="P10:P18" si="0">F10*K10</f>
        <v>60060</v>
      </c>
      <c r="Q10" s="71">
        <f t="shared" ref="Q10:Q18" si="1">G10*L10</f>
        <v>484645.55705439992</v>
      </c>
      <c r="R10" s="71">
        <f t="shared" ref="R10:R18" si="2">H10*M10</f>
        <v>1422707</v>
      </c>
      <c r="S10" s="71">
        <f t="shared" ref="S10:S18" si="3">I10*N10</f>
        <v>2089799.0912368</v>
      </c>
      <c r="T10" s="71">
        <f>SUM(J10:N10)</f>
        <v>7385000</v>
      </c>
      <c r="U10" s="71">
        <f>SUM(O10:S10)</f>
        <v>4203551.6482912004</v>
      </c>
      <c r="V10" s="70">
        <f>U10/T10</f>
        <v>0.569201306471388</v>
      </c>
    </row>
    <row r="11" spans="2:22" x14ac:dyDescent="0.3">
      <c r="B11" s="21">
        <v>2023</v>
      </c>
      <c r="C11" s="112">
        <v>1138.7857142857101</v>
      </c>
      <c r="D11" s="69">
        <f>D10*(1+$C$6)</f>
        <v>1186406.4660749997</v>
      </c>
      <c r="E11" s="70" cm="1">
        <f t="array" ref="E11">INDEX('5.As-is Analysis'!$H$7:$H$29,MATCH('7.Sensitivity Analysis'!B11,'5.As-is Analysis'!$B$7:$B$29,0),0)</f>
        <v>0.15756171606589423</v>
      </c>
      <c r="F11" s="70" cm="1">
        <f t="array" ref="F11">INDEX('5.As-is Analysis'!$I$7:$I$29,MATCH('7.Sensitivity Analysis'!B11,'5.As-is Analysis'!$B$7:$B$29,0),0)</f>
        <v>0.09</v>
      </c>
      <c r="G11" s="70">
        <f>(D11*'3. Consequence Variables'!$C$14)+'3. Consequence Variables'!$C$15</f>
        <v>0.46128129321499989</v>
      </c>
      <c r="H11" s="70" cm="1">
        <f t="array" ref="H11">INDEX('5.As-is Analysis'!$K$7:$K$29,MATCH('7.Sensitivity Analysis'!B11,'5.As-is Analysis'!$B$7:$B$29,0),0)</f>
        <v>0.99490000000000001</v>
      </c>
      <c r="I11" s="70" cm="1">
        <f t="array" ref="I11">INDEX('5.As-is Analysis'!$L$7:$L$29,MATCH('7.Sensitivity Analysis'!B11,'5.As-is Analysis'!$B$7:$B$29,0),0)</f>
        <v>0.724505143022248</v>
      </c>
      <c r="J11" s="69" cm="1">
        <f t="array" ref="J11">INDEX('4. Secondary Perf Variables'!$G$12:$G$39,MATCH('7.Sensitivity Analysis'!B11,'4. Secondary Perf Variables'!$B$12:$B$39,0),0)</f>
        <v>824399.70647654601</v>
      </c>
      <c r="K11" s="69" cm="1">
        <f t="array" ref="K11">INDEX('4. Secondary Perf Variables'!$H$12:$H$39,MATCH('7.Sensitivity Analysis'!B11,'4. Secondary Perf Variables'!$B$12:$B$39,0),0)</f>
        <v>936985.5771630368</v>
      </c>
      <c r="L11" s="69" cm="1">
        <f t="array" aca="1" ref="L11" ca="1">INDEX('4. Secondary Perf Variables'!$I$12:$I$39,MATCH('7.Sensitivity Analysis'!B11,'4. Secondary Perf Variables'!$B$12:$B$39,0),0)</f>
        <v>1383900</v>
      </c>
      <c r="M11" s="69" cm="1">
        <f t="array" ref="M11">INDEX('4. Secondary Perf Variables'!$J$12:$J$39,MATCH('7.Sensitivity Analysis'!B11,'4. Secondary Perf Variables'!$B$12:$B$39,0),0)</f>
        <v>1565832.3933627997</v>
      </c>
      <c r="N11" s="69" cm="1">
        <f t="array" ref="N11">INDEX('4. Secondary Perf Variables'!$K$12:$K$39,MATCH('7.Sensitivity Analysis'!B11,'4. Secondary Perf Variables'!$B$12:$B$39,0),0)</f>
        <v>3497734.2940651798</v>
      </c>
      <c r="O11" s="71">
        <f t="shared" ref="O11:O18" si="4">E11*J11</f>
        <v>129893.83247666409</v>
      </c>
      <c r="P11" s="71">
        <f t="shared" si="0"/>
        <v>84328.701944673303</v>
      </c>
      <c r="Q11" s="71">
        <f t="shared" ca="1" si="1"/>
        <v>638367.18168023834</v>
      </c>
      <c r="R11" s="71">
        <f t="shared" si="2"/>
        <v>1557846.6481566494</v>
      </c>
      <c r="S11" s="71">
        <f t="shared" si="3"/>
        <v>2534126.4849755149</v>
      </c>
      <c r="T11" s="71">
        <f t="shared" ref="T11:T18" ca="1" si="5">SUM(J11:N11)</f>
        <v>8208851.9710675627</v>
      </c>
      <c r="U11" s="71">
        <f t="shared" ref="U11:U18" ca="1" si="6">SUM(O11:S11)</f>
        <v>4944562.84923374</v>
      </c>
      <c r="V11" s="70">
        <f t="shared" ref="V11:V18" ca="1" si="7">U11/T11</f>
        <v>0.60234523251985239</v>
      </c>
    </row>
    <row r="12" spans="2:22" x14ac:dyDescent="0.3">
      <c r="B12" s="21">
        <v>2024</v>
      </c>
      <c r="C12" s="112">
        <v>1199.0714285714203</v>
      </c>
      <c r="D12" s="69">
        <f t="shared" ref="D12:D18" si="8">D11*(1+$C$6)</f>
        <v>1216066.6277268745</v>
      </c>
      <c r="E12" s="70" cm="1">
        <f t="array" ref="E12">INDEX('5.As-is Analysis'!$H$7:$H$29,MATCH('7.Sensitivity Analysis'!B12,'5.As-is Analysis'!$B$7:$B$29,0),0)</f>
        <v>0.16555558339341822</v>
      </c>
      <c r="F12" s="70" cm="1">
        <f t="array" ref="F12">INDEX('5.As-is Analysis'!$I$7:$I$29,MATCH('7.Sensitivity Analysis'!B12,'5.As-is Analysis'!$B$7:$B$29,0),0)</f>
        <v>0.11</v>
      </c>
      <c r="G12" s="70">
        <f>(D12*'3. Consequence Variables'!$C$14)+'3. Consequence Variables'!$C$15</f>
        <v>0.46721332554537487</v>
      </c>
      <c r="H12" s="70" cm="1">
        <f t="array" ref="H12">INDEX('5.As-is Analysis'!$K$7:$K$29,MATCH('7.Sensitivity Analysis'!B12,'5.As-is Analysis'!$B$7:$B$29,0),0)</f>
        <v>0.99490000000000001</v>
      </c>
      <c r="I12" s="70" cm="1">
        <f t="array" ref="I12">INDEX('5.As-is Analysis'!$L$7:$L$29,MATCH('7.Sensitivity Analysis'!B12,'5.As-is Analysis'!$B$7:$B$29,0),0)</f>
        <v>0.71566119499326442</v>
      </c>
      <c r="J12" s="69" cm="1">
        <f t="array" ref="J12">INDEX('4. Secondary Perf Variables'!$G$12:$G$39,MATCH('7.Sensitivity Analysis'!B12,'4. Secondary Perf Variables'!$B$12:$B$39,0),0)</f>
        <v>858630.58167594066</v>
      </c>
      <c r="K12" s="69" cm="1">
        <f t="array" ref="K12">INDEX('4. Secondary Perf Variables'!$H$12:$H$39,MATCH('7.Sensitivity Analysis'!B12,'4. Secondary Perf Variables'!$B$12:$B$39,0),0)</f>
        <v>946862.1575034376</v>
      </c>
      <c r="L12" s="69" cm="1">
        <f t="array" aca="1" ref="L12" ca="1">INDEX('4. Secondary Perf Variables'!$I$12:$I$39,MATCH('7.Sensitivity Analysis'!B12,'4. Secondary Perf Variables'!$B$12:$B$39,0),0)</f>
        <v>1252000</v>
      </c>
      <c r="M12" s="69" cm="1">
        <f t="array" ref="M12">INDEX('4. Secondary Perf Variables'!$J$12:$J$39,MATCH('7.Sensitivity Analysis'!B12,'4. Secondary Perf Variables'!$B$12:$B$39,0),0)</f>
        <v>1728151.7130468939</v>
      </c>
      <c r="N12" s="69" cm="1">
        <f t="array" ref="N12">INDEX('4. Secondary Perf Variables'!$K$12:$K$39,MATCH('7.Sensitivity Analysis'!B12,'4. Secondary Perf Variables'!$B$12:$B$39,0),0)</f>
        <v>3977234.9968625978</v>
      </c>
      <c r="O12" s="71">
        <f t="shared" si="4"/>
        <v>142151.08686879039</v>
      </c>
      <c r="P12" s="71">
        <f t="shared" si="0"/>
        <v>104154.83732537813</v>
      </c>
      <c r="Q12" s="71">
        <f t="shared" ca="1" si="1"/>
        <v>584951.08358280931</v>
      </c>
      <c r="R12" s="71">
        <f t="shared" si="2"/>
        <v>1719338.1393103548</v>
      </c>
      <c r="S12" s="71">
        <f t="shared" si="3"/>
        <v>2846352.7506237188</v>
      </c>
      <c r="T12" s="71">
        <f t="shared" ca="1" si="5"/>
        <v>8762879.4490888696</v>
      </c>
      <c r="U12" s="71">
        <f t="shared" ca="1" si="6"/>
        <v>5396947.8977110516</v>
      </c>
      <c r="V12" s="70">
        <f t="shared" ca="1" si="7"/>
        <v>0.61588749783294183</v>
      </c>
    </row>
    <row r="13" spans="2:22" x14ac:dyDescent="0.3">
      <c r="B13" s="21">
        <v>2025</v>
      </c>
      <c r="C13" s="112">
        <v>1259.3571428571304</v>
      </c>
      <c r="D13" s="69">
        <f t="shared" si="8"/>
        <v>1246468.2934200463</v>
      </c>
      <c r="E13" s="70" cm="1">
        <f t="array" ref="E13">INDEX('5.As-is Analysis'!$H$7:$H$29,MATCH('7.Sensitivity Analysis'!B13,'5.As-is Analysis'!$B$7:$B$29,0),0)</f>
        <v>0.17221516035079404</v>
      </c>
      <c r="F13" s="70" cm="1">
        <f t="array" ref="F13">INDEX('5.As-is Analysis'!$I$7:$I$29,MATCH('7.Sensitivity Analysis'!B13,'5.As-is Analysis'!$B$7:$B$29,0),0)</f>
        <v>0.09</v>
      </c>
      <c r="G13" s="70">
        <f>(D13*'3. Consequence Variables'!$C$14)+'3. Consequence Variables'!$C$15</f>
        <v>0.4732936586840093</v>
      </c>
      <c r="H13" s="70" cm="1">
        <f t="array" ref="H13">INDEX('5.As-is Analysis'!$K$7:$K$29,MATCH('7.Sensitivity Analysis'!B13,'5.As-is Analysis'!$B$7:$B$29,0),0)</f>
        <v>0.99490000000000001</v>
      </c>
      <c r="I13" s="70" cm="1">
        <f t="array" ref="I13">INDEX('5.As-is Analysis'!$L$7:$L$29,MATCH('7.Sensitivity Analysis'!B13,'5.As-is Analysis'!$B$7:$B$29,0),0)</f>
        <v>0.72450514302224789</v>
      </c>
      <c r="J13" s="69" cm="1">
        <f t="array" ref="J13">INDEX('4. Secondary Perf Variables'!$G$12:$G$39,MATCH('7.Sensitivity Analysis'!B13,'4. Secondary Perf Variables'!$B$12:$B$39,0),0)</f>
        <v>873779.07744686096</v>
      </c>
      <c r="K13" s="69" cm="1">
        <f t="array" ref="K13">INDEX('4. Secondary Perf Variables'!$H$12:$H$39,MATCH('7.Sensitivity Analysis'!B13,'4. Secondary Perf Variables'!$B$12:$B$39,0),0)</f>
        <v>961538.1143921318</v>
      </c>
      <c r="L13" s="69" cm="1">
        <f t="array" aca="1" ref="L13" ca="1">INDEX('4. Secondary Perf Variables'!$I$12:$I$39,MATCH('7.Sensitivity Analysis'!B13,'4. Secondary Perf Variables'!$B$12:$B$39,0),0)</f>
        <v>1136000</v>
      </c>
      <c r="M13" s="69" cm="1">
        <f t="array" ref="M13">INDEX('4. Secondary Perf Variables'!$J$12:$J$39,MATCH('7.Sensitivity Analysis'!B13,'4. Secondary Perf Variables'!$B$12:$B$39,0),0)</f>
        <v>1769542.198902149</v>
      </c>
      <c r="N13" s="69" cm="1">
        <f t="array" ref="N13">INDEX('4. Secondary Perf Variables'!$K$12:$K$39,MATCH('7.Sensitivity Analysis'!B13,'4. Secondary Perf Variables'!$B$12:$B$39,0),0)</f>
        <v>4077463.5838415138</v>
      </c>
      <c r="O13" s="71">
        <f t="shared" si="4"/>
        <v>150478.00393368004</v>
      </c>
      <c r="P13" s="71">
        <f t="shared" si="0"/>
        <v>86538.430295291852</v>
      </c>
      <c r="Q13" s="71">
        <f t="shared" ca="1" si="1"/>
        <v>537661.59626503452</v>
      </c>
      <c r="R13" s="71">
        <f t="shared" si="2"/>
        <v>1760517.533687748</v>
      </c>
      <c r="S13" s="71">
        <f t="shared" si="3"/>
        <v>2954143.3369791033</v>
      </c>
      <c r="T13" s="71">
        <f t="shared" ca="1" si="5"/>
        <v>8818322.9745826554</v>
      </c>
      <c r="U13" s="71">
        <f t="shared" ca="1" si="6"/>
        <v>5489338.9011608576</v>
      </c>
      <c r="V13" s="70">
        <f t="shared" ca="1" si="7"/>
        <v>0.62249238511482974</v>
      </c>
    </row>
    <row r="14" spans="2:22" x14ac:dyDescent="0.3">
      <c r="B14" s="21">
        <v>2026</v>
      </c>
      <c r="C14" s="112">
        <v>1319.6428571428551</v>
      </c>
      <c r="D14" s="69">
        <f t="shared" si="8"/>
        <v>1277630.0007555473</v>
      </c>
      <c r="E14" s="70" cm="1">
        <f t="array" ref="E14">INDEX('5.As-is Analysis'!$H$7:$H$29,MATCH('7.Sensitivity Analysis'!B14,'5.As-is Analysis'!$B$7:$B$29,0),0)</f>
        <v>0.17637047410013212</v>
      </c>
      <c r="F14" s="70" cm="1">
        <f t="array" ref="F14">INDEX('5.As-is Analysis'!$I$7:$I$29,MATCH('7.Sensitivity Analysis'!B14,'5.As-is Analysis'!$B$7:$B$29,0),0)</f>
        <v>7.0000000000000007E-2</v>
      </c>
      <c r="G14" s="70">
        <f>(D14*'3. Consequence Variables'!$C$14)+'3. Consequence Variables'!$C$15</f>
        <v>0.47952600015110947</v>
      </c>
      <c r="H14" s="70" cm="1">
        <f t="array" ref="H14">INDEX('5.As-is Analysis'!$K$7:$K$29,MATCH('7.Sensitivity Analysis'!B14,'5.As-is Analysis'!$B$7:$B$29,0),0)</f>
        <v>0.99490000000000001</v>
      </c>
      <c r="I14" s="70" cm="1">
        <f t="array" ref="I14">INDEX('5.As-is Analysis'!$L$7:$L$29,MATCH('7.Sensitivity Analysis'!B14,'5.As-is Analysis'!$B$7:$B$29,0),0)</f>
        <v>0.60128012215132176</v>
      </c>
      <c r="J14" s="69" cm="1">
        <f t="array" ref="J14">INDEX('4. Secondary Perf Variables'!$G$12:$G$39,MATCH('7.Sensitivity Analysis'!B14,'4. Secondary Perf Variables'!$B$12:$B$39,0),0)</f>
        <v>888927.57321778126</v>
      </c>
      <c r="K14" s="69" cm="1">
        <f t="array" ref="K14">INDEX('4. Secondary Perf Variables'!$H$12:$H$39,MATCH('7.Sensitivity Analysis'!B14,'4. Secondary Perf Variables'!$B$12:$B$39,0),0)</f>
        <v>976214.071280826</v>
      </c>
      <c r="L14" s="69" cm="1">
        <f t="array" aca="1" ref="L14" ca="1">INDEX('4. Secondary Perf Variables'!$I$12:$I$39,MATCH('7.Sensitivity Analysis'!B14,'4. Secondary Perf Variables'!$B$12:$B$39,0),0)</f>
        <v>1183100</v>
      </c>
      <c r="M14" s="69" cm="1">
        <f t="array" ref="M14">INDEX('4. Secondary Perf Variables'!$J$12:$J$39,MATCH('7.Sensitivity Analysis'!B14,'4. Secondary Perf Variables'!$B$12:$B$39,0),0)</f>
        <v>1810932.684757404</v>
      </c>
      <c r="N14" s="69" cm="1">
        <f t="array" ref="N14">INDEX('4. Secondary Perf Variables'!$K$12:$K$39,MATCH('7.Sensitivity Analysis'!B14,'4. Secondary Perf Variables'!$B$12:$B$39,0),0)</f>
        <v>4177692.1708204304</v>
      </c>
      <c r="O14" s="71">
        <f t="shared" si="4"/>
        <v>156780.5775291</v>
      </c>
      <c r="P14" s="71">
        <f t="shared" si="0"/>
        <v>68334.984989657823</v>
      </c>
      <c r="Q14" s="71">
        <f t="shared" ca="1" si="1"/>
        <v>567327.2107787776</v>
      </c>
      <c r="R14" s="71">
        <f t="shared" si="2"/>
        <v>1801696.9280651412</v>
      </c>
      <c r="S14" s="71">
        <f t="shared" si="3"/>
        <v>2511963.258781529</v>
      </c>
      <c r="T14" s="71">
        <f t="shared" ca="1" si="5"/>
        <v>9036866.5000764411</v>
      </c>
      <c r="U14" s="71">
        <f t="shared" ca="1" si="6"/>
        <v>5106102.960144206</v>
      </c>
      <c r="V14" s="70">
        <f t="shared" ca="1" si="7"/>
        <v>0.56503025247756111</v>
      </c>
    </row>
    <row r="15" spans="2:22" x14ac:dyDescent="0.3">
      <c r="B15" s="21">
        <v>2027</v>
      </c>
      <c r="C15" s="112">
        <v>1379.9285714285652</v>
      </c>
      <c r="D15" s="69">
        <f t="shared" si="8"/>
        <v>1309570.7507744359</v>
      </c>
      <c r="E15" s="70" cm="1">
        <f t="array" ref="E15">INDEX('5.As-is Analysis'!$H$7:$H$29,MATCH('7.Sensitivity Analysis'!B15,'5.As-is Analysis'!$B$7:$B$29,0),0)</f>
        <v>0.18052578784947068</v>
      </c>
      <c r="F15" s="70" cm="1">
        <f t="array" ref="F15">INDEX('5.As-is Analysis'!$I$7:$I$29,MATCH('7.Sensitivity Analysis'!B15,'5.As-is Analysis'!$B$7:$B$29,0),0)</f>
        <v>0.09</v>
      </c>
      <c r="G15" s="70">
        <f>(D15*'3. Consequence Variables'!$C$14)+'3. Consequence Variables'!$C$15</f>
        <v>0.48591415015488715</v>
      </c>
      <c r="H15" s="70" cm="1">
        <f t="array" ref="H15">INDEX('5.As-is Analysis'!$K$7:$K$29,MATCH('7.Sensitivity Analysis'!B15,'5.As-is Analysis'!$B$7:$B$29,0),0)</f>
        <v>0.99490000000000001</v>
      </c>
      <c r="I15" s="70" cm="1">
        <f t="array" ref="I15">INDEX('5.As-is Analysis'!$L$7:$L$29,MATCH('7.Sensitivity Analysis'!B15,'5.As-is Analysis'!$B$7:$B$29,0),0)</f>
        <v>0.69616342680332621</v>
      </c>
      <c r="J15" s="69" cm="1">
        <f t="array" ref="J15">INDEX('4. Secondary Perf Variables'!$G$12:$G$39,MATCH('7.Sensitivity Analysis'!B15,'4. Secondary Perf Variables'!$B$12:$B$39,0),0)</f>
        <v>904076.06898870156</v>
      </c>
      <c r="K15" s="69" cm="1">
        <f t="array" ref="K15">INDEX('4. Secondary Perf Variables'!$H$12:$H$39,MATCH('7.Sensitivity Analysis'!B15,'4. Secondary Perf Variables'!$B$12:$B$39,0),0)</f>
        <v>990890.0281695202</v>
      </c>
      <c r="L15" s="69" cm="1">
        <f t="array" aca="1" ref="L15" ca="1">INDEX('4. Secondary Perf Variables'!$I$12:$I$39,MATCH('7.Sensitivity Analysis'!B15,'4. Secondary Perf Variables'!$B$12:$B$39,0),0)</f>
        <v>1201000</v>
      </c>
      <c r="M15" s="69" cm="1">
        <f t="array" ref="M15">INDEX('4. Secondary Perf Variables'!$J$12:$J$39,MATCH('7.Sensitivity Analysis'!B15,'4. Secondary Perf Variables'!$B$12:$B$39,0),0)</f>
        <v>1852323.1706126588</v>
      </c>
      <c r="N15" s="69" cm="1">
        <f t="array" ref="N15">INDEX('4. Secondary Perf Variables'!$K$12:$K$39,MATCH('7.Sensitivity Analysis'!B15,'4. Secondary Perf Variables'!$B$12:$B$39,0),0)</f>
        <v>4277920.7577993469</v>
      </c>
      <c r="O15" s="71">
        <f t="shared" si="4"/>
        <v>163209.04463003777</v>
      </c>
      <c r="P15" s="71">
        <f t="shared" si="0"/>
        <v>89180.10253525681</v>
      </c>
      <c r="Q15" s="71">
        <f t="shared" ca="1" si="1"/>
        <v>583582.89433601941</v>
      </c>
      <c r="R15" s="71">
        <f t="shared" si="2"/>
        <v>1842876.3224425344</v>
      </c>
      <c r="S15" s="71">
        <f t="shared" si="3"/>
        <v>2978131.9743426754</v>
      </c>
      <c r="T15" s="71">
        <f t="shared" ca="1" si="5"/>
        <v>9226210.0255702287</v>
      </c>
      <c r="U15" s="71">
        <f t="shared" ca="1" si="6"/>
        <v>5656980.3382865237</v>
      </c>
      <c r="V15" s="70">
        <f t="shared" ca="1" si="7"/>
        <v>0.61314237618787482</v>
      </c>
    </row>
    <row r="16" spans="2:22" x14ac:dyDescent="0.3">
      <c r="B16" s="21">
        <v>2028</v>
      </c>
      <c r="C16" s="112">
        <v>1440.2142857142753</v>
      </c>
      <c r="D16" s="69">
        <f t="shared" si="8"/>
        <v>1342310.0195437968</v>
      </c>
      <c r="E16" s="70" cm="1">
        <f t="array" ref="E16">INDEX('5.As-is Analysis'!$H$7:$H$29,MATCH('7.Sensitivity Analysis'!B16,'5.As-is Analysis'!$B$7:$B$29,0),0)</f>
        <v>0.18468110159880929</v>
      </c>
      <c r="F16" s="70" cm="1">
        <f t="array" ref="F16">INDEX('5.As-is Analysis'!$I$7:$I$29,MATCH('7.Sensitivity Analysis'!B16,'5.As-is Analysis'!$B$7:$B$29,0),0)</f>
        <v>0.06</v>
      </c>
      <c r="G16" s="70">
        <f>(D16*'3. Consequence Variables'!$C$14)+'3. Consequence Variables'!$C$15</f>
        <v>0.49246200390875938</v>
      </c>
      <c r="H16" s="70" cm="1">
        <f t="array" ref="H16">INDEX('5.As-is Analysis'!$K$7:$K$29,MATCH('7.Sensitivity Analysis'!B16,'5.As-is Analysis'!$B$7:$B$29,0),0)</f>
        <v>0.99490000000000001</v>
      </c>
      <c r="I16" s="70" cm="1">
        <f t="array" ref="I16">INDEX('5.As-is Analysis'!$L$7:$L$29,MATCH('7.Sensitivity Analysis'!B16,'5.As-is Analysis'!$B$7:$B$29,0),0)</f>
        <v>0.73161666197579511</v>
      </c>
      <c r="J16" s="69" cm="1">
        <f t="array" ref="J16">INDEX('4. Secondary Perf Variables'!$G$12:$G$39,MATCH('7.Sensitivity Analysis'!B16,'4. Secondary Perf Variables'!$B$12:$B$39,0),0)</f>
        <v>919224.56475962198</v>
      </c>
      <c r="K16" s="69" cm="1">
        <f t="array" ref="K16">INDEX('4. Secondary Perf Variables'!$H$12:$H$39,MATCH('7.Sensitivity Analysis'!B16,'4. Secondary Perf Variables'!$B$12:$B$39,0),0)</f>
        <v>1005565.9850582145</v>
      </c>
      <c r="L16" s="69" cm="1">
        <f t="array" aca="1" ref="L16" ca="1">INDEX('4. Secondary Perf Variables'!$I$12:$I$39,MATCH('7.Sensitivity Analysis'!B16,'4. Secondary Perf Variables'!$B$12:$B$39,0),0)</f>
        <v>1064000</v>
      </c>
      <c r="M16" s="69" cm="1">
        <f t="array" ref="M16">INDEX('4. Secondary Perf Variables'!$J$12:$J$39,MATCH('7.Sensitivity Analysis'!B16,'4. Secondary Perf Variables'!$B$12:$B$39,0),0)</f>
        <v>1893713.6564679136</v>
      </c>
      <c r="N16" s="69" cm="1">
        <f t="array" ref="N16">INDEX('4. Secondary Perf Variables'!$K$12:$K$39,MATCH('7.Sensitivity Analysis'!B16,'4. Secondary Perf Variables'!$B$12:$B$39,0),0)</f>
        <v>4378149.344778263</v>
      </c>
      <c r="O16" s="71">
        <f t="shared" si="4"/>
        <v>169763.40523649301</v>
      </c>
      <c r="P16" s="71">
        <f t="shared" si="0"/>
        <v>60333.959103492867</v>
      </c>
      <c r="Q16" s="71">
        <f t="shared" ca="1" si="1"/>
        <v>523979.57215892</v>
      </c>
      <c r="R16" s="71">
        <f t="shared" si="2"/>
        <v>1884055.7168199273</v>
      </c>
      <c r="S16" s="71">
        <f t="shared" si="3"/>
        <v>3203127.0092581874</v>
      </c>
      <c r="T16" s="71">
        <f t="shared" ca="1" si="5"/>
        <v>9260653.5510640144</v>
      </c>
      <c r="U16" s="71">
        <f t="shared" ca="1" si="6"/>
        <v>5841259.66257702</v>
      </c>
      <c r="V16" s="70">
        <f t="shared" ca="1" si="7"/>
        <v>0.63076106134063092</v>
      </c>
    </row>
    <row r="17" spans="2:22" x14ac:dyDescent="0.3">
      <c r="B17" s="21">
        <v>2029</v>
      </c>
      <c r="C17" s="112">
        <v>1500.5</v>
      </c>
      <c r="D17" s="69">
        <f t="shared" si="8"/>
        <v>1375867.7700323917</v>
      </c>
      <c r="E17" s="70" cm="1">
        <f t="array" ref="E17">INDEX('5.As-is Analysis'!$H$7:$H$29,MATCH('7.Sensitivity Analysis'!B17,'5.As-is Analysis'!$B$7:$B$29,0),0)</f>
        <v>0.18883641534814738</v>
      </c>
      <c r="F17" s="70" cm="1">
        <f t="array" ref="F17">INDEX('5.As-is Analysis'!$I$7:$I$29,MATCH('7.Sensitivity Analysis'!B17,'5.As-is Analysis'!$B$7:$B$29,0),0)</f>
        <v>7.0000000000000007E-2</v>
      </c>
      <c r="G17" s="70">
        <f>(D17*'3. Consequence Variables'!$C$14)+'3. Consequence Variables'!$C$15</f>
        <v>0.49917355400647834</v>
      </c>
      <c r="H17" s="70" cm="1">
        <f t="array" ref="H17">INDEX('5.As-is Analysis'!$K$7:$K$29,MATCH('7.Sensitivity Analysis'!B17,'5.As-is Analysis'!$B$7:$B$29,0),0)</f>
        <v>0.99490000000000001</v>
      </c>
      <c r="I17" s="70" cm="1">
        <f t="array" ref="I17">INDEX('5.As-is Analysis'!$L$7:$L$29,MATCH('7.Sensitivity Analysis'!B17,'5.As-is Analysis'!$B$7:$B$29,0),0)</f>
        <v>0.70808519245875878</v>
      </c>
      <c r="J17" s="69" cm="1">
        <f t="array" ref="J17">INDEX('4. Secondary Perf Variables'!$G$12:$G$39,MATCH('7.Sensitivity Analysis'!B17,'4. Secondary Perf Variables'!$B$12:$B$39,0),0)</f>
        <v>934373.06053054228</v>
      </c>
      <c r="K17" s="69" cm="1">
        <f t="array" ref="K17">INDEX('4. Secondary Perf Variables'!$H$12:$H$39,MATCH('7.Sensitivity Analysis'!B17,'4. Secondary Perf Variables'!$B$12:$B$39,0),0)</f>
        <v>1020241.9419469086</v>
      </c>
      <c r="L17" s="69" cm="1">
        <f t="array" aca="1" ref="L17" ca="1">INDEX('4. Secondary Perf Variables'!$I$12:$I$39,MATCH('7.Sensitivity Analysis'!B17,'4. Secondary Perf Variables'!$B$12:$B$39,0),0)</f>
        <v>1098600</v>
      </c>
      <c r="M17" s="69" cm="1">
        <f t="array" ref="M17">INDEX('4. Secondary Perf Variables'!$J$12:$J$39,MATCH('7.Sensitivity Analysis'!B17,'4. Secondary Perf Variables'!$B$12:$B$39,0),0)</f>
        <v>1935104.1423231687</v>
      </c>
      <c r="N17" s="69" cm="1">
        <f t="array" ref="N17">INDEX('4. Secondary Perf Variables'!$K$12:$K$39,MATCH('7.Sensitivity Analysis'!B17,'4. Secondary Perf Variables'!$B$12:$B$39,0),0)</f>
        <v>4478377.93175718</v>
      </c>
      <c r="O17" s="71">
        <f t="shared" si="4"/>
        <v>176443.65934846512</v>
      </c>
      <c r="P17" s="71">
        <f t="shared" si="0"/>
        <v>71416.935936283611</v>
      </c>
      <c r="Q17" s="71">
        <f t="shared" ca="1" si="1"/>
        <v>548392.06643151713</v>
      </c>
      <c r="R17" s="71">
        <f t="shared" si="2"/>
        <v>1925235.1111973205</v>
      </c>
      <c r="S17" s="71">
        <f t="shared" si="3"/>
        <v>3171073.0997113409</v>
      </c>
      <c r="T17" s="71">
        <f t="shared" ca="1" si="5"/>
        <v>9466697.0765578002</v>
      </c>
      <c r="U17" s="71">
        <f t="shared" ca="1" si="6"/>
        <v>5892560.8726249272</v>
      </c>
      <c r="V17" s="70">
        <f t="shared" ca="1" si="7"/>
        <v>0.62245161379638547</v>
      </c>
    </row>
    <row r="18" spans="2:22" x14ac:dyDescent="0.3">
      <c r="B18" s="21">
        <v>2030</v>
      </c>
      <c r="C18" s="112">
        <v>1560.7857142857101</v>
      </c>
      <c r="D18" s="69">
        <f t="shared" si="8"/>
        <v>1410264.4642832014</v>
      </c>
      <c r="E18" s="70" cm="1">
        <f t="array" ref="E18">INDEX('5.As-is Analysis'!$H$7:$H$29,MATCH('7.Sensitivity Analysis'!B18,'5.As-is Analysis'!$B$7:$B$29,0),0)</f>
        <v>0.19299172909748591</v>
      </c>
      <c r="F18" s="70" cm="1">
        <f t="array" ref="F18">INDEX('5.As-is Analysis'!$I$7:$I$29,MATCH('7.Sensitivity Analysis'!B18,'5.As-is Analysis'!$B$7:$B$29,0),0)</f>
        <v>7.0000000000000007E-2</v>
      </c>
      <c r="G18" s="70">
        <f>(D18*'3. Consequence Variables'!$C$14)+'3. Consequence Variables'!$C$15</f>
        <v>0.50605289285664024</v>
      </c>
      <c r="H18" s="70" cm="1">
        <f t="array" ref="H18">INDEX('5.As-is Analysis'!$K$7:$K$29,MATCH('7.Sensitivity Analysis'!B18,'5.As-is Analysis'!$B$7:$B$29,0),0)</f>
        <v>0.99490000000000001</v>
      </c>
      <c r="I18" s="70" cm="1">
        <f t="array" ref="I18">INDEX('5.As-is Analysis'!$L$7:$L$29,MATCH('7.Sensitivity Analysis'!B18,'5.As-is Analysis'!$B$7:$B$29,0),0)</f>
        <v>0.66325440718417528</v>
      </c>
      <c r="J18" s="69" cm="1">
        <f t="array" ref="J18">INDEX('4. Secondary Perf Variables'!$G$12:$G$39,MATCH('7.Sensitivity Analysis'!B18,'4. Secondary Perf Variables'!$B$12:$B$39,0),0)</f>
        <v>949521.55630146258</v>
      </c>
      <c r="K18" s="69" cm="1">
        <f t="array" ref="K18">INDEX('4. Secondary Perf Variables'!$H$12:$H$39,MATCH('7.Sensitivity Analysis'!B18,'4. Secondary Perf Variables'!$B$12:$B$39,0),0)</f>
        <v>1034917.8988356029</v>
      </c>
      <c r="L18" s="69" cm="1">
        <f t="array" aca="1" ref="L18" ca="1">INDEX('4. Secondary Perf Variables'!$I$12:$I$39,MATCH('7.Sensitivity Analysis'!B18,'4. Secondary Perf Variables'!$B$12:$B$39,0),0)</f>
        <v>1202900</v>
      </c>
      <c r="M18" s="69" cm="1">
        <f t="array" ref="M18">INDEX('4. Secondary Perf Variables'!$J$12:$J$39,MATCH('7.Sensitivity Analysis'!B18,'4. Secondary Perf Variables'!$B$12:$B$39,0),0)</f>
        <v>1976494.6281784237</v>
      </c>
      <c r="N18" s="69" cm="1">
        <f t="array" ref="N18">INDEX('4. Secondary Perf Variables'!$K$12:$K$39,MATCH('7.Sensitivity Analysis'!B18,'4. Secondary Perf Variables'!$B$12:$B$39,0),0)</f>
        <v>4578606.5187360961</v>
      </c>
      <c r="O18" s="71">
        <f t="shared" si="4"/>
        <v>183249.80696595507</v>
      </c>
      <c r="P18" s="71">
        <f t="shared" si="0"/>
        <v>72444.252918492217</v>
      </c>
      <c r="Q18" s="71">
        <f t="shared" ca="1" si="1"/>
        <v>608731.02481725253</v>
      </c>
      <c r="R18" s="71">
        <f t="shared" si="2"/>
        <v>1966414.5055747137</v>
      </c>
      <c r="S18" s="71">
        <f t="shared" si="3"/>
        <v>3036780.9523139098</v>
      </c>
      <c r="T18" s="71">
        <f t="shared" ca="1" si="5"/>
        <v>9742440.6020515859</v>
      </c>
      <c r="U18" s="71">
        <f t="shared" ca="1" si="6"/>
        <v>5867620.5425903238</v>
      </c>
      <c r="V18" s="70">
        <f t="shared" ca="1" si="7"/>
        <v>0.60227419209050215</v>
      </c>
    </row>
    <row r="21" spans="2:22" x14ac:dyDescent="0.3">
      <c r="B21" s="8" t="s">
        <v>86</v>
      </c>
    </row>
    <row r="23" spans="2:22" x14ac:dyDescent="0.3">
      <c r="B23" s="32"/>
      <c r="C23" s="83">
        <f ca="1">V18</f>
        <v>0.60227419209050215</v>
      </c>
    </row>
    <row r="24" spans="2:22" x14ac:dyDescent="0.3">
      <c r="B24" s="82">
        <v>2.5000000000000001E-2</v>
      </c>
      <c r="C24" s="53">
        <f t="dataTable" ref="C24:C31" dt2D="0" dtr="0" r1="C6" ca="1"/>
        <v>0.60193465491228992</v>
      </c>
    </row>
    <row r="25" spans="2:22" x14ac:dyDescent="0.3">
      <c r="B25" s="82">
        <v>0.05</v>
      </c>
      <c r="C25" s="53">
        <v>0.60941313354668392</v>
      </c>
    </row>
    <row r="26" spans="2:22" x14ac:dyDescent="0.3">
      <c r="B26" s="82">
        <v>7.4999999999999997E-2</v>
      </c>
      <c r="C26" s="53">
        <v>0.61829051109685063</v>
      </c>
    </row>
    <row r="27" spans="2:22" x14ac:dyDescent="0.3">
      <c r="B27" s="82">
        <v>0.1</v>
      </c>
      <c r="C27" s="53">
        <v>0.63024512696960266</v>
      </c>
    </row>
    <row r="28" spans="2:22" x14ac:dyDescent="0.3">
      <c r="B28" s="82">
        <v>0.125</v>
      </c>
      <c r="C28" s="53">
        <v>0.63803588091459729</v>
      </c>
    </row>
    <row r="29" spans="2:22" x14ac:dyDescent="0.3">
      <c r="B29" s="82">
        <v>0.15</v>
      </c>
      <c r="C29" s="53">
        <v>0.65058051977587084</v>
      </c>
    </row>
    <row r="30" spans="2:22" x14ac:dyDescent="0.3">
      <c r="B30" s="82">
        <v>0.17499999999999999</v>
      </c>
      <c r="C30" s="53">
        <v>0.66894425379608435</v>
      </c>
    </row>
    <row r="31" spans="2:22" x14ac:dyDescent="0.3">
      <c r="B31" s="82">
        <v>0.2</v>
      </c>
      <c r="C31" s="53">
        <v>0.6866910363245341</v>
      </c>
    </row>
    <row r="34" spans="2:22" x14ac:dyDescent="0.3">
      <c r="B34" s="8" t="s">
        <v>87</v>
      </c>
    </row>
    <row r="36" spans="2:22" x14ac:dyDescent="0.3">
      <c r="B36" s="7" t="s">
        <v>82</v>
      </c>
    </row>
    <row r="37" spans="2:22" ht="28.8" x14ac:dyDescent="0.3">
      <c r="B37" s="109" t="s">
        <v>88</v>
      </c>
      <c r="C37" s="107">
        <v>0.1</v>
      </c>
    </row>
    <row r="39" spans="2:22" x14ac:dyDescent="0.3">
      <c r="B39" s="103" t="s">
        <v>7</v>
      </c>
      <c r="C39" s="111" t="s">
        <v>117</v>
      </c>
      <c r="D39" s="103" t="s">
        <v>84</v>
      </c>
      <c r="E39" s="104" t="s">
        <v>22</v>
      </c>
      <c r="F39" s="104"/>
      <c r="G39" s="104"/>
      <c r="H39" s="104"/>
      <c r="I39" s="104"/>
      <c r="J39" s="105" t="s">
        <v>30</v>
      </c>
      <c r="K39" s="105"/>
      <c r="L39" s="105"/>
      <c r="M39" s="105"/>
      <c r="N39" s="105"/>
      <c r="O39" s="106" t="s">
        <v>77</v>
      </c>
      <c r="P39" s="106"/>
      <c r="Q39" s="106"/>
      <c r="R39" s="106"/>
      <c r="S39" s="106"/>
      <c r="T39" s="100" t="s">
        <v>78</v>
      </c>
      <c r="U39" s="101"/>
      <c r="V39" s="102"/>
    </row>
    <row r="40" spans="2:22" x14ac:dyDescent="0.3">
      <c r="B40" s="91"/>
      <c r="C40" s="93"/>
      <c r="D40" s="91"/>
      <c r="E40" s="72" t="s">
        <v>23</v>
      </c>
      <c r="F40" s="72" t="s">
        <v>24</v>
      </c>
      <c r="G40" s="72" t="s">
        <v>25</v>
      </c>
      <c r="H40" s="72" t="s">
        <v>26</v>
      </c>
      <c r="I40" s="72" t="s">
        <v>27</v>
      </c>
      <c r="J40" s="73" t="s">
        <v>23</v>
      </c>
      <c r="K40" s="73" t="s">
        <v>24</v>
      </c>
      <c r="L40" s="73" t="s">
        <v>25</v>
      </c>
      <c r="M40" s="73" t="s">
        <v>26</v>
      </c>
      <c r="N40" s="73" t="s">
        <v>27</v>
      </c>
      <c r="O40" s="74" t="s">
        <v>23</v>
      </c>
      <c r="P40" s="74" t="s">
        <v>24</v>
      </c>
      <c r="Q40" s="74" t="s">
        <v>25</v>
      </c>
      <c r="R40" s="74" t="s">
        <v>26</v>
      </c>
      <c r="S40" s="74" t="s">
        <v>27</v>
      </c>
      <c r="T40" s="73" t="s">
        <v>30</v>
      </c>
      <c r="U40" s="74" t="s">
        <v>77</v>
      </c>
      <c r="V40" s="72" t="s">
        <v>22</v>
      </c>
    </row>
    <row r="41" spans="2:22" x14ac:dyDescent="0.3">
      <c r="B41" s="21">
        <v>2022</v>
      </c>
      <c r="C41" s="129">
        <f>C10</f>
        <v>1012</v>
      </c>
      <c r="D41" s="35">
        <v>1157469.7229999998</v>
      </c>
      <c r="E41" s="70" cm="1">
        <f t="array" ref="E41">INDEX('5.As-is Analysis'!$H$7:$H$29,MATCH('7.Sensitivity Analysis'!B41,'5.As-is Analysis'!$B$7:$B$29,0),0)</f>
        <v>0.18</v>
      </c>
      <c r="F41" s="70" cm="1">
        <f t="array" ref="F41">INDEX('5.As-is Analysis'!$I$7:$I$29,MATCH('7.Sensitivity Analysis'!B41,'5.As-is Analysis'!$B$7:$B$29,0),0)</f>
        <v>0.06</v>
      </c>
      <c r="G41" s="70" cm="1">
        <f t="array" ref="G41">INDEX('5.As-is Analysis'!$J$7:$J$29,MATCH('7.Sensitivity Analysis'!B41,'5.As-is Analysis'!$B$7:$B$29,0),0)</f>
        <v>0.44087773380000006</v>
      </c>
      <c r="H41" s="70" cm="1">
        <f t="array" ref="H41">INDEX('5.As-is Analysis'!$K$7:$K$29,MATCH('7.Sensitivity Analysis'!B41,'5.As-is Analysis'!$B$7:$B$29,0),0)</f>
        <v>0.99490000000000001</v>
      </c>
      <c r="I41" s="70" cm="1">
        <f t="array" ref="I41">INDEX('5.As-is Analysis'!$L$7:$L$29,MATCH('7.Sensitivity Analysis'!B41,'5.As-is Analysis'!$B$7:$B$29,0),0)</f>
        <v>0.67916772545882353</v>
      </c>
      <c r="J41" s="69" cm="1">
        <f t="array" ref="J41">INDEX('5.As-is Analysis'!$C$7:$C$29,MATCH('7.Sensitivity Analysis'!B41,'5.As-is Analysis'!$B$7:$B$29,0),0)</f>
        <v>813000</v>
      </c>
      <c r="K41" s="69" cm="1">
        <f t="array" ref="K41">INDEX('5.As-is Analysis'!$D$7:$D$29,MATCH('7.Sensitivity Analysis'!B41,'5.As-is Analysis'!$B$7:$B$29,0),0)</f>
        <v>1001000</v>
      </c>
      <c r="L41" s="69" cm="1">
        <f t="array" ref="L41">INDEX('5.As-is Analysis'!$E$7:$E$29,MATCH('7.Sensitivity Analysis'!B41,'5.As-is Analysis'!$B$7:$B$29,0),0)</f>
        <v>1064000</v>
      </c>
      <c r="M41" s="69" cm="1">
        <f t="array" ref="M41">INDEX('5.As-is Analysis'!$F$7:$F$29,MATCH('7.Sensitivity Analysis'!B41,'5.As-is Analysis'!$B$7:$B$29,0),0)</f>
        <v>1430000</v>
      </c>
      <c r="N41" s="69" cm="1">
        <f t="array" ref="N41">INDEX('5.As-is Analysis'!$G$7:$G$29,MATCH('7.Sensitivity Analysis'!B41,'5.As-is Analysis'!$B$7:$B$29,0),0)</f>
        <v>3077000</v>
      </c>
      <c r="O41" s="71">
        <f>E41*J41</f>
        <v>146340</v>
      </c>
      <c r="P41" s="71">
        <f>F41*K41</f>
        <v>60060</v>
      </c>
      <c r="Q41" s="71">
        <f>G41*L41</f>
        <v>469093.90876320004</v>
      </c>
      <c r="R41" s="71">
        <f>H41*M41</f>
        <v>1422707</v>
      </c>
      <c r="S41" s="71">
        <f>I41*N41</f>
        <v>2089799.0912368</v>
      </c>
      <c r="T41" s="71">
        <f>SUM(J41:N41)</f>
        <v>7385000</v>
      </c>
      <c r="U41" s="71">
        <f>SUM(O41:S41)</f>
        <v>4188000</v>
      </c>
      <c r="V41" s="70">
        <f>U41/T41</f>
        <v>0.56709546377792819</v>
      </c>
    </row>
    <row r="42" spans="2:22" x14ac:dyDescent="0.3">
      <c r="B42" s="21">
        <v>2023</v>
      </c>
      <c r="C42" s="129">
        <f t="shared" ref="C42:C49" si="9">C11</f>
        <v>1138.7857142857101</v>
      </c>
      <c r="D42" s="35">
        <v>1076446.8423899997</v>
      </c>
      <c r="E42" s="70" cm="1">
        <f t="array" ref="E42">INDEX('5.As-is Analysis'!$H$7:$H$29,MATCH('7.Sensitivity Analysis'!B42,'5.As-is Analysis'!$B$7:$B$29,0),0)</f>
        <v>0.15756171606589423</v>
      </c>
      <c r="F42" s="70">
        <f>$C$37</f>
        <v>0.1</v>
      </c>
      <c r="G42" s="70" cm="1">
        <f t="array" ref="G42">INDEX('5.As-is Analysis'!$J$7:$J$29,MATCH('7.Sensitivity Analysis'!B42,'5.As-is Analysis'!$B$7:$B$29,0),0)</f>
        <v>0.42135873775800003</v>
      </c>
      <c r="H42" s="70" cm="1">
        <f t="array" ref="H42">INDEX('5.As-is Analysis'!$K$7:$K$29,MATCH('7.Sensitivity Analysis'!B42,'5.As-is Analysis'!$B$7:$B$29,0),0)</f>
        <v>0.99490000000000001</v>
      </c>
      <c r="I42" s="70" cm="1">
        <f t="array" ref="I42">INDEX('5.As-is Analysis'!$L$7:$L$29,MATCH('7.Sensitivity Analysis'!B42,'5.As-is Analysis'!$B$7:$B$29,0),0)</f>
        <v>0.724505143022248</v>
      </c>
      <c r="J42" s="69" cm="1">
        <f t="array" ref="J42">INDEX('5.As-is Analysis'!$C$7:$C$29,MATCH('7.Sensitivity Analysis'!B42,'5.As-is Analysis'!$B$7:$B$29,0),0)</f>
        <v>824399.70647654601</v>
      </c>
      <c r="K42" s="69" cm="1">
        <f t="array" ref="K42">INDEX('5.As-is Analysis'!$D$7:$D$29,MATCH('7.Sensitivity Analysis'!B42,'5.As-is Analysis'!$B$7:$B$29,0),0)</f>
        <v>936985.5771630368</v>
      </c>
      <c r="L42" s="69" cm="1">
        <f t="array" aca="1" ref="L42" ca="1">INDEX('5.As-is Analysis'!$E$7:$E$29,MATCH('7.Sensitivity Analysis'!B42,'5.As-is Analysis'!$B$7:$B$29,0),0)</f>
        <v>1383900</v>
      </c>
      <c r="M42" s="69" cm="1">
        <f t="array" ref="M42">INDEX('5.As-is Analysis'!$F$7:$F$29,MATCH('7.Sensitivity Analysis'!B42,'5.As-is Analysis'!$B$7:$B$29,0),0)</f>
        <v>1565832.3933627997</v>
      </c>
      <c r="N42" s="69" cm="1">
        <f t="array" ref="N42">INDEX('5.As-is Analysis'!$G$7:$G$29,MATCH('7.Sensitivity Analysis'!B42,'5.As-is Analysis'!$B$7:$B$29,0),0)</f>
        <v>3497734.2940651798</v>
      </c>
      <c r="O42" s="71">
        <f t="shared" ref="O42:O49" si="10">E42*J42</f>
        <v>129893.83247666409</v>
      </c>
      <c r="P42" s="71">
        <f t="shared" ref="P42:P49" si="11">F42*K42</f>
        <v>93698.55771630368</v>
      </c>
      <c r="Q42" s="71">
        <f t="shared" ref="Q42:Q49" ca="1" si="12">G42*L42</f>
        <v>583118.35718329623</v>
      </c>
      <c r="R42" s="71">
        <f t="shared" ref="R42:R49" si="13">H42*M42</f>
        <v>1557846.6481566494</v>
      </c>
      <c r="S42" s="71">
        <f t="shared" ref="S42:S49" si="14">I42*N42</f>
        <v>2534126.4849755149</v>
      </c>
      <c r="T42" s="71">
        <f t="shared" ref="T42:T49" ca="1" si="15">SUM(J42:N42)</f>
        <v>8208851.9710675627</v>
      </c>
      <c r="U42" s="71">
        <f t="shared" ref="U42:U49" ca="1" si="16">SUM(O42:S42)</f>
        <v>4898683.8805084284</v>
      </c>
      <c r="V42" s="70">
        <f t="shared" ref="V42:V49" ca="1" si="17">U42/T42</f>
        <v>0.59675626966767603</v>
      </c>
    </row>
    <row r="43" spans="2:22" x14ac:dyDescent="0.3">
      <c r="B43" s="21">
        <v>2024</v>
      </c>
      <c r="C43" s="129">
        <f t="shared" si="9"/>
        <v>1199.0714285714203</v>
      </c>
      <c r="D43" s="35">
        <v>1001095.5634226996</v>
      </c>
      <c r="E43" s="70" cm="1">
        <f t="array" ref="E43">INDEX('5.As-is Analysis'!$H$7:$H$29,MATCH('7.Sensitivity Analysis'!B43,'5.As-is Analysis'!$B$7:$B$29,0),0)</f>
        <v>0.16555558339341822</v>
      </c>
      <c r="F43" s="70">
        <f t="shared" ref="F43:F49" si="18">$C$37</f>
        <v>0.1</v>
      </c>
      <c r="G43" s="70" cm="1">
        <f t="array" ref="G43">INDEX('5.As-is Analysis'!$J$7:$J$29,MATCH('7.Sensitivity Analysis'!B43,'5.As-is Analysis'!$B$7:$B$29,0),0)</f>
        <v>0.40359645135978006</v>
      </c>
      <c r="H43" s="70" cm="1">
        <f t="array" ref="H43">INDEX('5.As-is Analysis'!$K$7:$K$29,MATCH('7.Sensitivity Analysis'!B43,'5.As-is Analysis'!$B$7:$B$29,0),0)</f>
        <v>0.99490000000000001</v>
      </c>
      <c r="I43" s="70" cm="1">
        <f t="array" ref="I43">INDEX('5.As-is Analysis'!$L$7:$L$29,MATCH('7.Sensitivity Analysis'!B43,'5.As-is Analysis'!$B$7:$B$29,0),0)</f>
        <v>0.71566119499326442</v>
      </c>
      <c r="J43" s="69" cm="1">
        <f t="array" ref="J43">INDEX('5.As-is Analysis'!$C$7:$C$29,MATCH('7.Sensitivity Analysis'!B43,'5.As-is Analysis'!$B$7:$B$29,0),0)</f>
        <v>858630.58167594066</v>
      </c>
      <c r="K43" s="69" cm="1">
        <f t="array" ref="K43">INDEX('5.As-is Analysis'!$D$7:$D$29,MATCH('7.Sensitivity Analysis'!B43,'5.As-is Analysis'!$B$7:$B$29,0),0)</f>
        <v>946862.1575034376</v>
      </c>
      <c r="L43" s="69" cm="1">
        <f t="array" aca="1" ref="L43" ca="1">INDEX('5.As-is Analysis'!$E$7:$E$29,MATCH('7.Sensitivity Analysis'!B43,'5.As-is Analysis'!$B$7:$B$29,0),0)</f>
        <v>1252000</v>
      </c>
      <c r="M43" s="69" cm="1">
        <f t="array" ref="M43">INDEX('5.As-is Analysis'!$F$7:$F$29,MATCH('7.Sensitivity Analysis'!B43,'5.As-is Analysis'!$B$7:$B$29,0),0)</f>
        <v>1728151.7130468939</v>
      </c>
      <c r="N43" s="69" cm="1">
        <f t="array" ref="N43">INDEX('5.As-is Analysis'!$G$7:$G$29,MATCH('7.Sensitivity Analysis'!B43,'5.As-is Analysis'!$B$7:$B$29,0),0)</f>
        <v>3977234.9968625978</v>
      </c>
      <c r="O43" s="71">
        <f t="shared" si="10"/>
        <v>142151.08686879039</v>
      </c>
      <c r="P43" s="71">
        <f t="shared" si="11"/>
        <v>94686.215750343763</v>
      </c>
      <c r="Q43" s="71">
        <f t="shared" ca="1" si="12"/>
        <v>505302.75710244465</v>
      </c>
      <c r="R43" s="71">
        <f t="shared" si="13"/>
        <v>1719338.1393103548</v>
      </c>
      <c r="S43" s="71">
        <f t="shared" si="14"/>
        <v>2846352.7506237188</v>
      </c>
      <c r="T43" s="71">
        <f t="shared" ca="1" si="15"/>
        <v>8762879.4490888696</v>
      </c>
      <c r="U43" s="71">
        <f t="shared" ca="1" si="16"/>
        <v>5307830.949655652</v>
      </c>
      <c r="V43" s="70">
        <f t="shared" ca="1" si="17"/>
        <v>0.60571767311115299</v>
      </c>
    </row>
    <row r="44" spans="2:22" x14ac:dyDescent="0.3">
      <c r="B44" s="21">
        <v>2025</v>
      </c>
      <c r="C44" s="129">
        <f t="shared" si="9"/>
        <v>1259.3571428571304</v>
      </c>
      <c r="D44" s="35">
        <v>931018.87398311053</v>
      </c>
      <c r="E44" s="70" cm="1">
        <f t="array" ref="E44">INDEX('5.As-is Analysis'!$H$7:$H$29,MATCH('7.Sensitivity Analysis'!B44,'5.As-is Analysis'!$B$7:$B$29,0),0)</f>
        <v>0.17221516035079404</v>
      </c>
      <c r="F44" s="70">
        <f t="shared" si="18"/>
        <v>0.1</v>
      </c>
      <c r="G44" s="70" cm="1">
        <f t="array" ref="G44">INDEX('5.As-is Analysis'!$J$7:$J$29,MATCH('7.Sensitivity Analysis'!B44,'5.As-is Analysis'!$B$7:$B$29,0),0)</f>
        <v>0.38743277073739985</v>
      </c>
      <c r="H44" s="70" cm="1">
        <f t="array" ref="H44">INDEX('5.As-is Analysis'!$K$7:$K$29,MATCH('7.Sensitivity Analysis'!B44,'5.As-is Analysis'!$B$7:$B$29,0),0)</f>
        <v>0.99490000000000001</v>
      </c>
      <c r="I44" s="70" cm="1">
        <f t="array" ref="I44">INDEX('5.As-is Analysis'!$L$7:$L$29,MATCH('7.Sensitivity Analysis'!B44,'5.As-is Analysis'!$B$7:$B$29,0),0)</f>
        <v>0.72450514302224789</v>
      </c>
      <c r="J44" s="69" cm="1">
        <f t="array" ref="J44">INDEX('5.As-is Analysis'!$C$7:$C$29,MATCH('7.Sensitivity Analysis'!B44,'5.As-is Analysis'!$B$7:$B$29,0),0)</f>
        <v>873779.07744686096</v>
      </c>
      <c r="K44" s="69" cm="1">
        <f t="array" ref="K44">INDEX('5.As-is Analysis'!$D$7:$D$29,MATCH('7.Sensitivity Analysis'!B44,'5.As-is Analysis'!$B$7:$B$29,0),0)</f>
        <v>961538.1143921318</v>
      </c>
      <c r="L44" s="69" cm="1">
        <f t="array" aca="1" ref="L44" ca="1">INDEX('5.As-is Analysis'!$E$7:$E$29,MATCH('7.Sensitivity Analysis'!B44,'5.As-is Analysis'!$B$7:$B$29,0),0)</f>
        <v>1136000</v>
      </c>
      <c r="M44" s="69" cm="1">
        <f t="array" ref="M44">INDEX('5.As-is Analysis'!$F$7:$F$29,MATCH('7.Sensitivity Analysis'!B44,'5.As-is Analysis'!$B$7:$B$29,0),0)</f>
        <v>1769542.198902149</v>
      </c>
      <c r="N44" s="69" cm="1">
        <f t="array" ref="N44">INDEX('5.As-is Analysis'!$G$7:$G$29,MATCH('7.Sensitivity Analysis'!B44,'5.As-is Analysis'!$B$7:$B$29,0),0)</f>
        <v>4077463.5838415138</v>
      </c>
      <c r="O44" s="71">
        <f t="shared" si="10"/>
        <v>150478.00393368004</v>
      </c>
      <c r="P44" s="71">
        <f t="shared" si="11"/>
        <v>96153.811439213183</v>
      </c>
      <c r="Q44" s="71">
        <f t="shared" ca="1" si="12"/>
        <v>440123.62755768624</v>
      </c>
      <c r="R44" s="71">
        <f t="shared" si="13"/>
        <v>1760517.533687748</v>
      </c>
      <c r="S44" s="71">
        <f t="shared" si="14"/>
        <v>2954143.3369791033</v>
      </c>
      <c r="T44" s="71">
        <f t="shared" ca="1" si="15"/>
        <v>8818322.9745826554</v>
      </c>
      <c r="U44" s="71">
        <f t="shared" ca="1" si="16"/>
        <v>5401416.3135974305</v>
      </c>
      <c r="V44" s="70">
        <f t="shared" ca="1" si="17"/>
        <v>0.61252194200259069</v>
      </c>
    </row>
    <row r="45" spans="2:22" x14ac:dyDescent="0.3">
      <c r="B45" s="21">
        <v>2026</v>
      </c>
      <c r="C45" s="129">
        <f t="shared" si="9"/>
        <v>1319.6428571428551</v>
      </c>
      <c r="D45" s="35">
        <v>865847.55280429276</v>
      </c>
      <c r="E45" s="70" cm="1">
        <f t="array" ref="E45">INDEX('5.As-is Analysis'!$H$7:$H$29,MATCH('7.Sensitivity Analysis'!B45,'5.As-is Analysis'!$B$7:$B$29,0),0)</f>
        <v>0.17637047410013212</v>
      </c>
      <c r="F45" s="70">
        <f t="shared" si="18"/>
        <v>0.1</v>
      </c>
      <c r="G45" s="70" cm="1">
        <f t="array" ref="G45">INDEX('5.As-is Analysis'!$J$7:$J$29,MATCH('7.Sensitivity Analysis'!B45,'5.As-is Analysis'!$B$7:$B$29,0),0)</f>
        <v>0.37272382137103388</v>
      </c>
      <c r="H45" s="70" cm="1">
        <f t="array" ref="H45">INDEX('5.As-is Analysis'!$K$7:$K$29,MATCH('7.Sensitivity Analysis'!B45,'5.As-is Analysis'!$B$7:$B$29,0),0)</f>
        <v>0.99490000000000001</v>
      </c>
      <c r="I45" s="70" cm="1">
        <f t="array" ref="I45">INDEX('5.As-is Analysis'!$L$7:$L$29,MATCH('7.Sensitivity Analysis'!B45,'5.As-is Analysis'!$B$7:$B$29,0),0)</f>
        <v>0.60128012215132176</v>
      </c>
      <c r="J45" s="69" cm="1">
        <f t="array" ref="J45">INDEX('5.As-is Analysis'!$C$7:$C$29,MATCH('7.Sensitivity Analysis'!B45,'5.As-is Analysis'!$B$7:$B$29,0),0)</f>
        <v>888927.57321778126</v>
      </c>
      <c r="K45" s="69" cm="1">
        <f t="array" ref="K45">INDEX('5.As-is Analysis'!$D$7:$D$29,MATCH('7.Sensitivity Analysis'!B45,'5.As-is Analysis'!$B$7:$B$29,0),0)</f>
        <v>976214.071280826</v>
      </c>
      <c r="L45" s="69" cm="1">
        <f t="array" aca="1" ref="L45" ca="1">INDEX('5.As-is Analysis'!$E$7:$E$29,MATCH('7.Sensitivity Analysis'!B45,'5.As-is Analysis'!$B$7:$B$29,0),0)</f>
        <v>1183100</v>
      </c>
      <c r="M45" s="69" cm="1">
        <f t="array" ref="M45">INDEX('5.As-is Analysis'!$F$7:$F$29,MATCH('7.Sensitivity Analysis'!B45,'5.As-is Analysis'!$B$7:$B$29,0),0)</f>
        <v>1810932.684757404</v>
      </c>
      <c r="N45" s="69" cm="1">
        <f t="array" ref="N45">INDEX('5.As-is Analysis'!$G$7:$G$29,MATCH('7.Sensitivity Analysis'!B45,'5.As-is Analysis'!$B$7:$B$29,0),0)</f>
        <v>4177692.1708204304</v>
      </c>
      <c r="O45" s="71">
        <f t="shared" si="10"/>
        <v>156780.5775291</v>
      </c>
      <c r="P45" s="71">
        <f t="shared" si="11"/>
        <v>97621.407128082603</v>
      </c>
      <c r="Q45" s="71">
        <f t="shared" ca="1" si="12"/>
        <v>440969.55306407018</v>
      </c>
      <c r="R45" s="71">
        <f t="shared" si="13"/>
        <v>1801696.9280651412</v>
      </c>
      <c r="S45" s="71">
        <f t="shared" si="14"/>
        <v>2511963.258781529</v>
      </c>
      <c r="T45" s="71">
        <f t="shared" ca="1" si="15"/>
        <v>9036866.5000764411</v>
      </c>
      <c r="U45" s="71">
        <f t="shared" ca="1" si="16"/>
        <v>5009031.7245679228</v>
      </c>
      <c r="V45" s="70">
        <f t="shared" ca="1" si="17"/>
        <v>0.55428856058961951</v>
      </c>
    </row>
    <row r="46" spans="2:22" x14ac:dyDescent="0.3">
      <c r="B46" s="21">
        <v>2027</v>
      </c>
      <c r="C46" s="129">
        <f t="shared" si="9"/>
        <v>1379.9285714285652</v>
      </c>
      <c r="D46" s="35">
        <v>805238.22410799225</v>
      </c>
      <c r="E46" s="70" cm="1">
        <f t="array" ref="E46">INDEX('5.As-is Analysis'!$H$7:$H$29,MATCH('7.Sensitivity Analysis'!B46,'5.As-is Analysis'!$B$7:$B$29,0),0)</f>
        <v>0.18052578784947068</v>
      </c>
      <c r="F46" s="70">
        <f t="shared" si="18"/>
        <v>0.1</v>
      </c>
      <c r="G46" s="70" cm="1">
        <f t="array" ref="G46">INDEX('5.As-is Analysis'!$J$7:$J$29,MATCH('7.Sensitivity Analysis'!B46,'5.As-is Analysis'!$B$7:$B$29,0),0)</f>
        <v>0.35933867744764081</v>
      </c>
      <c r="H46" s="70" cm="1">
        <f t="array" ref="H46">INDEX('5.As-is Analysis'!$K$7:$K$29,MATCH('7.Sensitivity Analysis'!B46,'5.As-is Analysis'!$B$7:$B$29,0),0)</f>
        <v>0.99490000000000001</v>
      </c>
      <c r="I46" s="70" cm="1">
        <f t="array" ref="I46">INDEX('5.As-is Analysis'!$L$7:$L$29,MATCH('7.Sensitivity Analysis'!B46,'5.As-is Analysis'!$B$7:$B$29,0),0)</f>
        <v>0.69616342680332621</v>
      </c>
      <c r="J46" s="69" cm="1">
        <f t="array" ref="J46">INDEX('5.As-is Analysis'!$C$7:$C$29,MATCH('7.Sensitivity Analysis'!B46,'5.As-is Analysis'!$B$7:$B$29,0),0)</f>
        <v>904076.06898870156</v>
      </c>
      <c r="K46" s="69" cm="1">
        <f t="array" ref="K46">INDEX('5.As-is Analysis'!$D$7:$D$29,MATCH('7.Sensitivity Analysis'!B46,'5.As-is Analysis'!$B$7:$B$29,0),0)</f>
        <v>990890.0281695202</v>
      </c>
      <c r="L46" s="69" cm="1">
        <f t="array" aca="1" ref="L46" ca="1">INDEX('5.As-is Analysis'!$E$7:$E$29,MATCH('7.Sensitivity Analysis'!B46,'5.As-is Analysis'!$B$7:$B$29,0),0)</f>
        <v>1201000</v>
      </c>
      <c r="M46" s="69" cm="1">
        <f t="array" ref="M46">INDEX('5.As-is Analysis'!$F$7:$F$29,MATCH('7.Sensitivity Analysis'!B46,'5.As-is Analysis'!$B$7:$B$29,0),0)</f>
        <v>1852323.1706126588</v>
      </c>
      <c r="N46" s="69" cm="1">
        <f t="array" ref="N46">INDEX('5.As-is Analysis'!$G$7:$G$29,MATCH('7.Sensitivity Analysis'!B46,'5.As-is Analysis'!$B$7:$B$29,0),0)</f>
        <v>4277920.7577993469</v>
      </c>
      <c r="O46" s="71">
        <f t="shared" si="10"/>
        <v>163209.04463003777</v>
      </c>
      <c r="P46" s="71">
        <f t="shared" si="11"/>
        <v>99089.002816952023</v>
      </c>
      <c r="Q46" s="71">
        <f t="shared" ca="1" si="12"/>
        <v>431565.7516146166</v>
      </c>
      <c r="R46" s="71">
        <f t="shared" si="13"/>
        <v>1842876.3224425344</v>
      </c>
      <c r="S46" s="71">
        <f t="shared" si="14"/>
        <v>2978131.9743426754</v>
      </c>
      <c r="T46" s="71">
        <f t="shared" ca="1" si="15"/>
        <v>9226210.0255702287</v>
      </c>
      <c r="U46" s="71">
        <f t="shared" ca="1" si="16"/>
        <v>5514872.0958468169</v>
      </c>
      <c r="V46" s="70">
        <f t="shared" ca="1" si="17"/>
        <v>0.59773970899887119</v>
      </c>
    </row>
    <row r="47" spans="2:22" x14ac:dyDescent="0.3">
      <c r="B47" s="21">
        <v>2028</v>
      </c>
      <c r="C47" s="129">
        <f t="shared" si="9"/>
        <v>1440.2142857142753</v>
      </c>
      <c r="D47" s="35">
        <v>748871.54842043272</v>
      </c>
      <c r="E47" s="70" cm="1">
        <f t="array" ref="E47">INDEX('5.As-is Analysis'!$H$7:$H$29,MATCH('7.Sensitivity Analysis'!B47,'5.As-is Analysis'!$B$7:$B$29,0),0)</f>
        <v>0.18468110159880929</v>
      </c>
      <c r="F47" s="70">
        <f t="shared" si="18"/>
        <v>0.1</v>
      </c>
      <c r="G47" s="70" cm="1">
        <f t="array" ref="G47">INDEX('5.As-is Analysis'!$J$7:$J$29,MATCH('7.Sensitivity Analysis'!B47,'5.As-is Analysis'!$B$7:$B$29,0),0)</f>
        <v>0.34715819647735313</v>
      </c>
      <c r="H47" s="70" cm="1">
        <f t="array" ref="H47">INDEX('5.As-is Analysis'!$K$7:$K$29,MATCH('7.Sensitivity Analysis'!B47,'5.As-is Analysis'!$B$7:$B$29,0),0)</f>
        <v>0.99490000000000001</v>
      </c>
      <c r="I47" s="70" cm="1">
        <f t="array" ref="I47">INDEX('5.As-is Analysis'!$L$7:$L$29,MATCH('7.Sensitivity Analysis'!B47,'5.As-is Analysis'!$B$7:$B$29,0),0)</f>
        <v>0.73161666197579511</v>
      </c>
      <c r="J47" s="69" cm="1">
        <f t="array" ref="J47">INDEX('5.As-is Analysis'!$C$7:$C$29,MATCH('7.Sensitivity Analysis'!B47,'5.As-is Analysis'!$B$7:$B$29,0),0)</f>
        <v>919224.56475962198</v>
      </c>
      <c r="K47" s="69" cm="1">
        <f t="array" ref="K47">INDEX('5.As-is Analysis'!$D$7:$D$29,MATCH('7.Sensitivity Analysis'!B47,'5.As-is Analysis'!$B$7:$B$29,0),0)</f>
        <v>1005565.9850582145</v>
      </c>
      <c r="L47" s="69" cm="1">
        <f t="array" aca="1" ref="L47" ca="1">INDEX('5.As-is Analysis'!$E$7:$E$29,MATCH('7.Sensitivity Analysis'!B47,'5.As-is Analysis'!$B$7:$B$29,0),0)</f>
        <v>1064000</v>
      </c>
      <c r="M47" s="69" cm="1">
        <f t="array" ref="M47">INDEX('5.As-is Analysis'!$F$7:$F$29,MATCH('7.Sensitivity Analysis'!B47,'5.As-is Analysis'!$B$7:$B$29,0),0)</f>
        <v>1893713.6564679136</v>
      </c>
      <c r="N47" s="69" cm="1">
        <f t="array" ref="N47">INDEX('5.As-is Analysis'!$G$7:$G$29,MATCH('7.Sensitivity Analysis'!B47,'5.As-is Analysis'!$B$7:$B$29,0),0)</f>
        <v>4378149.344778263</v>
      </c>
      <c r="O47" s="71">
        <f t="shared" si="10"/>
        <v>169763.40523649301</v>
      </c>
      <c r="P47" s="71">
        <f t="shared" si="11"/>
        <v>100556.59850582146</v>
      </c>
      <c r="Q47" s="71">
        <f t="shared" ca="1" si="12"/>
        <v>369376.32105190371</v>
      </c>
      <c r="R47" s="71">
        <f t="shared" si="13"/>
        <v>1884055.7168199273</v>
      </c>
      <c r="S47" s="71">
        <f t="shared" si="14"/>
        <v>3203127.0092581874</v>
      </c>
      <c r="T47" s="71">
        <f t="shared" ca="1" si="15"/>
        <v>9260653.5510640144</v>
      </c>
      <c r="U47" s="71">
        <f t="shared" ca="1" si="16"/>
        <v>5726879.0508723333</v>
      </c>
      <c r="V47" s="70">
        <f t="shared" ca="1" si="17"/>
        <v>0.61840981517058657</v>
      </c>
    </row>
    <row r="48" spans="2:22" x14ac:dyDescent="0.3">
      <c r="B48" s="21">
        <v>2029</v>
      </c>
      <c r="C48" s="129">
        <f t="shared" si="9"/>
        <v>1500.5</v>
      </c>
      <c r="D48" s="35">
        <v>696450.54003100237</v>
      </c>
      <c r="E48" s="70" cm="1">
        <f t="array" ref="E48">INDEX('5.As-is Analysis'!$H$7:$H$29,MATCH('7.Sensitivity Analysis'!B48,'5.As-is Analysis'!$B$7:$B$29,0),0)</f>
        <v>0.18883641534814738</v>
      </c>
      <c r="F48" s="70">
        <f t="shared" si="18"/>
        <v>0.1</v>
      </c>
      <c r="G48" s="70" cm="1">
        <f t="array" ref="G48">INDEX('5.As-is Analysis'!$J$7:$J$29,MATCH('7.Sensitivity Analysis'!B48,'5.As-is Analysis'!$B$7:$B$29,0),0)</f>
        <v>0.33607395879439139</v>
      </c>
      <c r="H48" s="70" cm="1">
        <f t="array" ref="H48">INDEX('5.As-is Analysis'!$K$7:$K$29,MATCH('7.Sensitivity Analysis'!B48,'5.As-is Analysis'!$B$7:$B$29,0),0)</f>
        <v>0.99490000000000001</v>
      </c>
      <c r="I48" s="70" cm="1">
        <f t="array" ref="I48">INDEX('5.As-is Analysis'!$L$7:$L$29,MATCH('7.Sensitivity Analysis'!B48,'5.As-is Analysis'!$B$7:$B$29,0),0)</f>
        <v>0.70808519245875878</v>
      </c>
      <c r="J48" s="69" cm="1">
        <f t="array" ref="J48">INDEX('5.As-is Analysis'!$C$7:$C$29,MATCH('7.Sensitivity Analysis'!B48,'5.As-is Analysis'!$B$7:$B$29,0),0)</f>
        <v>934373.06053054228</v>
      </c>
      <c r="K48" s="69" cm="1">
        <f t="array" ref="K48">INDEX('5.As-is Analysis'!$D$7:$D$29,MATCH('7.Sensitivity Analysis'!B48,'5.As-is Analysis'!$B$7:$B$29,0),0)</f>
        <v>1020241.9419469086</v>
      </c>
      <c r="L48" s="69" cm="1">
        <f t="array" aca="1" ref="L48" ca="1">INDEX('5.As-is Analysis'!$E$7:$E$29,MATCH('7.Sensitivity Analysis'!B48,'5.As-is Analysis'!$B$7:$B$29,0),0)</f>
        <v>1098600</v>
      </c>
      <c r="M48" s="69" cm="1">
        <f t="array" ref="M48">INDEX('5.As-is Analysis'!$F$7:$F$29,MATCH('7.Sensitivity Analysis'!B48,'5.As-is Analysis'!$B$7:$B$29,0),0)</f>
        <v>1935104.1423231687</v>
      </c>
      <c r="N48" s="69" cm="1">
        <f t="array" ref="N48">INDEX('5.As-is Analysis'!$G$7:$G$29,MATCH('7.Sensitivity Analysis'!B48,'5.As-is Analysis'!$B$7:$B$29,0),0)</f>
        <v>4478377.93175718</v>
      </c>
      <c r="O48" s="71">
        <f t="shared" si="10"/>
        <v>176443.65934846512</v>
      </c>
      <c r="P48" s="71">
        <f t="shared" si="11"/>
        <v>102024.19419469086</v>
      </c>
      <c r="Q48" s="71">
        <f t="shared" ca="1" si="12"/>
        <v>369210.85113151837</v>
      </c>
      <c r="R48" s="71">
        <f t="shared" si="13"/>
        <v>1925235.1111973205</v>
      </c>
      <c r="S48" s="71">
        <f t="shared" si="14"/>
        <v>3171073.0997113409</v>
      </c>
      <c r="T48" s="71">
        <f t="shared" ca="1" si="15"/>
        <v>9466697.0765578002</v>
      </c>
      <c r="U48" s="71">
        <f t="shared" ca="1" si="16"/>
        <v>5743986.9155833358</v>
      </c>
      <c r="V48" s="70">
        <f t="shared" ca="1" si="17"/>
        <v>0.60675723212978472</v>
      </c>
    </row>
    <row r="49" spans="2:22" x14ac:dyDescent="0.3">
      <c r="B49" s="21">
        <v>2030</v>
      </c>
      <c r="C49" s="129">
        <f t="shared" si="9"/>
        <v>1560.7857142857101</v>
      </c>
      <c r="D49" s="35">
        <v>647699.00222883211</v>
      </c>
      <c r="E49" s="70" cm="1">
        <f t="array" ref="E49">INDEX('5.As-is Analysis'!$H$7:$H$29,MATCH('7.Sensitivity Analysis'!B49,'5.As-is Analysis'!$B$7:$B$29,0),0)</f>
        <v>0.19299172909748591</v>
      </c>
      <c r="F49" s="70">
        <f t="shared" si="18"/>
        <v>0.1</v>
      </c>
      <c r="G49" s="70" cm="1">
        <f t="array" ref="G49">INDEX('5.As-is Analysis'!$J$7:$J$29,MATCH('7.Sensitivity Analysis'!B49,'5.As-is Analysis'!$B$7:$B$29,0),0)</f>
        <v>0.32598730250289615</v>
      </c>
      <c r="H49" s="70" cm="1">
        <f t="array" ref="H49">INDEX('5.As-is Analysis'!$K$7:$K$29,MATCH('7.Sensitivity Analysis'!B49,'5.As-is Analysis'!$B$7:$B$29,0),0)</f>
        <v>0.99490000000000001</v>
      </c>
      <c r="I49" s="70" cm="1">
        <f t="array" ref="I49">INDEX('5.As-is Analysis'!$L$7:$L$29,MATCH('7.Sensitivity Analysis'!B49,'5.As-is Analysis'!$B$7:$B$29,0),0)</f>
        <v>0.66325440718417528</v>
      </c>
      <c r="J49" s="69" cm="1">
        <f t="array" ref="J49">INDEX('5.As-is Analysis'!$C$7:$C$29,MATCH('7.Sensitivity Analysis'!B49,'5.As-is Analysis'!$B$7:$B$29,0),0)</f>
        <v>949521.55630146258</v>
      </c>
      <c r="K49" s="69" cm="1">
        <f t="array" ref="K49">INDEX('5.As-is Analysis'!$D$7:$D$29,MATCH('7.Sensitivity Analysis'!B49,'5.As-is Analysis'!$B$7:$B$29,0),0)</f>
        <v>1034917.8988356029</v>
      </c>
      <c r="L49" s="69" cm="1">
        <f t="array" aca="1" ref="L49" ca="1">INDEX('5.As-is Analysis'!$E$7:$E$29,MATCH('7.Sensitivity Analysis'!B49,'5.As-is Analysis'!$B$7:$B$29,0),0)</f>
        <v>1202900</v>
      </c>
      <c r="M49" s="69" cm="1">
        <f t="array" ref="M49">INDEX('5.As-is Analysis'!$F$7:$F$29,MATCH('7.Sensitivity Analysis'!B49,'5.As-is Analysis'!$B$7:$B$29,0),0)</f>
        <v>1976494.6281784237</v>
      </c>
      <c r="N49" s="69" cm="1">
        <f t="array" ref="N49">INDEX('5.As-is Analysis'!$G$7:$G$29,MATCH('7.Sensitivity Analysis'!B49,'5.As-is Analysis'!$B$7:$B$29,0),0)</f>
        <v>4578606.5187360961</v>
      </c>
      <c r="O49" s="71">
        <f t="shared" si="10"/>
        <v>183249.80696595507</v>
      </c>
      <c r="P49" s="71">
        <f t="shared" si="11"/>
        <v>103491.7898835603</v>
      </c>
      <c r="Q49" s="71">
        <f t="shared" ca="1" si="12"/>
        <v>392130.12618073379</v>
      </c>
      <c r="R49" s="71">
        <f t="shared" si="13"/>
        <v>1966414.5055747137</v>
      </c>
      <c r="S49" s="71">
        <f t="shared" si="14"/>
        <v>3036780.9523139098</v>
      </c>
      <c r="T49" s="71">
        <f t="shared" ca="1" si="15"/>
        <v>9742440.6020515859</v>
      </c>
      <c r="U49" s="71">
        <f t="shared" ca="1" si="16"/>
        <v>5682067.1809188724</v>
      </c>
      <c r="V49" s="70">
        <f t="shared" ca="1" si="17"/>
        <v>0.583228311366079</v>
      </c>
    </row>
    <row r="53" spans="2:22" x14ac:dyDescent="0.3">
      <c r="B53" s="8" t="s">
        <v>114</v>
      </c>
    </row>
    <row r="55" spans="2:22" x14ac:dyDescent="0.3">
      <c r="B55" s="32"/>
      <c r="C55" s="83">
        <f ca="1">V49</f>
        <v>0.583228311366079</v>
      </c>
    </row>
    <row r="56" spans="2:22" x14ac:dyDescent="0.3">
      <c r="B56" s="82">
        <v>0.1</v>
      </c>
      <c r="C56" s="53">
        <f t="dataTable" ref="C56:C61" dt2D="0" dtr="0" r1="C37" ca="1"/>
        <v>0.58193836792933973</v>
      </c>
    </row>
    <row r="57" spans="2:22" x14ac:dyDescent="0.3">
      <c r="B57" s="82">
        <v>0.2</v>
      </c>
      <c r="C57" s="53">
        <v>0.59222237998245086</v>
      </c>
    </row>
    <row r="58" spans="2:22" x14ac:dyDescent="0.3">
      <c r="B58" s="82">
        <v>0.3</v>
      </c>
      <c r="C58" s="53">
        <v>0.60651249369465565</v>
      </c>
    </row>
    <row r="59" spans="2:22" x14ac:dyDescent="0.3">
      <c r="B59" s="82">
        <v>0.4</v>
      </c>
      <c r="C59" s="53">
        <v>0.61509664727210445</v>
      </c>
    </row>
    <row r="60" spans="2:22" x14ac:dyDescent="0.3">
      <c r="B60" s="82">
        <v>0.5</v>
      </c>
      <c r="C60" s="53">
        <v>0.62940058252554509</v>
      </c>
    </row>
    <row r="61" spans="2:22" x14ac:dyDescent="0.3">
      <c r="B61" s="82">
        <v>0.6</v>
      </c>
      <c r="C61" s="53">
        <v>0.64115917950861634</v>
      </c>
    </row>
  </sheetData>
  <mergeCells count="14">
    <mergeCell ref="E8:I8"/>
    <mergeCell ref="O8:S8"/>
    <mergeCell ref="J8:N8"/>
    <mergeCell ref="T8:V8"/>
    <mergeCell ref="B8:B9"/>
    <mergeCell ref="C8:C9"/>
    <mergeCell ref="D8:D9"/>
    <mergeCell ref="T39:V39"/>
    <mergeCell ref="B39:B40"/>
    <mergeCell ref="C39:C40"/>
    <mergeCell ref="D39:D40"/>
    <mergeCell ref="E39:I39"/>
    <mergeCell ref="J39:N39"/>
    <mergeCell ref="O39:S3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4BDF-4600-4AAB-9AB2-FC4C77A21EB7}">
  <dimension ref="B1:Z39"/>
  <sheetViews>
    <sheetView showGridLines="0" tabSelected="1" workbookViewId="0">
      <selection activeCell="H44" sqref="H44"/>
    </sheetView>
  </sheetViews>
  <sheetFormatPr defaultRowHeight="14.4" x14ac:dyDescent="0.3"/>
  <cols>
    <col min="2" max="2" width="14.88671875" customWidth="1"/>
    <col min="3" max="3" width="23.88671875" bestFit="1" customWidth="1"/>
    <col min="4" max="5" width="18" bestFit="1" customWidth="1"/>
    <col min="6" max="6" width="17.6640625" bestFit="1" customWidth="1"/>
    <col min="7" max="7" width="19.21875" bestFit="1" customWidth="1"/>
    <col min="8" max="8" width="16.21875" bestFit="1" customWidth="1"/>
    <col min="9" max="9" width="6.109375" bestFit="1" customWidth="1"/>
    <col min="10" max="10" width="6.5546875" bestFit="1" customWidth="1"/>
    <col min="11" max="11" width="6" bestFit="1" customWidth="1"/>
    <col min="12" max="12" width="8.5546875" bestFit="1" customWidth="1"/>
    <col min="13" max="16" width="10" bestFit="1" customWidth="1"/>
    <col min="17" max="17" width="8.5546875" bestFit="1" customWidth="1"/>
    <col min="18" max="18" width="7.5546875" bestFit="1" customWidth="1"/>
    <col min="19" max="19" width="8.5546875" bestFit="1" customWidth="1"/>
    <col min="20" max="21" width="10" bestFit="1" customWidth="1"/>
    <col min="22" max="22" width="16.33203125" bestFit="1" customWidth="1"/>
    <col min="23" max="23" width="15.109375" bestFit="1" customWidth="1"/>
    <col min="24" max="24" width="14.109375" bestFit="1" customWidth="1"/>
    <col min="25" max="25" width="13.77734375" customWidth="1"/>
    <col min="26" max="26" width="13.44140625" customWidth="1"/>
  </cols>
  <sheetData>
    <row r="1" spans="2:26" ht="21" x14ac:dyDescent="0.4">
      <c r="B1" s="65" t="s">
        <v>116</v>
      </c>
    </row>
    <row r="3" spans="2:26" x14ac:dyDescent="0.3">
      <c r="B3" s="8" t="s">
        <v>112</v>
      </c>
    </row>
    <row r="5" spans="2:26" x14ac:dyDescent="0.3">
      <c r="B5" s="7" t="s">
        <v>82</v>
      </c>
    </row>
    <row r="6" spans="2:26" ht="39.6" customHeight="1" x14ac:dyDescent="0.3">
      <c r="B6" s="110" t="s">
        <v>113</v>
      </c>
      <c r="C6" s="107">
        <v>0.1</v>
      </c>
      <c r="D6" s="119"/>
      <c r="E6" s="119"/>
    </row>
    <row r="8" spans="2:26" x14ac:dyDescent="0.3">
      <c r="B8" s="103" t="s">
        <v>7</v>
      </c>
      <c r="C8" s="111" t="s">
        <v>117</v>
      </c>
      <c r="D8" s="111" t="s">
        <v>122</v>
      </c>
      <c r="E8" s="111" t="s">
        <v>123</v>
      </c>
      <c r="F8" s="103" t="s">
        <v>84</v>
      </c>
      <c r="G8" s="104" t="s">
        <v>22</v>
      </c>
      <c r="H8" s="104"/>
      <c r="I8" s="104"/>
      <c r="J8" s="104"/>
      <c r="K8" s="104"/>
      <c r="L8" s="105" t="s">
        <v>30</v>
      </c>
      <c r="M8" s="105"/>
      <c r="N8" s="105"/>
      <c r="O8" s="105"/>
      <c r="P8" s="105"/>
      <c r="Q8" s="106" t="s">
        <v>77</v>
      </c>
      <c r="R8" s="106"/>
      <c r="S8" s="106"/>
      <c r="T8" s="106"/>
      <c r="U8" s="106"/>
      <c r="V8" s="117" t="s">
        <v>78</v>
      </c>
      <c r="W8" s="117"/>
      <c r="X8" s="117"/>
      <c r="Y8" s="117"/>
      <c r="Z8" s="118" t="s">
        <v>124</v>
      </c>
    </row>
    <row r="9" spans="2:26" ht="28.8" customHeight="1" x14ac:dyDescent="0.3">
      <c r="B9" s="91"/>
      <c r="C9" s="93"/>
      <c r="D9" s="93"/>
      <c r="E9" s="93"/>
      <c r="F9" s="91"/>
      <c r="G9" s="72" t="s">
        <v>23</v>
      </c>
      <c r="H9" s="72" t="s">
        <v>24</v>
      </c>
      <c r="I9" s="72" t="s">
        <v>25</v>
      </c>
      <c r="J9" s="72" t="s">
        <v>26</v>
      </c>
      <c r="K9" s="72" t="s">
        <v>27</v>
      </c>
      <c r="L9" s="73" t="s">
        <v>23</v>
      </c>
      <c r="M9" s="73" t="s">
        <v>24</v>
      </c>
      <c r="N9" s="73" t="s">
        <v>25</v>
      </c>
      <c r="O9" s="73" t="s">
        <v>26</v>
      </c>
      <c r="P9" s="73" t="s">
        <v>27</v>
      </c>
      <c r="Q9" s="74" t="s">
        <v>23</v>
      </c>
      <c r="R9" s="74" t="s">
        <v>24</v>
      </c>
      <c r="S9" s="74" t="s">
        <v>25</v>
      </c>
      <c r="T9" s="74" t="s">
        <v>26</v>
      </c>
      <c r="U9" s="74" t="s">
        <v>27</v>
      </c>
      <c r="V9" s="73" t="s">
        <v>30</v>
      </c>
      <c r="W9" s="74" t="s">
        <v>77</v>
      </c>
      <c r="X9" s="72" t="s">
        <v>22</v>
      </c>
      <c r="Y9" s="116" t="s">
        <v>80</v>
      </c>
      <c r="Z9" s="118"/>
    </row>
    <row r="10" spans="2:26" x14ac:dyDescent="0.3">
      <c r="B10" s="21">
        <v>2022</v>
      </c>
      <c r="C10" s="114" cm="1">
        <f t="array" ref="C10">INDEX('1.Data Sources'!$X$5:$X$19,MATCH('8.Tradeoff Analysis'!B10,'1.Data Sources'!$W$5:$W$19,0),0)</f>
        <v>1012</v>
      </c>
      <c r="D10" s="114"/>
      <c r="E10" s="114"/>
      <c r="F10" s="6">
        <v>1157469.6299999999</v>
      </c>
      <c r="G10" s="115">
        <f>'3. Consequence Variables'!Q34</f>
        <v>0.18</v>
      </c>
      <c r="H10" s="50">
        <v>0.06</v>
      </c>
      <c r="I10" s="17">
        <f>(F10*'3. Consequence Variables'!$C$14)+'3. Consequence Variables'!$C$15</f>
        <v>0.45549392599999994</v>
      </c>
      <c r="J10" s="17">
        <f t="shared" ref="J10:J18" si="0">0.9949</f>
        <v>0.99490000000000001</v>
      </c>
      <c r="K10" s="17">
        <v>0.67916772545882353</v>
      </c>
      <c r="L10" s="6" cm="1">
        <f t="array" ref="L10">INDEX('5.As-is Analysis'!$C$7:$C$29,MATCH('8.Tradeoff Analysis'!B10,'5.As-is Analysis'!$B$7:$B$29,0),0)</f>
        <v>813000</v>
      </c>
      <c r="M10" s="6" cm="1">
        <f t="array" ref="M10">INDEX('5.As-is Analysis'!$D$7:$D$29,MATCH('8.Tradeoff Analysis'!B10,'5.As-is Analysis'!$B$7:$B$29,0),0)</f>
        <v>1001000</v>
      </c>
      <c r="N10" s="6" cm="1">
        <f t="array" ref="N10">INDEX('5.As-is Analysis'!$E$7:$E$29,MATCH('8.Tradeoff Analysis'!B10,'5.As-is Analysis'!$B$7:$B$29,0),0)</f>
        <v>1064000</v>
      </c>
      <c r="O10" s="6" cm="1">
        <f t="array" ref="O10">INDEX('5.As-is Analysis'!$F$7:$F$29,MATCH('8.Tradeoff Analysis'!B10,'5.As-is Analysis'!$B$7:$B$29,0),0)</f>
        <v>1430000</v>
      </c>
      <c r="P10" s="6" cm="1">
        <f t="array" ref="P10">INDEX('5.As-is Analysis'!$G$7:$G$29,MATCH('8.Tradeoff Analysis'!B10,'5.As-is Analysis'!$B$7:$B$29,0),0)</f>
        <v>3077000</v>
      </c>
      <c r="Q10" s="48">
        <f>G10*L10</f>
        <v>146340</v>
      </c>
      <c r="R10" s="48">
        <f t="shared" ref="R10:R18" si="1">H10*M10</f>
        <v>60060</v>
      </c>
      <c r="S10" s="48">
        <f t="shared" ref="S10:S18" si="2">I10*N10</f>
        <v>484645.53726399993</v>
      </c>
      <c r="T10" s="48">
        <f t="shared" ref="T10:T18" si="3">J10*O10</f>
        <v>1422707</v>
      </c>
      <c r="U10" s="48">
        <f t="shared" ref="U10:U18" si="4">K10*P10</f>
        <v>2089799.0912368</v>
      </c>
      <c r="V10" s="48">
        <f>SUM(L10:P10)</f>
        <v>7385000</v>
      </c>
      <c r="W10" s="48">
        <f>SUM(Q10:U10)</f>
        <v>4203551.6285007996</v>
      </c>
      <c r="X10" s="20">
        <f>W10/V10</f>
        <v>0.56920130379157752</v>
      </c>
      <c r="Y10" s="48">
        <f>V10-W10</f>
        <v>3181448.3714992004</v>
      </c>
      <c r="Z10" s="48">
        <f>(Y10*'4. Secondary Perf Variables'!$G$115)+'4. Secondary Perf Variables'!$G$116</f>
        <v>1264484.1739953295</v>
      </c>
    </row>
    <row r="11" spans="2:26" x14ac:dyDescent="0.3">
      <c r="B11" s="21">
        <v>2023</v>
      </c>
      <c r="C11" s="113">
        <f>C10*(1+$C$6)</f>
        <v>1113.2</v>
      </c>
      <c r="D11" s="113">
        <f>C10</f>
        <v>1012</v>
      </c>
      <c r="E11" s="113"/>
      <c r="F11" s="6">
        <v>1076446.7558999998</v>
      </c>
      <c r="G11" s="115">
        <f>(D11*'3. Consequence Variables'!$C$56)+('3. Consequence Variables'!$C$57*'8.Tradeoff Analysis'!E11)+'3. Consequence Variables'!$C$54</f>
        <v>0.12348114158056862</v>
      </c>
      <c r="H11" s="50">
        <v>0.06</v>
      </c>
      <c r="I11" s="50">
        <f>(F11*'3. Consequence Variables'!$C$14)+'3. Consequence Variables'!$C$15</f>
        <v>0.43928935117999995</v>
      </c>
      <c r="J11" s="17">
        <f t="shared" si="0"/>
        <v>0.99490000000000001</v>
      </c>
      <c r="K11" s="17">
        <v>0.71566119499326442</v>
      </c>
      <c r="L11" s="6" cm="1">
        <f t="array" ref="L11">INDEX('5.As-is Analysis'!$C$7:$C$29,MATCH('8.Tradeoff Analysis'!B11,'5.As-is Analysis'!$B$7:$B$29,0),0)</f>
        <v>824399.70647654601</v>
      </c>
      <c r="M11" s="6" cm="1">
        <f t="array" ref="M11">INDEX('5.As-is Analysis'!$D$7:$D$29,MATCH('8.Tradeoff Analysis'!B11,'5.As-is Analysis'!$B$7:$B$29,0),0)</f>
        <v>936985.5771630368</v>
      </c>
      <c r="N11" s="6" cm="1">
        <f t="array" aca="1" ref="N11" ca="1">INDEX('5.As-is Analysis'!$E$7:$E$29,MATCH('8.Tradeoff Analysis'!B11,'5.As-is Analysis'!$B$7:$B$29,0),0)</f>
        <v>1383900</v>
      </c>
      <c r="O11" s="6" cm="1">
        <f t="array" ref="O11">INDEX('5.As-is Analysis'!$F$7:$F$29,MATCH('8.Tradeoff Analysis'!B11,'5.As-is Analysis'!$B$7:$B$29,0),0)</f>
        <v>1565832.3933627997</v>
      </c>
      <c r="P11" s="6" cm="1">
        <f t="array" ref="P11">INDEX('5.As-is Analysis'!$G$7:$G$29,MATCH('8.Tradeoff Analysis'!B11,'5.As-is Analysis'!$B$7:$B$29,0),0)</f>
        <v>3497734.2940651798</v>
      </c>
      <c r="Q11" s="48">
        <f t="shared" ref="Q11:Q18" si="5">G11*L11</f>
        <v>101797.81687440959</v>
      </c>
      <c r="R11" s="48">
        <f t="shared" si="1"/>
        <v>56219.134629782209</v>
      </c>
      <c r="S11" s="48">
        <f t="shared" ca="1" si="2"/>
        <v>607932.53309800196</v>
      </c>
      <c r="T11" s="48">
        <f t="shared" si="3"/>
        <v>1557846.6481566494</v>
      </c>
      <c r="U11" s="48">
        <f t="shared" si="4"/>
        <v>2503192.7046596087</v>
      </c>
      <c r="V11" s="48">
        <f t="shared" ref="V11:V18" ca="1" si="6">SUM(L11:P11)</f>
        <v>8208851.9710675627</v>
      </c>
      <c r="W11" s="48">
        <f t="shared" ref="W11:W18" ca="1" si="7">SUM(Q11:U11)</f>
        <v>4826988.8374184519</v>
      </c>
      <c r="X11" s="20">
        <f t="shared" ref="X11:X18" ca="1" si="8">W11/V11</f>
        <v>0.58802240001785555</v>
      </c>
      <c r="Y11" s="48">
        <f t="shared" ref="Y11:Y18" ca="1" si="9">V11-W11</f>
        <v>3381863.1336491108</v>
      </c>
      <c r="Z11" s="48">
        <f ca="1">(Y11*'4. Secondary Perf Variables'!$G$115)+'4. Secondary Perf Variables'!$G$116</f>
        <v>1470129.7614373527</v>
      </c>
    </row>
    <row r="12" spans="2:26" x14ac:dyDescent="0.3">
      <c r="B12" s="21">
        <v>2024</v>
      </c>
      <c r="C12" s="113">
        <f t="shared" ref="C12:C18" si="10">C11*(1+$C$6)</f>
        <v>1224.5200000000002</v>
      </c>
      <c r="D12" s="113">
        <f>C11</f>
        <v>1113.2</v>
      </c>
      <c r="E12" s="113">
        <f>C10</f>
        <v>1012</v>
      </c>
      <c r="F12" s="6">
        <v>1001095.4829869997</v>
      </c>
      <c r="G12" s="115">
        <f>(D12*'3. Consequence Variables'!$C$56)+('3. Consequence Variables'!$C$57*'8.Tradeoff Analysis'!E12)+'3. Consequence Variables'!$C$54</f>
        <v>0.16475554594580993</v>
      </c>
      <c r="H12" s="50">
        <v>0.06</v>
      </c>
      <c r="I12" s="50">
        <f>(F12*'3. Consequence Variables'!$C$14)+'3. Consequence Variables'!$C$15</f>
        <v>0.42421909659739993</v>
      </c>
      <c r="J12" s="17">
        <f t="shared" si="0"/>
        <v>0.99490000000000001</v>
      </c>
      <c r="K12" s="17">
        <v>0.71566119499326442</v>
      </c>
      <c r="L12" s="6" cm="1">
        <f t="array" ref="L12">INDEX('5.As-is Analysis'!$C$7:$C$29,MATCH('8.Tradeoff Analysis'!B12,'5.As-is Analysis'!$B$7:$B$29,0),0)</f>
        <v>858630.58167594066</v>
      </c>
      <c r="M12" s="6" cm="1">
        <f t="array" ref="M12">INDEX('5.As-is Analysis'!$D$7:$D$29,MATCH('8.Tradeoff Analysis'!B12,'5.As-is Analysis'!$B$7:$B$29,0),0)</f>
        <v>946862.1575034376</v>
      </c>
      <c r="N12" s="6" cm="1">
        <f t="array" aca="1" ref="N12" ca="1">INDEX('5.As-is Analysis'!$E$7:$E$29,MATCH('8.Tradeoff Analysis'!B12,'5.As-is Analysis'!$B$7:$B$29,0),0)</f>
        <v>1252000</v>
      </c>
      <c r="O12" s="6" cm="1">
        <f t="array" ref="O12">INDEX('5.As-is Analysis'!$F$7:$F$29,MATCH('8.Tradeoff Analysis'!B12,'5.As-is Analysis'!$B$7:$B$29,0),0)</f>
        <v>1728151.7130468939</v>
      </c>
      <c r="P12" s="6" cm="1">
        <f t="array" ref="P12">INDEX('5.As-is Analysis'!$G$7:$G$29,MATCH('8.Tradeoff Analysis'!B12,'5.As-is Analysis'!$B$7:$B$29,0),0)</f>
        <v>3977234.9968625978</v>
      </c>
      <c r="Q12" s="48">
        <f t="shared" si="5"/>
        <v>141464.15024978796</v>
      </c>
      <c r="R12" s="48">
        <f t="shared" si="1"/>
        <v>56811.72945020625</v>
      </c>
      <c r="S12" s="48">
        <f t="shared" ca="1" si="2"/>
        <v>531122.30893994472</v>
      </c>
      <c r="T12" s="48">
        <f t="shared" si="3"/>
        <v>1719338.1393103548</v>
      </c>
      <c r="U12" s="48">
        <f t="shared" si="4"/>
        <v>2846352.7506237188</v>
      </c>
      <c r="V12" s="48">
        <f t="shared" ca="1" si="6"/>
        <v>8762879.4490888696</v>
      </c>
      <c r="W12" s="48">
        <f t="shared" ca="1" si="7"/>
        <v>5295089.078574013</v>
      </c>
      <c r="X12" s="20">
        <f t="shared" ca="1" si="8"/>
        <v>0.60426359957794196</v>
      </c>
      <c r="Y12" s="48">
        <f t="shared" ca="1" si="9"/>
        <v>3467790.3705148567</v>
      </c>
      <c r="Z12" s="48">
        <f ca="1">(Y12*'4. Secondary Perf Variables'!$G$115)+'4. Secondary Perf Variables'!$G$116</f>
        <v>1558299.6991852946</v>
      </c>
    </row>
    <row r="13" spans="2:26" x14ac:dyDescent="0.3">
      <c r="B13" s="21">
        <v>2025</v>
      </c>
      <c r="C13" s="113">
        <f t="shared" si="10"/>
        <v>1346.9720000000004</v>
      </c>
      <c r="D13" s="113">
        <f t="shared" ref="D13:D18" si="11">C12</f>
        <v>1224.5200000000002</v>
      </c>
      <c r="E13" s="113">
        <f t="shared" ref="E13:E18" si="12">C11</f>
        <v>1113.2</v>
      </c>
      <c r="F13" s="6">
        <v>931018.79917790962</v>
      </c>
      <c r="G13" s="115">
        <f>(D13*'3. Consequence Variables'!$C$56)+('3. Consequence Variables'!$C$57*'8.Tradeoff Analysis'!E13)+'3. Consequence Variables'!$C$54</f>
        <v>0.17204740027337706</v>
      </c>
      <c r="H13" s="50">
        <v>0.06</v>
      </c>
      <c r="I13" s="50">
        <f>(F13*'3. Consequence Variables'!$C$14)+'3. Consequence Variables'!$C$15</f>
        <v>0.41020375983558188</v>
      </c>
      <c r="J13" s="17">
        <f t="shared" si="0"/>
        <v>0.99490000000000001</v>
      </c>
      <c r="K13" s="17">
        <v>0.72450514302224789</v>
      </c>
      <c r="L13" s="6" cm="1">
        <f t="array" ref="L13">INDEX('5.As-is Analysis'!$C$7:$C$29,MATCH('8.Tradeoff Analysis'!B13,'5.As-is Analysis'!$B$7:$B$29,0),0)</f>
        <v>873779.07744686096</v>
      </c>
      <c r="M13" s="6" cm="1">
        <f t="array" ref="M13">INDEX('5.As-is Analysis'!$D$7:$D$29,MATCH('8.Tradeoff Analysis'!B13,'5.As-is Analysis'!$B$7:$B$29,0),0)</f>
        <v>961538.1143921318</v>
      </c>
      <c r="N13" s="6" cm="1">
        <f t="array" aca="1" ref="N13" ca="1">INDEX('5.As-is Analysis'!$E$7:$E$29,MATCH('8.Tradeoff Analysis'!B13,'5.As-is Analysis'!$B$7:$B$29,0),0)</f>
        <v>1136000</v>
      </c>
      <c r="O13" s="6" cm="1">
        <f t="array" ref="O13">INDEX('5.As-is Analysis'!$F$7:$F$29,MATCH('8.Tradeoff Analysis'!B13,'5.As-is Analysis'!$B$7:$B$29,0),0)</f>
        <v>1769542.198902149</v>
      </c>
      <c r="P13" s="6" cm="1">
        <f t="array" ref="P13">INDEX('5.As-is Analysis'!$G$7:$G$29,MATCH('8.Tradeoff Analysis'!B13,'5.As-is Analysis'!$B$7:$B$29,0),0)</f>
        <v>4077463.5838415138</v>
      </c>
      <c r="Q13" s="48">
        <f t="shared" si="5"/>
        <v>150331.41868800222</v>
      </c>
      <c r="R13" s="48">
        <f t="shared" si="1"/>
        <v>57692.286863527908</v>
      </c>
      <c r="S13" s="48">
        <f t="shared" ca="1" si="2"/>
        <v>465991.47117322101</v>
      </c>
      <c r="T13" s="48">
        <f t="shared" si="3"/>
        <v>1760517.533687748</v>
      </c>
      <c r="U13" s="48">
        <f t="shared" si="4"/>
        <v>2954143.3369791033</v>
      </c>
      <c r="V13" s="48">
        <f t="shared" ca="1" si="6"/>
        <v>8818322.9745826554</v>
      </c>
      <c r="W13" s="48">
        <f t="shared" ca="1" si="7"/>
        <v>5388676.0473916028</v>
      </c>
      <c r="X13" s="20">
        <f t="shared" ca="1" si="8"/>
        <v>0.611077192672979</v>
      </c>
      <c r="Y13" s="48">
        <f t="shared" ca="1" si="9"/>
        <v>3429646.9271910526</v>
      </c>
      <c r="Z13" s="48">
        <f ca="1">(Y13*'4. Secondary Perf Variables'!$G$115)+'4. Secondary Perf Variables'!$G$116</f>
        <v>1519160.7119907392</v>
      </c>
    </row>
    <row r="14" spans="2:26" x14ac:dyDescent="0.3">
      <c r="B14" s="21">
        <v>2026</v>
      </c>
      <c r="C14" s="113">
        <f t="shared" si="10"/>
        <v>1481.6692000000005</v>
      </c>
      <c r="D14" s="113">
        <f t="shared" si="11"/>
        <v>1346.9720000000004</v>
      </c>
      <c r="E14" s="113">
        <f t="shared" si="12"/>
        <v>1224.5200000000002</v>
      </c>
      <c r="F14" s="6">
        <v>865847.48323545593</v>
      </c>
      <c r="G14" s="115">
        <f>(D14*'3. Consequence Variables'!$C$56)+('3. Consequence Variables'!$C$57*'8.Tradeoff Analysis'!E14)+'3. Consequence Variables'!$C$54</f>
        <v>0.18006844003370087</v>
      </c>
      <c r="H14" s="50">
        <v>0.06</v>
      </c>
      <c r="I14" s="50">
        <f>(F14*'3. Consequence Variables'!$C$14)+'3. Consequence Variables'!$C$15</f>
        <v>0.39716949664709122</v>
      </c>
      <c r="J14" s="17">
        <f t="shared" si="0"/>
        <v>0.99490000000000001</v>
      </c>
      <c r="K14" s="17">
        <v>0.60128012215132176</v>
      </c>
      <c r="L14" s="6" cm="1">
        <f t="array" ref="L14">INDEX('5.As-is Analysis'!$C$7:$C$29,MATCH('8.Tradeoff Analysis'!B14,'5.As-is Analysis'!$B$7:$B$29,0),0)</f>
        <v>888927.57321778126</v>
      </c>
      <c r="M14" s="6" cm="1">
        <f t="array" ref="M14">INDEX('5.As-is Analysis'!$D$7:$D$29,MATCH('8.Tradeoff Analysis'!B14,'5.As-is Analysis'!$B$7:$B$29,0),0)</f>
        <v>976214.071280826</v>
      </c>
      <c r="N14" s="6" cm="1">
        <f t="array" aca="1" ref="N14" ca="1">INDEX('5.As-is Analysis'!$E$7:$E$29,MATCH('8.Tradeoff Analysis'!B14,'5.As-is Analysis'!$B$7:$B$29,0),0)</f>
        <v>1183100</v>
      </c>
      <c r="O14" s="6" cm="1">
        <f t="array" ref="O14">INDEX('5.As-is Analysis'!$F$7:$F$29,MATCH('8.Tradeoff Analysis'!B14,'5.As-is Analysis'!$B$7:$B$29,0),0)</f>
        <v>1810932.684757404</v>
      </c>
      <c r="P14" s="6" cm="1">
        <f t="array" ref="P14">INDEX('5.As-is Analysis'!$G$7:$G$29,MATCH('8.Tradeoff Analysis'!B14,'5.As-is Analysis'!$B$7:$B$29,0),0)</f>
        <v>4177692.1708204304</v>
      </c>
      <c r="Q14" s="48">
        <f t="shared" si="5"/>
        <v>160067.8014122693</v>
      </c>
      <c r="R14" s="48">
        <f t="shared" si="1"/>
        <v>58572.844276849559</v>
      </c>
      <c r="S14" s="48">
        <f t="shared" ca="1" si="2"/>
        <v>469891.23148317361</v>
      </c>
      <c r="T14" s="48">
        <f t="shared" si="3"/>
        <v>1801696.9280651412</v>
      </c>
      <c r="U14" s="48">
        <f t="shared" si="4"/>
        <v>2511963.258781529</v>
      </c>
      <c r="V14" s="48">
        <f t="shared" ca="1" si="6"/>
        <v>9036866.5000764411</v>
      </c>
      <c r="W14" s="48">
        <f t="shared" ca="1" si="7"/>
        <v>5002192.0640189629</v>
      </c>
      <c r="X14" s="20">
        <f t="shared" ca="1" si="8"/>
        <v>0.55353169862326179</v>
      </c>
      <c r="Y14" s="48">
        <f t="shared" ca="1" si="9"/>
        <v>4034674.4360574782</v>
      </c>
      <c r="Z14" s="48">
        <f ca="1">(Y14*'4. Secondary Perf Variables'!$G$115)+'4. Secondary Perf Variables'!$G$116</f>
        <v>2139979.4388385783</v>
      </c>
    </row>
    <row r="15" spans="2:26" x14ac:dyDescent="0.3">
      <c r="B15" s="21">
        <v>2027</v>
      </c>
      <c r="C15" s="113">
        <f t="shared" si="10"/>
        <v>1629.8361200000006</v>
      </c>
      <c r="D15" s="113">
        <f t="shared" si="11"/>
        <v>1481.6692000000005</v>
      </c>
      <c r="E15" s="113">
        <f t="shared" si="12"/>
        <v>1346.9720000000004</v>
      </c>
      <c r="F15" s="6">
        <v>805238.159408974</v>
      </c>
      <c r="G15" s="115">
        <f>(D15*'3. Consequence Variables'!$C$56)+('3. Consequence Variables'!$C$57*'8.Tradeoff Analysis'!E15)+'3. Consequence Variables'!$C$54</f>
        <v>0.18889158377005708</v>
      </c>
      <c r="H15" s="50">
        <v>0.06</v>
      </c>
      <c r="I15" s="50">
        <f>(F15*'3. Consequence Variables'!$C$14)+'3. Consequence Variables'!$C$15</f>
        <v>0.38504763188179481</v>
      </c>
      <c r="J15" s="17">
        <f t="shared" si="0"/>
        <v>0.99490000000000001</v>
      </c>
      <c r="K15" s="17">
        <v>0.69616342680332621</v>
      </c>
      <c r="L15" s="6" cm="1">
        <f t="array" ref="L15">INDEX('5.As-is Analysis'!$C$7:$C$29,MATCH('8.Tradeoff Analysis'!B15,'5.As-is Analysis'!$B$7:$B$29,0),0)</f>
        <v>904076.06898870156</v>
      </c>
      <c r="M15" s="6" cm="1">
        <f t="array" ref="M15">INDEX('5.As-is Analysis'!$D$7:$D$29,MATCH('8.Tradeoff Analysis'!B15,'5.As-is Analysis'!$B$7:$B$29,0),0)</f>
        <v>990890.0281695202</v>
      </c>
      <c r="N15" s="6" cm="1">
        <f t="array" aca="1" ref="N15" ca="1">INDEX('5.As-is Analysis'!$E$7:$E$29,MATCH('8.Tradeoff Analysis'!B15,'5.As-is Analysis'!$B$7:$B$29,0),0)</f>
        <v>1201000</v>
      </c>
      <c r="O15" s="6" cm="1">
        <f t="array" ref="O15">INDEX('5.As-is Analysis'!$F$7:$F$29,MATCH('8.Tradeoff Analysis'!B15,'5.As-is Analysis'!$B$7:$B$29,0),0)</f>
        <v>1852323.1706126588</v>
      </c>
      <c r="P15" s="6" cm="1">
        <f t="array" ref="P15">INDEX('5.As-is Analysis'!$G$7:$G$29,MATCH('8.Tradeoff Analysis'!B15,'5.As-is Analysis'!$B$7:$B$29,0),0)</f>
        <v>4277920.7577993469</v>
      </c>
      <c r="Q15" s="48">
        <f t="shared" si="5"/>
        <v>170772.36051988322</v>
      </c>
      <c r="R15" s="48">
        <f t="shared" si="1"/>
        <v>59453.401690171209</v>
      </c>
      <c r="S15" s="48">
        <f t="shared" ca="1" si="2"/>
        <v>462442.20589003555</v>
      </c>
      <c r="T15" s="48">
        <f t="shared" si="3"/>
        <v>1842876.3224425344</v>
      </c>
      <c r="U15" s="48">
        <f t="shared" si="4"/>
        <v>2978131.9743426754</v>
      </c>
      <c r="V15" s="48">
        <f t="shared" ca="1" si="6"/>
        <v>9226210.0255702287</v>
      </c>
      <c r="W15" s="48">
        <f t="shared" ca="1" si="7"/>
        <v>5513676.2648852998</v>
      </c>
      <c r="X15" s="20">
        <f t="shared" ca="1" si="8"/>
        <v>0.59761009662735542</v>
      </c>
      <c r="Y15" s="48">
        <f t="shared" ca="1" si="9"/>
        <v>3712533.7606849289</v>
      </c>
      <c r="Z15" s="48">
        <f ca="1">(Y15*'4. Secondary Perf Variables'!$G$115)+'4. Secondary Perf Variables'!$G$116</f>
        <v>1809430.8918388058</v>
      </c>
    </row>
    <row r="16" spans="2:26" x14ac:dyDescent="0.3">
      <c r="B16" s="21">
        <v>2028</v>
      </c>
      <c r="C16" s="113">
        <f t="shared" si="10"/>
        <v>1792.8197320000008</v>
      </c>
      <c r="D16" s="113">
        <f t="shared" si="11"/>
        <v>1629.8361200000006</v>
      </c>
      <c r="E16" s="113">
        <f t="shared" si="12"/>
        <v>1481.6692000000005</v>
      </c>
      <c r="F16" s="6">
        <v>748871.48825034581</v>
      </c>
      <c r="G16" s="115">
        <f>(D16*'3. Consequence Variables'!$C$56)+('3. Consequence Variables'!$C$57*'8.Tradeoff Analysis'!E16)+'3. Consequence Variables'!$C$54</f>
        <v>0.1985970418800489</v>
      </c>
      <c r="H16" s="50">
        <v>0.06</v>
      </c>
      <c r="I16" s="50">
        <f>(F16*'3. Consequence Variables'!$C$14)+'3. Consequence Variables'!$C$15</f>
        <v>0.3737742976500692</v>
      </c>
      <c r="J16" s="17">
        <f t="shared" si="0"/>
        <v>0.99490000000000001</v>
      </c>
      <c r="K16" s="17">
        <v>0.73161666197579511</v>
      </c>
      <c r="L16" s="6" cm="1">
        <f t="array" ref="L16">INDEX('5.As-is Analysis'!$C$7:$C$29,MATCH('8.Tradeoff Analysis'!B16,'5.As-is Analysis'!$B$7:$B$29,0),0)</f>
        <v>919224.56475962198</v>
      </c>
      <c r="M16" s="6" cm="1">
        <f t="array" ref="M16">INDEX('5.As-is Analysis'!$D$7:$D$29,MATCH('8.Tradeoff Analysis'!B16,'5.As-is Analysis'!$B$7:$B$29,0),0)</f>
        <v>1005565.9850582145</v>
      </c>
      <c r="N16" s="6" cm="1">
        <f t="array" aca="1" ref="N16" ca="1">INDEX('5.As-is Analysis'!$E$7:$E$29,MATCH('8.Tradeoff Analysis'!B16,'5.As-is Analysis'!$B$7:$B$29,0),0)</f>
        <v>1064000</v>
      </c>
      <c r="O16" s="6" cm="1">
        <f t="array" ref="O16">INDEX('5.As-is Analysis'!$F$7:$F$29,MATCH('8.Tradeoff Analysis'!B16,'5.As-is Analysis'!$B$7:$B$29,0),0)</f>
        <v>1893713.6564679136</v>
      </c>
      <c r="P16" s="6" cm="1">
        <f t="array" ref="P16">INDEX('5.As-is Analysis'!$G$7:$G$29,MATCH('8.Tradeoff Analysis'!B16,'5.As-is Analysis'!$B$7:$B$29,0),0)</f>
        <v>4378149.344778263</v>
      </c>
      <c r="Q16" s="48">
        <f t="shared" si="5"/>
        <v>182555.27938473638</v>
      </c>
      <c r="R16" s="48">
        <f t="shared" si="1"/>
        <v>60333.959103492867</v>
      </c>
      <c r="S16" s="48">
        <f t="shared" ca="1" si="2"/>
        <v>397695.85269967362</v>
      </c>
      <c r="T16" s="48">
        <f t="shared" si="3"/>
        <v>1884055.7168199273</v>
      </c>
      <c r="U16" s="48">
        <f t="shared" si="4"/>
        <v>3203127.0092581874</v>
      </c>
      <c r="V16" s="48">
        <f t="shared" ca="1" si="6"/>
        <v>9260653.5510640144</v>
      </c>
      <c r="W16" s="48">
        <f t="shared" ca="1" si="7"/>
        <v>5727767.8172660172</v>
      </c>
      <c r="X16" s="20">
        <f t="shared" ca="1" si="8"/>
        <v>0.61850578748925533</v>
      </c>
      <c r="Y16" s="48">
        <f t="shared" ca="1" si="9"/>
        <v>3532885.7337979972</v>
      </c>
      <c r="Z16" s="48">
        <f ca="1">(Y16*'4. Secondary Perf Variables'!$G$115)+'4. Secondary Perf Variables'!$G$116</f>
        <v>1625094.0514501249</v>
      </c>
    </row>
    <row r="17" spans="2:26" x14ac:dyDescent="0.3">
      <c r="B17" s="21">
        <v>2029</v>
      </c>
      <c r="C17" s="113">
        <f t="shared" si="10"/>
        <v>1972.1017052000011</v>
      </c>
      <c r="D17" s="113">
        <f t="shared" si="11"/>
        <v>1792.8197320000008</v>
      </c>
      <c r="E17" s="113">
        <f t="shared" si="12"/>
        <v>1629.8361200000006</v>
      </c>
      <c r="F17" s="6">
        <v>696450.48407282156</v>
      </c>
      <c r="G17" s="115">
        <f>(D17*'3. Consequence Variables'!$C$56)+('3. Consequence Variables'!$C$57*'8.Tradeoff Analysis'!E17)+'3. Consequence Variables'!$C$54</f>
        <v>0.20927304580103986</v>
      </c>
      <c r="H17" s="50">
        <v>0.06</v>
      </c>
      <c r="I17" s="50">
        <f>(F17*'3. Consequence Variables'!$C$14)+'3. Consequence Variables'!$C$15</f>
        <v>0.36329009681456431</v>
      </c>
      <c r="J17" s="17">
        <f t="shared" si="0"/>
        <v>0.99490000000000001</v>
      </c>
      <c r="K17" s="17">
        <v>0.70808519245875878</v>
      </c>
      <c r="L17" s="6" cm="1">
        <f t="array" ref="L17">INDEX('5.As-is Analysis'!$C$7:$C$29,MATCH('8.Tradeoff Analysis'!B17,'5.As-is Analysis'!$B$7:$B$29,0),0)</f>
        <v>934373.06053054228</v>
      </c>
      <c r="M17" s="6" cm="1">
        <f t="array" ref="M17">INDEX('5.As-is Analysis'!$D$7:$D$29,MATCH('8.Tradeoff Analysis'!B17,'5.As-is Analysis'!$B$7:$B$29,0),0)</f>
        <v>1020241.9419469086</v>
      </c>
      <c r="N17" s="6" cm="1">
        <f t="array" aca="1" ref="N17" ca="1">INDEX('5.As-is Analysis'!$E$7:$E$29,MATCH('8.Tradeoff Analysis'!B17,'5.As-is Analysis'!$B$7:$B$29,0),0)</f>
        <v>1098600</v>
      </c>
      <c r="O17" s="6" cm="1">
        <f t="array" ref="O17">INDEX('5.As-is Analysis'!$F$7:$F$29,MATCH('8.Tradeoff Analysis'!B17,'5.As-is Analysis'!$B$7:$B$29,0),0)</f>
        <v>1935104.1423231687</v>
      </c>
      <c r="P17" s="6" cm="1">
        <f t="array" ref="P17">INDEX('5.As-is Analysis'!$G$7:$G$29,MATCH('8.Tradeoff Analysis'!B17,'5.As-is Analysis'!$B$7:$B$29,0),0)</f>
        <v>4478377.93175718</v>
      </c>
      <c r="Q17" s="48">
        <f t="shared" si="5"/>
        <v>195539.09629166598</v>
      </c>
      <c r="R17" s="48">
        <f t="shared" si="1"/>
        <v>61214.51651681451</v>
      </c>
      <c r="S17" s="48">
        <f t="shared" ca="1" si="2"/>
        <v>399110.50036048034</v>
      </c>
      <c r="T17" s="48">
        <f t="shared" si="3"/>
        <v>1925235.1111973205</v>
      </c>
      <c r="U17" s="48">
        <f t="shared" si="4"/>
        <v>3171073.0997113409</v>
      </c>
      <c r="V17" s="48">
        <f t="shared" ca="1" si="6"/>
        <v>9466697.0765578002</v>
      </c>
      <c r="W17" s="48">
        <f t="shared" ca="1" si="7"/>
        <v>5752172.324077622</v>
      </c>
      <c r="X17" s="20">
        <f t="shared" ca="1" si="8"/>
        <v>0.6076218851791102</v>
      </c>
      <c r="Y17" s="48">
        <f t="shared" ca="1" si="9"/>
        <v>3714524.7524801781</v>
      </c>
      <c r="Z17" s="48">
        <f ca="1">(Y17*'4. Secondary Perf Variables'!$G$115)+'4. Secondary Perf Variables'!$G$116</f>
        <v>1811473.8485199111</v>
      </c>
    </row>
    <row r="18" spans="2:26" x14ac:dyDescent="0.3">
      <c r="B18" s="21">
        <v>2030</v>
      </c>
      <c r="C18" s="113">
        <f t="shared" si="10"/>
        <v>2169.3118757200014</v>
      </c>
      <c r="D18" s="113">
        <f t="shared" si="11"/>
        <v>1972.1017052000011</v>
      </c>
      <c r="E18" s="113">
        <f t="shared" si="12"/>
        <v>1792.8197320000008</v>
      </c>
      <c r="F18" s="6">
        <v>647698.95018772397</v>
      </c>
      <c r="G18" s="115">
        <f>(D18*'3. Consequence Variables'!$C$56)+('3. Consequence Variables'!$C$57*'8.Tradeoff Analysis'!E18)+'3. Consequence Variables'!$C$54</f>
        <v>0.22101665011412999</v>
      </c>
      <c r="H18" s="50">
        <v>0.06</v>
      </c>
      <c r="I18" s="50">
        <f>(F18*'3. Consequence Variables'!$C$14)+'3. Consequence Variables'!$C$15</f>
        <v>0.35353979003754477</v>
      </c>
      <c r="J18" s="17">
        <f t="shared" si="0"/>
        <v>0.99490000000000001</v>
      </c>
      <c r="K18" s="17">
        <v>0.66325440718417528</v>
      </c>
      <c r="L18" s="6" cm="1">
        <f t="array" ref="L18">INDEX('5.As-is Analysis'!$C$7:$C$29,MATCH('8.Tradeoff Analysis'!B18,'5.As-is Analysis'!$B$7:$B$29,0),0)</f>
        <v>949521.55630146258</v>
      </c>
      <c r="M18" s="6" cm="1">
        <f t="array" ref="M18">INDEX('5.As-is Analysis'!$D$7:$D$29,MATCH('8.Tradeoff Analysis'!B18,'5.As-is Analysis'!$B$7:$B$29,0),0)</f>
        <v>1034917.8988356029</v>
      </c>
      <c r="N18" s="6" cm="1">
        <f t="array" aca="1" ref="N18" ca="1">INDEX('5.As-is Analysis'!$E$7:$E$29,MATCH('8.Tradeoff Analysis'!B18,'5.As-is Analysis'!$B$7:$B$29,0),0)</f>
        <v>1202900</v>
      </c>
      <c r="O18" s="6" cm="1">
        <f t="array" ref="O18">INDEX('5.As-is Analysis'!$F$7:$F$29,MATCH('8.Tradeoff Analysis'!B18,'5.As-is Analysis'!$B$7:$B$29,0),0)</f>
        <v>1976494.6281784237</v>
      </c>
      <c r="P18" s="6" cm="1">
        <f t="array" ref="P18">INDEX('5.As-is Analysis'!$G$7:$G$29,MATCH('8.Tradeoff Analysis'!B18,'5.As-is Analysis'!$B$7:$B$29,0),0)</f>
        <v>4578606.5187360961</v>
      </c>
      <c r="Q18" s="48">
        <f t="shared" si="5"/>
        <v>209860.07358490454</v>
      </c>
      <c r="R18" s="48">
        <f t="shared" si="1"/>
        <v>62095.073930136175</v>
      </c>
      <c r="S18" s="48">
        <f t="shared" ca="1" si="2"/>
        <v>425273.01343616261</v>
      </c>
      <c r="T18" s="48">
        <f t="shared" si="3"/>
        <v>1966414.5055747137</v>
      </c>
      <c r="U18" s="48">
        <f t="shared" si="4"/>
        <v>3036780.9523139098</v>
      </c>
      <c r="V18" s="48">
        <f t="shared" ca="1" si="6"/>
        <v>9742440.6020515859</v>
      </c>
      <c r="W18" s="48">
        <f t="shared" ca="1" si="7"/>
        <v>5700423.6188398264</v>
      </c>
      <c r="X18" s="20">
        <f t="shared" ca="1" si="8"/>
        <v>0.58511248378967973</v>
      </c>
      <c r="Y18" s="48">
        <f t="shared" ca="1" si="9"/>
        <v>4042016.9832117595</v>
      </c>
      <c r="Z18" s="48">
        <f ca="1">(Y18*'4. Secondary Perf Variables'!$G$115)+'4. Secondary Perf Variables'!$G$116</f>
        <v>2147513.6264735865</v>
      </c>
    </row>
    <row r="22" spans="2:26" x14ac:dyDescent="0.3">
      <c r="B22" s="8" t="s">
        <v>125</v>
      </c>
    </row>
    <row r="24" spans="2:26" x14ac:dyDescent="0.3">
      <c r="B24" s="32"/>
      <c r="C24" s="83">
        <f ca="1">X18</f>
        <v>0.58511248378967973</v>
      </c>
      <c r="F24" s="2" t="s">
        <v>127</v>
      </c>
      <c r="G24" s="2" t="s">
        <v>128</v>
      </c>
      <c r="H24" s="2" t="s">
        <v>124</v>
      </c>
    </row>
    <row r="25" spans="2:26" x14ac:dyDescent="0.3">
      <c r="B25" s="82">
        <v>0.1</v>
      </c>
      <c r="C25" s="53">
        <f t="dataTable" ref="C25:C29" dt2D="0" dtr="0" r1="C6" ca="1"/>
        <v>0.5837373154385872</v>
      </c>
      <c r="F25" s="20">
        <v>0.1</v>
      </c>
      <c r="G25" s="20">
        <v>0.58429533062698458</v>
      </c>
      <c r="H25" s="6">
        <v>2170398.6088133524</v>
      </c>
    </row>
    <row r="26" spans="2:26" x14ac:dyDescent="0.3">
      <c r="B26" s="82">
        <v>0.15</v>
      </c>
      <c r="C26" s="53">
        <v>0.58936350090039569</v>
      </c>
      <c r="F26" s="20">
        <v>0.15</v>
      </c>
      <c r="G26" s="20">
        <v>0.58957674627349532</v>
      </c>
      <c r="H26" s="6">
        <v>2105477.1654702364</v>
      </c>
    </row>
    <row r="27" spans="2:26" x14ac:dyDescent="0.3">
      <c r="B27" s="82">
        <v>0.2</v>
      </c>
      <c r="C27" s="53">
        <v>0.5946640754307615</v>
      </c>
      <c r="F27" s="20">
        <v>0.2</v>
      </c>
      <c r="G27" s="20">
        <v>0.59840653169215174</v>
      </c>
      <c r="H27" s="6">
        <v>2044931.3943147636</v>
      </c>
    </row>
    <row r="28" spans="2:26" x14ac:dyDescent="0.3">
      <c r="B28" s="82">
        <v>0.25</v>
      </c>
      <c r="C28" s="53">
        <v>0.60287926208003229</v>
      </c>
      <c r="F28" s="20">
        <v>0.25</v>
      </c>
      <c r="G28" s="20">
        <v>0.6014457676771201</v>
      </c>
      <c r="H28" s="6">
        <v>1885947.4464102462</v>
      </c>
    </row>
    <row r="29" spans="2:26" x14ac:dyDescent="0.3">
      <c r="B29" s="82">
        <v>0.3</v>
      </c>
      <c r="C29" s="53">
        <v>0.60851781369672253</v>
      </c>
      <c r="F29" s="20">
        <v>0.3</v>
      </c>
      <c r="G29" s="20">
        <v>0.61136156968297384</v>
      </c>
      <c r="H29" s="6">
        <v>1773397.3903494244</v>
      </c>
    </row>
    <row r="32" spans="2:26" x14ac:dyDescent="0.3">
      <c r="B32" s="8" t="s">
        <v>126</v>
      </c>
    </row>
    <row r="34" spans="2:3" x14ac:dyDescent="0.3">
      <c r="B34" s="32"/>
      <c r="C34" s="120">
        <f ca="1">Z18</f>
        <v>2147513.6264735865</v>
      </c>
    </row>
    <row r="35" spans="2:3" x14ac:dyDescent="0.3">
      <c r="B35" s="82">
        <v>0.1</v>
      </c>
      <c r="C35" s="11">
        <f t="dataTable" ref="C35:C39" dt2D="0" dtr="0" r1="C6" ca="1"/>
        <v>2267576.8671546746</v>
      </c>
    </row>
    <row r="36" spans="2:3" x14ac:dyDescent="0.3">
      <c r="B36" s="82">
        <v>0.15</v>
      </c>
      <c r="C36" s="11">
        <v>2144083.1356781879</v>
      </c>
    </row>
    <row r="37" spans="2:3" x14ac:dyDescent="0.3">
      <c r="B37" s="82">
        <v>0.2</v>
      </c>
      <c r="C37" s="11">
        <v>1924735.487069387</v>
      </c>
    </row>
    <row r="38" spans="2:3" x14ac:dyDescent="0.3">
      <c r="B38" s="82">
        <v>0.25</v>
      </c>
      <c r="C38" s="11">
        <v>1945647.4003400691</v>
      </c>
    </row>
    <row r="39" spans="2:3" x14ac:dyDescent="0.3">
      <c r="B39" s="82">
        <v>0.3</v>
      </c>
      <c r="C39" s="11">
        <v>1856313.9930297332</v>
      </c>
    </row>
  </sheetData>
  <mergeCells count="10">
    <mergeCell ref="Z8:Z9"/>
    <mergeCell ref="D8:D9"/>
    <mergeCell ref="E8:E9"/>
    <mergeCell ref="V8:Y8"/>
    <mergeCell ref="B8:B9"/>
    <mergeCell ref="C8:C9"/>
    <mergeCell ref="F8:F9"/>
    <mergeCell ref="G8:K8"/>
    <mergeCell ref="L8:P8"/>
    <mergeCell ref="Q8:U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9C8D-4D52-481E-B0F7-6715966709C6}">
  <dimension ref="B1:AB29"/>
  <sheetViews>
    <sheetView showGridLines="0" topLeftCell="A5" workbookViewId="0">
      <selection activeCell="E22" sqref="E22"/>
    </sheetView>
  </sheetViews>
  <sheetFormatPr defaultRowHeight="14.4" x14ac:dyDescent="0.3"/>
  <cols>
    <col min="2" max="2" width="5" bestFit="1" customWidth="1"/>
    <col min="3" max="3" width="12" bestFit="1" customWidth="1"/>
    <col min="4" max="4" width="12.6640625" bestFit="1" customWidth="1"/>
    <col min="5" max="5" width="12.88671875" customWidth="1"/>
    <col min="6" max="9" width="10.44140625" bestFit="1" customWidth="1"/>
    <col min="10" max="10" width="5.21875" bestFit="1" customWidth="1"/>
    <col min="11" max="11" width="6.33203125" bestFit="1" customWidth="1"/>
    <col min="12" max="12" width="5.88671875" bestFit="1" customWidth="1"/>
    <col min="13" max="13" width="6.6640625" bestFit="1" customWidth="1"/>
    <col min="14" max="14" width="5.77734375" bestFit="1" customWidth="1"/>
    <col min="15" max="17" width="8.88671875" bestFit="1" customWidth="1"/>
    <col min="18" max="19" width="10.44140625" bestFit="1" customWidth="1"/>
    <col min="20" max="22" width="8.88671875" bestFit="1" customWidth="1"/>
    <col min="23" max="23" width="7.88671875" bestFit="1" customWidth="1"/>
    <col min="24" max="24" width="10.44140625" bestFit="1" customWidth="1"/>
    <col min="25" max="25" width="15.5546875" bestFit="1" customWidth="1"/>
    <col min="26" max="26" width="13.21875" bestFit="1" customWidth="1"/>
    <col min="27" max="27" width="14.21875" bestFit="1" customWidth="1"/>
    <col min="28" max="28" width="17.6640625" bestFit="1" customWidth="1"/>
  </cols>
  <sheetData>
    <row r="1" spans="2:28" ht="15.6" x14ac:dyDescent="0.3">
      <c r="B1" s="4" t="s">
        <v>99</v>
      </c>
    </row>
    <row r="5" spans="2:28" x14ac:dyDescent="0.3">
      <c r="B5" s="95" t="s">
        <v>7</v>
      </c>
      <c r="C5" s="95" t="s">
        <v>9</v>
      </c>
      <c r="D5" s="95" t="s">
        <v>84</v>
      </c>
      <c r="E5" s="87" t="s">
        <v>30</v>
      </c>
      <c r="F5" s="87"/>
      <c r="G5" s="87"/>
      <c r="H5" s="87"/>
      <c r="I5" s="87"/>
      <c r="J5" s="97" t="s">
        <v>22</v>
      </c>
      <c r="K5" s="97"/>
      <c r="L5" s="97"/>
      <c r="M5" s="97"/>
      <c r="N5" s="97"/>
      <c r="O5" s="98" t="s">
        <v>77</v>
      </c>
      <c r="P5" s="98"/>
      <c r="Q5" s="98"/>
      <c r="R5" s="98"/>
      <c r="S5" s="98"/>
      <c r="T5" s="99" t="s">
        <v>79</v>
      </c>
      <c r="U5" s="99"/>
      <c r="V5" s="99"/>
      <c r="W5" s="99"/>
      <c r="X5" s="99"/>
      <c r="Y5" s="94" t="s">
        <v>78</v>
      </c>
      <c r="Z5" s="94"/>
      <c r="AA5" s="94"/>
      <c r="AB5" s="94"/>
    </row>
    <row r="6" spans="2:28" x14ac:dyDescent="0.3">
      <c r="B6" s="96"/>
      <c r="C6" s="96"/>
      <c r="D6" s="96"/>
      <c r="E6" s="23" t="s">
        <v>23</v>
      </c>
      <c r="F6" s="23" t="s">
        <v>24</v>
      </c>
      <c r="G6" s="23" t="s">
        <v>25</v>
      </c>
      <c r="H6" s="23" t="s">
        <v>26</v>
      </c>
      <c r="I6" s="23" t="s">
        <v>27</v>
      </c>
      <c r="J6" s="18" t="s">
        <v>23</v>
      </c>
      <c r="K6" s="18" t="s">
        <v>24</v>
      </c>
      <c r="L6" s="18" t="s">
        <v>25</v>
      </c>
      <c r="M6" s="18" t="s">
        <v>26</v>
      </c>
      <c r="N6" s="18" t="s">
        <v>27</v>
      </c>
      <c r="O6" s="57" t="s">
        <v>23</v>
      </c>
      <c r="P6" s="57" t="s">
        <v>24</v>
      </c>
      <c r="Q6" s="57" t="s">
        <v>25</v>
      </c>
      <c r="R6" s="57" t="s">
        <v>26</v>
      </c>
      <c r="S6" s="57" t="s">
        <v>27</v>
      </c>
      <c r="T6" s="58" t="s">
        <v>23</v>
      </c>
      <c r="U6" s="58" t="s">
        <v>24</v>
      </c>
      <c r="V6" s="58" t="s">
        <v>25</v>
      </c>
      <c r="W6" s="58" t="s">
        <v>26</v>
      </c>
      <c r="X6" s="58" t="s">
        <v>27</v>
      </c>
      <c r="Y6" s="59" t="s">
        <v>30</v>
      </c>
      <c r="Z6" s="60" t="s">
        <v>22</v>
      </c>
      <c r="AA6" s="61" t="s">
        <v>77</v>
      </c>
      <c r="AB6" s="58" t="s">
        <v>80</v>
      </c>
    </row>
    <row r="7" spans="2:28" x14ac:dyDescent="0.3">
      <c r="B7" s="21">
        <v>2008</v>
      </c>
      <c r="C7" s="12">
        <v>325</v>
      </c>
      <c r="D7" s="2"/>
      <c r="E7" s="12" cm="1">
        <f t="array" ref="E7">INDEX('1.Data Sources'!$I$6:$I$25,MATCH('6.Solver Analysis'!B7,'1.Data Sources'!$B$6:$B$25,0),0)</f>
        <v>568000</v>
      </c>
      <c r="F7" s="12" cm="1">
        <f t="array" ref="F7">INDEX('1.Data Sources'!$J$6:$J$25,MATCH('6.Solver Analysis'!B7,'1.Data Sources'!$B$6:$B$25,0),0)</f>
        <v>684400</v>
      </c>
      <c r="G7" s="12" cm="1">
        <f t="array" ref="G7">INDEX('1.Data Sources'!$K$6:$K$25,MATCH('6.Solver Analysis'!B7,'1.Data Sources'!$B$6:$B$25,0),0)</f>
        <v>1262500</v>
      </c>
      <c r="H7" s="12" cm="1">
        <f t="array" ref="H7">INDEX('1.Data Sources'!$L$6:$L$25,MATCH('6.Solver Analysis'!B7,'1.Data Sources'!$B$6:$B$25,0),0)</f>
        <v>869800</v>
      </c>
      <c r="I7" s="12" cm="1">
        <f t="array" ref="I7">INDEX('1.Data Sources'!$M$6:$M$25,MATCH('6.Solver Analysis'!B7,'1.Data Sources'!$B$6:$B$25,0),0)</f>
        <v>2585500</v>
      </c>
      <c r="J7" s="20" cm="1">
        <f t="array" ref="J7">INDEX('1.Data Sources'!$C$6:$C$25,MATCH('6.Solver Analysis'!B7,'1.Data Sources'!$B$6:$B$25,0),0)</f>
        <v>0.12</v>
      </c>
      <c r="K7" s="20" cm="1">
        <f t="array" ref="K7">INDEX('1.Data Sources'!$D$6:$D$25,MATCH('6.Solver Analysis'!B7,'1.Data Sources'!$B$6:$B$25,0),0)</f>
        <v>0.09</v>
      </c>
      <c r="L7" s="20" cm="1">
        <f t="array" ref="L7">INDEX('1.Data Sources'!$E$6:$E$25,MATCH('6.Solver Analysis'!B7,'1.Data Sources'!$B$6:$B$25,0),0)</f>
        <v>0.48</v>
      </c>
      <c r="M7" s="20" cm="1">
        <f t="array" ref="M7">INDEX('1.Data Sources'!$F$6:$F$25,MATCH('6.Solver Analysis'!B7,'1.Data Sources'!$B$6:$B$25,0),0)</f>
        <v>0.92769999999999997</v>
      </c>
      <c r="N7" s="20" cm="1">
        <f t="array" ref="N7">INDEX('1.Data Sources'!$G$6:$G$25,MATCH('6.Solver Analysis'!B7,'1.Data Sources'!$B$6:$B$25,0),0)</f>
        <v>0.69616342680332621</v>
      </c>
      <c r="O7" s="48">
        <f>E7*J7</f>
        <v>68160</v>
      </c>
      <c r="P7" s="48">
        <f>F7*K7</f>
        <v>61596</v>
      </c>
      <c r="Q7" s="48">
        <f>G7*L7</f>
        <v>606000</v>
      </c>
      <c r="R7" s="48">
        <f>H7*M7</f>
        <v>806913.46</v>
      </c>
      <c r="S7" s="48">
        <f>I7*N7</f>
        <v>1799930.54</v>
      </c>
      <c r="T7" s="48">
        <f>E7-O7</f>
        <v>499840</v>
      </c>
      <c r="U7" s="48">
        <f t="shared" ref="U7:X22" si="0">F7-P7</f>
        <v>622804</v>
      </c>
      <c r="V7" s="48">
        <f t="shared" si="0"/>
        <v>656500</v>
      </c>
      <c r="W7" s="48">
        <f t="shared" si="0"/>
        <v>62886.540000000037</v>
      </c>
      <c r="X7" s="48">
        <f t="shared" si="0"/>
        <v>785569.46</v>
      </c>
      <c r="Y7" s="48">
        <f>SUM(E7:I7)</f>
        <v>5970200</v>
      </c>
      <c r="Z7" s="63">
        <f>AA7/Y7</f>
        <v>0.55988074101370133</v>
      </c>
      <c r="AA7" s="48">
        <f>SUM(O7:S7)</f>
        <v>3342600</v>
      </c>
      <c r="AB7" s="48">
        <f>SUM(T7:X7)</f>
        <v>2627600</v>
      </c>
    </row>
    <row r="8" spans="2:28" x14ac:dyDescent="0.3">
      <c r="B8" s="21">
        <v>2009</v>
      </c>
      <c r="C8" s="12">
        <v>323.10000000000002</v>
      </c>
      <c r="D8" s="2"/>
      <c r="E8" s="12" cm="1">
        <f t="array" ref="E8">INDEX('1.Data Sources'!$I$6:$I$25,MATCH('6.Solver Analysis'!B8,'1.Data Sources'!$B$6:$B$25,0),0)</f>
        <v>606100</v>
      </c>
      <c r="F8" s="12" cm="1">
        <f t="array" ref="F8">INDEX('1.Data Sources'!$J$6:$J$25,MATCH('6.Solver Analysis'!B8,'1.Data Sources'!$B$6:$B$25,0),0)</f>
        <v>688900</v>
      </c>
      <c r="G8" s="12" cm="1">
        <f t="array" ref="G8">INDEX('1.Data Sources'!$K$6:$K$25,MATCH('6.Solver Analysis'!B8,'1.Data Sources'!$B$6:$B$25,0),0)</f>
        <v>1201000</v>
      </c>
      <c r="H8" s="12" cm="1">
        <f t="array" ref="H8">INDEX('1.Data Sources'!$L$6:$L$25,MATCH('6.Solver Analysis'!B8,'1.Data Sources'!$B$6:$B$25,0),0)</f>
        <v>929600</v>
      </c>
      <c r="I8" s="12" cm="1">
        <f t="array" ref="I8">INDEX('1.Data Sources'!$M$6:$M$25,MATCH('6.Solver Analysis'!B8,'1.Data Sources'!$B$6:$B$25,0),0)</f>
        <v>2688500</v>
      </c>
      <c r="J8" s="20" cm="1">
        <f t="array" ref="J8">INDEX('1.Data Sources'!$C$6:$C$25,MATCH('6.Solver Analysis'!B8,'1.Data Sources'!$B$6:$B$25,0),0)</f>
        <v>0.13</v>
      </c>
      <c r="K8" s="20" cm="1">
        <f t="array" ref="K8">INDEX('1.Data Sources'!$D$6:$D$25,MATCH('6.Solver Analysis'!B8,'1.Data Sources'!$B$6:$B$25,0),0)</f>
        <v>0.09</v>
      </c>
      <c r="L8" s="20" cm="1">
        <f t="array" ref="L8">INDEX('1.Data Sources'!$E$6:$E$25,MATCH('6.Solver Analysis'!B8,'1.Data Sources'!$B$6:$B$25,0),0)</f>
        <v>0.48</v>
      </c>
      <c r="M8" s="20" cm="1">
        <f t="array" ref="M8">INDEX('1.Data Sources'!$F$6:$F$25,MATCH('6.Solver Analysis'!B8,'1.Data Sources'!$B$6:$B$25,0),0)</f>
        <v>0.91830000000000001</v>
      </c>
      <c r="N8" s="20" cm="1">
        <f t="array" ref="N8">INDEX('1.Data Sources'!$G$6:$G$25,MATCH('6.Solver Analysis'!B8,'1.Data Sources'!$B$6:$B$25,0),0)</f>
        <v>0.71202318021201405</v>
      </c>
      <c r="O8" s="48">
        <f t="shared" ref="O8:S29" si="1">E8*J8</f>
        <v>78793</v>
      </c>
      <c r="P8" s="48">
        <f t="shared" si="1"/>
        <v>62001</v>
      </c>
      <c r="Q8" s="48">
        <f t="shared" si="1"/>
        <v>576480</v>
      </c>
      <c r="R8" s="48">
        <f t="shared" si="1"/>
        <v>853651.68</v>
      </c>
      <c r="S8" s="48">
        <f t="shared" si="1"/>
        <v>1914274.3199999998</v>
      </c>
      <c r="T8" s="48">
        <f t="shared" ref="T8:X29" si="2">E8-O8</f>
        <v>527307</v>
      </c>
      <c r="U8" s="48">
        <f t="shared" si="0"/>
        <v>626899</v>
      </c>
      <c r="V8" s="48">
        <f t="shared" si="0"/>
        <v>624520</v>
      </c>
      <c r="W8" s="48">
        <f t="shared" si="0"/>
        <v>75948.319999999949</v>
      </c>
      <c r="X8" s="48">
        <f t="shared" si="0"/>
        <v>774225.68000000017</v>
      </c>
      <c r="Y8" s="48">
        <f t="shared" ref="Y8:Y29" si="3">SUM(E8:I8)</f>
        <v>6114100</v>
      </c>
      <c r="Z8" s="63">
        <f t="shared" ref="Z8:Z29" si="4">AA8/Y8</f>
        <v>0.57002665968826161</v>
      </c>
      <c r="AA8" s="48">
        <f t="shared" ref="AA8:AA29" si="5">SUM(O8:S8)</f>
        <v>3485200</v>
      </c>
      <c r="AB8" s="48">
        <f t="shared" ref="AB8:AB29" si="6">SUM(T8:X8)</f>
        <v>2628900</v>
      </c>
    </row>
    <row r="9" spans="2:28" x14ac:dyDescent="0.3">
      <c r="B9" s="21">
        <v>2010</v>
      </c>
      <c r="C9" s="12">
        <v>406</v>
      </c>
      <c r="D9" s="2"/>
      <c r="E9" s="12" cm="1">
        <f t="array" ref="E9">INDEX('1.Data Sources'!$I$6:$I$25,MATCH('6.Solver Analysis'!B9,'1.Data Sources'!$B$6:$B$25,0),0)</f>
        <v>640500</v>
      </c>
      <c r="F9" s="12" cm="1">
        <f t="array" ref="F9">INDEX('1.Data Sources'!$J$6:$J$25,MATCH('6.Solver Analysis'!B9,'1.Data Sources'!$B$6:$B$25,0),0)</f>
        <v>740400</v>
      </c>
      <c r="G9" s="12" cm="1">
        <f t="array" ref="G9">INDEX('1.Data Sources'!$K$6:$K$25,MATCH('6.Solver Analysis'!B9,'1.Data Sources'!$B$6:$B$25,0),0)</f>
        <v>1383900</v>
      </c>
      <c r="H9" s="12" cm="1">
        <f t="array" ref="H9">INDEX('1.Data Sources'!$L$6:$L$25,MATCH('6.Solver Analysis'!B9,'1.Data Sources'!$B$6:$B$25,0),0)</f>
        <v>1280100</v>
      </c>
      <c r="I9" s="12" cm="1">
        <f t="array" ref="I9">INDEX('1.Data Sources'!$M$6:$M$25,MATCH('6.Solver Analysis'!B9,'1.Data Sources'!$B$6:$B$25,0),0)</f>
        <v>2472100</v>
      </c>
      <c r="J9" s="20" cm="1">
        <f t="array" ref="J9">INDEX('1.Data Sources'!$C$6:$C$25,MATCH('6.Solver Analysis'!B9,'1.Data Sources'!$B$6:$B$25,0),0)</f>
        <v>0.16</v>
      </c>
      <c r="K9" s="20" cm="1">
        <f t="array" ref="K9">INDEX('1.Data Sources'!$D$6:$D$25,MATCH('6.Solver Analysis'!B9,'1.Data Sources'!$B$6:$B$25,0),0)</f>
        <v>0.11</v>
      </c>
      <c r="L9" s="20" cm="1">
        <f t="array" ref="L9">INDEX('1.Data Sources'!$E$6:$E$25,MATCH('6.Solver Analysis'!B9,'1.Data Sources'!$B$6:$B$25,0),0)</f>
        <v>0.53</v>
      </c>
      <c r="M9" s="20" cm="1">
        <f t="array" ref="M9">INDEX('1.Data Sources'!$F$6:$F$25,MATCH('6.Solver Analysis'!B9,'1.Data Sources'!$B$6:$B$25,0),0)</f>
        <v>0.93779999999999997</v>
      </c>
      <c r="N9" s="20" cm="1">
        <f t="array" ref="N9">INDEX('1.Data Sources'!$G$6:$G$25,MATCH('6.Solver Analysis'!B9,'1.Data Sources'!$B$6:$B$25,0),0)</f>
        <v>0.66325440718417528</v>
      </c>
      <c r="O9" s="48">
        <f t="shared" si="1"/>
        <v>102480</v>
      </c>
      <c r="P9" s="48">
        <f t="shared" si="1"/>
        <v>81444</v>
      </c>
      <c r="Q9" s="48">
        <f t="shared" si="1"/>
        <v>733467</v>
      </c>
      <c r="R9" s="48">
        <f t="shared" si="1"/>
        <v>1200477.78</v>
      </c>
      <c r="S9" s="48">
        <f t="shared" si="1"/>
        <v>1639631.2199999997</v>
      </c>
      <c r="T9" s="48">
        <f t="shared" si="2"/>
        <v>538020</v>
      </c>
      <c r="U9" s="48">
        <f t="shared" si="0"/>
        <v>658956</v>
      </c>
      <c r="V9" s="48">
        <f t="shared" si="0"/>
        <v>650433</v>
      </c>
      <c r="W9" s="48">
        <f t="shared" si="0"/>
        <v>79622.219999999972</v>
      </c>
      <c r="X9" s="48">
        <f t="shared" si="0"/>
        <v>832468.78000000026</v>
      </c>
      <c r="Y9" s="48">
        <f t="shared" si="3"/>
        <v>6517000</v>
      </c>
      <c r="Z9" s="63">
        <f t="shared" si="4"/>
        <v>0.57656897345404323</v>
      </c>
      <c r="AA9" s="48">
        <f t="shared" si="5"/>
        <v>3757500</v>
      </c>
      <c r="AB9" s="48">
        <f t="shared" si="6"/>
        <v>2759500</v>
      </c>
    </row>
    <row r="10" spans="2:28" x14ac:dyDescent="0.3">
      <c r="B10" s="21">
        <v>2011</v>
      </c>
      <c r="C10" s="12">
        <v>349</v>
      </c>
      <c r="D10" s="2"/>
      <c r="E10" s="12" cm="1">
        <f t="array" ref="E10">INDEX('1.Data Sources'!$I$6:$I$25,MATCH('6.Solver Analysis'!B10,'1.Data Sources'!$B$6:$B$25,0),0)</f>
        <v>675500</v>
      </c>
      <c r="F10" s="12" cm="1">
        <f t="array" ref="F10">INDEX('1.Data Sources'!$J$6:$J$25,MATCH('6.Solver Analysis'!B10,'1.Data Sources'!$B$6:$B$25,0),0)</f>
        <v>733000</v>
      </c>
      <c r="G10" s="12" cm="1">
        <f t="array" ref="G10">INDEX('1.Data Sources'!$K$6:$K$25,MATCH('6.Solver Analysis'!B10,'1.Data Sources'!$B$6:$B$25,0),0)</f>
        <v>1368200</v>
      </c>
      <c r="H10" s="12" cm="1">
        <f t="array" ref="H10">INDEX('1.Data Sources'!$L$6:$L$25,MATCH('6.Solver Analysis'!B10,'1.Data Sources'!$B$6:$B$25,0),0)</f>
        <v>1356500</v>
      </c>
      <c r="I10" s="12" cm="1">
        <f t="array" ref="I10">INDEX('1.Data Sources'!$M$6:$M$25,MATCH('6.Solver Analysis'!B10,'1.Data Sources'!$B$6:$B$25,0),0)</f>
        <v>2765100</v>
      </c>
      <c r="J10" s="20" cm="1">
        <f t="array" ref="J10">INDEX('1.Data Sources'!$C$6:$C$25,MATCH('6.Solver Analysis'!B10,'1.Data Sources'!$B$6:$B$25,0),0)</f>
        <v>0.1</v>
      </c>
      <c r="K10" s="20" cm="1">
        <f t="array" ref="K10">INDEX('1.Data Sources'!$D$6:$D$25,MATCH('6.Solver Analysis'!B10,'1.Data Sources'!$B$6:$B$25,0),0)</f>
        <v>0.11</v>
      </c>
      <c r="L10" s="20" cm="1">
        <f t="array" ref="L10">INDEX('1.Data Sources'!$E$6:$E$25,MATCH('6.Solver Analysis'!B10,'1.Data Sources'!$B$6:$B$25,0),0)</f>
        <v>0.56000000000000005</v>
      </c>
      <c r="M10" s="20" cm="1">
        <f t="array" ref="M10">INDEX('1.Data Sources'!$F$6:$F$25,MATCH('6.Solver Analysis'!B10,'1.Data Sources'!$B$6:$B$25,0),0)</f>
        <v>0.93940000000000001</v>
      </c>
      <c r="N10" s="20" cm="1">
        <f t="array" ref="N10">INDEX('1.Data Sources'!$G$6:$G$25,MATCH('6.Solver Analysis'!B10,'1.Data Sources'!$B$6:$B$25,0),0)</f>
        <v>0.66910126216050048</v>
      </c>
      <c r="O10" s="48">
        <f t="shared" si="1"/>
        <v>67550</v>
      </c>
      <c r="P10" s="48">
        <f t="shared" si="1"/>
        <v>80630</v>
      </c>
      <c r="Q10" s="48">
        <f t="shared" si="1"/>
        <v>766192.00000000012</v>
      </c>
      <c r="R10" s="48">
        <f t="shared" si="1"/>
        <v>1274296.1000000001</v>
      </c>
      <c r="S10" s="48">
        <f t="shared" si="1"/>
        <v>1850131.9</v>
      </c>
      <c r="T10" s="48">
        <f t="shared" si="2"/>
        <v>607950</v>
      </c>
      <c r="U10" s="48">
        <f t="shared" si="0"/>
        <v>652370</v>
      </c>
      <c r="V10" s="48">
        <f t="shared" si="0"/>
        <v>602007.99999999988</v>
      </c>
      <c r="W10" s="48">
        <f t="shared" si="0"/>
        <v>82203.899999999907</v>
      </c>
      <c r="X10" s="48">
        <f t="shared" si="0"/>
        <v>914968.10000000009</v>
      </c>
      <c r="Y10" s="48">
        <f t="shared" si="3"/>
        <v>6898300</v>
      </c>
      <c r="Z10" s="63">
        <f t="shared" si="4"/>
        <v>0.58547758143310669</v>
      </c>
      <c r="AA10" s="48">
        <f t="shared" si="5"/>
        <v>4038800</v>
      </c>
      <c r="AB10" s="48">
        <f t="shared" si="6"/>
        <v>2859500</v>
      </c>
    </row>
    <row r="11" spans="2:28" x14ac:dyDescent="0.3">
      <c r="B11" s="21">
        <v>2012</v>
      </c>
      <c r="C11" s="12">
        <v>352.3</v>
      </c>
      <c r="D11" s="2"/>
      <c r="E11" s="12" cm="1">
        <f t="array" ref="E11">INDEX('1.Data Sources'!$I$6:$I$25,MATCH('6.Solver Analysis'!B11,'1.Data Sources'!$B$6:$B$25,0),0)</f>
        <v>703200</v>
      </c>
      <c r="F11" s="12" cm="1">
        <f t="array" ref="F11">INDEX('1.Data Sources'!$J$6:$J$25,MATCH('6.Solver Analysis'!B11,'1.Data Sources'!$B$6:$B$25,0),0)</f>
        <v>803400</v>
      </c>
      <c r="G11" s="12" cm="1">
        <f t="array" ref="G11">INDEX('1.Data Sources'!$K$6:$K$25,MATCH('6.Solver Analysis'!B11,'1.Data Sources'!$B$6:$B$25,0),0)</f>
        <v>1252000</v>
      </c>
      <c r="H11" s="12" cm="1">
        <f t="array" ref="H11">INDEX('1.Data Sources'!$L$6:$L$25,MATCH('6.Solver Analysis'!B11,'1.Data Sources'!$B$6:$B$25,0),0)</f>
        <v>1508500</v>
      </c>
      <c r="I11" s="12" cm="1">
        <f t="array" ref="I11">INDEX('1.Data Sources'!$M$6:$M$25,MATCH('6.Solver Analysis'!B11,'1.Data Sources'!$B$6:$B$25,0),0)</f>
        <v>3002400</v>
      </c>
      <c r="J11" s="20" cm="1">
        <f t="array" ref="J11">INDEX('1.Data Sources'!$C$6:$C$25,MATCH('6.Solver Analysis'!B11,'1.Data Sources'!$B$6:$B$25,0),0)</f>
        <v>0.12</v>
      </c>
      <c r="K11" s="20" cm="1">
        <f t="array" ref="K11">INDEX('1.Data Sources'!$D$6:$D$25,MATCH('6.Solver Analysis'!B11,'1.Data Sources'!$B$6:$B$25,0),0)</f>
        <v>0.1</v>
      </c>
      <c r="L11" s="20" cm="1">
        <f t="array" ref="L11">INDEX('1.Data Sources'!$E$6:$E$25,MATCH('6.Solver Analysis'!B11,'1.Data Sources'!$B$6:$B$25,0),0)</f>
        <v>0.56000000000000005</v>
      </c>
      <c r="M11" s="20" cm="1">
        <f t="array" ref="M11">INDEX('1.Data Sources'!$F$6:$F$25,MATCH('6.Solver Analysis'!B11,'1.Data Sources'!$B$6:$B$25,0),0)</f>
        <v>0.94689999999999996</v>
      </c>
      <c r="N11" s="20" cm="1">
        <f t="array" ref="N11">INDEX('1.Data Sources'!$G$6:$G$25,MATCH('6.Solver Analysis'!B11,'1.Data Sources'!$B$6:$B$25,0),0)</f>
        <v>0.67990852318145489</v>
      </c>
      <c r="O11" s="48">
        <f t="shared" si="1"/>
        <v>84384</v>
      </c>
      <c r="P11" s="48">
        <f t="shared" si="1"/>
        <v>80340</v>
      </c>
      <c r="Q11" s="48">
        <f t="shared" si="1"/>
        <v>701120.00000000012</v>
      </c>
      <c r="R11" s="48">
        <f t="shared" si="1"/>
        <v>1428398.65</v>
      </c>
      <c r="S11" s="48">
        <f t="shared" si="1"/>
        <v>2041357.35</v>
      </c>
      <c r="T11" s="48">
        <f t="shared" si="2"/>
        <v>618816</v>
      </c>
      <c r="U11" s="48">
        <f t="shared" si="0"/>
        <v>723060</v>
      </c>
      <c r="V11" s="48">
        <f t="shared" si="0"/>
        <v>550879.99999999988</v>
      </c>
      <c r="W11" s="48">
        <f t="shared" si="0"/>
        <v>80101.350000000093</v>
      </c>
      <c r="X11" s="48">
        <f t="shared" si="0"/>
        <v>961042.64999999991</v>
      </c>
      <c r="Y11" s="48">
        <f t="shared" si="3"/>
        <v>7269500</v>
      </c>
      <c r="Z11" s="63">
        <f t="shared" si="4"/>
        <v>0.59640965678519842</v>
      </c>
      <c r="AA11" s="48">
        <f t="shared" si="5"/>
        <v>4335600</v>
      </c>
      <c r="AB11" s="48">
        <f t="shared" si="6"/>
        <v>2933900</v>
      </c>
    </row>
    <row r="12" spans="2:28" x14ac:dyDescent="0.3">
      <c r="B12" s="21">
        <v>2013</v>
      </c>
      <c r="C12" s="12">
        <v>325.2</v>
      </c>
      <c r="D12" s="2"/>
      <c r="E12" s="12" cm="1">
        <f t="array" ref="E12">INDEX('1.Data Sources'!$I$6:$I$25,MATCH('6.Solver Analysis'!B12,'1.Data Sources'!$B$6:$B$25,0),0)</f>
        <v>796000</v>
      </c>
      <c r="F12" s="12" cm="1">
        <f t="array" ref="F12">INDEX('1.Data Sources'!$J$6:$J$25,MATCH('6.Solver Analysis'!B12,'1.Data Sources'!$B$6:$B$25,0),0)</f>
        <v>832200</v>
      </c>
      <c r="G12" s="12" cm="1">
        <f t="array" ref="G12">INDEX('1.Data Sources'!$K$6:$K$25,MATCH('6.Solver Analysis'!B12,'1.Data Sources'!$B$6:$B$25,0),0)</f>
        <v>1261100</v>
      </c>
      <c r="H12" s="12" cm="1">
        <f t="array" ref="H12">INDEX('1.Data Sources'!$L$6:$L$25,MATCH('6.Solver Analysis'!B12,'1.Data Sources'!$B$6:$B$25,0),0)</f>
        <v>1551100</v>
      </c>
      <c r="I12" s="12" cm="1">
        <f t="array" ref="I12">INDEX('1.Data Sources'!$M$6:$M$25,MATCH('6.Solver Analysis'!B12,'1.Data Sources'!$B$6:$B$25,0),0)</f>
        <v>3411100</v>
      </c>
      <c r="J12" s="20" cm="1">
        <f t="array" ref="J12">INDEX('1.Data Sources'!$C$6:$C$25,MATCH('6.Solver Analysis'!B12,'1.Data Sources'!$B$6:$B$25,0),0)</f>
        <v>0.13</v>
      </c>
      <c r="K12" s="20" cm="1">
        <f t="array" ref="K12">INDEX('1.Data Sources'!$D$6:$D$25,MATCH('6.Solver Analysis'!B12,'1.Data Sources'!$B$6:$B$25,0),0)</f>
        <v>0.11</v>
      </c>
      <c r="L12" s="20" cm="1">
        <f t="array" ref="L12">INDEX('1.Data Sources'!$E$6:$E$25,MATCH('6.Solver Analysis'!B12,'1.Data Sources'!$B$6:$B$25,0),0)</f>
        <v>0.54</v>
      </c>
      <c r="M12" s="20" cm="1">
        <f t="array" ref="M12">INDEX('1.Data Sources'!$F$6:$F$25,MATCH('6.Solver Analysis'!B12,'1.Data Sources'!$B$6:$B$25,0),0)</f>
        <v>0.95620000000000005</v>
      </c>
      <c r="N12" s="20" cm="1">
        <f t="array" ref="N12">INDEX('1.Data Sources'!$G$6:$G$25,MATCH('6.Solver Analysis'!B12,'1.Data Sources'!$B$6:$B$25,0),0)</f>
        <v>0.72314566562106053</v>
      </c>
      <c r="O12" s="48">
        <f t="shared" si="1"/>
        <v>103480</v>
      </c>
      <c r="P12" s="48">
        <f t="shared" si="1"/>
        <v>91542</v>
      </c>
      <c r="Q12" s="48">
        <f t="shared" si="1"/>
        <v>680994</v>
      </c>
      <c r="R12" s="48">
        <f t="shared" si="1"/>
        <v>1483161.82</v>
      </c>
      <c r="S12" s="48">
        <f t="shared" si="1"/>
        <v>2466722.1799999997</v>
      </c>
      <c r="T12" s="48">
        <f t="shared" si="2"/>
        <v>692520</v>
      </c>
      <c r="U12" s="48">
        <f t="shared" si="0"/>
        <v>740658</v>
      </c>
      <c r="V12" s="48">
        <f t="shared" si="0"/>
        <v>580106</v>
      </c>
      <c r="W12" s="48">
        <f t="shared" si="0"/>
        <v>67938.179999999935</v>
      </c>
      <c r="X12" s="48">
        <f t="shared" si="0"/>
        <v>944377.8200000003</v>
      </c>
      <c r="Y12" s="48">
        <f t="shared" si="3"/>
        <v>7851500</v>
      </c>
      <c r="Z12" s="63">
        <f t="shared" si="4"/>
        <v>0.61464688276125579</v>
      </c>
      <c r="AA12" s="48">
        <f t="shared" si="5"/>
        <v>4825900</v>
      </c>
      <c r="AB12" s="48">
        <f t="shared" si="6"/>
        <v>3025600</v>
      </c>
    </row>
    <row r="13" spans="2:28" x14ac:dyDescent="0.3">
      <c r="B13" s="21">
        <v>2014</v>
      </c>
      <c r="C13" s="12">
        <v>427.3</v>
      </c>
      <c r="D13" s="2"/>
      <c r="E13" s="12" cm="1">
        <f t="array" ref="E13">INDEX('1.Data Sources'!$I$6:$I$25,MATCH('6.Solver Analysis'!B13,'1.Data Sources'!$B$6:$B$25,0),0)</f>
        <v>788600</v>
      </c>
      <c r="F13" s="12" cm="1">
        <f t="array" ref="F13">INDEX('1.Data Sources'!$J$6:$J$25,MATCH('6.Solver Analysis'!B13,'1.Data Sources'!$B$6:$B$25,0),0)</f>
        <v>869000</v>
      </c>
      <c r="G13" s="12" cm="1">
        <f t="array" ref="G13">INDEX('1.Data Sources'!$K$6:$K$25,MATCH('6.Solver Analysis'!B13,'1.Data Sources'!$B$6:$B$25,0),0)</f>
        <v>1237400</v>
      </c>
      <c r="H13" s="12" cm="1">
        <f t="array" ref="H13">INDEX('1.Data Sources'!$L$6:$L$25,MATCH('6.Solver Analysis'!B13,'1.Data Sources'!$B$6:$B$25,0),0)</f>
        <v>1564300</v>
      </c>
      <c r="I13" s="12" cm="1">
        <f t="array" ref="I13">INDEX('1.Data Sources'!$M$6:$M$25,MATCH('6.Solver Analysis'!B13,'1.Data Sources'!$B$6:$B$25,0),0)</f>
        <v>3055200</v>
      </c>
      <c r="J13" s="20" cm="1">
        <f t="array" ref="J13">INDEX('1.Data Sources'!$C$6:$C$25,MATCH('6.Solver Analysis'!B13,'1.Data Sources'!$B$6:$B$25,0),0)</f>
        <v>0.13</v>
      </c>
      <c r="K13" s="20" cm="1">
        <f t="array" ref="K13">INDEX('1.Data Sources'!$D$6:$D$25,MATCH('6.Solver Analysis'!B13,'1.Data Sources'!$B$6:$B$25,0),0)</f>
        <v>0.09</v>
      </c>
      <c r="L13" s="20" cm="1">
        <f t="array" ref="L13">INDEX('1.Data Sources'!$E$6:$E$25,MATCH('6.Solver Analysis'!B13,'1.Data Sources'!$B$6:$B$25,0),0)</f>
        <v>0.52</v>
      </c>
      <c r="M13" s="20" cm="1">
        <f t="array" ref="M13">INDEX('1.Data Sources'!$F$6:$F$25,MATCH('6.Solver Analysis'!B13,'1.Data Sources'!$B$6:$B$25,0),0)</f>
        <v>0.94840000000000002</v>
      </c>
      <c r="N13" s="20" cm="1">
        <f t="array" ref="N13">INDEX('1.Data Sources'!$G$6:$G$25,MATCH('6.Solver Analysis'!B13,'1.Data Sources'!$B$6:$B$25,0),0)</f>
        <v>0.70808519245875878</v>
      </c>
      <c r="O13" s="48">
        <f t="shared" si="1"/>
        <v>102518</v>
      </c>
      <c r="P13" s="48">
        <f t="shared" si="1"/>
        <v>78210</v>
      </c>
      <c r="Q13" s="48">
        <f t="shared" si="1"/>
        <v>643448</v>
      </c>
      <c r="R13" s="48">
        <f t="shared" si="1"/>
        <v>1483582.12</v>
      </c>
      <c r="S13" s="48">
        <f t="shared" si="1"/>
        <v>2163341.88</v>
      </c>
      <c r="T13" s="48">
        <f t="shared" si="2"/>
        <v>686082</v>
      </c>
      <c r="U13" s="48">
        <f t="shared" si="0"/>
        <v>790790</v>
      </c>
      <c r="V13" s="48">
        <f t="shared" si="0"/>
        <v>593952</v>
      </c>
      <c r="W13" s="48">
        <f t="shared" si="0"/>
        <v>80717.879999999888</v>
      </c>
      <c r="X13" s="48">
        <f t="shared" si="0"/>
        <v>891858.12000000011</v>
      </c>
      <c r="Y13" s="48">
        <f t="shared" si="3"/>
        <v>7514500</v>
      </c>
      <c r="Z13" s="63">
        <f t="shared" si="4"/>
        <v>0.59499634040854343</v>
      </c>
      <c r="AA13" s="48">
        <f t="shared" si="5"/>
        <v>4471100</v>
      </c>
      <c r="AB13" s="48">
        <f t="shared" si="6"/>
        <v>3043400</v>
      </c>
    </row>
    <row r="14" spans="2:28" x14ac:dyDescent="0.3">
      <c r="B14" s="21">
        <v>2015</v>
      </c>
      <c r="C14" s="12">
        <v>567.29999999999995</v>
      </c>
      <c r="D14" s="48">
        <v>1889000</v>
      </c>
      <c r="E14" s="12" cm="1">
        <f t="array" ref="E14">INDEX('1.Data Sources'!$I$6:$I$25,MATCH('6.Solver Analysis'!B14,'1.Data Sources'!$B$6:$B$25,0),0)</f>
        <v>785500</v>
      </c>
      <c r="F14" s="12" cm="1">
        <f t="array" ref="F14">INDEX('1.Data Sources'!$J$6:$J$25,MATCH('6.Solver Analysis'!B14,'1.Data Sources'!$B$6:$B$25,0),0)</f>
        <v>824600</v>
      </c>
      <c r="G14" s="12" cm="1">
        <f t="array" ref="G14">INDEX('1.Data Sources'!$K$6:$K$25,MATCH('6.Solver Analysis'!B14,'1.Data Sources'!$B$6:$B$25,0),0)</f>
        <v>1192200</v>
      </c>
      <c r="H14" s="12" cm="1">
        <f t="array" ref="H14">INDEX('1.Data Sources'!$L$6:$L$25,MATCH('6.Solver Analysis'!B14,'1.Data Sources'!$B$6:$B$25,0),0)</f>
        <v>1528500</v>
      </c>
      <c r="I14" s="12" cm="1">
        <f t="array" ref="I14">INDEX('1.Data Sources'!$M$6:$M$25,MATCH('6.Solver Analysis'!B14,'1.Data Sources'!$B$6:$B$25,0),0)</f>
        <v>3342700</v>
      </c>
      <c r="J14" s="20" cm="1">
        <f t="array" ref="J14">INDEX('1.Data Sources'!$C$6:$C$25,MATCH('6.Solver Analysis'!B14,'1.Data Sources'!$B$6:$B$25,0),0)</f>
        <v>0.13</v>
      </c>
      <c r="K14" s="20" cm="1">
        <f t="array" ref="K14">INDEX('1.Data Sources'!$D$6:$D$25,MATCH('6.Solver Analysis'!B14,'1.Data Sources'!$B$6:$B$25,0),0)</f>
        <v>7.0000000000000007E-2</v>
      </c>
      <c r="L14" s="20" cm="1">
        <f t="array" ref="L14">INDEX('1.Data Sources'!$E$6:$E$25,MATCH('6.Solver Analysis'!B14,'1.Data Sources'!$B$6:$B$25,0),0)</f>
        <v>0.51</v>
      </c>
      <c r="M14" s="20" cm="1">
        <f t="array" ref="M14">INDEX('1.Data Sources'!$F$6:$F$25,MATCH('6.Solver Analysis'!B14,'1.Data Sources'!$B$6:$B$25,0),0)</f>
        <v>0.97719999999999996</v>
      </c>
      <c r="N14" s="20" cm="1">
        <f t="array" ref="N14">INDEX('1.Data Sources'!$G$6:$G$25,MATCH('6.Solver Analysis'!B14,'1.Data Sources'!$B$6:$B$25,0),0)</f>
        <v>0.71444963652137483</v>
      </c>
      <c r="O14" s="48">
        <f t="shared" si="1"/>
        <v>102115</v>
      </c>
      <c r="P14" s="48">
        <f t="shared" si="1"/>
        <v>57722.000000000007</v>
      </c>
      <c r="Q14" s="48">
        <f t="shared" si="1"/>
        <v>608022</v>
      </c>
      <c r="R14" s="48">
        <f t="shared" si="1"/>
        <v>1493650.2</v>
      </c>
      <c r="S14" s="48">
        <f t="shared" si="1"/>
        <v>2388190.7999999998</v>
      </c>
      <c r="T14" s="48">
        <f t="shared" si="2"/>
        <v>683385</v>
      </c>
      <c r="U14" s="48">
        <f t="shared" si="0"/>
        <v>766878</v>
      </c>
      <c r="V14" s="48">
        <f t="shared" si="0"/>
        <v>584178</v>
      </c>
      <c r="W14" s="48">
        <f t="shared" si="0"/>
        <v>34849.800000000047</v>
      </c>
      <c r="X14" s="48">
        <f t="shared" si="0"/>
        <v>954509.20000000019</v>
      </c>
      <c r="Y14" s="48">
        <f t="shared" si="3"/>
        <v>7673500</v>
      </c>
      <c r="Z14" s="63">
        <f t="shared" si="4"/>
        <v>0.60594252948458982</v>
      </c>
      <c r="AA14" s="48">
        <f t="shared" si="5"/>
        <v>4649700</v>
      </c>
      <c r="AB14" s="48">
        <f t="shared" si="6"/>
        <v>3023800</v>
      </c>
    </row>
    <row r="15" spans="2:28" x14ac:dyDescent="0.3">
      <c r="B15" s="21">
        <v>2016</v>
      </c>
      <c r="C15" s="12">
        <v>683.8</v>
      </c>
      <c r="D15" s="48">
        <v>1757000</v>
      </c>
      <c r="E15" s="12" cm="1">
        <f t="array" ref="E15">INDEX('1.Data Sources'!$I$6:$I$25,MATCH('6.Solver Analysis'!B15,'1.Data Sources'!$B$6:$B$25,0),0)</f>
        <v>791000</v>
      </c>
      <c r="F15" s="12" cm="1">
        <f t="array" ref="F15">INDEX('1.Data Sources'!$J$6:$J$25,MATCH('6.Solver Analysis'!B15,'1.Data Sources'!$B$6:$B$25,0),0)</f>
        <v>822200</v>
      </c>
      <c r="G15" s="12" cm="1">
        <f t="array" ref="G15">INDEX('1.Data Sources'!$K$6:$K$25,MATCH('6.Solver Analysis'!B15,'1.Data Sources'!$B$6:$B$25,0),0)</f>
        <v>1183100</v>
      </c>
      <c r="H15" s="12" cm="1">
        <f t="array" ref="H15">INDEX('1.Data Sources'!$L$6:$L$25,MATCH('6.Solver Analysis'!B15,'1.Data Sources'!$B$6:$B$25,0),0)</f>
        <v>1454700</v>
      </c>
      <c r="I15" s="12" cm="1">
        <f t="array" ref="I15">INDEX('1.Data Sources'!$M$6:$M$25,MATCH('6.Solver Analysis'!B15,'1.Data Sources'!$B$6:$B$25,0),0)</f>
        <v>3563200</v>
      </c>
      <c r="J15" s="20" cm="1">
        <f t="array" ref="J15">INDEX('1.Data Sources'!$C$6:$C$25,MATCH('6.Solver Analysis'!B15,'1.Data Sources'!$B$6:$B$25,0),0)</f>
        <v>0.14000000000000001</v>
      </c>
      <c r="K15" s="20" cm="1">
        <f t="array" ref="K15">INDEX('1.Data Sources'!$D$6:$D$25,MATCH('6.Solver Analysis'!B15,'1.Data Sources'!$B$6:$B$25,0),0)</f>
        <v>7.0000000000000007E-2</v>
      </c>
      <c r="L15" s="20" cm="1">
        <f t="array" ref="L15">INDEX('1.Data Sources'!$E$6:$E$25,MATCH('6.Solver Analysis'!B15,'1.Data Sources'!$B$6:$B$25,0),0)</f>
        <v>0.51</v>
      </c>
      <c r="M15" s="20" cm="1">
        <f t="array" ref="M15">INDEX('1.Data Sources'!$F$6:$F$25,MATCH('6.Solver Analysis'!B15,'1.Data Sources'!$B$6:$B$25,0),0)</f>
        <v>0.99490000000000001</v>
      </c>
      <c r="N15" s="20" cm="1">
        <f t="array" ref="N15">INDEX('1.Data Sources'!$G$6:$G$25,MATCH('6.Solver Analysis'!B15,'1.Data Sources'!$B$6:$B$25,0),0)</f>
        <v>0.71566119499326442</v>
      </c>
      <c r="O15" s="48">
        <f t="shared" si="1"/>
        <v>110740.00000000001</v>
      </c>
      <c r="P15" s="48">
        <f t="shared" si="1"/>
        <v>57554.000000000007</v>
      </c>
      <c r="Q15" s="48">
        <f t="shared" si="1"/>
        <v>603381</v>
      </c>
      <c r="R15" s="48">
        <f t="shared" si="1"/>
        <v>1447281.03</v>
      </c>
      <c r="S15" s="48">
        <f t="shared" si="1"/>
        <v>2550043.9699999997</v>
      </c>
      <c r="T15" s="48">
        <f t="shared" si="2"/>
        <v>680260</v>
      </c>
      <c r="U15" s="48">
        <f t="shared" si="0"/>
        <v>764646</v>
      </c>
      <c r="V15" s="48">
        <f t="shared" si="0"/>
        <v>579719</v>
      </c>
      <c r="W15" s="48">
        <f t="shared" si="0"/>
        <v>7418.9699999999721</v>
      </c>
      <c r="X15" s="48">
        <f t="shared" si="0"/>
        <v>1013156.0300000003</v>
      </c>
      <c r="Y15" s="48">
        <f t="shared" si="3"/>
        <v>7814200</v>
      </c>
      <c r="Z15" s="63">
        <f t="shared" si="4"/>
        <v>0.6102991988943206</v>
      </c>
      <c r="AA15" s="48">
        <f t="shared" si="5"/>
        <v>4769000</v>
      </c>
      <c r="AB15" s="48">
        <f t="shared" si="6"/>
        <v>3045200</v>
      </c>
    </row>
    <row r="16" spans="2:28" x14ac:dyDescent="0.3">
      <c r="B16" s="21">
        <v>2017</v>
      </c>
      <c r="C16" s="12">
        <v>1549</v>
      </c>
      <c r="D16" s="48">
        <v>1637000</v>
      </c>
      <c r="E16" s="12" cm="1">
        <f t="array" ref="E16">INDEX('1.Data Sources'!$I$6:$I$25,MATCH('6.Solver Analysis'!B16,'1.Data Sources'!$B$6:$B$25,0),0)</f>
        <v>810000</v>
      </c>
      <c r="F16" s="12" cm="1">
        <f t="array" ref="F16">INDEX('1.Data Sources'!$J$6:$J$25,MATCH('6.Solver Analysis'!B16,'1.Data Sources'!$B$6:$B$25,0),0)</f>
        <v>815000</v>
      </c>
      <c r="G16" s="12" cm="1">
        <f t="array" ref="G16">INDEX('1.Data Sources'!$K$6:$K$25,MATCH('6.Solver Analysis'!B16,'1.Data Sources'!$B$6:$B$25,0),0)</f>
        <v>1145000</v>
      </c>
      <c r="H16" s="12" cm="1">
        <f t="array" ref="H16">INDEX('1.Data Sources'!$L$6:$L$25,MATCH('6.Solver Analysis'!B16,'1.Data Sources'!$B$6:$B$25,0),0)</f>
        <v>1473000</v>
      </c>
      <c r="I16" s="12" cm="1">
        <f t="array" ref="I16">INDEX('1.Data Sources'!$M$6:$M$25,MATCH('6.Solver Analysis'!B16,'1.Data Sources'!$B$6:$B$25,0),0)</f>
        <v>3461000</v>
      </c>
      <c r="J16" s="20" cm="1">
        <f t="array" ref="J16">INDEX('1.Data Sources'!$C$6:$C$25,MATCH('6.Solver Analysis'!B16,'1.Data Sources'!$B$6:$B$25,0),0)</f>
        <v>0.16</v>
      </c>
      <c r="K16" s="20" cm="1">
        <f t="array" ref="K16">INDEX('1.Data Sources'!$D$6:$D$25,MATCH('6.Solver Analysis'!B16,'1.Data Sources'!$B$6:$B$25,0),0)</f>
        <v>0.06</v>
      </c>
      <c r="L16" s="20" cm="1">
        <f t="array" ref="L16">INDEX('1.Data Sources'!$E$6:$E$25,MATCH('6.Solver Analysis'!B16,'1.Data Sources'!$B$6:$B$25,0),0)</f>
        <v>0.5</v>
      </c>
      <c r="M16" s="20" cm="1">
        <f t="array" ref="M16">INDEX('1.Data Sources'!$F$6:$F$25,MATCH('6.Solver Analysis'!B16,'1.Data Sources'!$B$6:$B$25,0),0)</f>
        <v>0.99490000000000001</v>
      </c>
      <c r="N16" s="20" cm="1">
        <f t="array" ref="N16">INDEX('1.Data Sources'!$G$6:$G$25,MATCH('6.Solver Analysis'!B16,'1.Data Sources'!$B$6:$B$25,0),0)</f>
        <v>0.72450514302224789</v>
      </c>
      <c r="O16" s="48">
        <f t="shared" si="1"/>
        <v>129600</v>
      </c>
      <c r="P16" s="48">
        <f t="shared" si="1"/>
        <v>48900</v>
      </c>
      <c r="Q16" s="48">
        <f t="shared" si="1"/>
        <v>572500</v>
      </c>
      <c r="R16" s="48">
        <f t="shared" si="1"/>
        <v>1465487.7</v>
      </c>
      <c r="S16" s="48">
        <f t="shared" si="1"/>
        <v>2507512.2999999998</v>
      </c>
      <c r="T16" s="48">
        <f t="shared" si="2"/>
        <v>680400</v>
      </c>
      <c r="U16" s="48">
        <f t="shared" si="0"/>
        <v>766100</v>
      </c>
      <c r="V16" s="48">
        <f t="shared" si="0"/>
        <v>572500</v>
      </c>
      <c r="W16" s="48">
        <f t="shared" si="0"/>
        <v>7512.3000000000466</v>
      </c>
      <c r="X16" s="48">
        <f t="shared" si="0"/>
        <v>953487.70000000019</v>
      </c>
      <c r="Y16" s="48">
        <f t="shared" si="3"/>
        <v>7704000</v>
      </c>
      <c r="Z16" s="63">
        <f t="shared" si="4"/>
        <v>0.61318795430944961</v>
      </c>
      <c r="AA16" s="48">
        <f t="shared" si="5"/>
        <v>4724000</v>
      </c>
      <c r="AB16" s="48">
        <f t="shared" si="6"/>
        <v>2980000</v>
      </c>
    </row>
    <row r="17" spans="2:28" x14ac:dyDescent="0.3">
      <c r="B17" s="21">
        <v>2018</v>
      </c>
      <c r="C17" s="12">
        <v>839.1</v>
      </c>
      <c r="D17" s="48">
        <v>1579000</v>
      </c>
      <c r="E17" s="12" cm="1">
        <f t="array" ref="E17">INDEX('1.Data Sources'!$I$6:$I$25,MATCH('6.Solver Analysis'!B17,'1.Data Sources'!$B$6:$B$25,0),0)</f>
        <v>763000</v>
      </c>
      <c r="F17" s="12" cm="1">
        <f t="array" ref="F17">INDEX('1.Data Sources'!$J$6:$J$25,MATCH('6.Solver Analysis'!B17,'1.Data Sources'!$B$6:$B$25,0),0)</f>
        <v>949000</v>
      </c>
      <c r="G17" s="12" cm="1">
        <f t="array" ref="G17">INDEX('1.Data Sources'!$K$6:$K$25,MATCH('6.Solver Analysis'!B17,'1.Data Sources'!$B$6:$B$25,0),0)</f>
        <v>1054000</v>
      </c>
      <c r="H17" s="12" cm="1">
        <f t="array" ref="H17">INDEX('1.Data Sources'!$L$6:$L$25,MATCH('6.Solver Analysis'!B17,'1.Data Sources'!$B$6:$B$25,0),0)</f>
        <v>1440000</v>
      </c>
      <c r="I17" s="12" cm="1">
        <f t="array" ref="I17">INDEX('1.Data Sources'!$M$6:$M$25,MATCH('6.Solver Analysis'!B17,'1.Data Sources'!$B$6:$B$25,0),0)</f>
        <v>3553000</v>
      </c>
      <c r="J17" s="20" cm="1">
        <f t="array" ref="J17">INDEX('1.Data Sources'!$C$6:$C$25,MATCH('6.Solver Analysis'!B17,'1.Data Sources'!$B$6:$B$25,0),0)</f>
        <v>0.17</v>
      </c>
      <c r="K17" s="20" cm="1">
        <f t="array" ref="K17">INDEX('1.Data Sources'!$D$6:$D$25,MATCH('6.Solver Analysis'!B17,'1.Data Sources'!$B$6:$B$25,0),0)</f>
        <v>0.04</v>
      </c>
      <c r="L17" s="20" cm="1">
        <f t="array" ref="L17">INDEX('1.Data Sources'!$E$6:$E$25,MATCH('6.Solver Analysis'!B17,'1.Data Sources'!$B$6:$B$25,0),0)</f>
        <v>0.56000000000000005</v>
      </c>
      <c r="M17" s="20" cm="1">
        <f t="array" ref="M17">INDEX('1.Data Sources'!$F$6:$F$25,MATCH('6.Solver Analysis'!B17,'1.Data Sources'!$B$6:$B$25,0),0)</f>
        <v>0.99490000000000001</v>
      </c>
      <c r="N17" s="20" cm="1">
        <f t="array" ref="N17">INDEX('1.Data Sources'!$G$6:$G$25,MATCH('6.Solver Analysis'!B17,'1.Data Sources'!$B$6:$B$25,0),0)</f>
        <v>0.73161666197579511</v>
      </c>
      <c r="O17" s="48">
        <f t="shared" si="1"/>
        <v>129710.00000000001</v>
      </c>
      <c r="P17" s="48">
        <f t="shared" si="1"/>
        <v>37960</v>
      </c>
      <c r="Q17" s="48">
        <f t="shared" si="1"/>
        <v>590240</v>
      </c>
      <c r="R17" s="48">
        <f t="shared" si="1"/>
        <v>1432656</v>
      </c>
      <c r="S17" s="48">
        <f t="shared" si="1"/>
        <v>2599434</v>
      </c>
      <c r="T17" s="48">
        <f t="shared" si="2"/>
        <v>633290</v>
      </c>
      <c r="U17" s="48">
        <f t="shared" si="0"/>
        <v>911040</v>
      </c>
      <c r="V17" s="48">
        <f t="shared" si="0"/>
        <v>463760</v>
      </c>
      <c r="W17" s="48">
        <f t="shared" si="0"/>
        <v>7344</v>
      </c>
      <c r="X17" s="48">
        <f t="shared" si="0"/>
        <v>953566</v>
      </c>
      <c r="Y17" s="48">
        <f t="shared" si="3"/>
        <v>7759000</v>
      </c>
      <c r="Z17" s="63">
        <f t="shared" si="4"/>
        <v>0.61734759633973446</v>
      </c>
      <c r="AA17" s="48">
        <f t="shared" si="5"/>
        <v>4790000</v>
      </c>
      <c r="AB17" s="48">
        <f t="shared" si="6"/>
        <v>2969000</v>
      </c>
    </row>
    <row r="18" spans="2:28" x14ac:dyDescent="0.3">
      <c r="B18" s="21">
        <v>2019</v>
      </c>
      <c r="C18" s="12">
        <v>1075.9000000000001</v>
      </c>
      <c r="D18" s="48">
        <v>1439000</v>
      </c>
      <c r="E18" s="12" cm="1">
        <f t="array" ref="E18">INDEX('1.Data Sources'!$I$6:$I$25,MATCH('6.Solver Analysis'!B18,'1.Data Sources'!$B$6:$B$25,0),0)</f>
        <v>744000</v>
      </c>
      <c r="F18" s="12" cm="1">
        <f t="array" ref="F18">INDEX('1.Data Sources'!$J$6:$J$25,MATCH('6.Solver Analysis'!B18,'1.Data Sources'!$B$6:$B$25,0),0)</f>
        <v>930000</v>
      </c>
      <c r="G18" s="12" cm="1">
        <f t="array" ref="G18">INDEX('1.Data Sources'!$K$6:$K$25,MATCH('6.Solver Analysis'!B18,'1.Data Sources'!$B$6:$B$25,0),0)</f>
        <v>1011000</v>
      </c>
      <c r="H18" s="12" cm="1">
        <f t="array" ref="H18">INDEX('1.Data Sources'!$L$6:$L$25,MATCH('6.Solver Analysis'!B18,'1.Data Sources'!$B$6:$B$25,0),0)</f>
        <v>1404000</v>
      </c>
      <c r="I18" s="12" cm="1">
        <f t="array" ref="I18">INDEX('1.Data Sources'!$M$6:$M$25,MATCH('6.Solver Analysis'!B18,'1.Data Sources'!$B$6:$B$25,0),0)</f>
        <v>3189000</v>
      </c>
      <c r="J18" s="20" cm="1">
        <f t="array" ref="J18">INDEX('1.Data Sources'!$C$6:$C$25,MATCH('6.Solver Analysis'!B18,'1.Data Sources'!$B$6:$B$25,0),0)</f>
        <v>0.18</v>
      </c>
      <c r="K18" s="20" cm="1">
        <f t="array" ref="K18">INDEX('1.Data Sources'!$D$6:$D$25,MATCH('6.Solver Analysis'!B18,'1.Data Sources'!$B$6:$B$25,0),0)</f>
        <v>0.04</v>
      </c>
      <c r="L18" s="20" cm="1">
        <f t="array" ref="L18">INDEX('1.Data Sources'!$E$6:$E$25,MATCH('6.Solver Analysis'!B18,'1.Data Sources'!$B$6:$B$25,0),0)</f>
        <v>0.44</v>
      </c>
      <c r="M18" s="20" cm="1">
        <f t="array" ref="M18">INDEX('1.Data Sources'!$F$6:$F$25,MATCH('6.Solver Analysis'!B18,'1.Data Sources'!$B$6:$B$25,0),0)</f>
        <v>0.99490000000000001</v>
      </c>
      <c r="N18" s="20" cm="1">
        <f t="array" ref="N18">INDEX('1.Data Sources'!$G$6:$G$25,MATCH('6.Solver Analysis'!B18,'1.Data Sources'!$B$6:$B$25,0),0)</f>
        <v>0.71502050799623706</v>
      </c>
      <c r="O18" s="48">
        <f t="shared" si="1"/>
        <v>133920</v>
      </c>
      <c r="P18" s="48">
        <f t="shared" si="1"/>
        <v>37200</v>
      </c>
      <c r="Q18" s="48">
        <f t="shared" si="1"/>
        <v>444840</v>
      </c>
      <c r="R18" s="48">
        <f t="shared" si="1"/>
        <v>1396839.6</v>
      </c>
      <c r="S18" s="48">
        <f t="shared" si="1"/>
        <v>2280200.4</v>
      </c>
      <c r="T18" s="48">
        <f t="shared" si="2"/>
        <v>610080</v>
      </c>
      <c r="U18" s="48">
        <f t="shared" si="0"/>
        <v>892800</v>
      </c>
      <c r="V18" s="48">
        <f t="shared" si="0"/>
        <v>566160</v>
      </c>
      <c r="W18" s="48">
        <f t="shared" si="0"/>
        <v>7160.3999999999069</v>
      </c>
      <c r="X18" s="48">
        <f t="shared" si="0"/>
        <v>908799.60000000009</v>
      </c>
      <c r="Y18" s="48">
        <f t="shared" si="3"/>
        <v>7278000</v>
      </c>
      <c r="Z18" s="63">
        <f t="shared" si="4"/>
        <v>0.58985985160758447</v>
      </c>
      <c r="AA18" s="48">
        <f t="shared" si="5"/>
        <v>4293000</v>
      </c>
      <c r="AB18" s="48">
        <f t="shared" si="6"/>
        <v>2985000</v>
      </c>
    </row>
    <row r="19" spans="2:28" x14ac:dyDescent="0.3">
      <c r="B19" s="21">
        <v>2020</v>
      </c>
      <c r="C19" s="12">
        <v>707.5</v>
      </c>
      <c r="D19" s="48">
        <f>D18*(1-0.07)</f>
        <v>1338270</v>
      </c>
      <c r="E19" s="12" cm="1">
        <f t="array" ref="E19">INDEX('1.Data Sources'!$I$6:$I$25,MATCH('6.Solver Analysis'!B19,'1.Data Sources'!$B$6:$B$25,0),0)</f>
        <v>665000</v>
      </c>
      <c r="F19" s="12" cm="1">
        <f t="array" ref="F19">INDEX('1.Data Sources'!$J$6:$J$25,MATCH('6.Solver Analysis'!B19,'1.Data Sources'!$B$6:$B$25,0),0)</f>
        <v>868000</v>
      </c>
      <c r="G19" s="12" cm="1">
        <f t="array" ref="G19">INDEX('1.Data Sources'!$K$6:$K$25,MATCH('6.Solver Analysis'!B19,'1.Data Sources'!$B$6:$B$25,0),0)</f>
        <v>1144000</v>
      </c>
      <c r="H19" s="12" cm="1">
        <f t="array" ref="H19">INDEX('1.Data Sources'!$L$6:$L$25,MATCH('6.Solver Analysis'!B19,'1.Data Sources'!$B$6:$B$25,0),0)</f>
        <v>1009000</v>
      </c>
      <c r="I19" s="12" cm="1">
        <f t="array" ref="I19">INDEX('1.Data Sources'!$M$6:$M$25,MATCH('6.Solver Analysis'!B19,'1.Data Sources'!$B$6:$B$25,0),0)</f>
        <v>2194000</v>
      </c>
      <c r="J19" s="20" cm="1">
        <f t="array" ref="J19">INDEX('1.Data Sources'!$C$6:$C$25,MATCH('6.Solver Analysis'!B19,'1.Data Sources'!$B$6:$B$25,0),0)</f>
        <v>0.19</v>
      </c>
      <c r="K19" s="20" cm="1">
        <f t="array" ref="K19">INDEX('1.Data Sources'!$D$6:$D$25,MATCH('6.Solver Analysis'!B19,'1.Data Sources'!$B$6:$B$25,0),0)</f>
        <v>0.04</v>
      </c>
      <c r="L19" s="20" cm="1">
        <f t="array" ref="L19">INDEX('1.Data Sources'!$E$6:$E$25,MATCH('6.Solver Analysis'!B19,'1.Data Sources'!$B$6:$B$25,0),0)</f>
        <v>0.48589799999999994</v>
      </c>
      <c r="M19" s="20" cm="1">
        <f t="array" ref="M19">INDEX('1.Data Sources'!$F$6:$F$25,MATCH('6.Solver Analysis'!B19,'1.Data Sources'!$B$6:$B$25,0),0)</f>
        <v>0.99490000000000001</v>
      </c>
      <c r="N19" s="20" cm="1">
        <f t="array" ref="N19">INDEX('1.Data Sources'!$G$6:$G$25,MATCH('6.Solver Analysis'!B19,'1.Data Sources'!$B$6:$B$25,0),0)</f>
        <v>0.60128012215132176</v>
      </c>
      <c r="O19" s="48">
        <f t="shared" si="1"/>
        <v>126350</v>
      </c>
      <c r="P19" s="48">
        <f t="shared" si="1"/>
        <v>34720</v>
      </c>
      <c r="Q19" s="48">
        <f t="shared" si="1"/>
        <v>555867.31199999992</v>
      </c>
      <c r="R19" s="48">
        <f t="shared" si="1"/>
        <v>1003854.1</v>
      </c>
      <c r="S19" s="48">
        <f t="shared" si="1"/>
        <v>1319208.588</v>
      </c>
      <c r="T19" s="48">
        <f t="shared" si="2"/>
        <v>538650</v>
      </c>
      <c r="U19" s="48">
        <f t="shared" si="0"/>
        <v>833280</v>
      </c>
      <c r="V19" s="48">
        <f t="shared" si="0"/>
        <v>588132.68800000008</v>
      </c>
      <c r="W19" s="48">
        <f t="shared" si="0"/>
        <v>5145.9000000000233</v>
      </c>
      <c r="X19" s="48">
        <f t="shared" si="0"/>
        <v>874791.41200000001</v>
      </c>
      <c r="Y19" s="48">
        <f t="shared" si="3"/>
        <v>5880000</v>
      </c>
      <c r="Z19" s="63">
        <f t="shared" si="4"/>
        <v>0.51700680272108845</v>
      </c>
      <c r="AA19" s="48">
        <f t="shared" si="5"/>
        <v>3040000</v>
      </c>
      <c r="AB19" s="48">
        <f t="shared" si="6"/>
        <v>2840000</v>
      </c>
    </row>
    <row r="20" spans="2:28" x14ac:dyDescent="0.3">
      <c r="B20" s="21">
        <v>2021</v>
      </c>
      <c r="C20" s="12">
        <v>905</v>
      </c>
      <c r="D20" s="48">
        <f t="shared" ref="D20:D21" si="7">D19*(1-0.07)</f>
        <v>1244591.0999999999</v>
      </c>
      <c r="E20" s="12" cm="1">
        <f t="array" ref="E20">INDEX('1.Data Sources'!$I$6:$I$25,MATCH('6.Solver Analysis'!B20,'1.Data Sources'!$B$6:$B$25,0),0)</f>
        <v>817000</v>
      </c>
      <c r="F20" s="12" cm="1">
        <f t="array" ref="F20">INDEX('1.Data Sources'!$J$6:$J$25,MATCH('6.Solver Analysis'!B20,'1.Data Sources'!$B$6:$B$25,0),0)</f>
        <v>982000</v>
      </c>
      <c r="G20" s="12" cm="1">
        <f t="array" ref="G20">INDEX('1.Data Sources'!$K$6:$K$25,MATCH('6.Solver Analysis'!B20,'1.Data Sources'!$B$6:$B$25,0),0)</f>
        <v>1136000</v>
      </c>
      <c r="H20" s="12" cm="1">
        <f t="array" ref="H20">INDEX('1.Data Sources'!$L$6:$L$25,MATCH('6.Solver Analysis'!B20,'1.Data Sources'!$B$6:$B$25,0),0)</f>
        <v>1400000</v>
      </c>
      <c r="I20" s="12" cm="1">
        <f t="array" ref="I20">INDEX('1.Data Sources'!$M$6:$M$25,MATCH('6.Solver Analysis'!B20,'1.Data Sources'!$B$6:$B$25,0),0)</f>
        <v>2609000</v>
      </c>
      <c r="J20" s="20" cm="1">
        <f t="array" ref="J20">INDEX('1.Data Sources'!$C$6:$C$25,MATCH('6.Solver Analysis'!B20,'1.Data Sources'!$B$6:$B$25,0),0)</f>
        <v>0.19</v>
      </c>
      <c r="K20" s="20" cm="1">
        <f t="array" ref="K20">INDEX('1.Data Sources'!$D$6:$D$25,MATCH('6.Solver Analysis'!B20,'1.Data Sources'!$B$6:$B$25,0),0)</f>
        <v>0.06</v>
      </c>
      <c r="L20" s="20" cm="1">
        <f t="array" ref="L20">INDEX('1.Data Sources'!$E$6:$E$25,MATCH('6.Solver Analysis'!B20,'1.Data Sources'!$B$6:$B$25,0),0)</f>
        <v>0.46232718000000006</v>
      </c>
      <c r="M20" s="20" cm="1">
        <f t="array" ref="M20">INDEX('1.Data Sources'!$F$6:$F$25,MATCH('6.Solver Analysis'!B20,'1.Data Sources'!$B$6:$B$25,0),0)</f>
        <v>0.99490000000000001</v>
      </c>
      <c r="N20" s="20" cm="1">
        <f t="array" ref="N20">INDEX('1.Data Sources'!$G$6:$G$25,MATCH('6.Solver Analysis'!B20,'1.Data Sources'!$B$6:$B$25,0),0)</f>
        <v>0.649209016297432</v>
      </c>
      <c r="O20" s="48">
        <f t="shared" si="1"/>
        <v>155230</v>
      </c>
      <c r="P20" s="48">
        <f t="shared" si="1"/>
        <v>58920</v>
      </c>
      <c r="Q20" s="48">
        <f t="shared" si="1"/>
        <v>525203.67648000002</v>
      </c>
      <c r="R20" s="48">
        <f t="shared" si="1"/>
        <v>1392860</v>
      </c>
      <c r="S20" s="48">
        <f t="shared" si="1"/>
        <v>1693786.3235200001</v>
      </c>
      <c r="T20" s="48">
        <f t="shared" si="2"/>
        <v>661770</v>
      </c>
      <c r="U20" s="48">
        <f t="shared" si="0"/>
        <v>923080</v>
      </c>
      <c r="V20" s="48">
        <f t="shared" si="0"/>
        <v>610796.32351999998</v>
      </c>
      <c r="W20" s="48">
        <f t="shared" si="0"/>
        <v>7140</v>
      </c>
      <c r="X20" s="48">
        <f t="shared" si="0"/>
        <v>915213.67647999991</v>
      </c>
      <c r="Y20" s="48">
        <f t="shared" si="3"/>
        <v>6944000</v>
      </c>
      <c r="Z20" s="63">
        <f t="shared" si="4"/>
        <v>0.55097926267281105</v>
      </c>
      <c r="AA20" s="48">
        <f t="shared" si="5"/>
        <v>3826000</v>
      </c>
      <c r="AB20" s="48">
        <f t="shared" si="6"/>
        <v>3118000</v>
      </c>
    </row>
    <row r="21" spans="2:28" x14ac:dyDescent="0.3">
      <c r="B21" s="21">
        <v>2022</v>
      </c>
      <c r="C21" s="12">
        <v>1012</v>
      </c>
      <c r="D21" s="48">
        <f t="shared" si="7"/>
        <v>1157469.7229999998</v>
      </c>
      <c r="E21" s="12" cm="1">
        <f t="array" ref="E21">INDEX('1.Data Sources'!$I$6:$I$25,MATCH('6.Solver Analysis'!B21,'1.Data Sources'!$B$6:$B$25,0),0)</f>
        <v>813000</v>
      </c>
      <c r="F21" s="12" cm="1">
        <f t="array" ref="F21">INDEX('1.Data Sources'!$J$6:$J$25,MATCH('6.Solver Analysis'!B21,'1.Data Sources'!$B$6:$B$25,0),0)</f>
        <v>1001000</v>
      </c>
      <c r="G21" s="12" cm="1">
        <f t="array" ref="G21">INDEX('1.Data Sources'!$K$6:$K$25,MATCH('6.Solver Analysis'!B21,'1.Data Sources'!$B$6:$B$25,0),0)</f>
        <v>1064000</v>
      </c>
      <c r="H21" s="12" cm="1">
        <f t="array" ref="H21">INDEX('1.Data Sources'!$L$6:$L$25,MATCH('6.Solver Analysis'!B21,'1.Data Sources'!$B$6:$B$25,0),0)</f>
        <v>1430000</v>
      </c>
      <c r="I21" s="12" cm="1">
        <f t="array" ref="I21">INDEX('1.Data Sources'!$M$6:$M$25,MATCH('6.Solver Analysis'!B21,'1.Data Sources'!$B$6:$B$25,0),0)</f>
        <v>3077000</v>
      </c>
      <c r="J21" s="20" cm="1">
        <f t="array" ref="J21">INDEX('1.Data Sources'!$C$6:$C$25,MATCH('6.Solver Analysis'!B21,'1.Data Sources'!$B$6:$B$25,0),0)</f>
        <v>0.18</v>
      </c>
      <c r="K21" s="20" cm="1">
        <f t="array" ref="K21">INDEX('1.Data Sources'!$D$6:$D$25,MATCH('6.Solver Analysis'!B21,'1.Data Sources'!$B$6:$B$25,0),0)</f>
        <v>0.06</v>
      </c>
      <c r="L21" s="20" cm="1">
        <f t="array" ref="L21">INDEX('1.Data Sources'!$E$6:$E$25,MATCH('6.Solver Analysis'!B21,'1.Data Sources'!$B$6:$B$25,0),0)</f>
        <v>0.44087773380000006</v>
      </c>
      <c r="M21" s="20" cm="1">
        <f t="array" ref="M21">INDEX('1.Data Sources'!$F$6:$F$25,MATCH('6.Solver Analysis'!B21,'1.Data Sources'!$B$6:$B$25,0),0)</f>
        <v>0.99490000000000001</v>
      </c>
      <c r="N21" s="20" cm="1">
        <f t="array" ref="N21">INDEX('1.Data Sources'!$G$6:$G$25,MATCH('6.Solver Analysis'!B21,'1.Data Sources'!$B$6:$B$25,0),0)</f>
        <v>0.67916772545882353</v>
      </c>
      <c r="O21" s="48">
        <f t="shared" si="1"/>
        <v>146340</v>
      </c>
      <c r="P21" s="48">
        <f t="shared" si="1"/>
        <v>60060</v>
      </c>
      <c r="Q21" s="48">
        <f t="shared" si="1"/>
        <v>469093.90876320004</v>
      </c>
      <c r="R21" s="48">
        <f t="shared" si="1"/>
        <v>1422707</v>
      </c>
      <c r="S21" s="48">
        <f t="shared" si="1"/>
        <v>2089799.0912368</v>
      </c>
      <c r="T21" s="48">
        <f t="shared" si="2"/>
        <v>666660</v>
      </c>
      <c r="U21" s="48">
        <f t="shared" si="0"/>
        <v>940940</v>
      </c>
      <c r="V21" s="48">
        <f t="shared" si="0"/>
        <v>594906.09123679996</v>
      </c>
      <c r="W21" s="48">
        <f t="shared" si="0"/>
        <v>7293</v>
      </c>
      <c r="X21" s="48">
        <f t="shared" si="0"/>
        <v>987200.90876320004</v>
      </c>
      <c r="Y21" s="48">
        <f t="shared" si="3"/>
        <v>7385000</v>
      </c>
      <c r="Z21" s="63">
        <f t="shared" si="4"/>
        <v>0.56709546377792819</v>
      </c>
      <c r="AA21" s="48">
        <f t="shared" si="5"/>
        <v>4188000</v>
      </c>
      <c r="AB21" s="48">
        <f t="shared" si="6"/>
        <v>3197000</v>
      </c>
    </row>
    <row r="22" spans="2:28" x14ac:dyDescent="0.3">
      <c r="B22" s="21">
        <v>2023</v>
      </c>
      <c r="C22" s="11">
        <f>VLOOKUP(B22,'2. Decisions &amp; Parameters'!$AK$18:$AL$27,2,0)</f>
        <v>1138.7857142857101</v>
      </c>
      <c r="D22" s="11">
        <f>VLOOKUP(B22,'2. Decisions &amp; Parameters'!$AK$18:$AM$27,3,0)</f>
        <v>1076446.8423899997</v>
      </c>
      <c r="E22" s="11" cm="1">
        <f t="array" ref="E22">INDEX('4. Secondary Perf Variables'!$G$32:$G$39,MATCH('6.Solver Analysis'!B22,'4. Secondary Perf Variables'!$B$32:$B$39,0),0)</f>
        <v>824399.70647654601</v>
      </c>
      <c r="F22" s="11" cm="1">
        <f t="array" ref="F22">INDEX('4. Secondary Perf Variables'!$H$32:$H$39,MATCH('6.Solver Analysis'!B22,'4. Secondary Perf Variables'!$B$32:$B$39,0),0)</f>
        <v>936985.5771630368</v>
      </c>
      <c r="G22" s="11" cm="1">
        <f t="array" aca="1" ref="G22" ca="1">INDEX('4. Secondary Perf Variables'!$I$32:$I$39,MATCH('6.Solver Analysis'!B22,'4. Secondary Perf Variables'!$B$32:$B$39,0),0)</f>
        <v>1383900</v>
      </c>
      <c r="H22" s="11" cm="1">
        <f t="array" ref="H22">INDEX('4. Secondary Perf Variables'!$J$32:$J$39,MATCH('6.Solver Analysis'!B22,'4. Secondary Perf Variables'!$B$32:$B$39,0),0)</f>
        <v>1565832.3933627997</v>
      </c>
      <c r="I22" s="11" cm="1">
        <f t="array" ref="I22">INDEX('4. Secondary Perf Variables'!$K$32:$K$39,MATCH('6.Solver Analysis'!B22,'4. Secondary Perf Variables'!$B$32:$B$39,0),0)</f>
        <v>3497734.2940651798</v>
      </c>
      <c r="J22" s="53">
        <f>VLOOKUP(B22,'3. Consequence Variables'!$AB$29:$AC$38,2,0)</f>
        <v>0.15756171606589423</v>
      </c>
      <c r="K22" s="20">
        <v>0.09</v>
      </c>
      <c r="L22" s="53">
        <f>VLOOKUP(B22,'3. Consequence Variables'!$AB$29:$AD$38,3,0)</f>
        <v>0.43928936847799993</v>
      </c>
      <c r="M22" s="20">
        <f>$M$21</f>
        <v>0.99490000000000001</v>
      </c>
      <c r="N22" s="20">
        <v>0.724505143022248</v>
      </c>
      <c r="O22" s="11">
        <f t="shared" si="1"/>
        <v>129893.83247666409</v>
      </c>
      <c r="P22" s="11">
        <f t="shared" si="1"/>
        <v>84328.701944673303</v>
      </c>
      <c r="Q22" s="11">
        <f t="shared" ca="1" si="1"/>
        <v>607932.55703670415</v>
      </c>
      <c r="R22" s="11">
        <f t="shared" si="1"/>
        <v>1557846.6481566494</v>
      </c>
      <c r="S22" s="11">
        <f t="shared" si="1"/>
        <v>2534126.4849755149</v>
      </c>
      <c r="T22" s="11">
        <f t="shared" si="2"/>
        <v>694505.87399988191</v>
      </c>
      <c r="U22" s="11">
        <f t="shared" si="0"/>
        <v>852656.87521836348</v>
      </c>
      <c r="V22" s="11">
        <f t="shared" ca="1" si="0"/>
        <v>775967.44296329585</v>
      </c>
      <c r="W22" s="11">
        <f t="shared" si="0"/>
        <v>7985.7452061502263</v>
      </c>
      <c r="X22" s="11">
        <f t="shared" si="0"/>
        <v>963607.80908966484</v>
      </c>
      <c r="Y22" s="11">
        <f t="shared" ca="1" si="3"/>
        <v>8208851.9710675627</v>
      </c>
      <c r="Z22" s="53">
        <f t="shared" ca="1" si="4"/>
        <v>0.5986376952477952</v>
      </c>
      <c r="AA22" s="11">
        <f t="shared" ca="1" si="5"/>
        <v>4914128.2245902065</v>
      </c>
      <c r="AB22" s="11">
        <f t="shared" ca="1" si="6"/>
        <v>3294723.7464773566</v>
      </c>
    </row>
    <row r="23" spans="2:28" x14ac:dyDescent="0.3">
      <c r="B23" s="21">
        <v>2024</v>
      </c>
      <c r="C23" s="11">
        <f>VLOOKUP(B23,'2. Decisions &amp; Parameters'!$AK$18:$AL$27,2,0)</f>
        <v>1199.0714285714203</v>
      </c>
      <c r="D23" s="11">
        <f>VLOOKUP(B23,'2. Decisions &amp; Parameters'!$AK$18:$AM$27,3,0)</f>
        <v>1001095.5634226996</v>
      </c>
      <c r="E23" s="11" cm="1">
        <f t="array" ref="E23">INDEX('4. Secondary Perf Variables'!$G$32:$G$39,MATCH('6.Solver Analysis'!B23,'4. Secondary Perf Variables'!$B$32:$B$39,0),0)</f>
        <v>858630.58167594066</v>
      </c>
      <c r="F23" s="11" cm="1">
        <f t="array" ref="F23">INDEX('4. Secondary Perf Variables'!$H$32:$H$39,MATCH('6.Solver Analysis'!B23,'4. Secondary Perf Variables'!$B$32:$B$39,0),0)</f>
        <v>946862.1575034376</v>
      </c>
      <c r="G23" s="11" cm="1">
        <f t="array" aca="1" ref="G23" ca="1">INDEX('4. Secondary Perf Variables'!$I$32:$I$39,MATCH('6.Solver Analysis'!B23,'4. Secondary Perf Variables'!$B$32:$B$39,0),0)</f>
        <v>1252000</v>
      </c>
      <c r="H23" s="11" cm="1">
        <f t="array" ref="H23">INDEX('4. Secondary Perf Variables'!$J$32:$J$39,MATCH('6.Solver Analysis'!B23,'4. Secondary Perf Variables'!$B$32:$B$39,0),0)</f>
        <v>1728151.7130468939</v>
      </c>
      <c r="I23" s="11" cm="1">
        <f t="array" ref="I23">INDEX('4. Secondary Perf Variables'!$K$32:$K$39,MATCH('6.Solver Analysis'!B23,'4. Secondary Perf Variables'!$B$32:$B$39,0),0)</f>
        <v>3977234.9968625978</v>
      </c>
      <c r="J23" s="53">
        <f>VLOOKUP(B23,'3. Consequence Variables'!$AB$29:$AC$38,2,0)</f>
        <v>0.16555558339341822</v>
      </c>
      <c r="K23" s="20">
        <v>0.11</v>
      </c>
      <c r="L23" s="53">
        <f>VLOOKUP(B23,'3. Consequence Variables'!$AB$29:$AD$38,3,0)</f>
        <v>0.42421911268453993</v>
      </c>
      <c r="M23" s="20">
        <f t="shared" ref="M23:M29" si="8">$M$21</f>
        <v>0.99490000000000001</v>
      </c>
      <c r="N23" s="20">
        <v>0.71566119499326442</v>
      </c>
      <c r="O23" s="11">
        <f t="shared" si="1"/>
        <v>142151.08686879039</v>
      </c>
      <c r="P23" s="11">
        <f t="shared" si="1"/>
        <v>104154.83732537813</v>
      </c>
      <c r="Q23" s="11">
        <f t="shared" ca="1" si="1"/>
        <v>531122.32908104395</v>
      </c>
      <c r="R23" s="11">
        <f t="shared" si="1"/>
        <v>1719338.1393103548</v>
      </c>
      <c r="S23" s="11">
        <f t="shared" si="1"/>
        <v>2846352.7506237188</v>
      </c>
      <c r="T23" s="11">
        <f t="shared" si="2"/>
        <v>716479.49480715021</v>
      </c>
      <c r="U23" s="11">
        <f t="shared" si="2"/>
        <v>842707.32017805951</v>
      </c>
      <c r="V23" s="11">
        <f t="shared" ca="1" si="2"/>
        <v>720877.67091895605</v>
      </c>
      <c r="W23" s="11">
        <f t="shared" si="2"/>
        <v>8813.5737365391105</v>
      </c>
      <c r="X23" s="11">
        <f t="shared" si="2"/>
        <v>1130882.2462388789</v>
      </c>
      <c r="Y23" s="11">
        <f t="shared" ca="1" si="3"/>
        <v>8762879.4490888696</v>
      </c>
      <c r="Z23" s="53">
        <f t="shared" ca="1" si="4"/>
        <v>0.60974468201372356</v>
      </c>
      <c r="AA23" s="11">
        <f t="shared" ca="1" si="5"/>
        <v>5343119.143209286</v>
      </c>
      <c r="AB23" s="11">
        <f t="shared" ca="1" si="6"/>
        <v>3419760.3058795836</v>
      </c>
    </row>
    <row r="24" spans="2:28" x14ac:dyDescent="0.3">
      <c r="B24" s="21">
        <v>2025</v>
      </c>
      <c r="C24" s="11">
        <f>VLOOKUP(B24,'2. Decisions &amp; Parameters'!$AK$18:$AL$27,2,0)</f>
        <v>1259.3571428571304</v>
      </c>
      <c r="D24" s="11">
        <f>VLOOKUP(B24,'2. Decisions &amp; Parameters'!$AK$18:$AM$27,3,0)</f>
        <v>931018.87398311053</v>
      </c>
      <c r="E24" s="11" cm="1">
        <f t="array" ref="E24">INDEX('4. Secondary Perf Variables'!$G$32:$G$39,MATCH('6.Solver Analysis'!B24,'4. Secondary Perf Variables'!$B$32:$B$39,0),0)</f>
        <v>873779.07744686096</v>
      </c>
      <c r="F24" s="11" cm="1">
        <f t="array" ref="F24">INDEX('4. Secondary Perf Variables'!$H$32:$H$39,MATCH('6.Solver Analysis'!B24,'4. Secondary Perf Variables'!$B$32:$B$39,0),0)</f>
        <v>961538.1143921318</v>
      </c>
      <c r="G24" s="11" cm="1">
        <f t="array" aca="1" ref="G24" ca="1">INDEX('4. Secondary Perf Variables'!$I$32:$I$39,MATCH('6.Solver Analysis'!B24,'4. Secondary Perf Variables'!$B$32:$B$39,0),0)</f>
        <v>1136000</v>
      </c>
      <c r="H24" s="11" cm="1">
        <f t="array" ref="H24">INDEX('4. Secondary Perf Variables'!$J$32:$J$39,MATCH('6.Solver Analysis'!B24,'4. Secondary Perf Variables'!$B$32:$B$39,0),0)</f>
        <v>1769542.198902149</v>
      </c>
      <c r="I24" s="11" cm="1">
        <f t="array" ref="I24">INDEX('4. Secondary Perf Variables'!$K$32:$K$39,MATCH('6.Solver Analysis'!B24,'4. Secondary Perf Variables'!$B$32:$B$39,0),0)</f>
        <v>4077463.5838415138</v>
      </c>
      <c r="J24" s="53">
        <f>VLOOKUP(B24,'3. Consequence Variables'!$AB$29:$AC$38,2,0)</f>
        <v>0.17221516035079404</v>
      </c>
      <c r="K24" s="20">
        <v>0.09</v>
      </c>
      <c r="L24" s="53">
        <f>VLOOKUP(B24,'3. Consequence Variables'!$AB$29:$AD$38,3,0)</f>
        <v>0.41020377479662207</v>
      </c>
      <c r="M24" s="20">
        <f t="shared" si="8"/>
        <v>0.99490000000000001</v>
      </c>
      <c r="N24" s="20">
        <v>0.72450514302224789</v>
      </c>
      <c r="O24" s="11">
        <f t="shared" si="1"/>
        <v>150478.00393368004</v>
      </c>
      <c r="P24" s="11">
        <f t="shared" si="1"/>
        <v>86538.430295291852</v>
      </c>
      <c r="Q24" s="11">
        <f t="shared" ca="1" si="1"/>
        <v>465991.48816896265</v>
      </c>
      <c r="R24" s="11">
        <f t="shared" si="1"/>
        <v>1760517.533687748</v>
      </c>
      <c r="S24" s="11">
        <f t="shared" si="1"/>
        <v>2954143.3369791033</v>
      </c>
      <c r="T24" s="11">
        <f t="shared" si="2"/>
        <v>723301.07351318095</v>
      </c>
      <c r="U24" s="11">
        <f t="shared" si="2"/>
        <v>874999.68409683998</v>
      </c>
      <c r="V24" s="11">
        <f t="shared" ca="1" si="2"/>
        <v>670008.51183103735</v>
      </c>
      <c r="W24" s="11">
        <f t="shared" si="2"/>
        <v>9024.6652144009713</v>
      </c>
      <c r="X24" s="11">
        <f t="shared" si="2"/>
        <v>1123320.2468624106</v>
      </c>
      <c r="Y24" s="11">
        <f t="shared" ca="1" si="3"/>
        <v>8818322.9745826554</v>
      </c>
      <c r="Z24" s="53">
        <f t="shared" ca="1" si="4"/>
        <v>0.61436497718220484</v>
      </c>
      <c r="AA24" s="11">
        <f t="shared" ca="1" si="5"/>
        <v>5417668.7930647861</v>
      </c>
      <c r="AB24" s="11">
        <f t="shared" ca="1" si="6"/>
        <v>3400654.1815178702</v>
      </c>
    </row>
    <row r="25" spans="2:28" x14ac:dyDescent="0.3">
      <c r="B25" s="21">
        <v>2026</v>
      </c>
      <c r="C25" s="11">
        <f>VLOOKUP(B25,'2. Decisions &amp; Parameters'!$AK$18:$AL$27,2,0)</f>
        <v>1319.6428571428551</v>
      </c>
      <c r="D25" s="11">
        <f>VLOOKUP(B25,'2. Decisions &amp; Parameters'!$AK$18:$AM$27,3,0)</f>
        <v>865847.55280429276</v>
      </c>
      <c r="E25" s="11" cm="1">
        <f t="array" ref="E25">INDEX('4. Secondary Perf Variables'!$G$32:$G$39,MATCH('6.Solver Analysis'!B25,'4. Secondary Perf Variables'!$B$32:$B$39,0),0)</f>
        <v>888927.57321778126</v>
      </c>
      <c r="F25" s="11" cm="1">
        <f t="array" ref="F25">INDEX('4. Secondary Perf Variables'!$H$32:$H$39,MATCH('6.Solver Analysis'!B25,'4. Secondary Perf Variables'!$B$32:$B$39,0),0)</f>
        <v>976214.071280826</v>
      </c>
      <c r="G25" s="11" cm="1">
        <f t="array" aca="1" ref="G25" ca="1">INDEX('4. Secondary Perf Variables'!$I$32:$I$39,MATCH('6.Solver Analysis'!B25,'4. Secondary Perf Variables'!$B$32:$B$39,0),0)</f>
        <v>1183100</v>
      </c>
      <c r="H25" s="11" cm="1">
        <f t="array" ref="H25">INDEX('4. Secondary Perf Variables'!$J$32:$J$39,MATCH('6.Solver Analysis'!B25,'4. Secondary Perf Variables'!$B$32:$B$39,0),0)</f>
        <v>1810932.684757404</v>
      </c>
      <c r="I25" s="11" cm="1">
        <f t="array" ref="I25">INDEX('4. Secondary Perf Variables'!$K$32:$K$39,MATCH('6.Solver Analysis'!B25,'4. Secondary Perf Variables'!$B$32:$B$39,0),0)</f>
        <v>4177692.1708204304</v>
      </c>
      <c r="J25" s="53">
        <f>VLOOKUP(B25,'3. Consequence Variables'!$AB$29:$AC$38,2,0)</f>
        <v>0.17637047410013212</v>
      </c>
      <c r="K25" s="20">
        <v>7.0000000000000007E-2</v>
      </c>
      <c r="L25" s="53">
        <f>VLOOKUP(B25,'3. Consequence Variables'!$AB$29:$AD$38,3,0)</f>
        <v>0.39716951056085859</v>
      </c>
      <c r="M25" s="20">
        <f t="shared" si="8"/>
        <v>0.99490000000000001</v>
      </c>
      <c r="N25" s="20">
        <v>0.60128012215132176</v>
      </c>
      <c r="O25" s="11">
        <f t="shared" si="1"/>
        <v>156780.5775291</v>
      </c>
      <c r="P25" s="11">
        <f t="shared" si="1"/>
        <v>68334.984989657823</v>
      </c>
      <c r="Q25" s="11">
        <f t="shared" ca="1" si="1"/>
        <v>469891.24794455181</v>
      </c>
      <c r="R25" s="11">
        <f t="shared" si="1"/>
        <v>1801696.9280651412</v>
      </c>
      <c r="S25" s="11">
        <f t="shared" si="1"/>
        <v>2511963.258781529</v>
      </c>
      <c r="T25" s="11">
        <f t="shared" si="2"/>
        <v>732146.99568868126</v>
      </c>
      <c r="U25" s="11">
        <f t="shared" si="2"/>
        <v>907879.08629116812</v>
      </c>
      <c r="V25" s="11">
        <f t="shared" ca="1" si="2"/>
        <v>713208.75205544825</v>
      </c>
      <c r="W25" s="11">
        <f t="shared" si="2"/>
        <v>9235.7566922628321</v>
      </c>
      <c r="X25" s="11">
        <f t="shared" si="2"/>
        <v>1665728.9120389014</v>
      </c>
      <c r="Y25" s="11">
        <f t="shared" ca="1" si="3"/>
        <v>9036866.5000764411</v>
      </c>
      <c r="Z25" s="53">
        <f t="shared" ca="1" si="4"/>
        <v>0.55424820066420288</v>
      </c>
      <c r="AA25" s="11">
        <f t="shared" ca="1" si="5"/>
        <v>5008666.99730998</v>
      </c>
      <c r="AB25" s="11">
        <f t="shared" ca="1" si="6"/>
        <v>4028199.502766462</v>
      </c>
    </row>
    <row r="26" spans="2:28" x14ac:dyDescent="0.3">
      <c r="B26" s="21">
        <v>2027</v>
      </c>
      <c r="C26" s="11">
        <f>VLOOKUP(B26,'2. Decisions &amp; Parameters'!$AK$18:$AL$27,2,0)</f>
        <v>1379.9285714285652</v>
      </c>
      <c r="D26" s="11">
        <f>VLOOKUP(B26,'2. Decisions &amp; Parameters'!$AK$18:$AM$27,3,0)</f>
        <v>805238.22410799225</v>
      </c>
      <c r="E26" s="11" cm="1">
        <f t="array" ref="E26">INDEX('4. Secondary Perf Variables'!$G$32:$G$39,MATCH('6.Solver Analysis'!B26,'4. Secondary Perf Variables'!$B$32:$B$39,0),0)</f>
        <v>904076.06898870156</v>
      </c>
      <c r="F26" s="11" cm="1">
        <f t="array" ref="F26">INDEX('4. Secondary Perf Variables'!$H$32:$H$39,MATCH('6.Solver Analysis'!B26,'4. Secondary Perf Variables'!$B$32:$B$39,0),0)</f>
        <v>990890.0281695202</v>
      </c>
      <c r="G26" s="11" cm="1">
        <f t="array" aca="1" ref="G26" ca="1">INDEX('4. Secondary Perf Variables'!$I$32:$I$39,MATCH('6.Solver Analysis'!B26,'4. Secondary Perf Variables'!$B$32:$B$39,0),0)</f>
        <v>1201000</v>
      </c>
      <c r="H26" s="11" cm="1">
        <f t="array" ref="H26">INDEX('4. Secondary Perf Variables'!$J$32:$J$39,MATCH('6.Solver Analysis'!B26,'4. Secondary Perf Variables'!$B$32:$B$39,0),0)</f>
        <v>1852323.1706126588</v>
      </c>
      <c r="I26" s="11" cm="1">
        <f t="array" ref="I26">INDEX('4. Secondary Perf Variables'!$K$32:$K$39,MATCH('6.Solver Analysis'!B26,'4. Secondary Perf Variables'!$B$32:$B$39,0),0)</f>
        <v>4277920.7577993469</v>
      </c>
      <c r="J26" s="53">
        <f>VLOOKUP(B26,'3. Consequence Variables'!$AB$29:$AC$38,2,0)</f>
        <v>0.18052578784947068</v>
      </c>
      <c r="K26" s="20">
        <v>0.09</v>
      </c>
      <c r="L26" s="53">
        <f>VLOOKUP(B26,'3. Consequence Variables'!$AB$29:$AD$38,3,0)</f>
        <v>0.38504764482159848</v>
      </c>
      <c r="M26" s="20">
        <f t="shared" si="8"/>
        <v>0.99490000000000001</v>
      </c>
      <c r="N26" s="20">
        <v>0.69616342680332621</v>
      </c>
      <c r="O26" s="11">
        <f t="shared" si="1"/>
        <v>163209.04463003777</v>
      </c>
      <c r="P26" s="11">
        <f t="shared" si="1"/>
        <v>89180.10253525681</v>
      </c>
      <c r="Q26" s="11">
        <f t="shared" ca="1" si="1"/>
        <v>462442.2214307398</v>
      </c>
      <c r="R26" s="11">
        <f t="shared" si="1"/>
        <v>1842876.3224425344</v>
      </c>
      <c r="S26" s="11">
        <f t="shared" si="1"/>
        <v>2978131.9743426754</v>
      </c>
      <c r="T26" s="11">
        <f t="shared" si="2"/>
        <v>740867.02435866382</v>
      </c>
      <c r="U26" s="11">
        <f t="shared" si="2"/>
        <v>901709.92563426343</v>
      </c>
      <c r="V26" s="11">
        <f t="shared" ca="1" si="2"/>
        <v>738557.77856926015</v>
      </c>
      <c r="W26" s="11">
        <f t="shared" si="2"/>
        <v>9446.84817012446</v>
      </c>
      <c r="X26" s="11">
        <f t="shared" si="2"/>
        <v>1299788.7834566715</v>
      </c>
      <c r="Y26" s="11">
        <f t="shared" ca="1" si="3"/>
        <v>9226210.0255702287</v>
      </c>
      <c r="Z26" s="53">
        <f t="shared" ca="1" si="4"/>
        <v>0.60001231817168599</v>
      </c>
      <c r="AA26" s="11">
        <f t="shared" ca="1" si="5"/>
        <v>5535839.6653812435</v>
      </c>
      <c r="AB26" s="11">
        <f t="shared" ca="1" si="6"/>
        <v>3690370.3601889834</v>
      </c>
    </row>
    <row r="27" spans="2:28" x14ac:dyDescent="0.3">
      <c r="B27" s="21">
        <v>2028</v>
      </c>
      <c r="C27" s="11">
        <f>VLOOKUP(B27,'2. Decisions &amp; Parameters'!$AK$18:$AL$27,2,0)</f>
        <v>1440.2142857142753</v>
      </c>
      <c r="D27" s="11">
        <f>VLOOKUP(B27,'2. Decisions &amp; Parameters'!$AK$18:$AM$27,3,0)</f>
        <v>748871.54842043272</v>
      </c>
      <c r="E27" s="11" cm="1">
        <f t="array" ref="E27">INDEX('4. Secondary Perf Variables'!$G$32:$G$39,MATCH('6.Solver Analysis'!B27,'4. Secondary Perf Variables'!$B$32:$B$39,0),0)</f>
        <v>919224.56475962198</v>
      </c>
      <c r="F27" s="11" cm="1">
        <f t="array" ref="F27">INDEX('4. Secondary Perf Variables'!$H$32:$H$39,MATCH('6.Solver Analysis'!B27,'4. Secondary Perf Variables'!$B$32:$B$39,0),0)</f>
        <v>1005565.9850582145</v>
      </c>
      <c r="G27" s="11" cm="1">
        <f t="array" aca="1" ref="G27" ca="1">INDEX('4. Secondary Perf Variables'!$I$32:$I$39,MATCH('6.Solver Analysis'!B27,'4. Secondary Perf Variables'!$B$32:$B$39,0),0)</f>
        <v>1064000</v>
      </c>
      <c r="H27" s="11" cm="1">
        <f t="array" ref="H27">INDEX('4. Secondary Perf Variables'!$J$32:$J$39,MATCH('6.Solver Analysis'!B27,'4. Secondary Perf Variables'!$B$32:$B$39,0),0)</f>
        <v>1893713.6564679136</v>
      </c>
      <c r="I27" s="11" cm="1">
        <f t="array" ref="I27">INDEX('4. Secondary Perf Variables'!$K$32:$K$39,MATCH('6.Solver Analysis'!B27,'4. Secondary Perf Variables'!$B$32:$B$39,0),0)</f>
        <v>4378149.344778263</v>
      </c>
      <c r="J27" s="53">
        <f>VLOOKUP(B27,'3. Consequence Variables'!$AB$29:$AC$38,2,0)</f>
        <v>0.18468110159880929</v>
      </c>
      <c r="K27" s="20">
        <v>0.06</v>
      </c>
      <c r="L27" s="53">
        <f>VLOOKUP(B27,'3. Consequence Variables'!$AB$29:$AD$38,3,0)</f>
        <v>0.37377430968408654</v>
      </c>
      <c r="M27" s="20">
        <f t="shared" si="8"/>
        <v>0.99490000000000001</v>
      </c>
      <c r="N27" s="20">
        <v>0.73161666197579511</v>
      </c>
      <c r="O27" s="11">
        <f t="shared" si="1"/>
        <v>169763.40523649301</v>
      </c>
      <c r="P27" s="11">
        <f t="shared" si="1"/>
        <v>60333.959103492867</v>
      </c>
      <c r="Q27" s="11">
        <f t="shared" ca="1" si="1"/>
        <v>397695.86550386809</v>
      </c>
      <c r="R27" s="11">
        <f t="shared" si="1"/>
        <v>1884055.7168199273</v>
      </c>
      <c r="S27" s="11">
        <f t="shared" si="1"/>
        <v>3203127.0092581874</v>
      </c>
      <c r="T27" s="11">
        <f t="shared" si="2"/>
        <v>749461.159523129</v>
      </c>
      <c r="U27" s="11">
        <f t="shared" si="2"/>
        <v>945232.02595472161</v>
      </c>
      <c r="V27" s="11">
        <f t="shared" ca="1" si="2"/>
        <v>666304.13449613191</v>
      </c>
      <c r="W27" s="11">
        <f t="shared" si="2"/>
        <v>9657.9396479863208</v>
      </c>
      <c r="X27" s="11">
        <f t="shared" si="2"/>
        <v>1175022.3355200756</v>
      </c>
      <c r="Y27" s="11">
        <f t="shared" ca="1" si="3"/>
        <v>9260653.5510640144</v>
      </c>
      <c r="Z27" s="53">
        <f t="shared" ca="1" si="4"/>
        <v>0.6171244744670682</v>
      </c>
      <c r="AA27" s="11">
        <f t="shared" ca="1" si="5"/>
        <v>5714975.9559219684</v>
      </c>
      <c r="AB27" s="11">
        <f t="shared" ca="1" si="6"/>
        <v>3545677.5951420441</v>
      </c>
    </row>
    <row r="28" spans="2:28" x14ac:dyDescent="0.3">
      <c r="B28" s="21">
        <v>2029</v>
      </c>
      <c r="C28" s="11">
        <f>VLOOKUP(B28,'2. Decisions &amp; Parameters'!$AK$18:$AL$27,2,0)</f>
        <v>1500.5</v>
      </c>
      <c r="D28" s="11">
        <f>VLOOKUP(B28,'2. Decisions &amp; Parameters'!$AK$18:$AM$27,3,0)</f>
        <v>696450.54003100237</v>
      </c>
      <c r="E28" s="11" cm="1">
        <f t="array" ref="E28">INDEX('4. Secondary Perf Variables'!$G$32:$G$39,MATCH('6.Solver Analysis'!B28,'4. Secondary Perf Variables'!$B$32:$B$39,0),0)</f>
        <v>934373.06053054228</v>
      </c>
      <c r="F28" s="11" cm="1">
        <f t="array" ref="F28">INDEX('4. Secondary Perf Variables'!$H$32:$H$39,MATCH('6.Solver Analysis'!B28,'4. Secondary Perf Variables'!$B$32:$B$39,0),0)</f>
        <v>1020241.9419469086</v>
      </c>
      <c r="G28" s="11" cm="1">
        <f t="array" aca="1" ref="G28" ca="1">INDEX('4. Secondary Perf Variables'!$I$32:$I$39,MATCH('6.Solver Analysis'!B28,'4. Secondary Perf Variables'!$B$32:$B$39,0),0)</f>
        <v>1098600</v>
      </c>
      <c r="H28" s="11" cm="1">
        <f t="array" ref="H28">INDEX('4. Secondary Perf Variables'!$J$32:$J$39,MATCH('6.Solver Analysis'!B28,'4. Secondary Perf Variables'!$B$32:$B$39,0),0)</f>
        <v>1935104.1423231687</v>
      </c>
      <c r="I28" s="11" cm="1">
        <f t="array" ref="I28">INDEX('4. Secondary Perf Variables'!$K$32:$K$39,MATCH('6.Solver Analysis'!B28,'4. Secondary Perf Variables'!$B$32:$B$39,0),0)</f>
        <v>4478377.93175718</v>
      </c>
      <c r="J28" s="53">
        <f>VLOOKUP(B28,'3. Consequence Variables'!$AB$29:$AC$38,2,0)</f>
        <v>0.18883641534814738</v>
      </c>
      <c r="K28" s="20">
        <v>7.0000000000000007E-2</v>
      </c>
      <c r="L28" s="53">
        <f>VLOOKUP(B28,'3. Consequence Variables'!$AB$29:$AD$38,3,0)</f>
        <v>0.36329010800620049</v>
      </c>
      <c r="M28" s="20">
        <f t="shared" si="8"/>
        <v>0.99490000000000001</v>
      </c>
      <c r="N28" s="20">
        <v>0.70808519245875878</v>
      </c>
      <c r="O28" s="11">
        <f t="shared" si="1"/>
        <v>176443.65934846512</v>
      </c>
      <c r="P28" s="11">
        <f t="shared" si="1"/>
        <v>71416.935936283611</v>
      </c>
      <c r="Q28" s="11">
        <f t="shared" ca="1" si="1"/>
        <v>399110.51265561185</v>
      </c>
      <c r="R28" s="11">
        <f t="shared" si="1"/>
        <v>1925235.1111973205</v>
      </c>
      <c r="S28" s="11">
        <f t="shared" si="1"/>
        <v>3171073.0997113409</v>
      </c>
      <c r="T28" s="11">
        <f t="shared" si="2"/>
        <v>757929.40118207713</v>
      </c>
      <c r="U28" s="11">
        <f t="shared" si="2"/>
        <v>948825.00601062505</v>
      </c>
      <c r="V28" s="11">
        <f t="shared" ca="1" si="2"/>
        <v>699489.48734438815</v>
      </c>
      <c r="W28" s="11">
        <f t="shared" si="2"/>
        <v>9869.0311258481815</v>
      </c>
      <c r="X28" s="11">
        <f t="shared" si="2"/>
        <v>1307304.8320458392</v>
      </c>
      <c r="Y28" s="11">
        <f t="shared" ca="1" si="3"/>
        <v>9466697.0765578002</v>
      </c>
      <c r="Z28" s="53">
        <f t="shared" ca="1" si="4"/>
        <v>0.60668248623598553</v>
      </c>
      <c r="AA28" s="11">
        <f t="shared" ca="1" si="5"/>
        <v>5743279.3188490216</v>
      </c>
      <c r="AB28" s="11">
        <f t="shared" ca="1" si="6"/>
        <v>3723417.7577087777</v>
      </c>
    </row>
    <row r="29" spans="2:28" x14ac:dyDescent="0.3">
      <c r="B29" s="21">
        <v>2030</v>
      </c>
      <c r="C29" s="11">
        <f>VLOOKUP(B29,'2. Decisions &amp; Parameters'!$AK$18:$AL$27,2,0)</f>
        <v>1560.7857142857101</v>
      </c>
      <c r="D29" s="11">
        <f>VLOOKUP(B29,'2. Decisions &amp; Parameters'!$AK$18:$AM$27,3,0)</f>
        <v>647699.00222883211</v>
      </c>
      <c r="E29" s="11" cm="1">
        <f t="array" ref="E29">INDEX('4. Secondary Perf Variables'!$G$32:$G$39,MATCH('6.Solver Analysis'!B29,'4. Secondary Perf Variables'!$B$32:$B$39,0),0)</f>
        <v>949521.55630146258</v>
      </c>
      <c r="F29" s="11" cm="1">
        <f t="array" ref="F29">INDEX('4. Secondary Perf Variables'!$H$32:$H$39,MATCH('6.Solver Analysis'!B29,'4. Secondary Perf Variables'!$B$32:$B$39,0),0)</f>
        <v>1034917.8988356029</v>
      </c>
      <c r="G29" s="11" cm="1">
        <f t="array" aca="1" ref="G29" ca="1">INDEX('4. Secondary Perf Variables'!$I$32:$I$39,MATCH('6.Solver Analysis'!B29,'4. Secondary Perf Variables'!$B$32:$B$39,0),0)</f>
        <v>1202900</v>
      </c>
      <c r="H29" s="11" cm="1">
        <f t="array" ref="H29">INDEX('4. Secondary Perf Variables'!$J$32:$J$39,MATCH('6.Solver Analysis'!B29,'4. Secondary Perf Variables'!$B$32:$B$39,0),0)</f>
        <v>1976494.6281784237</v>
      </c>
      <c r="I29" s="11" cm="1">
        <f t="array" ref="I29">INDEX('4. Secondary Perf Variables'!$K$32:$K$39,MATCH('6.Solver Analysis'!B29,'4. Secondary Perf Variables'!$B$32:$B$39,0),0)</f>
        <v>4578606.5187360961</v>
      </c>
      <c r="J29" s="53">
        <f>VLOOKUP(B29,'3. Consequence Variables'!$AB$29:$AC$38,2,0)</f>
        <v>0.19299172909748591</v>
      </c>
      <c r="K29" s="20">
        <v>7.0000000000000007E-2</v>
      </c>
      <c r="L29" s="53">
        <f>VLOOKUP(B29,'3. Consequence Variables'!$AB$29:$AD$38,3,0)</f>
        <v>0.35353980044576638</v>
      </c>
      <c r="M29" s="20">
        <f t="shared" si="8"/>
        <v>0.99490000000000001</v>
      </c>
      <c r="N29" s="20">
        <v>0.66325440718417528</v>
      </c>
      <c r="O29" s="11">
        <f t="shared" si="1"/>
        <v>183249.80696595507</v>
      </c>
      <c r="P29" s="11">
        <f t="shared" si="1"/>
        <v>72444.252918492217</v>
      </c>
      <c r="Q29" s="11">
        <f t="shared" ca="1" si="1"/>
        <v>425273.02595621237</v>
      </c>
      <c r="R29" s="11">
        <f t="shared" si="1"/>
        <v>1966414.5055747137</v>
      </c>
      <c r="S29" s="11">
        <f t="shared" si="1"/>
        <v>3036780.9523139098</v>
      </c>
      <c r="T29" s="11">
        <f t="shared" si="2"/>
        <v>766271.74933550751</v>
      </c>
      <c r="U29" s="11">
        <f t="shared" si="2"/>
        <v>962473.64591711073</v>
      </c>
      <c r="V29" s="11">
        <f t="shared" ca="1" si="2"/>
        <v>777626.97404378769</v>
      </c>
      <c r="W29" s="11">
        <f t="shared" si="2"/>
        <v>10080.122603710042</v>
      </c>
      <c r="X29" s="11">
        <f t="shared" si="2"/>
        <v>1541825.5664221863</v>
      </c>
      <c r="Y29" s="11">
        <f t="shared" ca="1" si="3"/>
        <v>9742440.6020515859</v>
      </c>
      <c r="Z29" s="62">
        <f t="shared" ca="1" si="4"/>
        <v>0.5834433871254292</v>
      </c>
      <c r="AA29" s="11">
        <f t="shared" ca="1" si="5"/>
        <v>5684162.5437292829</v>
      </c>
      <c r="AB29" s="11">
        <f t="shared" ca="1" si="6"/>
        <v>4058278.0583223025</v>
      </c>
    </row>
  </sheetData>
  <mergeCells count="8">
    <mergeCell ref="O5:S5"/>
    <mergeCell ref="T5:X5"/>
    <mergeCell ref="Y5:AB5"/>
    <mergeCell ref="B5:B6"/>
    <mergeCell ref="C5:C6"/>
    <mergeCell ref="D5:D6"/>
    <mergeCell ref="E5:I5"/>
    <mergeCell ref="J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1.Data Sources</vt:lpstr>
      <vt:lpstr>2. Decisions &amp; Parameters</vt:lpstr>
      <vt:lpstr>3. Consequence Variables</vt:lpstr>
      <vt:lpstr>4. Secondary Perf Variables</vt:lpstr>
      <vt:lpstr>5.As-is Analysis</vt:lpstr>
      <vt:lpstr>Solver Analysis</vt:lpstr>
      <vt:lpstr>7.Sensitivity Analysis</vt:lpstr>
      <vt:lpstr>8.Tradeoff Analysis</vt:lpstr>
      <vt:lpstr>6.Solver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SHAKYA</dc:creator>
  <cp:lastModifiedBy>Ayushi SHAKYA</cp:lastModifiedBy>
  <cp:lastPrinted>2023-10-29T08:36:36Z</cp:lastPrinted>
  <dcterms:created xsi:type="dcterms:W3CDTF">2023-10-29T00:19:14Z</dcterms:created>
  <dcterms:modified xsi:type="dcterms:W3CDTF">2023-10-31T04:53:15Z</dcterms:modified>
</cp:coreProperties>
</file>