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Model - DCF" sheetId="2" r:id="rId5"/>
    <sheet name="WACC - WACC" sheetId="3" r:id="rId6"/>
  </sheets>
</workbook>
</file>

<file path=xl/sharedStrings.xml><?xml version="1.0" encoding="utf-8"?>
<sst xmlns="http://schemas.openxmlformats.org/spreadsheetml/2006/main" uniqueCount="82">
  <si>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</si>
  <si>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</si>
  <si>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</si>
  <si>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</si>
  <si>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Model</t>
  </si>
  <si>
    <t>DCF</t>
  </si>
  <si>
    <t>Model - DCF</t>
  </si>
  <si>
    <t>Ticker</t>
  </si>
  <si>
    <t>MMM</t>
  </si>
  <si>
    <t>Implied Share Price</t>
  </si>
  <si>
    <t>Date</t>
  </si>
  <si>
    <t xml:space="preserve">Current Share Price </t>
  </si>
  <si>
    <t>Upside (Downside)</t>
  </si>
  <si>
    <t>X</t>
  </si>
  <si>
    <t xml:space="preserve">Assumptions </t>
  </si>
  <si>
    <t>Switches</t>
  </si>
  <si>
    <t>Conservative</t>
  </si>
  <si>
    <t>Street/ Base</t>
  </si>
  <si>
    <t>Optimistic</t>
  </si>
  <si>
    <t xml:space="preserve">Safety &amp; Industrial </t>
  </si>
  <si>
    <t>Transportation &amp; Electronics</t>
  </si>
  <si>
    <t>Health Care</t>
  </si>
  <si>
    <t xml:space="preserve">Consumer </t>
  </si>
  <si>
    <t>Corporate &amp; Unallocated</t>
  </si>
  <si>
    <t xml:space="preserve">Elimination of Dual Credit </t>
  </si>
  <si>
    <t>EBIT</t>
  </si>
  <si>
    <t>Step</t>
  </si>
  <si>
    <t>WACC</t>
  </si>
  <si>
    <t>TGV</t>
  </si>
  <si>
    <t>Yahoo Street Estimates</t>
  </si>
  <si>
    <t>Revenue Build</t>
  </si>
  <si>
    <r>
      <rPr>
        <b val="1"/>
        <sz val="11"/>
        <color indexed="8"/>
        <rFont val="Calibri"/>
      </rPr>
      <t xml:space="preserve">Safety &amp; Industrial </t>
    </r>
  </si>
  <si>
    <t xml:space="preserve">% growth </t>
  </si>
  <si>
    <t xml:space="preserve">   Conservative</t>
  </si>
  <si>
    <t xml:space="preserve">   Street/Base Case</t>
  </si>
  <si>
    <t xml:space="preserve">   Optimistic</t>
  </si>
  <si>
    <t>% of Revenue</t>
  </si>
  <si>
    <r>
      <rPr>
        <b val="1"/>
        <sz val="11"/>
        <color indexed="8"/>
        <rFont val="Calibri"/>
      </rPr>
      <t>Transportation &amp; Electronics</t>
    </r>
  </si>
  <si>
    <r>
      <rPr>
        <b val="1"/>
        <sz val="11"/>
        <color indexed="8"/>
        <rFont val="Calibri"/>
      </rPr>
      <t>Health Care</t>
    </r>
  </si>
  <si>
    <r>
      <rPr>
        <b val="1"/>
        <sz val="11"/>
        <color indexed="8"/>
        <rFont val="Calibri"/>
      </rPr>
      <t xml:space="preserve">Consumer </t>
    </r>
  </si>
  <si>
    <r>
      <rPr>
        <b val="1"/>
        <sz val="11"/>
        <color indexed="8"/>
        <rFont val="Calibri"/>
      </rPr>
      <t>Corporate &amp; Unallocated</t>
    </r>
  </si>
  <si>
    <r>
      <rPr>
        <b val="1"/>
        <sz val="11"/>
        <color indexed="8"/>
        <rFont val="Calibri"/>
      </rPr>
      <t xml:space="preserve">Elimination of Dual Credit </t>
    </r>
  </si>
  <si>
    <t>Total Revenues</t>
  </si>
  <si>
    <t>Income Statement</t>
  </si>
  <si>
    <t>Revenue</t>
  </si>
  <si>
    <t xml:space="preserve">% of sales </t>
  </si>
  <si>
    <t>Taxes</t>
  </si>
  <si>
    <t>% of EBIT</t>
  </si>
  <si>
    <t>Cash Flow Items</t>
  </si>
  <si>
    <t>D&amp;A</t>
  </si>
  <si>
    <t>% of sales</t>
  </si>
  <si>
    <t>% of CapEx</t>
  </si>
  <si>
    <t>Capital Expenditures</t>
  </si>
  <si>
    <t xml:space="preserve">Net Working Capital </t>
  </si>
  <si>
    <t xml:space="preserve">Change in Net Working Capital </t>
  </si>
  <si>
    <t>% change in sales</t>
  </si>
  <si>
    <t>EBIAT</t>
  </si>
  <si>
    <t>Unlevered Free Cash Flow</t>
  </si>
  <si>
    <t>Present Value of Free Cash Flow</t>
  </si>
  <si>
    <t xml:space="preserve">Terminal Value </t>
  </si>
  <si>
    <t xml:space="preserve">Present Value of Terminal Value </t>
  </si>
  <si>
    <t>Enterprise Value</t>
  </si>
  <si>
    <t xml:space="preserve">(+) Cash </t>
  </si>
  <si>
    <t>(-) Debt</t>
  </si>
  <si>
    <t>Equity Value</t>
  </si>
  <si>
    <t xml:space="preserve">Shares </t>
  </si>
  <si>
    <t xml:space="preserve">Implied Share Price </t>
  </si>
  <si>
    <t>WACC - WACC</t>
  </si>
  <si>
    <t>WACC = % of equity x cost of equity + % of debt x cost of debt x (1-Tax Rate)</t>
  </si>
  <si>
    <t xml:space="preserve">Cost of equity = Risk free rate + Beta x Market Risk Premium </t>
  </si>
  <si>
    <t xml:space="preserve">Market Cap </t>
  </si>
  <si>
    <t>% of equity</t>
  </si>
  <si>
    <t>Cost of Equity</t>
  </si>
  <si>
    <t>Risk Free Rate</t>
  </si>
  <si>
    <t>Beta</t>
  </si>
  <si>
    <t xml:space="preserve">Market Risk Premium </t>
  </si>
  <si>
    <t>Debt</t>
  </si>
  <si>
    <t>% of Debt</t>
  </si>
  <si>
    <t>Cost of Debt</t>
  </si>
  <si>
    <t>Tax Rate</t>
  </si>
  <si>
    <t xml:space="preserve">Total </t>
  </si>
  <si>
    <t>BAE_</t>
  </si>
</sst>
</file>

<file path=xl/styles.xml><?xml version="1.0" encoding="utf-8"?>
<styleSheet xmlns="http://schemas.openxmlformats.org/spreadsheetml/2006/main">
  <numFmts count="9">
    <numFmt numFmtId="0" formatCode="General"/>
    <numFmt numFmtId="59" formatCode="[$$-409]0.00"/>
    <numFmt numFmtId="60" formatCode="dd/mm/yyyy"/>
    <numFmt numFmtId="61" formatCode="0%_);\(0%\)"/>
    <numFmt numFmtId="62" formatCode="0.0%_);\(0.0%\)"/>
    <numFmt numFmtId="63" formatCode="0.0%"/>
    <numFmt numFmtId="64" formatCode="#,##0%_);\(#,##0%\)"/>
    <numFmt numFmtId="65" formatCode="0_);\(0\)"/>
    <numFmt numFmtId="66"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b val="1"/>
      <sz val="14"/>
      <color indexed="8"/>
      <name val="Calibri"/>
    </font>
    <font>
      <sz val="11"/>
      <color indexed="8"/>
      <name val="Calibri"/>
    </font>
    <font>
      <b val="1"/>
      <sz val="11"/>
      <color indexed="8"/>
      <name val="Calibri"/>
    </font>
    <font>
      <sz val="12"/>
      <color indexed="8"/>
      <name val="Calibri"/>
    </font>
    <font>
      <b val="1"/>
      <sz val="11"/>
      <color indexed="15"/>
      <name val="Calibri"/>
    </font>
    <font>
      <i val="1"/>
      <sz val="12"/>
      <color indexed="8"/>
      <name val="Calibri"/>
    </font>
    <font>
      <sz val="11"/>
      <color indexed="17"/>
      <name val="Calibri"/>
    </font>
    <font>
      <i val="1"/>
      <sz val="11"/>
      <color indexed="8"/>
      <name val="Calibri"/>
    </font>
    <font>
      <b val="1"/>
      <i val="1"/>
      <sz val="11"/>
      <color indexed="8"/>
      <name val="Calibri"/>
    </font>
    <font>
      <sz val="11"/>
      <color indexed="18"/>
      <name val="Calibri"/>
    </font>
    <font>
      <b val="1"/>
      <sz val="12"/>
      <color indexed="8"/>
      <name val="Calibri"/>
    </font>
    <font>
      <b val="1"/>
      <sz val="12"/>
      <color indexed="8"/>
      <name val="Helvetica Neue"/>
    </font>
    <font>
      <b val="1"/>
      <sz val="12"/>
      <color indexed="15"/>
      <name val="Calibri"/>
    </font>
    <font>
      <b val="1"/>
      <sz val="10"/>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s>
  <borders count="53">
    <border>
      <left/>
      <right/>
      <top/>
      <bottom/>
      <diagonal/>
    </border>
    <border>
      <left>
        <color indexed="8"/>
      </left>
      <right>
        <color indexed="8"/>
      </right>
      <top>
        <color indexed="8"/>
      </top>
      <bottom/>
      <diagonal/>
    </border>
    <border>
      <left>
        <color indexed="8"/>
      </left>
      <right/>
      <top/>
      <bottom style="dotted">
        <color indexed="12"/>
      </bottom>
      <diagonal/>
    </border>
    <border>
      <left/>
      <right/>
      <top/>
      <bottom/>
      <diagonal/>
    </border>
    <border>
      <left/>
      <right/>
      <top/>
      <bottom style="hair">
        <color indexed="12"/>
      </bottom>
      <diagonal/>
    </border>
    <border>
      <left>
        <color indexed="8"/>
      </left>
      <right>
        <color indexed="8"/>
      </right>
      <top/>
      <bottom/>
      <diagonal/>
    </border>
    <border>
      <left>
        <color indexed="8"/>
      </left>
      <right style="dotted">
        <color indexed="12"/>
      </right>
      <top/>
      <bottom/>
      <diagonal/>
    </border>
    <border>
      <left style="dotted">
        <color indexed="12"/>
      </left>
      <right style="dotted">
        <color indexed="12"/>
      </right>
      <top style="dotted">
        <color indexed="12"/>
      </top>
      <bottom style="hair">
        <color indexed="12"/>
      </bottom>
      <diagonal/>
    </border>
    <border>
      <left style="dotted">
        <color indexed="12"/>
      </left>
      <right/>
      <top/>
      <bottom/>
      <diagonal/>
    </border>
    <border>
      <left/>
      <right style="hair">
        <color indexed="12"/>
      </right>
      <top/>
      <bottom/>
      <diagonal/>
    </border>
    <border>
      <left style="hair">
        <color indexed="12"/>
      </left>
      <right style="hair">
        <color indexed="12"/>
      </right>
      <top style="hair">
        <color indexed="12"/>
      </top>
      <bottom style="hair">
        <color indexed="12"/>
      </bottom>
      <diagonal/>
    </border>
    <border>
      <left style="hair">
        <color indexed="12"/>
      </left>
      <right/>
      <top/>
      <bottom/>
      <diagonal/>
    </border>
    <border>
      <left style="dotted">
        <color indexed="12"/>
      </left>
      <right style="dotted">
        <color indexed="12"/>
      </right>
      <top style="hair">
        <color indexed="12"/>
      </top>
      <bottom style="dotted">
        <color indexed="12"/>
      </bottom>
      <diagonal/>
    </border>
    <border>
      <left>
        <color indexed="8"/>
      </left>
      <right/>
      <top style="dotted">
        <color indexed="12"/>
      </top>
      <bottom/>
      <diagonal/>
    </border>
    <border>
      <left/>
      <right/>
      <top style="hair">
        <color indexed="12"/>
      </top>
      <bottom/>
      <diagonal/>
    </border>
    <border>
      <left>
        <color indexed="8"/>
      </left>
      <right/>
      <top/>
      <bottom/>
      <diagonal/>
    </border>
    <border>
      <left/>
      <right/>
      <top/>
      <bottom style="dotted">
        <color indexed="12"/>
      </bottom>
      <diagonal/>
    </border>
    <border>
      <left style="dotted">
        <color indexed="12"/>
      </left>
      <right style="dotted">
        <color indexed="12"/>
      </right>
      <top style="dotted">
        <color indexed="12"/>
      </top>
      <bottom style="dotted">
        <color indexed="12"/>
      </bottom>
      <diagonal/>
    </border>
    <border>
      <left style="dotted">
        <color indexed="12"/>
      </left>
      <right style="dotted">
        <color indexed="12"/>
      </right>
      <top/>
      <bottom/>
      <diagonal/>
    </border>
    <border>
      <left>
        <color indexed="8"/>
      </left>
      <right style="dotted">
        <color indexed="12"/>
      </right>
      <top/>
      <bottom>
        <color indexed="8"/>
      </bottom>
      <diagonal/>
    </border>
    <border>
      <left>
        <color indexed="8"/>
      </left>
      <right>
        <color indexed="8"/>
      </right>
      <top>
        <color indexed="8"/>
      </top>
      <bottom>
        <color indexed="8"/>
      </bottom>
      <diagonal/>
    </border>
    <border>
      <left>
        <color indexed="8"/>
      </left>
      <right/>
      <top style="hair">
        <color indexed="12"/>
      </top>
      <bottom style="dotted">
        <color indexed="12"/>
      </bottom>
      <diagonal/>
    </border>
    <border>
      <left/>
      <right/>
      <top style="hair">
        <color indexed="12"/>
      </top>
      <bottom style="dotted">
        <color indexed="12"/>
      </bottom>
      <diagonal/>
    </border>
    <border>
      <left>
        <color indexed="8"/>
      </left>
      <right style="dotted">
        <color indexed="12"/>
      </right>
      <top>
        <color indexed="8"/>
      </top>
      <bottom>
        <color indexed="8"/>
      </bottom>
      <diagonal/>
    </border>
    <border>
      <left style="dotted">
        <color indexed="12"/>
      </left>
      <right style="dotted">
        <color indexed="12"/>
      </right>
      <top style="hair">
        <color indexed="12"/>
      </top>
      <bottom style="hair">
        <color indexed="12"/>
      </bottom>
      <diagonal/>
    </border>
    <border>
      <left/>
      <right/>
      <top style="dotted">
        <color indexed="12"/>
      </top>
      <bottom/>
      <diagonal/>
    </border>
    <border>
      <left>
        <color indexed="8"/>
      </left>
      <right/>
      <top style="hair">
        <color indexed="12"/>
      </top>
      <bottom/>
      <diagonal/>
    </border>
    <border>
      <left/>
      <right style="dotted">
        <color indexed="12"/>
      </right>
      <top/>
      <bottom/>
      <diagonal/>
    </border>
    <border>
      <left/>
      <right>
        <color indexed="8"/>
      </right>
      <top/>
      <bottom/>
      <diagonal/>
    </border>
    <border>
      <left>
        <color indexed="8"/>
      </left>
      <right>
        <color indexed="8"/>
      </right>
      <top style="dotted">
        <color indexed="12"/>
      </top>
      <bottom>
        <color indexed="8"/>
      </bottom>
      <diagonal/>
    </border>
    <border>
      <left>
        <color indexed="8"/>
      </left>
      <right>
        <color indexed="8"/>
      </right>
      <top/>
      <bottom>
        <color indexed="8"/>
      </bottom>
      <diagonal/>
    </border>
    <border>
      <left>
        <color indexed="8"/>
      </left>
      <right/>
      <top/>
      <bottom>
        <color indexed="8"/>
      </bottom>
      <diagonal/>
    </border>
    <border>
      <left/>
      <right/>
      <top/>
      <bottom>
        <color indexed="8"/>
      </bottom>
      <diagonal/>
    </border>
    <border>
      <left/>
      <right/>
      <top>
        <color indexed="8"/>
      </top>
      <bottom>
        <color indexed="8"/>
      </bottom>
      <diagonal/>
    </border>
    <border>
      <left>
        <color indexed="8"/>
      </left>
      <right/>
      <top>
        <color indexed="8"/>
      </top>
      <bottom>
        <color indexed="8"/>
      </bottom>
      <diagonal/>
    </border>
    <border>
      <left>
        <color indexed="8"/>
      </left>
      <right/>
      <top>
        <color indexed="8"/>
      </top>
      <bottom/>
      <diagonal/>
    </border>
    <border>
      <left/>
      <right/>
      <top>
        <color indexed="8"/>
      </top>
      <bottom/>
      <diagonal/>
    </border>
    <border>
      <left/>
      <right/>
      <top>
        <color indexed="8"/>
      </top>
      <bottom style="dotted">
        <color indexed="12"/>
      </bottom>
      <diagonal/>
    </border>
    <border>
      <left>
        <color indexed="8"/>
      </left>
      <right>
        <color indexed="8"/>
      </right>
      <top/>
      <bottom style="thin">
        <color indexed="12"/>
      </bottom>
      <diagonal/>
    </border>
    <border>
      <left>
        <color indexed="8"/>
      </left>
      <right/>
      <top/>
      <bottom style="thin">
        <color indexed="12"/>
      </bottom>
      <diagonal/>
    </border>
    <border>
      <left/>
      <right/>
      <top/>
      <bottom style="thin">
        <color indexed="12"/>
      </bottom>
      <diagonal/>
    </border>
    <border>
      <left>
        <color indexed="8"/>
      </left>
      <right>
        <color indexed="8"/>
      </right>
      <top style="thin">
        <color indexed="12"/>
      </top>
      <bottom/>
      <diagonal/>
    </border>
    <border>
      <left>
        <color indexed="8"/>
      </left>
      <right/>
      <top style="thin">
        <color indexed="12"/>
      </top>
      <bottom/>
      <diagonal/>
    </border>
    <border>
      <left/>
      <right/>
      <top style="thin">
        <color indexed="12"/>
      </top>
      <bottom/>
      <diagonal/>
    </border>
    <border>
      <left>
        <color indexed="8"/>
      </left>
      <right>
        <color indexed="8"/>
      </right>
      <top>
        <color indexed="8"/>
      </top>
      <bottom style="thin">
        <color indexed="19"/>
      </bottom>
      <diagonal/>
    </border>
    <border>
      <left>
        <color indexed="8"/>
      </left>
      <right/>
      <top/>
      <bottom style="thin">
        <color indexed="19"/>
      </bottom>
      <diagonal/>
    </border>
    <border>
      <left/>
      <right/>
      <top/>
      <bottom style="thin">
        <color indexed="19"/>
      </bottom>
      <diagonal/>
    </border>
    <border>
      <left/>
      <right/>
      <top style="hair">
        <color indexed="12"/>
      </top>
      <bottom style="thin">
        <color indexed="19"/>
      </bottom>
      <diagonal/>
    </border>
    <border>
      <left>
        <color indexed="8"/>
      </left>
      <right>
        <color indexed="8"/>
      </right>
      <top style="thin">
        <color indexed="19"/>
      </top>
      <bottom>
        <color indexed="8"/>
      </bottom>
      <diagonal/>
    </border>
    <border>
      <left>
        <color indexed="8"/>
      </left>
      <right/>
      <top style="thin">
        <color indexed="19"/>
      </top>
      <bottom>
        <color indexed="8"/>
      </bottom>
      <diagonal/>
    </border>
    <border>
      <left/>
      <right/>
      <top style="thin">
        <color indexed="19"/>
      </top>
      <bottom>
        <color indexed="8"/>
      </bottom>
      <diagonal/>
    </border>
    <border>
      <left>
        <color indexed="8"/>
      </left>
      <right/>
      <top style="thin">
        <color indexed="19"/>
      </top>
      <bottom/>
      <diagonal/>
    </border>
    <border>
      <left/>
      <right/>
      <top style="thin">
        <color indexed="19"/>
      </top>
      <bottom/>
      <diagonal/>
    </border>
  </borders>
  <cellStyleXfs count="1">
    <xf numFmtId="0" fontId="0" applyNumberFormat="0" applyFont="1" applyFill="0" applyBorder="0" applyAlignment="1" applyProtection="0">
      <alignment vertical="top" wrapText="1"/>
    </xf>
  </cellStyleXfs>
  <cellXfs count="17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4" applyNumberFormat="0" applyFont="1" applyFill="0" applyBorder="0" applyAlignment="1" applyProtection="0">
      <alignment horizontal="left" vertical="center"/>
    </xf>
    <xf numFmtId="0" fontId="5" borderId="1" applyNumberFormat="0" applyFont="1" applyFill="0" applyBorder="1" applyAlignment="1" applyProtection="0">
      <alignment vertical="top"/>
    </xf>
    <xf numFmtId="0" fontId="6" borderId="1" applyNumberFormat="0" applyFont="1" applyFill="0" applyBorder="1" applyAlignment="1" applyProtection="0">
      <alignment vertical="top"/>
    </xf>
    <xf numFmtId="0" fontId="5" borderId="2" applyNumberFormat="0" applyFont="1" applyFill="0" applyBorder="1" applyAlignment="1" applyProtection="0">
      <alignment vertical="top"/>
    </xf>
    <xf numFmtId="0" fontId="5" borderId="3" applyNumberFormat="0" applyFont="1" applyFill="0" applyBorder="1" applyAlignment="1" applyProtection="0">
      <alignment vertical="top"/>
    </xf>
    <xf numFmtId="0" fontId="5" borderId="4" applyNumberFormat="0" applyFont="1" applyFill="0" applyBorder="1" applyAlignment="1" applyProtection="0">
      <alignment vertical="top"/>
    </xf>
    <xf numFmtId="0" fontId="5" borderId="5" applyNumberFormat="0" applyFont="1" applyFill="0" applyBorder="1" applyAlignment="1" applyProtection="0">
      <alignment vertical="top"/>
    </xf>
    <xf numFmtId="49" fontId="6" borderId="6" applyNumberFormat="1" applyFont="1" applyFill="0" applyBorder="1" applyAlignment="1" applyProtection="0">
      <alignment vertical="top"/>
    </xf>
    <xf numFmtId="49" fontId="5" fillId="4" borderId="7" applyNumberFormat="1" applyFont="1" applyFill="1" applyBorder="1" applyAlignment="1" applyProtection="0">
      <alignment vertical="top"/>
    </xf>
    <xf numFmtId="0" fontId="5" borderId="8" applyNumberFormat="0" applyFont="1" applyFill="0" applyBorder="1" applyAlignment="1" applyProtection="0">
      <alignment vertical="top"/>
    </xf>
    <xf numFmtId="49" fontId="7" borderId="9" applyNumberFormat="1" applyFont="1" applyFill="0" applyBorder="1" applyAlignment="1" applyProtection="0">
      <alignment vertical="top"/>
    </xf>
    <xf numFmtId="59" fontId="7" fillId="5" borderId="10" applyNumberFormat="1" applyFont="1" applyFill="1" applyBorder="1" applyAlignment="1" applyProtection="0">
      <alignment horizontal="right" vertical="top" wrapText="1"/>
    </xf>
    <xf numFmtId="0" fontId="7" borderId="11" applyNumberFormat="0" applyFont="1" applyFill="0" applyBorder="1" applyAlignment="1" applyProtection="0">
      <alignment vertical="top" wrapText="1"/>
    </xf>
    <xf numFmtId="0" fontId="7" borderId="3" applyNumberFormat="0" applyFont="1" applyFill="0" applyBorder="1" applyAlignment="1" applyProtection="0">
      <alignment vertical="top" wrapText="1"/>
    </xf>
    <xf numFmtId="0" fontId="7" borderId="4" applyNumberFormat="0" applyFont="1" applyFill="0" applyBorder="1" applyAlignment="1" applyProtection="0">
      <alignment vertical="top" wrapText="1"/>
    </xf>
    <xf numFmtId="60" fontId="5" fillId="5" borderId="12" applyNumberFormat="1" applyFont="1" applyFill="1" applyBorder="1" applyAlignment="1" applyProtection="0">
      <alignment horizontal="left" vertical="top"/>
    </xf>
    <xf numFmtId="61" fontId="7" fillId="5" borderId="10" applyNumberFormat="1" applyFont="1" applyFill="1" applyBorder="1" applyAlignment="1" applyProtection="0">
      <alignment horizontal="right" vertical="top" wrapText="1"/>
    </xf>
    <xf numFmtId="0" fontId="5" borderId="11" applyNumberFormat="0" applyFont="1" applyFill="0" applyBorder="1" applyAlignment="1" applyProtection="0">
      <alignment vertical="top"/>
    </xf>
    <xf numFmtId="0" fontId="6" borderId="5" applyNumberFormat="0" applyFont="1" applyFill="0" applyBorder="1" applyAlignment="1" applyProtection="0">
      <alignment vertical="top"/>
    </xf>
    <xf numFmtId="0" fontId="5" borderId="13" applyNumberFormat="0" applyFont="1" applyFill="0" applyBorder="1" applyAlignment="1" applyProtection="0">
      <alignment vertical="top"/>
    </xf>
    <xf numFmtId="0" fontId="5" borderId="14" applyNumberFormat="0" applyFont="1" applyFill="0" applyBorder="1" applyAlignment="1" applyProtection="0">
      <alignment vertical="top"/>
    </xf>
    <xf numFmtId="0" fontId="5" borderId="15" applyNumberFormat="0" applyFont="1" applyFill="0" applyBorder="1" applyAlignment="1" applyProtection="0">
      <alignment vertical="top"/>
    </xf>
    <xf numFmtId="49" fontId="5" borderId="5" applyNumberFormat="1" applyFont="1" applyFill="0" applyBorder="1" applyAlignment="1" applyProtection="0">
      <alignment vertical="top"/>
    </xf>
    <xf numFmtId="49" fontId="8" fillId="6" borderId="5" applyNumberFormat="1" applyFont="1" applyFill="1" applyBorder="1" applyAlignment="1" applyProtection="0">
      <alignment vertical="top"/>
    </xf>
    <xf numFmtId="0" fontId="8" fillId="6" borderId="5" applyNumberFormat="0" applyFont="1" applyFill="1" applyBorder="1" applyAlignment="1" applyProtection="0">
      <alignment vertical="top"/>
    </xf>
    <xf numFmtId="0" fontId="8" fillId="6" borderId="15" applyNumberFormat="0" applyFont="1" applyFill="1" applyBorder="1" applyAlignment="1" applyProtection="0">
      <alignment vertical="top"/>
    </xf>
    <xf numFmtId="0" fontId="8" fillId="6" borderId="3" applyNumberFormat="0" applyFont="1" applyFill="1" applyBorder="1" applyAlignment="1" applyProtection="0">
      <alignment vertical="top"/>
    </xf>
    <xf numFmtId="49" fontId="6" borderId="5" applyNumberFormat="1" applyFont="1" applyFill="0" applyBorder="1" applyAlignment="1" applyProtection="0">
      <alignment vertical="top"/>
    </xf>
    <xf numFmtId="49" fontId="6" borderId="16" applyNumberFormat="1" applyFont="1" applyFill="0" applyBorder="1" applyAlignment="1" applyProtection="0">
      <alignment vertical="top"/>
    </xf>
    <xf numFmtId="0" fontId="0" borderId="3" applyNumberFormat="0" applyFont="1" applyFill="0" applyBorder="1" applyAlignment="1" applyProtection="0">
      <alignment vertical="top" wrapText="1"/>
    </xf>
    <xf numFmtId="0" fontId="5" fillId="4" borderId="17" applyNumberFormat="1" applyFont="1" applyFill="1" applyBorder="1" applyAlignment="1" applyProtection="0">
      <alignment vertical="top"/>
    </xf>
    <xf numFmtId="0" fontId="5" borderId="18" applyNumberFormat="0" applyFont="1" applyFill="0" applyBorder="1" applyAlignment="1" applyProtection="0">
      <alignment vertical="top"/>
    </xf>
    <xf numFmtId="62" fontId="5" fillId="4" borderId="17" applyNumberFormat="1" applyFont="1" applyFill="1" applyBorder="1" applyAlignment="1" applyProtection="0">
      <alignment vertical="top"/>
    </xf>
    <xf numFmtId="61" fontId="5" borderId="18" applyNumberFormat="1" applyFont="1" applyFill="0" applyBorder="1" applyAlignment="1" applyProtection="0">
      <alignment vertical="top"/>
    </xf>
    <xf numFmtId="63" fontId="5" fillId="4" borderId="17" applyNumberFormat="1" applyFont="1" applyFill="1" applyBorder="1" applyAlignment="1" applyProtection="0">
      <alignment vertical="top"/>
    </xf>
    <xf numFmtId="49" fontId="6" borderId="19" applyNumberFormat="1" applyFont="1" applyFill="0" applyBorder="1" applyAlignment="1" applyProtection="0">
      <alignment vertical="top"/>
    </xf>
    <xf numFmtId="0" fontId="5" fillId="4" borderId="7" applyNumberFormat="1" applyFont="1" applyFill="1" applyBorder="1" applyAlignment="1" applyProtection="0">
      <alignment vertical="top"/>
    </xf>
    <xf numFmtId="63" fontId="5" fillId="4" borderId="7" applyNumberFormat="1" applyFont="1" applyFill="1" applyBorder="1" applyAlignment="1" applyProtection="0">
      <alignment vertical="top"/>
    </xf>
    <xf numFmtId="62" fontId="5" fillId="4" borderId="7" applyNumberFormat="1" applyFont="1" applyFill="1" applyBorder="1" applyAlignment="1" applyProtection="0">
      <alignment vertical="top"/>
    </xf>
    <xf numFmtId="0" fontId="6" borderId="20" applyNumberFormat="0" applyFont="1" applyFill="0" applyBorder="1" applyAlignment="1" applyProtection="0">
      <alignment vertical="top"/>
    </xf>
    <xf numFmtId="0" fontId="5" borderId="21" applyNumberFormat="0" applyFont="1" applyFill="0" applyBorder="1" applyAlignment="1" applyProtection="0">
      <alignment vertical="top"/>
    </xf>
    <xf numFmtId="9" fontId="5" borderId="22" applyNumberFormat="1" applyFont="1" applyFill="0" applyBorder="1" applyAlignment="1" applyProtection="0">
      <alignment vertical="top"/>
    </xf>
    <xf numFmtId="49" fontId="6" borderId="23" applyNumberFormat="1" applyFont="1" applyFill="0" applyBorder="1" applyAlignment="1" applyProtection="0">
      <alignment vertical="top"/>
    </xf>
    <xf numFmtId="9" fontId="5" fillId="4" borderId="17" applyNumberFormat="1" applyFont="1" applyFill="1" applyBorder="1" applyAlignment="1" applyProtection="0">
      <alignment vertical="top"/>
    </xf>
    <xf numFmtId="49" fontId="7" borderId="16" applyNumberFormat="1" applyFont="1" applyFill="0" applyBorder="1" applyAlignment="1" applyProtection="0">
      <alignment vertical="top" wrapText="1"/>
    </xf>
    <xf numFmtId="10" fontId="5" fillId="4" borderId="7" applyNumberFormat="1" applyFont="1" applyFill="1" applyBorder="1" applyAlignment="1" applyProtection="0">
      <alignment vertical="top"/>
    </xf>
    <xf numFmtId="10" fontId="5" fillId="4" borderId="17" applyNumberFormat="1" applyFont="1" applyFill="1" applyBorder="1" applyAlignment="1" applyProtection="0">
      <alignment vertical="top"/>
    </xf>
    <xf numFmtId="10" fontId="9" fillId="5" borderId="17" applyNumberFormat="1" applyFont="1" applyFill="1" applyBorder="1" applyAlignment="1" applyProtection="0">
      <alignment horizontal="center" vertical="top" wrapText="1"/>
    </xf>
    <xf numFmtId="63" fontId="5" fillId="4" borderId="24" applyNumberFormat="1" applyFont="1" applyFill="1" applyBorder="1" applyAlignment="1" applyProtection="0">
      <alignment vertical="top"/>
    </xf>
    <xf numFmtId="9" fontId="5" fillId="4" borderId="7" applyNumberFormat="1" applyFont="1" applyFill="1" applyBorder="1" applyAlignment="1" applyProtection="0">
      <alignment vertical="top"/>
    </xf>
    <xf numFmtId="0" fontId="5" borderId="25" applyNumberFormat="0" applyFont="1" applyFill="0" applyBorder="1" applyAlignment="1" applyProtection="0">
      <alignment vertical="top"/>
    </xf>
    <xf numFmtId="0" fontId="5" borderId="26" applyNumberFormat="0" applyFont="1" applyFill="0" applyBorder="1" applyAlignment="1" applyProtection="0">
      <alignment vertical="top"/>
    </xf>
    <xf numFmtId="49" fontId="5" borderId="3" applyNumberFormat="1" applyFont="1" applyFill="0" applyBorder="1" applyAlignment="1" applyProtection="0">
      <alignment horizontal="center" vertical="top"/>
    </xf>
    <xf numFmtId="0" fontId="8" fillId="6" borderId="15" applyNumberFormat="1" applyFont="1" applyFill="1" applyBorder="1" applyAlignment="1" applyProtection="0">
      <alignment vertical="top"/>
    </xf>
    <xf numFmtId="0" fontId="8" fillId="6" borderId="3" applyNumberFormat="1" applyFont="1" applyFill="1" applyBorder="1" applyAlignment="1" applyProtection="0">
      <alignment vertical="top"/>
    </xf>
    <xf numFmtId="37" fontId="5" borderId="3" applyNumberFormat="1" applyFont="1" applyFill="0" applyBorder="1" applyAlignment="1" applyProtection="0">
      <alignment vertical="top"/>
    </xf>
    <xf numFmtId="0" fontId="5" borderId="3" applyNumberFormat="0" applyFont="1" applyFill="0" applyBorder="1" applyAlignment="1" applyProtection="0">
      <alignment vertical="top" wrapText="1"/>
    </xf>
    <xf numFmtId="37" fontId="10" borderId="3" applyNumberFormat="1" applyFont="1" applyFill="0" applyBorder="1" applyAlignment="1" applyProtection="0">
      <alignment vertical="top"/>
    </xf>
    <xf numFmtId="0" fontId="11" borderId="5" applyNumberFormat="0" applyFont="1" applyFill="0" applyBorder="1" applyAlignment="1" applyProtection="0">
      <alignment vertical="top"/>
    </xf>
    <xf numFmtId="49" fontId="12" borderId="5" applyNumberFormat="1" applyFont="1" applyFill="0" applyBorder="1" applyAlignment="1" applyProtection="0">
      <alignment vertical="top"/>
    </xf>
    <xf numFmtId="0" fontId="11" borderId="15" applyNumberFormat="0" applyFont="1" applyFill="0" applyBorder="1" applyAlignment="1" applyProtection="0">
      <alignment vertical="top"/>
    </xf>
    <xf numFmtId="0" fontId="11" borderId="3" applyNumberFormat="0" applyFont="1" applyFill="0" applyBorder="1" applyAlignment="1" applyProtection="0">
      <alignment vertical="top"/>
    </xf>
    <xf numFmtId="64" fontId="11" borderId="3" applyNumberFormat="1" applyFont="1" applyFill="0" applyBorder="1" applyAlignment="1" applyProtection="0">
      <alignment vertical="top"/>
    </xf>
    <xf numFmtId="64" fontId="11" borderId="16" applyNumberFormat="1" applyFont="1" applyFill="0" applyBorder="1" applyAlignment="1" applyProtection="0">
      <alignment vertical="top"/>
    </xf>
    <xf numFmtId="37" fontId="10" borderId="27" applyNumberFormat="1" applyFont="1" applyFill="0" applyBorder="1" applyAlignment="1" applyProtection="0">
      <alignment vertical="top"/>
    </xf>
    <xf numFmtId="61" fontId="11" fillId="4" borderId="17" applyNumberFormat="1" applyFont="1" applyFill="1" applyBorder="1" applyAlignment="1" applyProtection="0">
      <alignment vertical="top"/>
    </xf>
    <xf numFmtId="0" fontId="0" borderId="8" applyNumberFormat="0" applyFont="1" applyFill="0" applyBorder="1" applyAlignment="1" applyProtection="0">
      <alignment vertical="top" wrapText="1"/>
    </xf>
    <xf numFmtId="61" fontId="11" fillId="4" borderId="7" applyNumberFormat="1" applyFont="1" applyFill="1" applyBorder="1" applyAlignment="1" applyProtection="0">
      <alignment vertical="top"/>
    </xf>
    <xf numFmtId="61" fontId="11" fillId="4" borderId="12" applyNumberFormat="1" applyFont="1" applyFill="1" applyBorder="1" applyAlignment="1" applyProtection="0">
      <alignment vertical="top"/>
    </xf>
    <xf numFmtId="64" fontId="11" borderId="28" applyNumberFormat="1" applyFont="1" applyFill="0" applyBorder="1" applyAlignment="1" applyProtection="0">
      <alignment vertical="top"/>
    </xf>
    <xf numFmtId="64" fontId="11" borderId="29" applyNumberFormat="1" applyFont="1" applyFill="0" applyBorder="1" applyAlignment="1" applyProtection="0">
      <alignment vertical="top"/>
    </xf>
    <xf numFmtId="61" fontId="11" borderId="29" applyNumberFormat="1" applyFont="1" applyFill="0" applyBorder="1" applyAlignment="1" applyProtection="0">
      <alignment vertical="top"/>
    </xf>
    <xf numFmtId="0" fontId="0" borderId="15" applyNumberFormat="0" applyFont="1" applyFill="0" applyBorder="1" applyAlignment="1" applyProtection="0">
      <alignment vertical="top" wrapText="1"/>
    </xf>
    <xf numFmtId="0" fontId="11" borderId="30" applyNumberFormat="0" applyFont="1" applyFill="0" applyBorder="1" applyAlignment="1" applyProtection="0">
      <alignment vertical="top"/>
    </xf>
    <xf numFmtId="0" fontId="12" borderId="5" applyNumberFormat="0" applyFont="1" applyFill="0" applyBorder="1" applyAlignment="1" applyProtection="0">
      <alignment vertical="top"/>
    </xf>
    <xf numFmtId="0" fontId="11" borderId="31" applyNumberFormat="0" applyFont="1" applyFill="0" applyBorder="1" applyAlignment="1" applyProtection="0">
      <alignment vertical="top"/>
    </xf>
    <xf numFmtId="0" fontId="11" borderId="32" applyNumberFormat="0" applyFont="1" applyFill="0" applyBorder="1" applyAlignment="1" applyProtection="0">
      <alignment vertical="top"/>
    </xf>
    <xf numFmtId="37" fontId="11" borderId="32" applyNumberFormat="1" applyFont="1" applyFill="0" applyBorder="1" applyAlignment="1" applyProtection="0">
      <alignment vertical="top"/>
    </xf>
    <xf numFmtId="64" fontId="11" borderId="32" applyNumberFormat="1" applyFont="1" applyFill="0" applyBorder="1" applyAlignment="1" applyProtection="0">
      <alignment vertical="top"/>
    </xf>
    <xf numFmtId="64" fontId="11" borderId="33" applyNumberFormat="1" applyFont="1" applyFill="0" applyBorder="1" applyAlignment="1" applyProtection="0">
      <alignment vertical="top"/>
    </xf>
    <xf numFmtId="0" fontId="5" borderId="20" applyNumberFormat="0" applyFont="1" applyFill="0" applyBorder="1" applyAlignment="1" applyProtection="0">
      <alignment vertical="top"/>
    </xf>
    <xf numFmtId="0" fontId="5" borderId="34" applyNumberFormat="0" applyFont="1" applyFill="0" applyBorder="1" applyAlignment="1" applyProtection="0">
      <alignment vertical="top"/>
    </xf>
    <xf numFmtId="37" fontId="10" borderId="33" applyNumberFormat="1" applyFont="1" applyFill="0" applyBorder="1" applyAlignment="1" applyProtection="0">
      <alignment vertical="top"/>
    </xf>
    <xf numFmtId="37" fontId="5" borderId="33" applyNumberFormat="1" applyFont="1" applyFill="0" applyBorder="1" applyAlignment="1" applyProtection="0">
      <alignment vertical="top"/>
    </xf>
    <xf numFmtId="0" fontId="11" borderId="1" applyNumberFormat="0" applyFont="1" applyFill="0" applyBorder="1" applyAlignment="1" applyProtection="0">
      <alignment vertical="top"/>
    </xf>
    <xf numFmtId="0" fontId="11" borderId="35" applyNumberFormat="0" applyFont="1" applyFill="0" applyBorder="1" applyAlignment="1" applyProtection="0">
      <alignment vertical="top"/>
    </xf>
    <xf numFmtId="0" fontId="11" borderId="36" applyNumberFormat="0" applyFont="1" applyFill="0" applyBorder="1" applyAlignment="1" applyProtection="0">
      <alignment vertical="top"/>
    </xf>
    <xf numFmtId="64" fontId="11" borderId="36" applyNumberFormat="1" applyFont="1" applyFill="0" applyBorder="1" applyAlignment="1" applyProtection="0">
      <alignment vertical="top"/>
    </xf>
    <xf numFmtId="64" fontId="11" borderId="37" applyNumberFormat="1" applyFont="1" applyFill="0" applyBorder="1" applyAlignment="1" applyProtection="0">
      <alignment vertical="top"/>
    </xf>
    <xf numFmtId="61" fontId="11" fillId="4" borderId="24" applyNumberFormat="1" applyFont="1" applyFill="1" applyBorder="1" applyAlignment="1" applyProtection="0">
      <alignment vertical="top"/>
    </xf>
    <xf numFmtId="64" fontId="11" borderId="14" applyNumberFormat="1" applyFont="1" applyFill="0" applyBorder="1" applyAlignment="1" applyProtection="0">
      <alignment vertical="top"/>
    </xf>
    <xf numFmtId="37" fontId="10" borderId="34" applyNumberFormat="1" applyFont="1" applyFill="0" applyBorder="1" applyAlignment="1" applyProtection="0">
      <alignment vertical="top"/>
    </xf>
    <xf numFmtId="64" fontId="11" borderId="27" applyNumberFormat="1" applyFont="1" applyFill="0" applyBorder="1" applyAlignment="1" applyProtection="0">
      <alignment vertical="top"/>
    </xf>
    <xf numFmtId="0" fontId="11" borderId="38" applyNumberFormat="0" applyFont="1" applyFill="0" applyBorder="1" applyAlignment="1" applyProtection="0">
      <alignment vertical="top"/>
    </xf>
    <xf numFmtId="0" fontId="6" borderId="38" applyNumberFormat="0" applyFont="1" applyFill="0" applyBorder="1" applyAlignment="1" applyProtection="0">
      <alignment vertical="top"/>
    </xf>
    <xf numFmtId="0" fontId="11" borderId="39" applyNumberFormat="0" applyFont="1" applyFill="0" applyBorder="1" applyAlignment="1" applyProtection="0">
      <alignment vertical="top"/>
    </xf>
    <xf numFmtId="64" fontId="11" borderId="40" applyNumberFormat="1" applyFont="1" applyFill="0" applyBorder="1" applyAlignment="1" applyProtection="0">
      <alignment vertical="top"/>
    </xf>
    <xf numFmtId="0" fontId="6" borderId="41" applyNumberFormat="0" applyFont="1" applyFill="0" applyBorder="1" applyAlignment="1" applyProtection="0">
      <alignment vertical="top"/>
    </xf>
    <xf numFmtId="49" fontId="6" borderId="41" applyNumberFormat="1" applyFont="1" applyFill="0" applyBorder="1" applyAlignment="1" applyProtection="0">
      <alignment vertical="top"/>
    </xf>
    <xf numFmtId="0" fontId="6" borderId="42" applyNumberFormat="0" applyFont="1" applyFill="0" applyBorder="1" applyAlignment="1" applyProtection="0">
      <alignment vertical="top"/>
    </xf>
    <xf numFmtId="37" fontId="6" borderId="43" applyNumberFormat="1" applyFont="1" applyFill="0" applyBorder="1" applyAlignment="1" applyProtection="0">
      <alignment vertical="top"/>
    </xf>
    <xf numFmtId="64" fontId="12" borderId="3" applyNumberFormat="1" applyFont="1" applyFill="0" applyBorder="1" applyAlignment="1" applyProtection="0">
      <alignment vertical="top"/>
    </xf>
    <xf numFmtId="0" fontId="8" borderId="3" applyNumberFormat="0" applyFont="1" applyFill="0" applyBorder="1" applyAlignment="1" applyProtection="0">
      <alignment vertical="top"/>
    </xf>
    <xf numFmtId="37" fontId="13" borderId="3" applyNumberFormat="1" applyFont="1" applyFill="0" applyBorder="1" applyAlignment="1" applyProtection="0">
      <alignment vertical="top"/>
    </xf>
    <xf numFmtId="0" fontId="13" borderId="3" applyNumberFormat="0" applyFont="1" applyFill="0" applyBorder="1" applyAlignment="1" applyProtection="0">
      <alignment vertical="top"/>
    </xf>
    <xf numFmtId="3" fontId="5" borderId="3" applyNumberFormat="1" applyFont="1" applyFill="0" applyBorder="1" applyAlignment="1" applyProtection="0">
      <alignment vertical="top"/>
    </xf>
    <xf numFmtId="0" fontId="5" borderId="30" applyNumberFormat="0" applyFont="1" applyFill="0" applyBorder="1" applyAlignment="1" applyProtection="0">
      <alignment vertical="top"/>
    </xf>
    <xf numFmtId="0" fontId="6" borderId="30" applyNumberFormat="0" applyFont="1" applyFill="0" applyBorder="1" applyAlignment="1" applyProtection="0">
      <alignment vertical="top"/>
    </xf>
    <xf numFmtId="9" fontId="5" borderId="3" applyNumberFormat="1" applyFont="1" applyFill="0" applyBorder="1" applyAlignment="1" applyProtection="0">
      <alignment vertical="top"/>
    </xf>
    <xf numFmtId="49" fontId="6" borderId="1" applyNumberFormat="1" applyFont="1" applyFill="0" applyBorder="1" applyAlignment="1" applyProtection="0">
      <alignment vertical="top"/>
    </xf>
    <xf numFmtId="3" fontId="10" borderId="3" applyNumberFormat="1" applyFont="1" applyFill="0" applyBorder="1" applyAlignment="1" applyProtection="0">
      <alignment vertical="top"/>
    </xf>
    <xf numFmtId="49" fontId="12" borderId="30" applyNumberFormat="1" applyFont="1" applyFill="0" applyBorder="1" applyAlignment="1" applyProtection="0">
      <alignment vertical="top"/>
    </xf>
    <xf numFmtId="64" fontId="5" borderId="3" applyNumberFormat="1" applyFont="1" applyFill="0" applyBorder="1" applyAlignment="1" applyProtection="0">
      <alignment vertical="top"/>
    </xf>
    <xf numFmtId="49" fontId="5" borderId="1" applyNumberFormat="1" applyFont="1" applyFill="0" applyBorder="1" applyAlignment="1" applyProtection="0">
      <alignment vertical="top"/>
    </xf>
    <xf numFmtId="49" fontId="8" fillId="6" borderId="1" applyNumberFormat="1" applyFont="1" applyFill="1" applyBorder="1" applyAlignment="1" applyProtection="0">
      <alignment vertical="top"/>
    </xf>
    <xf numFmtId="49" fontId="6" borderId="20" applyNumberFormat="1" applyFont="1" applyFill="0" applyBorder="1" applyAlignment="1" applyProtection="0">
      <alignment vertical="top"/>
    </xf>
    <xf numFmtId="0" fontId="11" borderId="20" applyNumberFormat="0" applyFont="1" applyFill="0" applyBorder="1" applyAlignment="1" applyProtection="0">
      <alignment vertical="top"/>
    </xf>
    <xf numFmtId="49" fontId="12" borderId="20" applyNumberFormat="1" applyFont="1" applyFill="0" applyBorder="1" applyAlignment="1" applyProtection="0">
      <alignment vertical="top"/>
    </xf>
    <xf numFmtId="64" fontId="5" borderId="14" applyNumberFormat="1" applyFont="1" applyFill="0" applyBorder="1" applyAlignment="1" applyProtection="0">
      <alignment vertical="top"/>
    </xf>
    <xf numFmtId="3" fontId="5" borderId="16" applyNumberFormat="1" applyFont="1" applyFill="0" applyBorder="1" applyAlignment="1" applyProtection="0">
      <alignment vertical="top"/>
    </xf>
    <xf numFmtId="0" fontId="5" borderId="44" applyNumberFormat="0" applyFont="1" applyFill="0" applyBorder="1" applyAlignment="1" applyProtection="0">
      <alignment vertical="top"/>
    </xf>
    <xf numFmtId="0" fontId="6" borderId="44" applyNumberFormat="0" applyFont="1" applyFill="0" applyBorder="1" applyAlignment="1" applyProtection="0">
      <alignment vertical="top"/>
    </xf>
    <xf numFmtId="0" fontId="5" borderId="45" applyNumberFormat="0" applyFont="1" applyFill="0" applyBorder="1" applyAlignment="1" applyProtection="0">
      <alignment vertical="top"/>
    </xf>
    <xf numFmtId="0" fontId="5" borderId="46" applyNumberFormat="0" applyFont="1" applyFill="0" applyBorder="1" applyAlignment="1" applyProtection="0">
      <alignment vertical="top"/>
    </xf>
    <xf numFmtId="64" fontId="5" borderId="46" applyNumberFormat="1" applyFont="1" applyFill="0" applyBorder="1" applyAlignment="1" applyProtection="0">
      <alignment vertical="top"/>
    </xf>
    <xf numFmtId="64" fontId="5" borderId="47" applyNumberFormat="1" applyFont="1" applyFill="0" applyBorder="1" applyAlignment="1" applyProtection="0">
      <alignment vertical="top"/>
    </xf>
    <xf numFmtId="0" fontId="5" borderId="48" applyNumberFormat="0" applyFont="1" applyFill="0" applyBorder="1" applyAlignment="1" applyProtection="0">
      <alignment vertical="top"/>
    </xf>
    <xf numFmtId="49" fontId="6" borderId="48" applyNumberFormat="1" applyFont="1" applyFill="0" applyBorder="1" applyAlignment="1" applyProtection="0">
      <alignment vertical="top"/>
    </xf>
    <xf numFmtId="0" fontId="5" borderId="49" applyNumberFormat="0" applyFont="1" applyFill="0" applyBorder="1" applyAlignment="1" applyProtection="0">
      <alignment vertical="top"/>
    </xf>
    <xf numFmtId="0" fontId="5" borderId="50" applyNumberFormat="0" applyFont="1" applyFill="0" applyBorder="1" applyAlignment="1" applyProtection="0">
      <alignment vertical="top"/>
    </xf>
    <xf numFmtId="37" fontId="6" borderId="50" applyNumberFormat="1" applyFont="1" applyFill="0" applyBorder="1" applyAlignment="1" applyProtection="0">
      <alignment vertical="top"/>
    </xf>
    <xf numFmtId="0" fontId="5" borderId="35" applyNumberFormat="0" applyFont="1" applyFill="0" applyBorder="1" applyAlignment="1" applyProtection="0">
      <alignment vertical="top"/>
    </xf>
    <xf numFmtId="0" fontId="5" borderId="36" applyNumberFormat="0" applyFont="1" applyFill="0" applyBorder="1" applyAlignment="1" applyProtection="0">
      <alignment vertical="top"/>
    </xf>
    <xf numFmtId="64" fontId="5" borderId="36" applyNumberFormat="1" applyFont="1" applyFill="0" applyBorder="1" applyAlignment="1" applyProtection="0">
      <alignment vertical="top"/>
    </xf>
    <xf numFmtId="65" fontId="5" borderId="16" applyNumberFormat="1" applyFont="1" applyFill="0" applyBorder="1" applyAlignment="1" applyProtection="0">
      <alignment vertical="top"/>
    </xf>
    <xf numFmtId="49" fontId="12" borderId="1" applyNumberFormat="1" applyFont="1" applyFill="0" applyBorder="1" applyAlignment="1" applyProtection="0">
      <alignment vertical="top"/>
    </xf>
    <xf numFmtId="64" fontId="5" borderId="27" applyNumberFormat="1" applyFont="1" applyFill="0" applyBorder="1" applyAlignment="1" applyProtection="0">
      <alignment vertical="top"/>
    </xf>
    <xf numFmtId="0" fontId="5" borderId="16" applyNumberFormat="0" applyFont="1" applyFill="0" applyBorder="1" applyAlignment="1" applyProtection="0">
      <alignment vertical="top"/>
    </xf>
    <xf numFmtId="37" fontId="5" borderId="16" applyNumberFormat="1" applyFont="1" applyFill="0" applyBorder="1" applyAlignment="1" applyProtection="0">
      <alignment vertical="top"/>
    </xf>
    <xf numFmtId="0" fontId="6" borderId="48" applyNumberFormat="0" applyFont="1" applyFill="0" applyBorder="1" applyAlignment="1" applyProtection="0">
      <alignment vertical="top"/>
    </xf>
    <xf numFmtId="0" fontId="6" borderId="51" applyNumberFormat="0" applyFont="1" applyFill="0" applyBorder="1" applyAlignment="1" applyProtection="0">
      <alignment vertical="top"/>
    </xf>
    <xf numFmtId="0" fontId="6" borderId="52" applyNumberFormat="0" applyFont="1" applyFill="0" applyBorder="1" applyAlignment="1" applyProtection="0">
      <alignment vertical="top"/>
    </xf>
    <xf numFmtId="64" fontId="6" borderId="52" applyNumberFormat="1" applyFont="1" applyFill="0" applyBorder="1" applyAlignment="1" applyProtection="0">
      <alignment vertical="top"/>
    </xf>
    <xf numFmtId="37" fontId="6" borderId="52" applyNumberFormat="1" applyFont="1" applyFill="0" applyBorder="1" applyAlignment="1" applyProtection="0">
      <alignment vertical="top"/>
    </xf>
    <xf numFmtId="49" fontId="6" borderId="44" applyNumberFormat="1" applyFont="1" applyFill="0" applyBorder="1" applyAlignment="1" applyProtection="0">
      <alignment vertical="top"/>
    </xf>
    <xf numFmtId="37" fontId="5" borderId="46" applyNumberFormat="1" applyFont="1" applyFill="0" applyBorder="1" applyAlignment="1" applyProtection="0">
      <alignment vertical="top"/>
    </xf>
    <xf numFmtId="64" fontId="5" borderId="50" applyNumberFormat="1" applyFont="1" applyFill="0" applyBorder="1" applyAlignment="1" applyProtection="0">
      <alignment vertical="top"/>
    </xf>
    <xf numFmtId="0" fontId="5" borderId="33" applyNumberFormat="0" applyFont="1" applyFill="0" applyBorder="1" applyAlignment="1" applyProtection="0">
      <alignment vertical="top"/>
    </xf>
    <xf numFmtId="64" fontId="5" borderId="33" applyNumberFormat="1" applyFont="1" applyFill="0" applyBorder="1" applyAlignment="1" applyProtection="0">
      <alignment vertical="top"/>
    </xf>
    <xf numFmtId="0" fontId="14" borderId="1" applyNumberFormat="0" applyFont="1" applyFill="0" applyBorder="1" applyAlignment="1" applyProtection="0">
      <alignment vertical="top"/>
    </xf>
    <xf numFmtId="49" fontId="14" borderId="1" applyNumberFormat="1" applyFont="1" applyFill="0" applyBorder="1" applyAlignment="1" applyProtection="0">
      <alignment vertical="top"/>
    </xf>
    <xf numFmtId="37" fontId="14" borderId="1" applyNumberFormat="1" applyFont="1" applyFill="0" applyBorder="1" applyAlignment="1" applyProtection="0">
      <alignment vertical="top"/>
    </xf>
    <xf numFmtId="0" fontId="14" borderId="5" applyNumberFormat="0" applyFont="1" applyFill="0" applyBorder="1" applyAlignment="1" applyProtection="0">
      <alignment vertical="top"/>
    </xf>
    <xf numFmtId="49" fontId="14" borderId="5" applyNumberFormat="1" applyFont="1" applyFill="0" applyBorder="1" applyAlignment="1" applyProtection="0">
      <alignment vertical="top"/>
    </xf>
    <xf numFmtId="3" fontId="14" borderId="5" applyNumberFormat="1" applyFont="1" applyFill="0" applyBorder="1" applyAlignment="1" applyProtection="0">
      <alignment vertical="top"/>
    </xf>
    <xf numFmtId="37" fontId="14" borderId="5" applyNumberFormat="1" applyFont="1" applyFill="0" applyBorder="1" applyAlignment="1" applyProtection="0">
      <alignment vertical="top"/>
    </xf>
    <xf numFmtId="1" fontId="14" borderId="5" applyNumberFormat="1" applyFont="1" applyFill="0" applyBorder="1" applyAlignment="1" applyProtection="0">
      <alignment vertical="top"/>
    </xf>
    <xf numFmtId="0" fontId="0" applyNumberFormat="1" applyFont="1" applyFill="0" applyBorder="0" applyAlignment="1" applyProtection="0">
      <alignment vertical="top" wrapText="1"/>
    </xf>
    <xf numFmtId="0" fontId="15" applyNumberFormat="0" applyFont="1" applyFill="0" applyBorder="0" applyAlignment="1" applyProtection="0">
      <alignment horizontal="left" vertical="center"/>
    </xf>
    <xf numFmtId="49" fontId="7" borderId="3" applyNumberFormat="1" applyFont="1" applyFill="0" applyBorder="1" applyAlignment="1" applyProtection="0">
      <alignment vertical="top"/>
    </xf>
    <xf numFmtId="49" fontId="16" fillId="6" borderId="3" applyNumberFormat="1" applyFont="1" applyFill="1" applyBorder="1" applyAlignment="1" applyProtection="0">
      <alignment vertical="top" wrapText="1"/>
    </xf>
    <xf numFmtId="49" fontId="17" borderId="3" applyNumberFormat="1" applyFont="1" applyFill="0" applyBorder="1" applyAlignment="1" applyProtection="0">
      <alignment vertical="top" wrapText="1"/>
    </xf>
    <xf numFmtId="37" fontId="0" borderId="3" applyNumberFormat="1" applyFont="1" applyFill="0" applyBorder="1" applyAlignment="1" applyProtection="0">
      <alignment vertical="top" wrapText="1"/>
    </xf>
    <xf numFmtId="64" fontId="0" borderId="3" applyNumberFormat="1" applyFont="1" applyFill="0" applyBorder="1" applyAlignment="1" applyProtection="0">
      <alignment vertical="top" wrapText="1"/>
    </xf>
    <xf numFmtId="10" fontId="0" borderId="3" applyNumberFormat="1" applyFont="1" applyFill="0" applyBorder="1" applyAlignment="1" applyProtection="0">
      <alignment vertical="top" wrapText="1"/>
    </xf>
    <xf numFmtId="0" fontId="0" borderId="3" applyNumberFormat="1" applyFont="1" applyFill="0" applyBorder="1" applyAlignment="1" applyProtection="0">
      <alignment vertical="top" wrapText="1"/>
    </xf>
    <xf numFmtId="49" fontId="17" borderId="3" applyNumberFormat="1" applyFont="1" applyFill="0" applyBorder="1" applyAlignment="1" applyProtection="0">
      <alignment vertical="top"/>
    </xf>
    <xf numFmtId="0" fontId="17" borderId="3" applyNumberFormat="0" applyFont="1" applyFill="0" applyBorder="1" applyAlignment="1" applyProtection="0">
      <alignment vertical="top" wrapText="1"/>
    </xf>
    <xf numFmtId="9" fontId="0" borderId="3" applyNumberFormat="1" applyFont="1" applyFill="0" applyBorder="1" applyAlignment="1" applyProtection="0">
      <alignment vertical="top" wrapText="1"/>
    </xf>
    <xf numFmtId="66" fontId="0" borderId="3" applyNumberFormat="1" applyFont="1" applyFill="0" applyBorder="1" applyAlignment="1" applyProtection="0">
      <alignment vertical="top" wrapText="1"/>
    </xf>
    <xf numFmtId="63" fontId="0" borderId="3" applyNumberFormat="1" applyFont="1" applyFill="0" applyBorder="1" applyAlignment="1" applyProtection="0">
      <alignment vertical="top" wrapText="1"/>
    </xf>
    <xf numFmtId="49" fontId="0" borderId="3"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515151"/>
      <rgbColor rgb="fffaf5d2"/>
      <rgbColor rgb="fffaf4cf"/>
      <rgbColor rgb="fffefefe"/>
      <rgbColor rgb="ff004c7f"/>
      <rgbColor rgb="ff017000"/>
      <rgbColor rgb="ff98185e"/>
      <rgbColor rgb="ffa5a5a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6</v>
      </c>
    </row>
    <row r="11">
      <c r="B11" t="s" s="3">
        <v>27</v>
      </c>
      <c r="C11" s="3"/>
      <c r="D11" s="3"/>
    </row>
    <row r="12">
      <c r="B12" s="4"/>
      <c r="C12" t="s" s="4">
        <v>27</v>
      </c>
      <c r="D12" t="s" s="5">
        <v>67</v>
      </c>
    </row>
  </sheetData>
  <mergeCells count="1">
    <mergeCell ref="B3:D3"/>
  </mergeCells>
  <hyperlinks>
    <hyperlink ref="D10" location="'Model - DCF'!R2C1" tooltip="" display="Model - DCF"/>
    <hyperlink ref="D12" location="'WACC - WACC'!R2C1" tooltip="" display="WACC - WACC"/>
  </hyperlinks>
</worksheet>
</file>

<file path=xl/worksheets/sheet2.xml><?xml version="1.0" encoding="utf-8"?>
<worksheet xmlns:r="http://schemas.openxmlformats.org/officeDocument/2006/relationships" xmlns="http://schemas.openxmlformats.org/spreadsheetml/2006/main">
  <sheetPr>
    <pageSetUpPr fitToPage="1"/>
  </sheetPr>
  <dimension ref="A2:T135"/>
  <sheetViews>
    <sheetView workbookViewId="0" showGridLines="0" defaultGridColor="1">
      <pane topLeftCell="C1" xSplit="2" ySplit="0" activePane="topRight" state="frozen"/>
    </sheetView>
  </sheetViews>
  <sheetFormatPr defaultColWidth="16.3333" defaultRowHeight="19.9" customHeight="1" outlineLevelRow="0" outlineLevelCol="0"/>
  <cols>
    <col min="1" max="1" width="2.5" style="6" customWidth="1"/>
    <col min="2" max="2" width="31.1016" style="6" customWidth="1"/>
    <col min="3" max="20" width="16.3516" style="6" customWidth="1"/>
    <col min="21" max="256" width="16.3516" style="6" customWidth="1"/>
  </cols>
  <sheetData>
    <row r="1" ht="31" customHeight="1">
      <c r="A1" t="s" s="7">
        <v>5</v>
      </c>
      <c r="B1" s="7"/>
      <c r="C1" s="7"/>
      <c r="D1" s="7"/>
      <c r="E1" s="7"/>
      <c r="F1" s="7"/>
      <c r="G1" s="7"/>
      <c r="H1" s="7"/>
      <c r="I1" s="7"/>
      <c r="J1" s="7"/>
      <c r="K1" s="7"/>
      <c r="L1" s="7"/>
      <c r="M1" s="7"/>
      <c r="N1" s="7"/>
      <c r="O1" s="7"/>
      <c r="P1" s="7"/>
      <c r="Q1" s="7"/>
      <c r="R1" s="7"/>
      <c r="S1" s="7"/>
      <c r="T1" s="7"/>
    </row>
    <row r="2" ht="21.5" customHeight="1">
      <c r="A2" s="8"/>
      <c r="B2" s="9"/>
      <c r="C2" s="10"/>
      <c r="D2" s="11"/>
      <c r="E2" s="11"/>
      <c r="F2" s="12"/>
      <c r="G2" s="11"/>
      <c r="H2" s="11"/>
      <c r="I2" s="11"/>
      <c r="J2" s="11"/>
      <c r="K2" s="11"/>
      <c r="L2" s="11"/>
      <c r="M2" s="11"/>
      <c r="N2" s="11"/>
      <c r="O2" s="11"/>
      <c r="P2" s="11"/>
      <c r="Q2" s="11"/>
      <c r="R2" s="11"/>
      <c r="S2" s="11"/>
      <c r="T2" s="11"/>
    </row>
    <row r="3" ht="23" customHeight="1">
      <c r="A3" s="13"/>
      <c r="B3" t="s" s="14">
        <v>7</v>
      </c>
      <c r="C3" t="s" s="15">
        <v>8</v>
      </c>
      <c r="D3" s="16"/>
      <c r="E3" t="s" s="17">
        <v>9</v>
      </c>
      <c r="F3" s="18">
        <f>P133</f>
        <v>221.424727799583</v>
      </c>
      <c r="G3" s="19"/>
      <c r="H3" s="20"/>
      <c r="I3" s="21"/>
      <c r="J3" s="11"/>
      <c r="K3" s="11"/>
      <c r="L3" s="11"/>
      <c r="M3" s="11"/>
      <c r="N3" s="11"/>
      <c r="O3" s="11"/>
      <c r="P3" s="11"/>
      <c r="Q3" s="11"/>
      <c r="R3" s="11"/>
      <c r="S3" s="11"/>
      <c r="T3" s="11"/>
    </row>
    <row r="4" ht="23" customHeight="1">
      <c r="A4" s="13"/>
      <c r="B4" t="s" s="14">
        <v>10</v>
      </c>
      <c r="C4" s="22">
        <v>43364</v>
      </c>
      <c r="D4" s="16"/>
      <c r="E4" t="s" s="17">
        <v>11</v>
      </c>
      <c r="F4" s="18">
        <v>114.14</v>
      </c>
      <c r="G4" s="19"/>
      <c r="H4" t="s" s="17">
        <v>12</v>
      </c>
      <c r="I4" s="23">
        <f>F3/F4-1</f>
        <v>0.939939791480489</v>
      </c>
      <c r="J4" s="24"/>
      <c r="K4" s="11"/>
      <c r="L4" s="11"/>
      <c r="M4" s="11"/>
      <c r="N4" s="11"/>
      <c r="O4" s="11"/>
      <c r="P4" s="11"/>
      <c r="Q4" s="11"/>
      <c r="R4" s="11"/>
      <c r="S4" s="11"/>
      <c r="T4" s="11"/>
    </row>
    <row r="5" ht="21.5" customHeight="1">
      <c r="A5" s="13"/>
      <c r="B5" s="25"/>
      <c r="C5" s="26"/>
      <c r="D5" s="11"/>
      <c r="E5" s="11"/>
      <c r="F5" s="27"/>
      <c r="G5" s="11"/>
      <c r="H5" s="11"/>
      <c r="I5" s="27"/>
      <c r="J5" s="11"/>
      <c r="K5" s="11"/>
      <c r="L5" s="11"/>
      <c r="M5" s="11"/>
      <c r="N5" s="11"/>
      <c r="O5" s="11"/>
      <c r="P5" s="11"/>
      <c r="Q5" s="11"/>
      <c r="R5" s="11"/>
      <c r="S5" s="11"/>
      <c r="T5" s="11"/>
    </row>
    <row r="6" ht="21" customHeight="1">
      <c r="A6" s="13"/>
      <c r="B6" s="25"/>
      <c r="C6" s="28"/>
      <c r="D6" s="11"/>
      <c r="E6" s="11"/>
      <c r="F6" s="11"/>
      <c r="G6" s="11"/>
      <c r="H6" s="11"/>
      <c r="I6" s="11"/>
      <c r="J6" s="11"/>
      <c r="K6" s="11"/>
      <c r="L6" s="11"/>
      <c r="M6" s="11"/>
      <c r="N6" s="11"/>
      <c r="O6" s="11"/>
      <c r="P6" s="11"/>
      <c r="Q6" s="11"/>
      <c r="R6" s="11"/>
      <c r="S6" s="11"/>
      <c r="T6" s="11"/>
    </row>
    <row r="7" ht="21" customHeight="1">
      <c r="A7" t="s" s="29">
        <v>13</v>
      </c>
      <c r="B7" t="s" s="30">
        <v>14</v>
      </c>
      <c r="C7" s="31"/>
      <c r="D7" s="32"/>
      <c r="E7" s="33"/>
      <c r="F7" s="33"/>
      <c r="G7" s="33"/>
      <c r="H7" s="33"/>
      <c r="I7" s="33"/>
      <c r="J7" s="33"/>
      <c r="K7" s="33"/>
      <c r="L7" s="33"/>
      <c r="M7" s="33"/>
      <c r="N7" s="33"/>
      <c r="O7" s="33"/>
      <c r="P7" s="33"/>
      <c r="Q7" s="33"/>
      <c r="R7" s="33"/>
      <c r="S7" s="33"/>
      <c r="T7" s="33"/>
    </row>
    <row r="8" ht="21.5" customHeight="1">
      <c r="A8" s="13"/>
      <c r="B8" t="s" s="34">
        <v>15</v>
      </c>
      <c r="C8" s="10"/>
      <c r="D8" s="11"/>
      <c r="E8" t="s" s="35">
        <v>16</v>
      </c>
      <c r="F8" s="11"/>
      <c r="G8" t="s" s="35">
        <v>17</v>
      </c>
      <c r="H8" s="36"/>
      <c r="I8" t="s" s="35">
        <v>18</v>
      </c>
      <c r="J8" s="11"/>
      <c r="K8" s="36"/>
      <c r="L8" s="11"/>
      <c r="M8" s="11"/>
      <c r="N8" s="11"/>
      <c r="O8" s="11"/>
      <c r="P8" s="11"/>
      <c r="Q8" s="11"/>
      <c r="R8" s="11"/>
      <c r="S8" s="11"/>
      <c r="T8" s="11"/>
    </row>
    <row r="9" ht="22" customHeight="1">
      <c r="A9" s="13"/>
      <c r="B9" t="s" s="14">
        <v>19</v>
      </c>
      <c r="C9" s="37">
        <v>2</v>
      </c>
      <c r="D9" s="38"/>
      <c r="E9" s="39">
        <v>0.8</v>
      </c>
      <c r="F9" s="40"/>
      <c r="G9" s="39">
        <v>0.005</v>
      </c>
      <c r="H9" s="40"/>
      <c r="I9" s="39">
        <v>1.2</v>
      </c>
      <c r="J9" s="16"/>
      <c r="K9" s="11"/>
      <c r="L9" s="11"/>
      <c r="M9" s="11"/>
      <c r="N9" s="11"/>
      <c r="O9" s="11"/>
      <c r="P9" s="11"/>
      <c r="Q9" s="11"/>
      <c r="R9" s="11"/>
      <c r="S9" s="11"/>
      <c r="T9" s="11"/>
    </row>
    <row r="10" ht="22" customHeight="1">
      <c r="A10" s="13"/>
      <c r="B10" t="s" s="14">
        <v>20</v>
      </c>
      <c r="C10" s="37">
        <v>2</v>
      </c>
      <c r="D10" s="38"/>
      <c r="E10" s="41">
        <v>0.9</v>
      </c>
      <c r="F10" s="38"/>
      <c r="G10" s="39">
        <v>0.005</v>
      </c>
      <c r="H10" s="38"/>
      <c r="I10" s="41">
        <v>1.1</v>
      </c>
      <c r="J10" s="16"/>
      <c r="K10" s="11"/>
      <c r="L10" s="11"/>
      <c r="M10" s="11"/>
      <c r="N10" s="11"/>
      <c r="O10" s="11"/>
      <c r="P10" s="11"/>
      <c r="Q10" s="11"/>
      <c r="R10" s="11"/>
      <c r="S10" s="11"/>
      <c r="T10" s="11"/>
    </row>
    <row r="11" ht="22" customHeight="1">
      <c r="A11" s="13"/>
      <c r="B11" t="s" s="14">
        <v>21</v>
      </c>
      <c r="C11" s="37">
        <v>2</v>
      </c>
      <c r="D11" s="38"/>
      <c r="E11" s="41">
        <v>0.9</v>
      </c>
      <c r="F11" s="38"/>
      <c r="G11" s="39">
        <v>0.005</v>
      </c>
      <c r="H11" s="38"/>
      <c r="I11" s="41">
        <v>1.1</v>
      </c>
      <c r="J11" s="16"/>
      <c r="K11" s="11"/>
      <c r="L11" s="11"/>
      <c r="M11" s="11"/>
      <c r="N11" s="11"/>
      <c r="O11" s="11"/>
      <c r="P11" s="11"/>
      <c r="Q11" s="11"/>
      <c r="R11" s="11"/>
      <c r="S11" s="11"/>
      <c r="T11" s="11"/>
    </row>
    <row r="12" ht="22" customHeight="1">
      <c r="A12" s="13"/>
      <c r="B12" t="s" s="14">
        <v>22</v>
      </c>
      <c r="C12" s="37">
        <v>2</v>
      </c>
      <c r="D12" s="38"/>
      <c r="E12" s="41">
        <v>0.9</v>
      </c>
      <c r="F12" s="38"/>
      <c r="G12" s="39">
        <v>0.005</v>
      </c>
      <c r="H12" s="38"/>
      <c r="I12" s="41">
        <v>1.1</v>
      </c>
      <c r="J12" s="16"/>
      <c r="K12" s="11"/>
      <c r="L12" s="11"/>
      <c r="M12" s="11"/>
      <c r="N12" s="11"/>
      <c r="O12" s="11"/>
      <c r="P12" s="11"/>
      <c r="Q12" s="11"/>
      <c r="R12" s="11"/>
      <c r="S12" s="11"/>
      <c r="T12" s="11"/>
    </row>
    <row r="13" ht="22" customHeight="1">
      <c r="A13" s="13"/>
      <c r="B13" t="s" s="14">
        <v>23</v>
      </c>
      <c r="C13" s="37">
        <v>2</v>
      </c>
      <c r="D13" s="38"/>
      <c r="E13" s="41">
        <v>0.9</v>
      </c>
      <c r="F13" s="38"/>
      <c r="G13" s="39">
        <v>0.005</v>
      </c>
      <c r="H13" s="38"/>
      <c r="I13" s="41">
        <v>1.1</v>
      </c>
      <c r="J13" s="16"/>
      <c r="K13" s="11"/>
      <c r="L13" s="11"/>
      <c r="M13" s="11"/>
      <c r="N13" s="11"/>
      <c r="O13" s="11"/>
      <c r="P13" s="11"/>
      <c r="Q13" s="11"/>
      <c r="R13" s="11"/>
      <c r="S13" s="11"/>
      <c r="T13" s="11"/>
    </row>
    <row r="14" ht="22" customHeight="1">
      <c r="A14" s="13"/>
      <c r="B14" t="s" s="42">
        <v>24</v>
      </c>
      <c r="C14" s="43">
        <v>2</v>
      </c>
      <c r="D14" s="38"/>
      <c r="E14" s="44">
        <v>0.9</v>
      </c>
      <c r="F14" s="38"/>
      <c r="G14" s="45">
        <v>0.005</v>
      </c>
      <c r="H14" s="38"/>
      <c r="I14" s="44">
        <v>1.1</v>
      </c>
      <c r="J14" s="16"/>
      <c r="K14" s="11"/>
      <c r="L14" s="11"/>
      <c r="M14" s="11"/>
      <c r="N14" s="11"/>
      <c r="O14" s="11"/>
      <c r="P14" s="11"/>
      <c r="Q14" s="11"/>
      <c r="R14" s="11"/>
      <c r="S14" s="11"/>
      <c r="T14" s="11"/>
    </row>
    <row r="15" ht="22" customHeight="1">
      <c r="A15" s="13"/>
      <c r="B15" s="46"/>
      <c r="C15" s="47"/>
      <c r="D15" s="11"/>
      <c r="E15" s="48"/>
      <c r="F15" s="11"/>
      <c r="G15" s="48"/>
      <c r="H15" s="11"/>
      <c r="I15" s="48"/>
      <c r="J15" s="11"/>
      <c r="K15" s="11"/>
      <c r="L15" s="11"/>
      <c r="M15" s="11"/>
      <c r="N15" s="11"/>
      <c r="O15" s="11"/>
      <c r="P15" s="11"/>
      <c r="Q15" s="11"/>
      <c r="R15" s="11"/>
      <c r="S15" s="11"/>
      <c r="T15" s="11"/>
    </row>
    <row r="16" ht="23" customHeight="1">
      <c r="A16" s="13"/>
      <c r="B16" t="s" s="49">
        <v>25</v>
      </c>
      <c r="C16" s="37">
        <v>2</v>
      </c>
      <c r="D16" s="38"/>
      <c r="E16" s="41">
        <v>0.9</v>
      </c>
      <c r="F16" s="38"/>
      <c r="G16" s="50">
        <v>0.22</v>
      </c>
      <c r="H16" s="38"/>
      <c r="I16" s="41">
        <v>1.1</v>
      </c>
      <c r="J16" s="16"/>
      <c r="K16" t="s" s="51">
        <v>26</v>
      </c>
      <c r="L16" s="11"/>
      <c r="M16" s="11"/>
      <c r="N16" s="11"/>
      <c r="O16" s="11"/>
      <c r="P16" s="11"/>
      <c r="Q16" s="11"/>
      <c r="R16" s="11"/>
      <c r="S16" s="11"/>
      <c r="T16" s="11"/>
    </row>
    <row r="17" ht="23" customHeight="1">
      <c r="A17" s="13"/>
      <c r="B17" t="s" s="49">
        <v>27</v>
      </c>
      <c r="C17" s="37">
        <v>2</v>
      </c>
      <c r="D17" s="38"/>
      <c r="E17" s="52">
        <f>G17+$K$17</f>
        <v>0.0743325893918995</v>
      </c>
      <c r="F17" s="38"/>
      <c r="G17" s="53">
        <f>'WACC - WACC'!B21</f>
        <v>0.0693325893918995</v>
      </c>
      <c r="H17" s="38"/>
      <c r="I17" s="53">
        <f>G17-$K$17</f>
        <v>0.06433258939189949</v>
      </c>
      <c r="J17" s="38"/>
      <c r="K17" s="54">
        <v>0.005</v>
      </c>
      <c r="L17" s="16"/>
      <c r="M17" s="11"/>
      <c r="N17" s="11"/>
      <c r="O17" s="11"/>
      <c r="P17" s="11"/>
      <c r="Q17" s="11"/>
      <c r="R17" s="11"/>
      <c r="S17" s="11"/>
      <c r="T17" s="11"/>
    </row>
    <row r="18" ht="23" customHeight="1">
      <c r="A18" s="13"/>
      <c r="B18" t="s" s="49">
        <v>28</v>
      </c>
      <c r="C18" s="43">
        <v>2</v>
      </c>
      <c r="D18" s="38"/>
      <c r="E18" s="55">
        <f>G18-$K$18</f>
        <v>0.015</v>
      </c>
      <c r="F18" s="38"/>
      <c r="G18" s="56">
        <v>0.02</v>
      </c>
      <c r="H18" s="38"/>
      <c r="I18" s="44">
        <f>G18+$K$18</f>
        <v>0.025</v>
      </c>
      <c r="J18" s="38"/>
      <c r="K18" s="54">
        <v>0.005</v>
      </c>
      <c r="L18" s="16"/>
      <c r="M18" s="11"/>
      <c r="N18" s="11"/>
      <c r="O18" s="11"/>
      <c r="P18" s="11"/>
      <c r="Q18" s="11"/>
      <c r="R18" s="11"/>
      <c r="S18" s="11"/>
      <c r="T18" s="11"/>
    </row>
    <row r="19" ht="22" customHeight="1">
      <c r="A19" s="13"/>
      <c r="B19" s="46"/>
      <c r="C19" s="47"/>
      <c r="D19" s="11"/>
      <c r="E19" s="27"/>
      <c r="F19" s="11"/>
      <c r="G19" s="27"/>
      <c r="H19" s="11"/>
      <c r="I19" s="27"/>
      <c r="J19" s="11"/>
      <c r="K19" s="57"/>
      <c r="L19" s="11"/>
      <c r="M19" s="11"/>
      <c r="N19" s="11"/>
      <c r="O19" s="11"/>
      <c r="P19" s="11"/>
      <c r="Q19" s="11"/>
      <c r="R19" s="11"/>
      <c r="S19" s="11"/>
      <c r="T19" s="11"/>
    </row>
    <row r="20" ht="22" customHeight="1">
      <c r="A20" s="13"/>
      <c r="B20" t="s" s="49">
        <v>27</v>
      </c>
      <c r="C20" s="53">
        <f>CHOOSE(C17,E17,G17,I17)</f>
        <v>0.0693325893918995</v>
      </c>
      <c r="D20" s="16"/>
      <c r="E20" s="11"/>
      <c r="F20" s="11"/>
      <c r="G20" s="11"/>
      <c r="H20" s="11"/>
      <c r="I20" s="11"/>
      <c r="J20" s="11"/>
      <c r="K20" s="11"/>
      <c r="L20" s="11"/>
      <c r="M20" s="11"/>
      <c r="N20" s="11"/>
      <c r="O20" s="11"/>
      <c r="P20" s="11"/>
      <c r="Q20" s="11"/>
      <c r="R20" s="11"/>
      <c r="S20" s="11"/>
      <c r="T20" s="11"/>
    </row>
    <row r="21" ht="22" customHeight="1">
      <c r="A21" s="13"/>
      <c r="B21" t="s" s="49">
        <v>28</v>
      </c>
      <c r="C21" s="56">
        <f>CHOOSE(C18,E18,G18,I18)</f>
        <v>0.02</v>
      </c>
      <c r="D21" s="16"/>
      <c r="E21" s="11"/>
      <c r="F21" s="11"/>
      <c r="G21" s="11"/>
      <c r="H21" s="11"/>
      <c r="I21" s="11"/>
      <c r="J21" s="11"/>
      <c r="K21" s="11"/>
      <c r="L21" s="11"/>
      <c r="M21" s="11"/>
      <c r="N21" s="11"/>
      <c r="O21" s="11"/>
      <c r="P21" s="11"/>
      <c r="Q21" s="11"/>
      <c r="R21" s="11"/>
      <c r="S21" s="11"/>
      <c r="T21" s="11"/>
    </row>
    <row r="22" ht="21.5" customHeight="1">
      <c r="A22" s="13"/>
      <c r="B22" s="9"/>
      <c r="C22" s="58"/>
      <c r="D22" s="11"/>
      <c r="E22" s="11"/>
      <c r="F22" s="11"/>
      <c r="G22" s="11"/>
      <c r="H22" s="11"/>
      <c r="I22" s="11"/>
      <c r="J22" s="11"/>
      <c r="K22" t="s" s="59">
        <v>29</v>
      </c>
      <c r="L22" s="36"/>
      <c r="M22" s="11"/>
      <c r="N22" s="11"/>
      <c r="O22" s="11"/>
      <c r="P22" s="11"/>
      <c r="Q22" s="11"/>
      <c r="R22" s="11"/>
      <c r="S22" s="11"/>
      <c r="T22" s="11"/>
    </row>
    <row r="23" ht="21" customHeight="1">
      <c r="A23" t="s" s="29">
        <v>13</v>
      </c>
      <c r="B23" t="s" s="30">
        <v>30</v>
      </c>
      <c r="C23" s="31"/>
      <c r="D23" s="60">
        <v>2015</v>
      </c>
      <c r="E23" s="61">
        <v>2016</v>
      </c>
      <c r="F23" s="61">
        <v>2017</v>
      </c>
      <c r="G23" s="61">
        <v>2018</v>
      </c>
      <c r="H23" s="61">
        <v>2019</v>
      </c>
      <c r="I23" s="61">
        <v>2020</v>
      </c>
      <c r="J23" s="61">
        <v>2021</v>
      </c>
      <c r="K23" s="61">
        <v>2022</v>
      </c>
      <c r="L23" s="61">
        <v>2023</v>
      </c>
      <c r="M23" s="61">
        <v>2024</v>
      </c>
      <c r="N23" s="61">
        <v>2025</v>
      </c>
      <c r="O23" s="61">
        <v>2026</v>
      </c>
      <c r="P23" s="61">
        <v>2027</v>
      </c>
      <c r="Q23" s="36"/>
      <c r="R23" s="36"/>
      <c r="S23" s="36"/>
      <c r="T23" s="36"/>
    </row>
    <row r="24" ht="21" customHeight="1">
      <c r="A24" s="13"/>
      <c r="B24" s="25"/>
      <c r="C24" s="28"/>
      <c r="D24" s="11"/>
      <c r="E24" s="62"/>
      <c r="F24" s="62"/>
      <c r="G24" s="62"/>
      <c r="H24" s="62"/>
      <c r="I24" s="62"/>
      <c r="J24" s="63"/>
      <c r="K24" s="62"/>
      <c r="L24" s="62"/>
      <c r="M24" s="62"/>
      <c r="N24" s="62"/>
      <c r="O24" s="62"/>
      <c r="P24" s="62"/>
      <c r="Q24" s="36"/>
      <c r="R24" s="36"/>
      <c r="S24" s="36"/>
      <c r="T24" s="36"/>
    </row>
    <row r="25" ht="21" customHeight="1">
      <c r="A25" s="13"/>
      <c r="B25" t="s" s="34">
        <f>$B9</f>
        <v>31</v>
      </c>
      <c r="C25" s="28"/>
      <c r="D25" s="64">
        <f>10295+5515</f>
        <v>15810</v>
      </c>
      <c r="E25" s="64">
        <f>10399+5881</f>
        <v>16280</v>
      </c>
      <c r="F25" s="64">
        <f>10911+6148</f>
        <v>17059</v>
      </c>
      <c r="G25" s="64">
        <v>12494</v>
      </c>
      <c r="H25" s="64">
        <v>11607</v>
      </c>
      <c r="I25" s="64">
        <v>11734</v>
      </c>
      <c r="J25" s="64">
        <v>12880</v>
      </c>
      <c r="K25" s="62">
        <f>J25*(1+K26)</f>
        <v>12725.44</v>
      </c>
      <c r="L25" s="62">
        <f>K25*(1+L26)</f>
        <v>13005.39968</v>
      </c>
      <c r="M25" s="62">
        <f>L25*(1+M26)</f>
        <v>13236.24552432</v>
      </c>
      <c r="N25" s="62">
        <f>M25*(1+N26)</f>
        <v>13414.9348388983</v>
      </c>
      <c r="O25" s="62">
        <f>N25*(1+O26)</f>
        <v>13539.0229861581</v>
      </c>
      <c r="P25" s="62">
        <f>O25*(1+P26)</f>
        <v>13606.7181010889</v>
      </c>
      <c r="Q25" s="36"/>
      <c r="R25" s="36"/>
      <c r="S25" s="36"/>
      <c r="T25" s="36"/>
    </row>
    <row r="26" ht="21.5" customHeight="1">
      <c r="A26" s="65"/>
      <c r="B26" t="s" s="66">
        <v>32</v>
      </c>
      <c r="C26" s="67"/>
      <c r="D26" s="68"/>
      <c r="E26" s="69">
        <f>E25/D25-1</f>
        <v>0.0297280202403542</v>
      </c>
      <c r="F26" s="69">
        <f>F25/E25-1</f>
        <v>0.0478501228501229</v>
      </c>
      <c r="G26" s="69">
        <f>G25/F25-1</f>
        <v>-0.267600679992966</v>
      </c>
      <c r="H26" s="69">
        <f>H25/G25-1</f>
        <v>-0.0709940771570354</v>
      </c>
      <c r="I26" s="69">
        <f>I25/H25-1</f>
        <v>0.0109416731282847</v>
      </c>
      <c r="J26" s="69">
        <f>J25/I25-1</f>
        <v>0.0976649054031021</v>
      </c>
      <c r="K26" s="70">
        <f>OFFSET(K26,$C$9,0)</f>
        <v>-0.012</v>
      </c>
      <c r="L26" s="70">
        <f>OFFSET(L26,$C$9,0)</f>
        <v>0.022</v>
      </c>
      <c r="M26" s="70">
        <f>OFFSET(M26,$C$9,0)</f>
        <v>0.01775</v>
      </c>
      <c r="N26" s="70">
        <f>OFFSET(N26,$C$9,0)</f>
        <v>0.0135</v>
      </c>
      <c r="O26" s="70">
        <f>OFFSET(O26,$C$9,0)</f>
        <v>0.00925</v>
      </c>
      <c r="P26" s="70">
        <f>OFFSET(P26,$C$9,0)</f>
        <v>0.005</v>
      </c>
      <c r="Q26" s="36"/>
      <c r="R26" s="36"/>
      <c r="S26" s="36"/>
      <c r="T26" s="36"/>
    </row>
    <row r="27" ht="22" customHeight="1">
      <c r="A27" s="13"/>
      <c r="B27" t="s" s="34">
        <v>33</v>
      </c>
      <c r="C27" s="28"/>
      <c r="D27" s="11"/>
      <c r="E27" s="64"/>
      <c r="F27" s="64"/>
      <c r="G27" s="64"/>
      <c r="H27" s="64"/>
      <c r="I27" s="64"/>
      <c r="J27" s="71"/>
      <c r="K27" s="72">
        <f>K28</f>
        <v>-0.012</v>
      </c>
      <c r="L27" s="72">
        <f>L28</f>
        <v>0.022</v>
      </c>
      <c r="M27" s="72">
        <f>M28*$E$9</f>
        <v>0.0142</v>
      </c>
      <c r="N27" s="72">
        <f>N28*$E$9</f>
        <v>0.0108</v>
      </c>
      <c r="O27" s="72">
        <f>O28*$E$9</f>
        <v>0.0074</v>
      </c>
      <c r="P27" s="72">
        <f>P28*$E$9</f>
        <v>0.004</v>
      </c>
      <c r="Q27" s="73"/>
      <c r="R27" s="36"/>
      <c r="S27" s="36"/>
      <c r="T27" s="36"/>
    </row>
    <row r="28" ht="22" customHeight="1">
      <c r="A28" s="13"/>
      <c r="B28" t="s" s="34">
        <v>34</v>
      </c>
      <c r="C28" s="28"/>
      <c r="D28" s="11"/>
      <c r="E28" s="64"/>
      <c r="F28" s="64"/>
      <c r="G28" s="64"/>
      <c r="H28" s="64"/>
      <c r="I28" s="64"/>
      <c r="J28" s="71"/>
      <c r="K28" s="72">
        <v>-0.012</v>
      </c>
      <c r="L28" s="72">
        <v>0.022</v>
      </c>
      <c r="M28" s="74">
        <f>L28-(L28-$P$28)/($P$23-L23)</f>
        <v>0.01775</v>
      </c>
      <c r="N28" s="74">
        <f>M28-(M28-$P$28)/($P$23-M23)</f>
        <v>0.0135</v>
      </c>
      <c r="O28" s="74">
        <f>N28-(N28-$P$28)/($P$23-N23)</f>
        <v>0.00925</v>
      </c>
      <c r="P28" s="72">
        <f>G9</f>
        <v>0.005</v>
      </c>
      <c r="Q28" s="73"/>
      <c r="R28" s="36"/>
      <c r="S28" s="36"/>
      <c r="T28" s="36"/>
    </row>
    <row r="29" ht="22" customHeight="1">
      <c r="A29" s="13"/>
      <c r="B29" t="s" s="34">
        <v>35</v>
      </c>
      <c r="C29" s="28"/>
      <c r="D29" s="11"/>
      <c r="E29" s="64"/>
      <c r="F29" s="64"/>
      <c r="G29" s="64"/>
      <c r="H29" s="64"/>
      <c r="I29" s="64"/>
      <c r="J29" s="71"/>
      <c r="K29" s="72">
        <f>K28</f>
        <v>-0.012</v>
      </c>
      <c r="L29" s="72">
        <f>L28</f>
        <v>0.022</v>
      </c>
      <c r="M29" s="75">
        <f>M28*$I$9</f>
        <v>0.0213</v>
      </c>
      <c r="N29" s="75">
        <f>N28*$I$9</f>
        <v>0.0162</v>
      </c>
      <c r="O29" s="75">
        <f>O28*$I$9</f>
        <v>0.0111</v>
      </c>
      <c r="P29" s="72">
        <f>P28*$I$9</f>
        <v>0.006</v>
      </c>
      <c r="Q29" s="73"/>
      <c r="R29" s="36"/>
      <c r="S29" s="36"/>
      <c r="T29" s="36"/>
    </row>
    <row r="30" ht="21.5" customHeight="1">
      <c r="A30" s="13"/>
      <c r="B30" t="s" s="34">
        <v>36</v>
      </c>
      <c r="C30" s="28"/>
      <c r="D30" s="69">
        <f>D25/D67</f>
        <v>0.522230296624166</v>
      </c>
      <c r="E30" s="69">
        <f>E25/E67</f>
        <v>0.540702115646484</v>
      </c>
      <c r="F30" s="69">
        <f>F25/F67</f>
        <v>0.5388697602426</v>
      </c>
      <c r="G30" s="69">
        <f>G25/G67</f>
        <v>0.381321532122692</v>
      </c>
      <c r="H30" s="69">
        <f>H25/H67</f>
        <v>0.361183719193428</v>
      </c>
      <c r="I30" s="69">
        <f>I25/I67</f>
        <v>0.364591101168282</v>
      </c>
      <c r="J30" s="76">
        <f>J25/J67</f>
        <v>0.364304907368123</v>
      </c>
      <c r="K30" s="77">
        <f>K25/K67</f>
        <v>0.364350844016389</v>
      </c>
      <c r="L30" s="78">
        <f>AVERAGE(K30,J30,I30)</f>
        <v>0.364415617517598</v>
      </c>
      <c r="M30" s="78"/>
      <c r="N30" s="78"/>
      <c r="O30" s="78"/>
      <c r="P30" s="78"/>
      <c r="Q30" s="79"/>
      <c r="R30" s="36"/>
      <c r="S30" s="36"/>
      <c r="T30" s="36"/>
    </row>
    <row r="31" ht="21" customHeight="1">
      <c r="A31" s="80"/>
      <c r="B31" s="81"/>
      <c r="C31" s="82"/>
      <c r="D31" s="83"/>
      <c r="E31" s="84"/>
      <c r="F31" s="85"/>
      <c r="G31" s="85"/>
      <c r="H31" s="85"/>
      <c r="I31" s="85"/>
      <c r="J31" s="85"/>
      <c r="K31" s="86"/>
      <c r="L31" s="86"/>
      <c r="M31" s="86"/>
      <c r="N31" s="86"/>
      <c r="O31" s="86"/>
      <c r="P31" s="86"/>
      <c r="Q31" s="36"/>
      <c r="R31" s="36"/>
      <c r="S31" s="36"/>
      <c r="T31" s="36"/>
    </row>
    <row r="32" ht="21" customHeight="1">
      <c r="A32" s="87"/>
      <c r="B32" t="s" s="34">
        <f>$B10</f>
        <v>37</v>
      </c>
      <c r="C32" s="88"/>
      <c r="D32" s="89">
        <v>5253</v>
      </c>
      <c r="E32" s="89">
        <v>4643</v>
      </c>
      <c r="F32" s="89">
        <v>5159</v>
      </c>
      <c r="G32" s="89">
        <v>10106</v>
      </c>
      <c r="H32" s="89">
        <v>9602</v>
      </c>
      <c r="I32" s="89">
        <v>8833</v>
      </c>
      <c r="J32" s="89">
        <v>9769</v>
      </c>
      <c r="K32" s="90">
        <f>J32*(1+K33)</f>
        <v>9651.772000000001</v>
      </c>
      <c r="L32" s="90">
        <f>K32*(1+L33)</f>
        <v>9864.110984000001</v>
      </c>
      <c r="M32" s="90">
        <f>L32*(1+M33)</f>
        <v>10039.198953966</v>
      </c>
      <c r="N32" s="90">
        <f>M32*(1+N33)</f>
        <v>10174.7281398445</v>
      </c>
      <c r="O32" s="90">
        <f>N32*(1+O33)</f>
        <v>10268.8443751381</v>
      </c>
      <c r="P32" s="90">
        <f>O32*(1+P33)</f>
        <v>10320.1885970138</v>
      </c>
      <c r="Q32" s="36"/>
      <c r="R32" s="36"/>
      <c r="S32" s="36"/>
      <c r="T32" s="36"/>
    </row>
    <row r="33" ht="21.5" customHeight="1">
      <c r="A33" s="91"/>
      <c r="B33" t="s" s="66">
        <v>32</v>
      </c>
      <c r="C33" s="92"/>
      <c r="D33" s="93"/>
      <c r="E33" s="94">
        <f>E32/D32-1</f>
        <v>-0.116124119550733</v>
      </c>
      <c r="F33" s="94">
        <f>F32/E32-1</f>
        <v>0.111135041998708</v>
      </c>
      <c r="G33" s="94">
        <f>G32/F32-1</f>
        <v>0.958906764876914</v>
      </c>
      <c r="H33" s="94">
        <f>H32/G32-1</f>
        <v>-0.0498713635464081</v>
      </c>
      <c r="I33" s="94">
        <f>I32/H32-1</f>
        <v>-0.08008748177463031</v>
      </c>
      <c r="J33" s="94">
        <f>J32/I32-1</f>
        <v>0.105966262877844</v>
      </c>
      <c r="K33" s="95">
        <f>OFFSET(K33,$C$10,0)</f>
        <v>-0.012</v>
      </c>
      <c r="L33" s="95">
        <f>OFFSET(L33,$C$10,0)</f>
        <v>0.022</v>
      </c>
      <c r="M33" s="95">
        <f>OFFSET(M33,$C$10,0)</f>
        <v>0.01775</v>
      </c>
      <c r="N33" s="95">
        <f>OFFSET(N33,$C$10,0)</f>
        <v>0.0135</v>
      </c>
      <c r="O33" s="95">
        <f>OFFSET(O33,$C$10,0)</f>
        <v>0.00925</v>
      </c>
      <c r="P33" s="95">
        <f>OFFSET(P33,$C$10,0)</f>
        <v>0.005</v>
      </c>
      <c r="Q33" s="36"/>
      <c r="R33" s="36"/>
      <c r="S33" s="36"/>
      <c r="T33" s="36"/>
    </row>
    <row r="34" ht="22" customHeight="1">
      <c r="A34" s="13"/>
      <c r="B34" t="s" s="34">
        <v>33</v>
      </c>
      <c r="C34" s="28"/>
      <c r="D34" s="11"/>
      <c r="E34" s="64"/>
      <c r="F34" s="64"/>
      <c r="G34" s="64"/>
      <c r="H34" s="64"/>
      <c r="I34" s="64"/>
      <c r="J34" s="71"/>
      <c r="K34" s="72">
        <f>K35</f>
        <v>-0.012</v>
      </c>
      <c r="L34" s="72">
        <f>L35</f>
        <v>0.022</v>
      </c>
      <c r="M34" s="72">
        <f>M35*$E$10</f>
        <v>0.015975</v>
      </c>
      <c r="N34" s="72">
        <f>N35*$E$10</f>
        <v>0.01215</v>
      </c>
      <c r="O34" s="72">
        <f>O35*$E$10</f>
        <v>0.008325000000000001</v>
      </c>
      <c r="P34" s="72">
        <f>P35*$E$10</f>
        <v>0.0045</v>
      </c>
      <c r="Q34" s="73"/>
      <c r="R34" s="36"/>
      <c r="S34" s="36"/>
      <c r="T34" s="36"/>
    </row>
    <row r="35" ht="22" customHeight="1">
      <c r="A35" s="13"/>
      <c r="B35" t="s" s="34">
        <v>34</v>
      </c>
      <c r="C35" s="28"/>
      <c r="D35" s="11"/>
      <c r="E35" s="64"/>
      <c r="F35" s="64"/>
      <c r="G35" s="64"/>
      <c r="H35" s="64"/>
      <c r="I35" s="64"/>
      <c r="J35" s="71"/>
      <c r="K35" s="72">
        <v>-0.012</v>
      </c>
      <c r="L35" s="74">
        <v>0.022</v>
      </c>
      <c r="M35" s="74">
        <f>L35-(L35-$P$35)/($P$23-L23)</f>
        <v>0.01775</v>
      </c>
      <c r="N35" s="74">
        <f>M35-(M35-$P$35)/($P$23-M23)</f>
        <v>0.0135</v>
      </c>
      <c r="O35" s="74">
        <f>N35-(N35-$P$35)/($P$23-N23)</f>
        <v>0.00925</v>
      </c>
      <c r="P35" s="72">
        <f>G10</f>
        <v>0.005</v>
      </c>
      <c r="Q35" s="73"/>
      <c r="R35" s="36"/>
      <c r="S35" s="36"/>
      <c r="T35" s="36"/>
    </row>
    <row r="36" ht="22" customHeight="1">
      <c r="A36" s="13"/>
      <c r="B36" t="s" s="34">
        <v>35</v>
      </c>
      <c r="C36" s="28"/>
      <c r="D36" s="11"/>
      <c r="E36" s="64"/>
      <c r="F36" s="64"/>
      <c r="G36" s="64"/>
      <c r="H36" s="64"/>
      <c r="I36" s="64"/>
      <c r="J36" s="71"/>
      <c r="K36" s="74">
        <f>K35</f>
        <v>-0.012</v>
      </c>
      <c r="L36" s="96">
        <f>L35</f>
        <v>0.022</v>
      </c>
      <c r="M36" s="96">
        <f>M35*$I$10</f>
        <v>0.019525</v>
      </c>
      <c r="N36" s="96">
        <f>N35*$I$10</f>
        <v>0.01485</v>
      </c>
      <c r="O36" s="96">
        <f>O35*$I$10</f>
        <v>0.010175</v>
      </c>
      <c r="P36" s="74">
        <f>P35*$I$10</f>
        <v>0.0055</v>
      </c>
      <c r="Q36" s="73"/>
      <c r="R36" s="36"/>
      <c r="S36" s="36"/>
      <c r="T36" s="36"/>
    </row>
    <row r="37" ht="21.5" customHeight="1">
      <c r="A37" s="65"/>
      <c r="B37" t="s" s="34">
        <v>36</v>
      </c>
      <c r="C37" s="67"/>
      <c r="D37" s="69">
        <f>D32/D67</f>
        <v>0.173515227588029</v>
      </c>
      <c r="E37" s="69">
        <f>E32/E67</f>
        <v>0.15420638347338</v>
      </c>
      <c r="F37" s="69">
        <f>F32/F67</f>
        <v>0.16296553684809</v>
      </c>
      <c r="G37" s="69">
        <f>G32/G67</f>
        <v>0.308438882954372</v>
      </c>
      <c r="H37" s="69">
        <f>H32/H67</f>
        <v>0.298792631316903</v>
      </c>
      <c r="I37" s="69">
        <f>I32/I67</f>
        <v>0.274453144419587</v>
      </c>
      <c r="J37" s="69">
        <f>J32/J67</f>
        <v>0.276311695658323</v>
      </c>
      <c r="K37" s="97">
        <f>K32/K67</f>
        <v>0.276346536894108</v>
      </c>
      <c r="L37" s="97">
        <f>AVERAGE(K37,J37,I37)</f>
        <v>0.275703792324006</v>
      </c>
      <c r="M37" s="97"/>
      <c r="N37" s="97"/>
      <c r="O37" s="97"/>
      <c r="P37" s="97"/>
      <c r="Q37" s="36"/>
      <c r="R37" s="36"/>
      <c r="S37" s="36"/>
      <c r="T37" s="36"/>
    </row>
    <row r="38" ht="21" customHeight="1">
      <c r="A38" s="65"/>
      <c r="B38" s="25"/>
      <c r="C38" s="82"/>
      <c r="D38" s="85"/>
      <c r="E38" s="85"/>
      <c r="F38" s="85"/>
      <c r="G38" s="85"/>
      <c r="H38" s="85"/>
      <c r="I38" s="85"/>
      <c r="J38" s="85"/>
      <c r="K38" s="85"/>
      <c r="L38" s="85"/>
      <c r="M38" s="85"/>
      <c r="N38" s="85"/>
      <c r="O38" s="85"/>
      <c r="P38" s="85"/>
      <c r="Q38" s="36"/>
      <c r="R38" s="36"/>
      <c r="S38" s="36"/>
      <c r="T38" s="36"/>
    </row>
    <row r="39" ht="21" customHeight="1">
      <c r="A39" s="65"/>
      <c r="B39" t="s" s="34">
        <f>$B11</f>
        <v>38</v>
      </c>
      <c r="C39" s="98"/>
      <c r="D39" s="89">
        <v>5420</v>
      </c>
      <c r="E39" s="89">
        <v>5566</v>
      </c>
      <c r="F39" s="89">
        <v>5813</v>
      </c>
      <c r="G39" s="89">
        <v>6826</v>
      </c>
      <c r="H39" s="89">
        <v>7431</v>
      </c>
      <c r="I39" s="89">
        <v>8345</v>
      </c>
      <c r="J39" s="89">
        <v>9050</v>
      </c>
      <c r="K39" s="90">
        <f>J39*(1+K40)</f>
        <v>8941.4</v>
      </c>
      <c r="L39" s="90">
        <f>K39*(1+L40)</f>
        <v>9138.1108</v>
      </c>
      <c r="M39" s="90">
        <f>L39*(1+M40)</f>
        <v>9300.312266700001</v>
      </c>
      <c r="N39" s="90">
        <f>M39*(1+N40)</f>
        <v>9425.866482300449</v>
      </c>
      <c r="O39" s="90">
        <f>N39*(1+O40)</f>
        <v>9513.055747261729</v>
      </c>
      <c r="P39" s="90">
        <f>O39*(1+P40)</f>
        <v>9560.621025998040</v>
      </c>
      <c r="Q39" s="36"/>
      <c r="R39" s="36"/>
      <c r="S39" s="36"/>
      <c r="T39" s="36"/>
    </row>
    <row r="40" ht="21.5" customHeight="1">
      <c r="A40" s="65"/>
      <c r="B40" t="s" s="66">
        <v>32</v>
      </c>
      <c r="C40" s="92"/>
      <c r="D40" s="94"/>
      <c r="E40" s="94">
        <f>E39/D39-1</f>
        <v>0.0269372693726937</v>
      </c>
      <c r="F40" s="94">
        <f>F39/E39-1</f>
        <v>0.0443765720445562</v>
      </c>
      <c r="G40" s="94">
        <f>G39/F39-1</f>
        <v>0.17426457939102</v>
      </c>
      <c r="H40" s="94">
        <f>H39/G39-1</f>
        <v>0.08863170231467921</v>
      </c>
      <c r="I40" s="94">
        <f>I39/H39-1</f>
        <v>0.122998250571928</v>
      </c>
      <c r="J40" s="94">
        <f>J39/I39-1</f>
        <v>0.0844817255841821</v>
      </c>
      <c r="K40" s="95">
        <f>OFFSET(K40,$C$11,0)</f>
        <v>-0.012</v>
      </c>
      <c r="L40" s="95">
        <f>OFFSET(L40,$C$11,0)</f>
        <v>0.022</v>
      </c>
      <c r="M40" s="95">
        <f>OFFSET(M40,$C$11,0)</f>
        <v>0.01775</v>
      </c>
      <c r="N40" s="95">
        <f>OFFSET(N40,$C$11,0)</f>
        <v>0.0135</v>
      </c>
      <c r="O40" s="95">
        <f>OFFSET(O40,$C$11,0)</f>
        <v>0.00925</v>
      </c>
      <c r="P40" s="95">
        <f>OFFSET(P40,$C$11,0)</f>
        <v>0.005</v>
      </c>
      <c r="Q40" s="36"/>
      <c r="R40" s="36"/>
      <c r="S40" s="36"/>
      <c r="T40" s="36"/>
    </row>
    <row r="41" ht="22" customHeight="1">
      <c r="A41" s="65"/>
      <c r="B41" t="s" s="34">
        <v>33</v>
      </c>
      <c r="C41" s="67"/>
      <c r="D41" s="69"/>
      <c r="E41" s="69"/>
      <c r="F41" s="69"/>
      <c r="G41" s="69"/>
      <c r="H41" s="69"/>
      <c r="I41" s="69"/>
      <c r="J41" s="99"/>
      <c r="K41" s="72">
        <f>K42</f>
        <v>-0.012</v>
      </c>
      <c r="L41" s="72">
        <f>L42</f>
        <v>0.022</v>
      </c>
      <c r="M41" s="72">
        <f>M42*$E$10</f>
        <v>0.015975</v>
      </c>
      <c r="N41" s="72">
        <f>N42*$E$10</f>
        <v>0.01215</v>
      </c>
      <c r="O41" s="72">
        <f>O42*$E$10</f>
        <v>0.008325000000000001</v>
      </c>
      <c r="P41" s="72">
        <f>P42*$E$10</f>
        <v>0.0045</v>
      </c>
      <c r="Q41" s="73"/>
      <c r="R41" s="36"/>
      <c r="S41" s="36"/>
      <c r="T41" s="36"/>
    </row>
    <row r="42" ht="22" customHeight="1">
      <c r="A42" s="65"/>
      <c r="B42" t="s" s="34">
        <v>34</v>
      </c>
      <c r="C42" s="67"/>
      <c r="D42" s="69"/>
      <c r="E42" s="69"/>
      <c r="F42" s="69"/>
      <c r="G42" s="69"/>
      <c r="H42" s="69"/>
      <c r="I42" s="69"/>
      <c r="J42" s="99"/>
      <c r="K42" s="72">
        <v>-0.012</v>
      </c>
      <c r="L42" s="74">
        <v>0.022</v>
      </c>
      <c r="M42" s="74">
        <f>L42-(L42-$P$42)/($P$23-L23)</f>
        <v>0.01775</v>
      </c>
      <c r="N42" s="74">
        <f>M42-(M42-$P$42)/($P$23-M23)</f>
        <v>0.0135</v>
      </c>
      <c r="O42" s="74">
        <f>N42-(N42-$P$42)/($P$23-N23)</f>
        <v>0.00925</v>
      </c>
      <c r="P42" s="72">
        <f>G11</f>
        <v>0.005</v>
      </c>
      <c r="Q42" s="73"/>
      <c r="R42" s="36"/>
      <c r="S42" s="36"/>
      <c r="T42" s="36"/>
    </row>
    <row r="43" ht="22" customHeight="1">
      <c r="A43" s="65"/>
      <c r="B43" t="s" s="34">
        <v>35</v>
      </c>
      <c r="C43" s="67"/>
      <c r="D43" s="69"/>
      <c r="E43" s="69"/>
      <c r="F43" s="69"/>
      <c r="G43" s="69"/>
      <c r="H43" s="69"/>
      <c r="I43" s="69"/>
      <c r="J43" s="99"/>
      <c r="K43" s="74">
        <f>K42</f>
        <v>-0.012</v>
      </c>
      <c r="L43" s="96">
        <f>L42</f>
        <v>0.022</v>
      </c>
      <c r="M43" s="96">
        <f>M42*$I$10</f>
        <v>0.019525</v>
      </c>
      <c r="N43" s="96">
        <f>N42*$I$10</f>
        <v>0.01485</v>
      </c>
      <c r="O43" s="96">
        <f>O42*$I$10</f>
        <v>0.010175</v>
      </c>
      <c r="P43" s="74">
        <f>P42*$I$10</f>
        <v>0.0055</v>
      </c>
      <c r="Q43" s="73"/>
      <c r="R43" s="36"/>
      <c r="S43" s="36"/>
      <c r="T43" s="36"/>
    </row>
    <row r="44" ht="21.5" customHeight="1">
      <c r="A44" s="65"/>
      <c r="B44" t="s" s="34">
        <v>36</v>
      </c>
      <c r="C44" s="67"/>
      <c r="D44" s="69"/>
      <c r="E44" s="69"/>
      <c r="F44" s="69"/>
      <c r="G44" s="69"/>
      <c r="H44" s="69"/>
      <c r="I44" s="69"/>
      <c r="J44" s="69"/>
      <c r="K44" s="97"/>
      <c r="L44" s="97"/>
      <c r="M44" s="97"/>
      <c r="N44" s="97"/>
      <c r="O44" s="97"/>
      <c r="P44" s="97"/>
      <c r="Q44" s="36"/>
      <c r="R44" s="36"/>
      <c r="S44" s="36"/>
      <c r="T44" s="36"/>
    </row>
    <row r="45" ht="21" customHeight="1">
      <c r="A45" s="65"/>
      <c r="B45" s="81"/>
      <c r="C45" s="67"/>
      <c r="D45" s="85"/>
      <c r="E45" s="85"/>
      <c r="F45" s="85"/>
      <c r="G45" s="85"/>
      <c r="H45" s="85"/>
      <c r="I45" s="85"/>
      <c r="J45" s="85"/>
      <c r="K45" s="85"/>
      <c r="L45" s="85"/>
      <c r="M45" s="85"/>
      <c r="N45" s="85"/>
      <c r="O45" s="85"/>
      <c r="P45" s="85"/>
      <c r="Q45" s="36"/>
      <c r="R45" s="36"/>
      <c r="S45" s="36"/>
      <c r="T45" s="36"/>
    </row>
    <row r="46" ht="21" customHeight="1">
      <c r="A46" s="65"/>
      <c r="B46" t="s" s="34">
        <f>$B12</f>
        <v>39</v>
      </c>
      <c r="C46" s="67"/>
      <c r="D46" s="89">
        <v>4422</v>
      </c>
      <c r="E46" s="89">
        <v>4484</v>
      </c>
      <c r="F46" s="89">
        <v>4589</v>
      </c>
      <c r="G46" s="89">
        <v>5086</v>
      </c>
      <c r="H46" s="89">
        <v>5089</v>
      </c>
      <c r="I46" s="89">
        <v>5311</v>
      </c>
      <c r="J46" s="89">
        <v>5856</v>
      </c>
      <c r="K46" s="90">
        <f>J46*(1+K47)</f>
        <v>5785.728</v>
      </c>
      <c r="L46" s="90">
        <f>K46*(1+L47)</f>
        <v>5913.014016</v>
      </c>
      <c r="M46" s="90">
        <f>L46*(1+M47)</f>
        <v>6017.970014784</v>
      </c>
      <c r="N46" s="90">
        <f>M46*(1+N47)</f>
        <v>6099.212609983580</v>
      </c>
      <c r="O46" s="90">
        <f>N46*(1+O47)</f>
        <v>6155.630326625930</v>
      </c>
      <c r="P46" s="90">
        <f>O46*(1+P47)</f>
        <v>6186.408478259060</v>
      </c>
      <c r="Q46" s="36"/>
      <c r="R46" s="36"/>
      <c r="S46" s="36"/>
      <c r="T46" s="36"/>
    </row>
    <row r="47" ht="21.5" customHeight="1">
      <c r="A47" s="65"/>
      <c r="B47" t="s" s="66">
        <v>32</v>
      </c>
      <c r="C47" s="67"/>
      <c r="D47" s="94"/>
      <c r="E47" s="94">
        <f>E46/D46-1</f>
        <v>0.0140208050655812</v>
      </c>
      <c r="F47" s="94">
        <f>F46/E46-1</f>
        <v>0.0234165923282783</v>
      </c>
      <c r="G47" s="94">
        <f>G46/F46-1</f>
        <v>0.108302462410111</v>
      </c>
      <c r="H47" s="94">
        <f>H46/G46-1</f>
        <v>0.000589854502556036</v>
      </c>
      <c r="I47" s="94">
        <f>I46/H46-1</f>
        <v>0.0436235016702692</v>
      </c>
      <c r="J47" s="94">
        <f>J46/I46-1</f>
        <v>0.102617209565054</v>
      </c>
      <c r="K47" s="95">
        <f>OFFSET(K47,$C$12,0)</f>
        <v>-0.012</v>
      </c>
      <c r="L47" s="95">
        <f>OFFSET(L47,$C$12,0)</f>
        <v>0.022</v>
      </c>
      <c r="M47" s="95">
        <f>OFFSET(M47,$C$12,0)</f>
        <v>0.01775</v>
      </c>
      <c r="N47" s="95">
        <f>OFFSET(N47,$C$12,0)</f>
        <v>0.0135</v>
      </c>
      <c r="O47" s="95">
        <f>OFFSET(O47,$C$12,0)</f>
        <v>0.00925</v>
      </c>
      <c r="P47" s="95">
        <f>OFFSET(P47,$C$12,0)</f>
        <v>0.005</v>
      </c>
      <c r="Q47" s="36"/>
      <c r="R47" s="36"/>
      <c r="S47" s="36"/>
      <c r="T47" s="36"/>
    </row>
    <row r="48" ht="22" customHeight="1">
      <c r="A48" s="65"/>
      <c r="B48" t="s" s="34">
        <v>33</v>
      </c>
      <c r="C48" s="67"/>
      <c r="D48" s="69"/>
      <c r="E48" s="69"/>
      <c r="F48" s="69"/>
      <c r="G48" s="69"/>
      <c r="H48" s="69"/>
      <c r="I48" s="69"/>
      <c r="J48" s="99"/>
      <c r="K48" s="72">
        <f>K49</f>
        <v>-0.012</v>
      </c>
      <c r="L48" s="72">
        <f>L49</f>
        <v>0.022</v>
      </c>
      <c r="M48" s="72">
        <f>M49*$E$10</f>
        <v>0.015975</v>
      </c>
      <c r="N48" s="72">
        <f>N49*$E$10</f>
        <v>0.01215</v>
      </c>
      <c r="O48" s="72">
        <f>O49*$E$10</f>
        <v>0.008325000000000001</v>
      </c>
      <c r="P48" s="72">
        <f>P49*$E$10</f>
        <v>0.0045</v>
      </c>
      <c r="Q48" s="73"/>
      <c r="R48" s="36"/>
      <c r="S48" s="36"/>
      <c r="T48" s="36"/>
    </row>
    <row r="49" ht="22" customHeight="1">
      <c r="A49" s="65"/>
      <c r="B49" t="s" s="34">
        <v>34</v>
      </c>
      <c r="C49" s="67"/>
      <c r="D49" s="69"/>
      <c r="E49" s="69"/>
      <c r="F49" s="69"/>
      <c r="G49" s="69"/>
      <c r="H49" s="69"/>
      <c r="I49" s="69"/>
      <c r="J49" s="99"/>
      <c r="K49" s="72">
        <v>-0.012</v>
      </c>
      <c r="L49" s="74">
        <v>0.022</v>
      </c>
      <c r="M49" s="74">
        <f>L49-(L49-$P$49)/($P$23-L23)</f>
        <v>0.01775</v>
      </c>
      <c r="N49" s="74">
        <f>M49-(M49-$P$49)/($P$23-M23)</f>
        <v>0.0135</v>
      </c>
      <c r="O49" s="74">
        <f>N49-(N49-$P$49)/($P$23-N23)</f>
        <v>0.00925</v>
      </c>
      <c r="P49" s="72">
        <f>G12</f>
        <v>0.005</v>
      </c>
      <c r="Q49" s="73"/>
      <c r="R49" s="36"/>
      <c r="S49" s="36"/>
      <c r="T49" s="36"/>
    </row>
    <row r="50" ht="22" customHeight="1">
      <c r="A50" s="65"/>
      <c r="B50" t="s" s="34">
        <v>35</v>
      </c>
      <c r="C50" s="67"/>
      <c r="D50" s="69"/>
      <c r="E50" s="69"/>
      <c r="F50" s="69"/>
      <c r="G50" s="69"/>
      <c r="H50" s="69"/>
      <c r="I50" s="69"/>
      <c r="J50" s="99"/>
      <c r="K50" s="74">
        <f>K49</f>
        <v>-0.012</v>
      </c>
      <c r="L50" s="96">
        <f>L49</f>
        <v>0.022</v>
      </c>
      <c r="M50" s="96">
        <f>M49*$I$10</f>
        <v>0.019525</v>
      </c>
      <c r="N50" s="96">
        <f>N49*$I$10</f>
        <v>0.01485</v>
      </c>
      <c r="O50" s="96">
        <f>O49*$I$10</f>
        <v>0.010175</v>
      </c>
      <c r="P50" s="74">
        <f>P49*$I$10</f>
        <v>0.0055</v>
      </c>
      <c r="Q50" s="73"/>
      <c r="R50" s="36"/>
      <c r="S50" s="36"/>
      <c r="T50" s="36"/>
    </row>
    <row r="51" ht="21.5" customHeight="1">
      <c r="A51" s="65"/>
      <c r="B51" t="s" s="34">
        <v>36</v>
      </c>
      <c r="C51" s="67"/>
      <c r="D51" s="69"/>
      <c r="E51" s="69"/>
      <c r="F51" s="69"/>
      <c r="G51" s="69"/>
      <c r="H51" s="69"/>
      <c r="I51" s="69"/>
      <c r="J51" s="69"/>
      <c r="K51" s="97"/>
      <c r="L51" s="97"/>
      <c r="M51" s="97"/>
      <c r="N51" s="97"/>
      <c r="O51" s="97"/>
      <c r="P51" s="97"/>
      <c r="Q51" s="36"/>
      <c r="R51" s="36"/>
      <c r="S51" s="36"/>
      <c r="T51" s="36"/>
    </row>
    <row r="52" ht="21" customHeight="1">
      <c r="A52" s="65"/>
      <c r="B52" s="25"/>
      <c r="C52" s="67"/>
      <c r="D52" s="85"/>
      <c r="E52" s="85"/>
      <c r="F52" s="85"/>
      <c r="G52" s="85"/>
      <c r="H52" s="85"/>
      <c r="I52" s="85"/>
      <c r="J52" s="85"/>
      <c r="K52" s="85"/>
      <c r="L52" s="85"/>
      <c r="M52" s="85"/>
      <c r="N52" s="85"/>
      <c r="O52" s="85"/>
      <c r="P52" s="85"/>
      <c r="Q52" s="36"/>
      <c r="R52" s="36"/>
      <c r="S52" s="36"/>
      <c r="T52" s="36"/>
    </row>
    <row r="53" ht="21" customHeight="1">
      <c r="A53" s="65"/>
      <c r="B53" t="s" s="34">
        <f>$B13</f>
        <v>40</v>
      </c>
      <c r="C53" s="67"/>
      <c r="D53" s="89">
        <v>1</v>
      </c>
      <c r="E53" s="89">
        <v>7</v>
      </c>
      <c r="F53" s="89">
        <v>1</v>
      </c>
      <c r="G53" s="89">
        <v>50</v>
      </c>
      <c r="H53" s="89">
        <v>110</v>
      </c>
      <c r="I53" s="89">
        <v>-2</v>
      </c>
      <c r="J53" s="89">
        <v>2</v>
      </c>
      <c r="K53" s="90">
        <f>J53*(1+K54)</f>
        <v>1.976</v>
      </c>
      <c r="L53" s="90">
        <f>K53*(1+L54)</f>
        <v>2.019472</v>
      </c>
      <c r="M53" s="90">
        <f>L53*(1+M54)</f>
        <v>2.055317628</v>
      </c>
      <c r="N53" s="90">
        <f>M53*(1+N54)</f>
        <v>2.083064415978</v>
      </c>
      <c r="O53" s="90">
        <f>N53*(1+O54)</f>
        <v>2.1023327618258</v>
      </c>
      <c r="P53" s="90">
        <f>O53*(1+P54)</f>
        <v>2.11284442563493</v>
      </c>
      <c r="Q53" s="36"/>
      <c r="R53" s="36"/>
      <c r="S53" s="36"/>
      <c r="T53" s="36"/>
    </row>
    <row r="54" ht="21.5" customHeight="1">
      <c r="A54" s="65"/>
      <c r="B54" t="s" s="66">
        <v>32</v>
      </c>
      <c r="C54" s="67"/>
      <c r="D54" s="94"/>
      <c r="E54" s="94">
        <f>E53/D53-1</f>
        <v>6</v>
      </c>
      <c r="F54" s="94">
        <f>F53/E53-1</f>
        <v>-0.857142857142857</v>
      </c>
      <c r="G54" s="94">
        <f>G53/F53-1</f>
        <v>49</v>
      </c>
      <c r="H54" s="94">
        <f>H53/G53-1</f>
        <v>1.2</v>
      </c>
      <c r="I54" s="94">
        <f>I53/H53-1</f>
        <v>-1.01818181818182</v>
      </c>
      <c r="J54" s="94">
        <f>J53/I53-1</f>
        <v>-2</v>
      </c>
      <c r="K54" s="95">
        <f>OFFSET(K54,$C$13,0)</f>
        <v>-0.012</v>
      </c>
      <c r="L54" s="95">
        <f>OFFSET(L54,$C$13,0)</f>
        <v>0.022</v>
      </c>
      <c r="M54" s="95">
        <f>OFFSET(M54,$C$13,0)</f>
        <v>0.01775</v>
      </c>
      <c r="N54" s="95">
        <f>OFFSET(N54,$C$13,0)</f>
        <v>0.0135</v>
      </c>
      <c r="O54" s="95">
        <f>OFFSET(O54,$C$13,0)</f>
        <v>0.00925</v>
      </c>
      <c r="P54" s="95">
        <f>OFFSET(P54,$C$13,0)</f>
        <v>0.005</v>
      </c>
      <c r="Q54" s="36"/>
      <c r="R54" s="36"/>
      <c r="S54" s="36"/>
      <c r="T54" s="36"/>
    </row>
    <row r="55" ht="22" customHeight="1">
      <c r="A55" s="65"/>
      <c r="B55" t="s" s="34">
        <v>33</v>
      </c>
      <c r="C55" s="67"/>
      <c r="D55" s="69"/>
      <c r="E55" s="69"/>
      <c r="F55" s="69"/>
      <c r="G55" s="69"/>
      <c r="H55" s="69"/>
      <c r="I55" s="69"/>
      <c r="J55" s="99"/>
      <c r="K55" s="72">
        <f>K56</f>
        <v>-0.012</v>
      </c>
      <c r="L55" s="72">
        <f>L56</f>
        <v>0.022</v>
      </c>
      <c r="M55" s="72">
        <f>M56*$E$10</f>
        <v>0.015975</v>
      </c>
      <c r="N55" s="72">
        <f>N56*$E$10</f>
        <v>0.01215</v>
      </c>
      <c r="O55" s="72">
        <f>O56*$E$10</f>
        <v>0.008325000000000001</v>
      </c>
      <c r="P55" s="72">
        <f>P56*$E$10</f>
        <v>0.0045</v>
      </c>
      <c r="Q55" s="73"/>
      <c r="R55" s="36"/>
      <c r="S55" s="36"/>
      <c r="T55" s="36"/>
    </row>
    <row r="56" ht="22" customHeight="1">
      <c r="A56" s="65"/>
      <c r="B56" t="s" s="34">
        <v>34</v>
      </c>
      <c r="C56" s="67"/>
      <c r="D56" s="69"/>
      <c r="E56" s="69"/>
      <c r="F56" s="69"/>
      <c r="G56" s="69"/>
      <c r="H56" s="69"/>
      <c r="I56" s="69"/>
      <c r="J56" s="99"/>
      <c r="K56" s="72">
        <v>-0.012</v>
      </c>
      <c r="L56" s="74">
        <v>0.022</v>
      </c>
      <c r="M56" s="74">
        <f>L56-(L56-$P$56)/($P$23-L23)</f>
        <v>0.01775</v>
      </c>
      <c r="N56" s="74">
        <f>M56-(M56-$P$56)/($P$23-M23)</f>
        <v>0.0135</v>
      </c>
      <c r="O56" s="74">
        <f>N56-(N56-$P$56)/($P$23-N23)</f>
        <v>0.00925</v>
      </c>
      <c r="P56" s="72">
        <f>G13</f>
        <v>0.005</v>
      </c>
      <c r="Q56" s="73"/>
      <c r="R56" s="36"/>
      <c r="S56" s="36"/>
      <c r="T56" s="36"/>
    </row>
    <row r="57" ht="22" customHeight="1">
      <c r="A57" s="65"/>
      <c r="B57" t="s" s="34">
        <v>35</v>
      </c>
      <c r="C57" s="67"/>
      <c r="D57" s="69"/>
      <c r="E57" s="69"/>
      <c r="F57" s="69"/>
      <c r="G57" s="69"/>
      <c r="H57" s="69"/>
      <c r="I57" s="69"/>
      <c r="J57" s="99"/>
      <c r="K57" s="74">
        <f>K56</f>
        <v>-0.012</v>
      </c>
      <c r="L57" s="96">
        <f>L56</f>
        <v>0.022</v>
      </c>
      <c r="M57" s="96">
        <f>M56*$I$10</f>
        <v>0.019525</v>
      </c>
      <c r="N57" s="96">
        <f>N56*$I$10</f>
        <v>0.01485</v>
      </c>
      <c r="O57" s="96">
        <f>O56*$I$10</f>
        <v>0.010175</v>
      </c>
      <c r="P57" s="74">
        <f>P56*$I$10</f>
        <v>0.0055</v>
      </c>
      <c r="Q57" s="73"/>
      <c r="R57" s="36"/>
      <c r="S57" s="36"/>
      <c r="T57" s="36"/>
    </row>
    <row r="58" ht="21.5" customHeight="1">
      <c r="A58" s="65"/>
      <c r="B58" t="s" s="34">
        <v>36</v>
      </c>
      <c r="C58" s="67"/>
      <c r="D58" s="69"/>
      <c r="E58" s="69"/>
      <c r="F58" s="69"/>
      <c r="G58" s="69"/>
      <c r="H58" s="69"/>
      <c r="I58" s="69"/>
      <c r="J58" s="69"/>
      <c r="K58" s="97"/>
      <c r="L58" s="97"/>
      <c r="M58" s="97"/>
      <c r="N58" s="97"/>
      <c r="O58" s="97"/>
      <c r="P58" s="97"/>
      <c r="Q58" s="36"/>
      <c r="R58" s="36"/>
      <c r="S58" s="36"/>
      <c r="T58" s="36"/>
    </row>
    <row r="59" ht="21" customHeight="1">
      <c r="A59" s="65"/>
      <c r="B59" s="81"/>
      <c r="C59" s="67"/>
      <c r="D59" s="85"/>
      <c r="E59" s="85"/>
      <c r="F59" s="85"/>
      <c r="G59" s="85"/>
      <c r="H59" s="85"/>
      <c r="I59" s="85"/>
      <c r="J59" s="85"/>
      <c r="K59" s="85"/>
      <c r="L59" s="85"/>
      <c r="M59" s="85"/>
      <c r="N59" s="85"/>
      <c r="O59" s="85"/>
      <c r="P59" s="85"/>
      <c r="Q59" s="36"/>
      <c r="R59" s="36"/>
      <c r="S59" s="36"/>
      <c r="T59" s="36"/>
    </row>
    <row r="60" ht="21" customHeight="1">
      <c r="A60" s="65"/>
      <c r="B60" t="s" s="34">
        <f>$B14</f>
        <v>41</v>
      </c>
      <c r="C60" s="67"/>
      <c r="D60" s="89">
        <v>-632</v>
      </c>
      <c r="E60" s="89">
        <v>-871</v>
      </c>
      <c r="F60" s="89">
        <v>-964</v>
      </c>
      <c r="G60" s="89">
        <v>-1797</v>
      </c>
      <c r="H60" s="89">
        <v>-1703</v>
      </c>
      <c r="I60" s="89">
        <v>-2037</v>
      </c>
      <c r="J60" s="89">
        <v>-2202</v>
      </c>
      <c r="K60" s="90">
        <f>J60*(1+K61)</f>
        <v>-2179.98</v>
      </c>
      <c r="L60" s="90">
        <f>K60*(1+L61)</f>
        <v>-2227.93956</v>
      </c>
      <c r="M60" s="90">
        <f>L60*(1+M61)</f>
        <v>-2276.935541724570</v>
      </c>
      <c r="N60" s="90">
        <f>M60*(1+N61)</f>
        <v>-2326.989937323310</v>
      </c>
      <c r="O60" s="90">
        <f>N60*(1+O61)</f>
        <v>-2378.125193470440</v>
      </c>
      <c r="P60" s="90">
        <f>O60*(1+P61)</f>
        <v>-2390.015819437790</v>
      </c>
      <c r="Q60" s="36"/>
      <c r="R60" s="36"/>
      <c r="S60" s="36"/>
      <c r="T60" s="36"/>
    </row>
    <row r="61" ht="21.5" customHeight="1">
      <c r="A61" s="65"/>
      <c r="B61" t="s" s="66">
        <v>32</v>
      </c>
      <c r="C61" s="67"/>
      <c r="D61" s="94"/>
      <c r="E61" s="94">
        <f>E60/D60-1</f>
        <v>0.378164556962025</v>
      </c>
      <c r="F61" s="94">
        <f>F60/E60-1</f>
        <v>0.106773823191734</v>
      </c>
      <c r="G61" s="94">
        <f>G60/F60-1</f>
        <v>0.864107883817427</v>
      </c>
      <c r="H61" s="94">
        <f>H60/G60-1</f>
        <v>-0.0523094045631608</v>
      </c>
      <c r="I61" s="94">
        <f>I60/H60-1</f>
        <v>0.196124486200822</v>
      </c>
      <c r="J61" s="94">
        <f>J60/I60-1</f>
        <v>0.08100147275405011</v>
      </c>
      <c r="K61" s="95">
        <f>OFFSET(K61,$C$14,0)</f>
        <v>-0.01</v>
      </c>
      <c r="L61" s="95">
        <f>OFFSET(L61,$C$14,0)</f>
        <v>0.022</v>
      </c>
      <c r="M61" s="95">
        <f>OFFSET(M61,$C$14,0)</f>
        <v>0.021991611713457</v>
      </c>
      <c r="N61" s="95">
        <f>OFFSET(N61,$C$14,0)</f>
        <v>0.0219832290732432</v>
      </c>
      <c r="O61" s="95">
        <f>OFFSET(O61,$C$14,0)</f>
        <v>0.0219748505685203</v>
      </c>
      <c r="P61" s="95">
        <f>OFFSET(P61,$C$14,0)</f>
        <v>0.005</v>
      </c>
      <c r="Q61" s="36"/>
      <c r="R61" s="36"/>
      <c r="S61" s="36"/>
      <c r="T61" s="36"/>
    </row>
    <row r="62" ht="22" customHeight="1">
      <c r="A62" s="65"/>
      <c r="B62" t="s" s="34">
        <v>33</v>
      </c>
      <c r="C62" s="67"/>
      <c r="D62" s="69"/>
      <c r="E62" s="69"/>
      <c r="F62" s="69"/>
      <c r="G62" s="69"/>
      <c r="H62" s="69"/>
      <c r="I62" s="69"/>
      <c r="J62" s="99"/>
      <c r="K62" s="72">
        <f>K63</f>
        <v>-0.01</v>
      </c>
      <c r="L62" s="72">
        <f>L63</f>
        <v>0.022</v>
      </c>
      <c r="M62" s="72">
        <f>M63*$E$10</f>
        <v>0.0197924505421113</v>
      </c>
      <c r="N62" s="72">
        <f>N63*$E$10</f>
        <v>0.0197849061659189</v>
      </c>
      <c r="O62" s="72">
        <f>O63*$E$10</f>
        <v>0.0197773655116683</v>
      </c>
      <c r="P62" s="72">
        <f>P63*$E$10</f>
        <v>0.0045</v>
      </c>
      <c r="Q62" s="73"/>
      <c r="R62" s="36"/>
      <c r="S62" s="36"/>
      <c r="T62" s="36"/>
    </row>
    <row r="63" ht="22" customHeight="1">
      <c r="A63" s="65"/>
      <c r="B63" t="s" s="34">
        <v>34</v>
      </c>
      <c r="C63" s="67"/>
      <c r="D63" s="69"/>
      <c r="E63" s="69"/>
      <c r="F63" s="69"/>
      <c r="G63" s="69"/>
      <c r="H63" s="69"/>
      <c r="I63" s="69"/>
      <c r="J63" s="99"/>
      <c r="K63" s="72">
        <v>-0.01</v>
      </c>
      <c r="L63" s="74">
        <v>0.022</v>
      </c>
      <c r="M63" s="74">
        <f>L63-(L63-$P$63)/($P$23-L30)</f>
        <v>0.021991611713457</v>
      </c>
      <c r="N63" s="74">
        <f>M63-(M63-$P$63)/($P$23-M30)</f>
        <v>0.0219832290732432</v>
      </c>
      <c r="O63" s="74">
        <f>N63-(N63-$P$63)/($P$23-N30)</f>
        <v>0.0219748505685203</v>
      </c>
      <c r="P63" s="72">
        <f>G14</f>
        <v>0.005</v>
      </c>
      <c r="Q63" s="73"/>
      <c r="R63" s="36"/>
      <c r="S63" s="36"/>
      <c r="T63" s="36"/>
    </row>
    <row r="64" ht="22" customHeight="1">
      <c r="A64" s="65"/>
      <c r="B64" t="s" s="34">
        <v>35</v>
      </c>
      <c r="C64" s="67"/>
      <c r="D64" s="69"/>
      <c r="E64" s="69"/>
      <c r="F64" s="69"/>
      <c r="G64" s="69"/>
      <c r="H64" s="69"/>
      <c r="I64" s="69"/>
      <c r="J64" s="99"/>
      <c r="K64" s="74">
        <f>K63</f>
        <v>-0.01</v>
      </c>
      <c r="L64" s="96">
        <f>L63</f>
        <v>0.022</v>
      </c>
      <c r="M64" s="96">
        <f>M63*$I$10</f>
        <v>0.0241907728848027</v>
      </c>
      <c r="N64" s="96">
        <f>N63*$I$10</f>
        <v>0.0241815519805675</v>
      </c>
      <c r="O64" s="96">
        <f>O63*$I$10</f>
        <v>0.0241723356253723</v>
      </c>
      <c r="P64" s="74">
        <f>P63*$I$10</f>
        <v>0.0055</v>
      </c>
      <c r="Q64" s="73"/>
      <c r="R64" s="36"/>
      <c r="S64" s="36"/>
      <c r="T64" s="36"/>
    </row>
    <row r="65" ht="21.5" customHeight="1">
      <c r="A65" s="65"/>
      <c r="B65" t="s" s="34">
        <v>36</v>
      </c>
      <c r="C65" s="67"/>
      <c r="D65" s="69"/>
      <c r="E65" s="69"/>
      <c r="F65" s="69"/>
      <c r="G65" s="69"/>
      <c r="H65" s="69"/>
      <c r="I65" s="69"/>
      <c r="J65" s="69"/>
      <c r="K65" s="97"/>
      <c r="L65" s="97"/>
      <c r="M65" s="97"/>
      <c r="N65" s="97"/>
      <c r="O65" s="97"/>
      <c r="P65" s="97"/>
      <c r="Q65" s="36"/>
      <c r="R65" s="36"/>
      <c r="S65" s="36"/>
      <c r="T65" s="36"/>
    </row>
    <row r="66" ht="21.5" customHeight="1">
      <c r="A66" s="100"/>
      <c r="B66" s="101"/>
      <c r="C66" s="102"/>
      <c r="D66" s="103"/>
      <c r="E66" s="103"/>
      <c r="F66" s="103"/>
      <c r="G66" s="103"/>
      <c r="H66" s="103"/>
      <c r="I66" s="103"/>
      <c r="J66" s="103"/>
      <c r="K66" s="103"/>
      <c r="L66" s="103"/>
      <c r="M66" s="103"/>
      <c r="N66" s="103"/>
      <c r="O66" s="103"/>
      <c r="P66" s="103"/>
      <c r="Q66" s="36"/>
      <c r="R66" s="36"/>
      <c r="S66" s="36"/>
      <c r="T66" s="36"/>
    </row>
    <row r="67" ht="21.5" customHeight="1">
      <c r="A67" s="104"/>
      <c r="B67" t="s" s="105">
        <v>42</v>
      </c>
      <c r="C67" s="106"/>
      <c r="D67" s="107">
        <f>SUM(D25,D32,D39,D46,D53,D60)</f>
        <v>30274</v>
      </c>
      <c r="E67" s="107">
        <f>SUM(E25,E32,E39,E46,E53,E60)</f>
        <v>30109</v>
      </c>
      <c r="F67" s="107">
        <f>SUM(F25,F32,F39,F46,F53,F60)</f>
        <v>31657</v>
      </c>
      <c r="G67" s="107">
        <f>SUM(G25,G32,G39,G46,G53,G60)</f>
        <v>32765</v>
      </c>
      <c r="H67" s="107">
        <f>SUM(H25,H32,H39,H46,H53,H60)</f>
        <v>32136</v>
      </c>
      <c r="I67" s="107">
        <f>SUM(I25,I32,I39,I46,I53,I60)</f>
        <v>32184</v>
      </c>
      <c r="J67" s="107">
        <f>SUM(J25,J32,J39,J46,J53,J60)</f>
        <v>35355</v>
      </c>
      <c r="K67" s="107">
        <f>SUM(K25,K32,K39,K46,K53,K60)</f>
        <v>34926.336</v>
      </c>
      <c r="L67" s="107">
        <f>SUM(L25,L32,L39,L46,L53,L60)</f>
        <v>35694.715392</v>
      </c>
      <c r="M67" s="107">
        <f>SUM(M25,M32,M39,M46,M53,M60)</f>
        <v>36318.8465356734</v>
      </c>
      <c r="N67" s="107">
        <f>SUM(N25,N32,N39,N46,N53,N60)</f>
        <v>36789.8351981195</v>
      </c>
      <c r="O67" s="107">
        <f>SUM(O25,O32,O39,O46,O53,O60)</f>
        <v>37100.5305744752</v>
      </c>
      <c r="P67" s="107">
        <f>SUM(P25,P32,P39,P46,P53,P60)</f>
        <v>37286.0332273476</v>
      </c>
      <c r="Q67" s="36"/>
      <c r="R67" s="36"/>
      <c r="S67" s="36"/>
      <c r="T67" s="36"/>
    </row>
    <row r="68" ht="21" customHeight="1">
      <c r="A68" s="13"/>
      <c r="B68" t="s" s="66">
        <v>32</v>
      </c>
      <c r="C68" s="28"/>
      <c r="D68" s="11"/>
      <c r="E68" s="108">
        <f>E67/D67-1</f>
        <v>-0.00545022131201691</v>
      </c>
      <c r="F68" s="108">
        <f>F67/E67-1</f>
        <v>0.0514131987113488</v>
      </c>
      <c r="G68" s="108">
        <f>G67/F67-1</f>
        <v>0.035000157942951</v>
      </c>
      <c r="H68" s="108">
        <f>H67/G67-1</f>
        <v>-0.0191973142072333</v>
      </c>
      <c r="I68" s="108">
        <f>I67/H67-1</f>
        <v>0.00149365197908887</v>
      </c>
      <c r="J68" s="108">
        <f>J67/I67-1</f>
        <v>0.0985272184936614</v>
      </c>
      <c r="K68" s="108">
        <f>K67/J67-1</f>
        <v>-0.0121245651251591</v>
      </c>
      <c r="L68" s="108">
        <v>0.129</v>
      </c>
      <c r="M68" s="108">
        <f>M67/L67-1</f>
        <v>0.0174852534000952</v>
      </c>
      <c r="N68" s="108">
        <f>N67/M67-1</f>
        <v>0.0129681613644718</v>
      </c>
      <c r="O68" s="108">
        <f>O67/N67-1</f>
        <v>0.008445141835579109</v>
      </c>
      <c r="P68" s="108">
        <f>P67/O67-1</f>
        <v>0.00500000000000065</v>
      </c>
      <c r="Q68" s="36"/>
      <c r="R68" s="36"/>
      <c r="S68" s="36"/>
      <c r="T68" s="36"/>
    </row>
    <row r="69" ht="21" customHeight="1">
      <c r="A69" s="13"/>
      <c r="B69" s="25"/>
      <c r="C69" s="28"/>
      <c r="D69" s="11"/>
      <c r="E69" s="62"/>
      <c r="F69" s="62"/>
      <c r="G69" s="62"/>
      <c r="H69" s="62"/>
      <c r="I69" s="62"/>
      <c r="J69" s="62"/>
      <c r="K69" s="62"/>
      <c r="L69" s="62"/>
      <c r="M69" s="62"/>
      <c r="N69" s="62"/>
      <c r="O69" s="62"/>
      <c r="P69" s="62"/>
      <c r="Q69" s="36"/>
      <c r="R69" s="36"/>
      <c r="S69" s="36"/>
      <c r="T69" s="36"/>
    </row>
    <row r="70" ht="21" customHeight="1">
      <c r="A70" t="s" s="29">
        <v>13</v>
      </c>
      <c r="B70" t="s" s="30">
        <v>43</v>
      </c>
      <c r="C70" s="31"/>
      <c r="D70" s="60">
        <v>2015</v>
      </c>
      <c r="E70" s="61">
        <v>2016</v>
      </c>
      <c r="F70" s="61">
        <v>2017</v>
      </c>
      <c r="G70" s="61">
        <v>2018</v>
      </c>
      <c r="H70" s="61">
        <v>2019</v>
      </c>
      <c r="I70" s="61">
        <v>2020</v>
      </c>
      <c r="J70" s="61">
        <v>2021</v>
      </c>
      <c r="K70" s="36"/>
      <c r="L70" s="36"/>
      <c r="M70" s="36"/>
      <c r="N70" s="36"/>
      <c r="O70" s="36"/>
      <c r="P70" s="109"/>
      <c r="Q70" s="36"/>
      <c r="R70" s="36"/>
      <c r="S70" s="36"/>
      <c r="T70" s="36"/>
    </row>
    <row r="71" ht="21" customHeight="1">
      <c r="A71" s="13"/>
      <c r="B71" s="25"/>
      <c r="C71" s="28"/>
      <c r="D71" s="11"/>
      <c r="E71" s="11"/>
      <c r="F71" s="11"/>
      <c r="G71" s="11"/>
      <c r="H71" s="11"/>
      <c r="I71" s="11"/>
      <c r="J71" s="11"/>
      <c r="K71" s="36"/>
      <c r="L71" s="36"/>
      <c r="M71" s="36"/>
      <c r="N71" s="36"/>
      <c r="O71" s="36"/>
      <c r="P71" s="11"/>
      <c r="Q71" s="36"/>
      <c r="R71" s="36"/>
      <c r="S71" s="36"/>
      <c r="T71" s="36"/>
    </row>
    <row r="72" ht="21" customHeight="1">
      <c r="A72" s="13"/>
      <c r="B72" t="s" s="34">
        <v>44</v>
      </c>
      <c r="C72" s="28"/>
      <c r="D72" s="110">
        <f>D67</f>
        <v>30274</v>
      </c>
      <c r="E72" s="110">
        <f>E67</f>
        <v>30109</v>
      </c>
      <c r="F72" s="110">
        <f>F67</f>
        <v>31657</v>
      </c>
      <c r="G72" s="110">
        <f>G67</f>
        <v>32765</v>
      </c>
      <c r="H72" s="110">
        <f>H67</f>
        <v>32136</v>
      </c>
      <c r="I72" s="110">
        <f>I67</f>
        <v>32184</v>
      </c>
      <c r="J72" s="110">
        <f>J67</f>
        <v>35355</v>
      </c>
      <c r="K72" s="36"/>
      <c r="L72" s="36"/>
      <c r="M72" s="36"/>
      <c r="N72" s="36"/>
      <c r="O72" s="36"/>
      <c r="P72" s="111"/>
      <c r="Q72" s="36"/>
      <c r="R72" s="36"/>
      <c r="S72" s="36"/>
      <c r="T72" s="36"/>
    </row>
    <row r="73" ht="21" customHeight="1">
      <c r="A73" s="65"/>
      <c r="B73" t="s" s="66">
        <v>32</v>
      </c>
      <c r="C73" s="67"/>
      <c r="D73" s="68"/>
      <c r="E73" s="69">
        <f>E72/D72-1</f>
        <v>-0.00545022131201691</v>
      </c>
      <c r="F73" s="69">
        <f>F72/E72-1</f>
        <v>0.0514131987113488</v>
      </c>
      <c r="G73" s="69">
        <f>G72/F72-1</f>
        <v>0.035000157942951</v>
      </c>
      <c r="H73" s="69">
        <f>H72/G72-1</f>
        <v>-0.0191973142072333</v>
      </c>
      <c r="I73" s="69">
        <f>I72/H72-1</f>
        <v>0.00149365197908887</v>
      </c>
      <c r="J73" s="69">
        <f>J72/I72-1</f>
        <v>0.0985272184936614</v>
      </c>
      <c r="K73" s="36"/>
      <c r="L73" s="36"/>
      <c r="M73" s="36"/>
      <c r="N73" s="36"/>
      <c r="O73" s="36"/>
      <c r="P73" s="69"/>
      <c r="Q73" s="36"/>
      <c r="R73" s="36"/>
      <c r="S73" s="36"/>
      <c r="T73" s="36"/>
    </row>
    <row r="74" ht="21" customHeight="1">
      <c r="A74" s="13"/>
      <c r="B74" s="25"/>
      <c r="C74" s="28"/>
      <c r="D74" s="11"/>
      <c r="E74" s="11"/>
      <c r="F74" s="11"/>
      <c r="G74" s="11"/>
      <c r="H74" s="11"/>
      <c r="I74" s="11"/>
      <c r="J74" s="11"/>
      <c r="K74" s="36"/>
      <c r="L74" s="36"/>
      <c r="M74" s="36"/>
      <c r="N74" s="36"/>
      <c r="O74" s="36"/>
      <c r="P74" s="11"/>
      <c r="Q74" s="36"/>
      <c r="R74" s="36"/>
      <c r="S74" s="36"/>
      <c r="T74" s="36"/>
    </row>
    <row r="75" ht="21" customHeight="1">
      <c r="A75" s="13"/>
      <c r="B75" t="s" s="34">
        <v>25</v>
      </c>
      <c r="C75" s="28"/>
      <c r="D75" s="62">
        <f>4841+1982+123</f>
        <v>6946</v>
      </c>
      <c r="E75" s="62">
        <f>5058+1995+170</f>
        <v>7223</v>
      </c>
      <c r="F75" s="62">
        <f>4869+2679+144</f>
        <v>7692</v>
      </c>
      <c r="G75" s="112">
        <f>5363+1637+207</f>
        <v>7207</v>
      </c>
      <c r="H75" s="112">
        <f>4529+1114+531</f>
        <v>6174</v>
      </c>
      <c r="I75" s="62">
        <f>5458+1337+366</f>
        <v>7161</v>
      </c>
      <c r="J75" s="112">
        <f>5929+1285+165</f>
        <v>7379</v>
      </c>
      <c r="K75" s="36"/>
      <c r="L75" s="36"/>
      <c r="M75" s="36"/>
      <c r="N75" s="36"/>
      <c r="O75" s="36"/>
      <c r="P75" s="112"/>
      <c r="Q75" s="36"/>
      <c r="R75" s="36"/>
      <c r="S75" s="36"/>
      <c r="T75" s="36"/>
    </row>
    <row r="76" ht="21" customHeight="1">
      <c r="A76" s="65"/>
      <c r="B76" t="s" s="66">
        <v>45</v>
      </c>
      <c r="C76" s="67"/>
      <c r="D76" s="69">
        <f>D75/D72</f>
        <v>0.229437801413754</v>
      </c>
      <c r="E76" s="69">
        <f>E75/E72</f>
        <v>0.239895047992295</v>
      </c>
      <c r="F76" s="69">
        <f>F75/F72</f>
        <v>0.242979435827779</v>
      </c>
      <c r="G76" s="69">
        <f>G75/G72</f>
        <v>0.219960323515947</v>
      </c>
      <c r="H76" s="69">
        <f>H75/H72</f>
        <v>0.192120985810306</v>
      </c>
      <c r="I76" s="69">
        <f>I75/I72</f>
        <v>0.222501864280388</v>
      </c>
      <c r="J76" s="69">
        <f>J75/J72</f>
        <v>0.208711639089238</v>
      </c>
      <c r="K76" s="36"/>
      <c r="L76" s="36"/>
      <c r="M76" s="36"/>
      <c r="N76" s="36"/>
      <c r="O76" s="36"/>
      <c r="P76" s="69"/>
      <c r="Q76" s="36"/>
      <c r="R76" s="36"/>
      <c r="S76" s="36"/>
      <c r="T76" s="36"/>
    </row>
    <row r="77" ht="21" customHeight="1">
      <c r="A77" s="113"/>
      <c r="B77" s="114"/>
      <c r="C77" s="28"/>
      <c r="D77" s="115"/>
      <c r="E77" s="11"/>
      <c r="F77" s="11"/>
      <c r="G77" s="11"/>
      <c r="H77" s="11"/>
      <c r="I77" s="11"/>
      <c r="J77" s="11"/>
      <c r="K77" s="36"/>
      <c r="L77" s="36"/>
      <c r="M77" s="36"/>
      <c r="N77" s="36"/>
      <c r="O77" s="36"/>
      <c r="P77" s="11"/>
      <c r="Q77" s="36"/>
      <c r="R77" s="36"/>
      <c r="S77" s="36"/>
      <c r="T77" s="36"/>
    </row>
    <row r="78" ht="21" customHeight="1">
      <c r="A78" s="8"/>
      <c r="B78" t="s" s="116">
        <v>46</v>
      </c>
      <c r="C78" s="28"/>
      <c r="D78" s="117">
        <v>1982</v>
      </c>
      <c r="E78" s="117">
        <v>1995</v>
      </c>
      <c r="F78" s="117">
        <v>2679</v>
      </c>
      <c r="G78" s="64">
        <v>1637</v>
      </c>
      <c r="H78" s="117">
        <v>1114</v>
      </c>
      <c r="I78" s="64">
        <v>1337</v>
      </c>
      <c r="J78" s="64">
        <v>1285</v>
      </c>
      <c r="K78" s="36"/>
      <c r="L78" s="36"/>
      <c r="M78" s="36"/>
      <c r="N78" s="36"/>
      <c r="O78" s="36"/>
      <c r="P78" s="112"/>
      <c r="Q78" s="36"/>
      <c r="R78" s="36"/>
      <c r="S78" s="36"/>
      <c r="T78" s="36"/>
    </row>
    <row r="79" ht="21" customHeight="1">
      <c r="A79" s="80"/>
      <c r="B79" t="s" s="118">
        <v>47</v>
      </c>
      <c r="C79" s="67"/>
      <c r="D79" s="69">
        <f>D78/D75</f>
        <v>0.285344082925425</v>
      </c>
      <c r="E79" s="69">
        <f>E78/E75</f>
        <v>0.276201024505053</v>
      </c>
      <c r="F79" s="69">
        <f>F78/F75</f>
        <v>0.348283931357254</v>
      </c>
      <c r="G79" s="69">
        <f>G78/G75</f>
        <v>0.227140280283058</v>
      </c>
      <c r="H79" s="69">
        <f>H78/H75</f>
        <v>0.180434078393262</v>
      </c>
      <c r="I79" s="69">
        <f>I78/I75</f>
        <v>0.186705767350929</v>
      </c>
      <c r="J79" s="69">
        <f>J78/J75</f>
        <v>0.174142837782897</v>
      </c>
      <c r="K79" s="36"/>
      <c r="L79" s="36"/>
      <c r="M79" s="36"/>
      <c r="N79" s="36"/>
      <c r="O79" s="36"/>
      <c r="P79" s="69"/>
      <c r="Q79" s="36"/>
      <c r="R79" s="36"/>
      <c r="S79" s="36"/>
      <c r="T79" s="36"/>
    </row>
    <row r="80" ht="21" customHeight="1">
      <c r="A80" s="87"/>
      <c r="B80" s="46"/>
      <c r="C80" s="28"/>
      <c r="D80" s="11"/>
      <c r="E80" s="119"/>
      <c r="F80" s="119"/>
      <c r="G80" s="119"/>
      <c r="H80" s="119"/>
      <c r="I80" s="119"/>
      <c r="J80" s="119"/>
      <c r="K80" s="36"/>
      <c r="L80" s="36"/>
      <c r="M80" s="36"/>
      <c r="N80" s="36"/>
      <c r="O80" s="36"/>
      <c r="P80" s="119"/>
      <c r="Q80" s="36"/>
      <c r="R80" s="36"/>
      <c r="S80" s="36"/>
      <c r="T80" s="36"/>
    </row>
    <row r="81" ht="21" customHeight="1">
      <c r="A81" t="s" s="120">
        <v>13</v>
      </c>
      <c r="B81" t="s" s="121">
        <v>48</v>
      </c>
      <c r="C81" s="31"/>
      <c r="D81" s="60">
        <v>2015</v>
      </c>
      <c r="E81" s="61">
        <v>2016</v>
      </c>
      <c r="F81" s="61">
        <v>2017</v>
      </c>
      <c r="G81" s="61">
        <v>2018</v>
      </c>
      <c r="H81" s="61">
        <v>2019</v>
      </c>
      <c r="I81" s="61">
        <v>2020</v>
      </c>
      <c r="J81" s="61">
        <v>2021</v>
      </c>
      <c r="K81" s="36"/>
      <c r="L81" s="36"/>
      <c r="M81" s="36"/>
      <c r="N81" s="36"/>
      <c r="O81" s="36"/>
      <c r="P81" s="119"/>
      <c r="Q81" s="36"/>
      <c r="R81" s="36"/>
      <c r="S81" s="36"/>
      <c r="T81" s="36"/>
    </row>
    <row r="82" ht="21" customHeight="1">
      <c r="A82" s="113"/>
      <c r="B82" s="114"/>
      <c r="C82" s="28"/>
      <c r="D82" s="11"/>
      <c r="E82" s="119"/>
      <c r="F82" s="119"/>
      <c r="G82" s="119"/>
      <c r="H82" s="119"/>
      <c r="I82" s="119"/>
      <c r="J82" s="119"/>
      <c r="K82" s="36"/>
      <c r="L82" s="36"/>
      <c r="M82" s="36"/>
      <c r="N82" s="36"/>
      <c r="O82" s="36"/>
      <c r="P82" s="119"/>
      <c r="Q82" s="36"/>
      <c r="R82" s="36"/>
      <c r="S82" s="36"/>
      <c r="T82" s="36"/>
    </row>
    <row r="83" ht="21" customHeight="1">
      <c r="A83" s="87"/>
      <c r="B83" t="s" s="122">
        <v>49</v>
      </c>
      <c r="C83" s="28"/>
      <c r="D83" s="117">
        <v>1435</v>
      </c>
      <c r="E83" s="117">
        <v>1474</v>
      </c>
      <c r="F83" s="117">
        <v>1544</v>
      </c>
      <c r="G83" s="117">
        <v>1488</v>
      </c>
      <c r="H83" s="117">
        <v>1593</v>
      </c>
      <c r="I83" s="117">
        <v>1911</v>
      </c>
      <c r="J83" s="117">
        <v>1915</v>
      </c>
      <c r="K83" s="36"/>
      <c r="L83" s="36"/>
      <c r="M83" s="36"/>
      <c r="N83" s="36"/>
      <c r="O83" s="36"/>
      <c r="P83" s="119"/>
      <c r="Q83" s="36"/>
      <c r="R83" s="36"/>
      <c r="S83" s="36"/>
      <c r="T83" s="36"/>
    </row>
    <row r="84" ht="21" customHeight="1">
      <c r="A84" s="123"/>
      <c r="B84" t="s" s="124">
        <v>50</v>
      </c>
      <c r="C84" s="67"/>
      <c r="D84" s="69">
        <f>D83/D67</f>
        <v>0.0474004095923895</v>
      </c>
      <c r="E84" s="69">
        <f>E83/E67</f>
        <v>0.0489554618220466</v>
      </c>
      <c r="F84" s="69">
        <f>F83/F67</f>
        <v>0.0487727832706826</v>
      </c>
      <c r="G84" s="69">
        <f>G83/G67</f>
        <v>0.0454143140546315</v>
      </c>
      <c r="H84" s="69">
        <f>H83/H67</f>
        <v>0.0495705750560119</v>
      </c>
      <c r="I84" s="69">
        <f>I83/I67</f>
        <v>0.0593773303504847</v>
      </c>
      <c r="J84" s="69">
        <f>J83/J67</f>
        <v>0.0541648988827606</v>
      </c>
      <c r="K84" s="36"/>
      <c r="L84" s="36"/>
      <c r="M84" s="36"/>
      <c r="N84" s="36"/>
      <c r="O84" s="36"/>
      <c r="P84" s="69"/>
      <c r="Q84" s="36"/>
      <c r="R84" s="36"/>
      <c r="S84" s="36"/>
      <c r="T84" s="36"/>
    </row>
    <row r="85" ht="21" customHeight="1">
      <c r="A85" s="123"/>
      <c r="B85" t="s" s="124">
        <v>51</v>
      </c>
      <c r="C85" s="67"/>
      <c r="D85" s="69">
        <f>D83/D87</f>
        <v>0.982203969883641</v>
      </c>
      <c r="E85" s="69">
        <f>E83/E87</f>
        <v>1.03802816901408</v>
      </c>
      <c r="F85" s="69">
        <f>F83/F87</f>
        <v>1.12454479242535</v>
      </c>
      <c r="G85" s="69">
        <f>G83/G87</f>
        <v>0.943563728598605</v>
      </c>
      <c r="H85" s="69">
        <f>H83/H87</f>
        <v>0.937610359034726</v>
      </c>
      <c r="I85" s="69">
        <f>I83/I87</f>
        <v>1.27315123251166</v>
      </c>
      <c r="J85" s="69">
        <f>J83/J87</f>
        <v>1.19463505926388</v>
      </c>
      <c r="K85" s="36"/>
      <c r="L85" s="36"/>
      <c r="M85" s="36"/>
      <c r="N85" s="36"/>
      <c r="O85" s="36"/>
      <c r="P85" s="69"/>
      <c r="Q85" s="36"/>
      <c r="R85" s="36"/>
      <c r="S85" s="36"/>
      <c r="T85" s="36"/>
    </row>
    <row r="86" ht="21" customHeight="1">
      <c r="A86" s="87"/>
      <c r="B86" s="46"/>
      <c r="C86" s="28"/>
      <c r="D86" s="11"/>
      <c r="E86" s="119"/>
      <c r="F86" s="119"/>
      <c r="G86" s="119"/>
      <c r="H86" s="119"/>
      <c r="I86" s="119"/>
      <c r="J86" s="119"/>
      <c r="K86" s="36"/>
      <c r="L86" s="36"/>
      <c r="M86" s="36"/>
      <c r="N86" s="36"/>
      <c r="O86" s="36"/>
      <c r="P86" s="119"/>
      <c r="Q86" s="36"/>
      <c r="R86" s="36"/>
      <c r="S86" s="36"/>
      <c r="T86" s="36"/>
    </row>
    <row r="87" ht="21" customHeight="1">
      <c r="A87" s="87"/>
      <c r="B87" t="s" s="122">
        <v>52</v>
      </c>
      <c r="C87" s="28"/>
      <c r="D87" s="64">
        <v>1461</v>
      </c>
      <c r="E87" s="64">
        <v>1420</v>
      </c>
      <c r="F87" s="117">
        <v>1373</v>
      </c>
      <c r="G87" s="117">
        <v>1577</v>
      </c>
      <c r="H87" s="117">
        <v>1699</v>
      </c>
      <c r="I87" s="117">
        <v>1501</v>
      </c>
      <c r="J87" s="117">
        <v>1603</v>
      </c>
      <c r="K87" s="36"/>
      <c r="L87" s="36"/>
      <c r="M87" s="36"/>
      <c r="N87" s="36"/>
      <c r="O87" s="36"/>
      <c r="P87" s="119"/>
      <c r="Q87" s="36"/>
      <c r="R87" s="36"/>
      <c r="S87" s="36"/>
      <c r="T87" s="36"/>
    </row>
    <row r="88" ht="21" customHeight="1">
      <c r="A88" s="123"/>
      <c r="B88" t="s" s="124">
        <v>45</v>
      </c>
      <c r="C88" s="67"/>
      <c r="D88" s="69">
        <f>D87/D67</f>
        <v>0.0482592323445861</v>
      </c>
      <c r="E88" s="69">
        <f>E87/E67</f>
        <v>0.0471619781460693</v>
      </c>
      <c r="F88" s="69">
        <f>F87/F67</f>
        <v>0.0433711343462741</v>
      </c>
      <c r="G88" s="69">
        <f>G87/G67</f>
        <v>0.0481306271936518</v>
      </c>
      <c r="H88" s="69">
        <f>H87/H67</f>
        <v>0.0528690565098332</v>
      </c>
      <c r="I88" s="69">
        <f>I87/I67</f>
        <v>0.0466380810340542</v>
      </c>
      <c r="J88" s="69">
        <f>J87/J67</f>
        <v>0.0453401216235327</v>
      </c>
      <c r="K88" s="36"/>
      <c r="L88" s="36"/>
      <c r="M88" s="36"/>
      <c r="N88" s="36"/>
      <c r="O88" s="36"/>
      <c r="P88" s="69"/>
      <c r="Q88" s="36"/>
      <c r="R88" s="36"/>
      <c r="S88" s="36"/>
      <c r="T88" s="36"/>
    </row>
    <row r="89" ht="21" customHeight="1">
      <c r="A89" s="87"/>
      <c r="B89" s="46"/>
      <c r="C89" s="28"/>
      <c r="D89" s="11"/>
      <c r="E89" s="119"/>
      <c r="F89" s="119"/>
      <c r="G89" s="119"/>
      <c r="H89" s="119"/>
      <c r="I89" s="119"/>
      <c r="J89" s="119"/>
      <c r="K89" s="36"/>
      <c r="L89" s="36"/>
      <c r="M89" s="36"/>
      <c r="N89" s="36"/>
      <c r="O89" s="36"/>
      <c r="P89" s="119"/>
      <c r="Q89" s="36"/>
      <c r="R89" s="36"/>
      <c r="S89" s="36"/>
      <c r="T89" s="36"/>
    </row>
    <row r="90" ht="21" customHeight="1">
      <c r="A90" s="87"/>
      <c r="B90" t="s" s="122">
        <v>53</v>
      </c>
      <c r="C90" s="28"/>
      <c r="D90" s="62">
        <f>10986-7118</f>
        <v>3868</v>
      </c>
      <c r="E90" s="62">
        <f>11726-6219</f>
        <v>5507</v>
      </c>
      <c r="F90" s="62">
        <f>14277-7687</f>
        <v>6590</v>
      </c>
      <c r="G90" s="62">
        <f>13709-7244</f>
        <v>6465</v>
      </c>
      <c r="H90" s="62">
        <f>12971-9222</f>
        <v>3749</v>
      </c>
      <c r="I90" s="62">
        <f>14982-7948</f>
        <v>7034</v>
      </c>
      <c r="J90" s="62">
        <f>15403-9035</f>
        <v>6368</v>
      </c>
      <c r="K90" s="36"/>
      <c r="L90" s="36"/>
      <c r="M90" s="36"/>
      <c r="N90" s="36"/>
      <c r="O90" s="36"/>
      <c r="P90" s="119"/>
      <c r="Q90" s="36"/>
      <c r="R90" s="36"/>
      <c r="S90" s="36"/>
      <c r="T90" s="36"/>
    </row>
    <row r="91" ht="21" customHeight="1">
      <c r="A91" s="87"/>
      <c r="B91" s="46"/>
      <c r="C91" s="28"/>
      <c r="D91" s="11"/>
      <c r="E91" s="119"/>
      <c r="F91" s="119"/>
      <c r="G91" s="119"/>
      <c r="H91" s="119"/>
      <c r="I91" s="119"/>
      <c r="J91" s="119"/>
      <c r="K91" s="36"/>
      <c r="L91" s="36"/>
      <c r="M91" s="36"/>
      <c r="N91" s="36"/>
      <c r="O91" s="36"/>
      <c r="P91" s="119"/>
      <c r="Q91" s="36"/>
      <c r="R91" s="36"/>
      <c r="S91" s="36"/>
      <c r="T91" s="36"/>
    </row>
    <row r="92" ht="21" customHeight="1">
      <c r="A92" s="87"/>
      <c r="B92" t="s" s="122">
        <v>54</v>
      </c>
      <c r="C92" s="28"/>
      <c r="D92" s="62"/>
      <c r="E92" s="62">
        <f>D90-E90</f>
        <v>-1639</v>
      </c>
      <c r="F92" s="62">
        <f>E90-F90</f>
        <v>-1083</v>
      </c>
      <c r="G92" s="62">
        <f>F90-G90</f>
        <v>125</v>
      </c>
      <c r="H92" s="62">
        <f>G90-H90</f>
        <v>2716</v>
      </c>
      <c r="I92" s="62">
        <f>H90-I90</f>
        <v>-3285</v>
      </c>
      <c r="J92" s="62">
        <f>I90-J90</f>
        <v>666</v>
      </c>
      <c r="K92" s="36"/>
      <c r="L92" s="36"/>
      <c r="M92" s="36"/>
      <c r="N92" s="36"/>
      <c r="O92" s="36"/>
      <c r="P92" s="119"/>
      <c r="Q92" s="36"/>
      <c r="R92" s="36"/>
      <c r="S92" s="36"/>
      <c r="T92" s="36"/>
    </row>
    <row r="93" ht="21" customHeight="1">
      <c r="A93" s="123"/>
      <c r="B93" t="s" s="124">
        <v>45</v>
      </c>
      <c r="C93" s="67"/>
      <c r="D93" s="69">
        <f>D92/D72</f>
        <v>0</v>
      </c>
      <c r="E93" s="69">
        <f>E92/E72</f>
        <v>-0.0544355508319771</v>
      </c>
      <c r="F93" s="69">
        <f>F92/F72</f>
        <v>-0.0342104431879205</v>
      </c>
      <c r="G93" s="69">
        <f>G92/G72</f>
        <v>0.00381504654356783</v>
      </c>
      <c r="H93" s="69">
        <f>H92/H72</f>
        <v>0.0845158078167787</v>
      </c>
      <c r="I93" s="69">
        <f>I92/I72</f>
        <v>-0.102069351230425</v>
      </c>
      <c r="J93" s="69">
        <f>J92/J72</f>
        <v>0.0188375053033517</v>
      </c>
      <c r="K93" s="36"/>
      <c r="L93" s="36"/>
      <c r="M93" s="36"/>
      <c r="N93" s="36"/>
      <c r="O93" s="36"/>
      <c r="P93" s="69"/>
      <c r="Q93" s="36"/>
      <c r="R93" s="36"/>
      <c r="S93" s="36"/>
      <c r="T93" s="36"/>
    </row>
    <row r="94" ht="21" customHeight="1">
      <c r="A94" s="123"/>
      <c r="B94" t="s" s="124">
        <v>55</v>
      </c>
      <c r="C94" s="67"/>
      <c r="D94" s="69">
        <f>(D92-C92)/(D72-C72)</f>
        <v>0</v>
      </c>
      <c r="E94" s="69">
        <f>(E92-D92)/(E72-D72)</f>
        <v>9.93333333333333</v>
      </c>
      <c r="F94" s="69">
        <f>(F92-E92)/(F72-E72)</f>
        <v>0.359173126614987</v>
      </c>
      <c r="G94" s="69">
        <f>(G92-F92)/(G72-F72)</f>
        <v>1.09025270758123</v>
      </c>
      <c r="H94" s="69">
        <f>(H92-G92)/(H72-G72)</f>
        <v>-4.11923688394277</v>
      </c>
      <c r="I94" s="69">
        <f>(I92-H92)/(I72-H72)</f>
        <v>-125.020833333333</v>
      </c>
      <c r="J94" s="69">
        <f>(J92-I92)/(J72-I72)</f>
        <v>1.24597918637654</v>
      </c>
      <c r="K94" s="36"/>
      <c r="L94" s="36"/>
      <c r="M94" s="36"/>
      <c r="N94" s="36"/>
      <c r="O94" s="36"/>
      <c r="P94" s="69"/>
      <c r="Q94" s="36"/>
      <c r="R94" s="36"/>
      <c r="S94" s="36"/>
      <c r="T94" s="36"/>
    </row>
    <row r="95" ht="21" customHeight="1">
      <c r="A95" s="87"/>
      <c r="B95" s="46"/>
      <c r="C95" s="28"/>
      <c r="D95" s="11"/>
      <c r="E95" s="62"/>
      <c r="F95" s="62"/>
      <c r="G95" s="62"/>
      <c r="H95" s="62"/>
      <c r="I95" s="62"/>
      <c r="J95" s="62"/>
      <c r="K95" s="119"/>
      <c r="L95" s="119"/>
      <c r="M95" s="119"/>
      <c r="N95" s="119"/>
      <c r="O95" s="119"/>
      <c r="P95" s="119"/>
      <c r="Q95" s="36"/>
      <c r="R95" s="36"/>
      <c r="S95" s="36"/>
      <c r="T95" s="36"/>
    </row>
    <row r="96" ht="21" customHeight="1">
      <c r="A96" s="87"/>
      <c r="B96" s="46"/>
      <c r="C96" s="28"/>
      <c r="D96" s="11"/>
      <c r="E96" s="62"/>
      <c r="F96" s="62"/>
      <c r="G96" s="62"/>
      <c r="H96" s="62"/>
      <c r="I96" s="62"/>
      <c r="J96" s="62"/>
      <c r="K96" s="62">
        <v>1</v>
      </c>
      <c r="L96" s="62">
        <v>2</v>
      </c>
      <c r="M96" s="62">
        <v>3</v>
      </c>
      <c r="N96" s="62">
        <v>4</v>
      </c>
      <c r="O96" s="62">
        <v>5</v>
      </c>
      <c r="P96" s="62">
        <v>6</v>
      </c>
      <c r="Q96" s="36"/>
      <c r="R96" s="36"/>
      <c r="S96" s="36"/>
      <c r="T96" s="36"/>
    </row>
    <row r="97" ht="21" customHeight="1">
      <c r="A97" t="s" s="120">
        <v>13</v>
      </c>
      <c r="B97" t="s" s="121">
        <v>5</v>
      </c>
      <c r="C97" s="31"/>
      <c r="D97" s="60">
        <v>2015</v>
      </c>
      <c r="E97" s="61">
        <v>2016</v>
      </c>
      <c r="F97" s="61">
        <v>2017</v>
      </c>
      <c r="G97" s="61">
        <v>2018</v>
      </c>
      <c r="H97" s="61">
        <v>2019</v>
      </c>
      <c r="I97" s="61">
        <v>2020</v>
      </c>
      <c r="J97" s="61">
        <v>2021</v>
      </c>
      <c r="K97" s="61">
        <v>2022</v>
      </c>
      <c r="L97" s="61">
        <v>2023</v>
      </c>
      <c r="M97" s="61">
        <v>2024</v>
      </c>
      <c r="N97" s="61">
        <v>2025</v>
      </c>
      <c r="O97" s="61">
        <v>2026</v>
      </c>
      <c r="P97" s="61">
        <v>2027</v>
      </c>
      <c r="Q97" s="36"/>
      <c r="R97" s="36"/>
      <c r="S97" s="36"/>
      <c r="T97" s="36"/>
    </row>
    <row r="98" ht="21" customHeight="1">
      <c r="A98" s="113"/>
      <c r="B98" s="114"/>
      <c r="C98" s="28"/>
      <c r="D98" s="11"/>
      <c r="E98" s="119"/>
      <c r="F98" s="119"/>
      <c r="G98" s="119"/>
      <c r="H98" s="119"/>
      <c r="I98" s="119"/>
      <c r="J98" s="119"/>
      <c r="K98" s="119"/>
      <c r="L98" s="119"/>
      <c r="M98" s="119"/>
      <c r="N98" s="119"/>
      <c r="O98" s="119"/>
      <c r="P98" s="119"/>
      <c r="Q98" s="36"/>
      <c r="R98" s="36"/>
      <c r="S98" s="36"/>
      <c r="T98" s="36"/>
    </row>
    <row r="99" ht="21" customHeight="1">
      <c r="A99" s="8"/>
      <c r="B99" t="s" s="116">
        <v>44</v>
      </c>
      <c r="C99" s="28"/>
      <c r="D99" s="110">
        <f>D67</f>
        <v>30274</v>
      </c>
      <c r="E99" s="110">
        <f>E67</f>
        <v>30109</v>
      </c>
      <c r="F99" s="110">
        <f>F67</f>
        <v>31657</v>
      </c>
      <c r="G99" s="110">
        <f>G67</f>
        <v>32765</v>
      </c>
      <c r="H99" s="110">
        <f>H67</f>
        <v>32136</v>
      </c>
      <c r="I99" s="110">
        <f>I67</f>
        <v>32184</v>
      </c>
      <c r="J99" s="110">
        <f>J67</f>
        <v>35355</v>
      </c>
      <c r="K99" s="110">
        <f>K67</f>
        <v>34926.336</v>
      </c>
      <c r="L99" s="110">
        <f>L67</f>
        <v>35694.715392</v>
      </c>
      <c r="M99" s="110">
        <f>M67</f>
        <v>36318.8465356734</v>
      </c>
      <c r="N99" s="110">
        <f>N67</f>
        <v>36789.8351981195</v>
      </c>
      <c r="O99" s="110">
        <f>O67</f>
        <v>37100.5305744752</v>
      </c>
      <c r="P99" s="110">
        <f>P67</f>
        <v>37286.0332273476</v>
      </c>
      <c r="Q99" s="36"/>
      <c r="R99" s="36"/>
      <c r="S99" s="36"/>
      <c r="T99" s="36"/>
    </row>
    <row r="100" ht="21" customHeight="1">
      <c r="A100" s="113"/>
      <c r="B100" t="s" s="66">
        <v>32</v>
      </c>
      <c r="C100" s="28"/>
      <c r="D100" s="11"/>
      <c r="E100" s="119">
        <f>E99/D99-1</f>
        <v>-0.00545022131201691</v>
      </c>
      <c r="F100" s="119">
        <f>F99/E99-1</f>
        <v>0.0514131987113488</v>
      </c>
      <c r="G100" s="119">
        <f>G99/F99-1</f>
        <v>0.035000157942951</v>
      </c>
      <c r="H100" s="119">
        <f>H99/G99-1</f>
        <v>-0.0191973142072333</v>
      </c>
      <c r="I100" s="119">
        <f>I99/H99-1</f>
        <v>0.00149365197908887</v>
      </c>
      <c r="J100" s="119">
        <f>J99/I99-1</f>
        <v>0.0985272184936614</v>
      </c>
      <c r="K100" s="119">
        <f>K99/J99-1</f>
        <v>-0.0121245651251591</v>
      </c>
      <c r="L100" s="119">
        <f>L99/K99-1</f>
        <v>0.022</v>
      </c>
      <c r="M100" s="119">
        <f>M99/L99-1</f>
        <v>0.0174852534000952</v>
      </c>
      <c r="N100" s="119">
        <f>N99/M99-1</f>
        <v>0.0129681613644718</v>
      </c>
      <c r="O100" s="119">
        <f>O99/N99-1</f>
        <v>0.008445141835579109</v>
      </c>
      <c r="P100" s="119">
        <f>P99/O99-1</f>
        <v>0.00500000000000065</v>
      </c>
      <c r="Q100" s="36"/>
      <c r="R100" s="36"/>
      <c r="S100" s="36"/>
      <c r="T100" s="36"/>
    </row>
    <row r="101" ht="21" customHeight="1">
      <c r="A101" s="87"/>
      <c r="B101" s="114"/>
      <c r="C101" s="28"/>
      <c r="D101" s="11"/>
      <c r="E101" s="119"/>
      <c r="F101" s="119"/>
      <c r="G101" s="119"/>
      <c r="H101" s="119"/>
      <c r="I101" s="119"/>
      <c r="J101" s="119"/>
      <c r="K101" s="119"/>
      <c r="L101" s="119"/>
      <c r="M101" s="119"/>
      <c r="N101" s="119"/>
      <c r="O101" s="119"/>
      <c r="P101" s="119"/>
      <c r="Q101" s="36"/>
      <c r="R101" s="36"/>
      <c r="S101" s="36"/>
      <c r="T101" s="36"/>
    </row>
    <row r="102" ht="21" customHeight="1">
      <c r="A102" s="8"/>
      <c r="B102" t="s" s="116">
        <v>25</v>
      </c>
      <c r="C102" s="28"/>
      <c r="D102" s="62">
        <f>D75</f>
        <v>6946</v>
      </c>
      <c r="E102" s="62">
        <f>E75</f>
        <v>7223</v>
      </c>
      <c r="F102" s="62">
        <f>F75</f>
        <v>7692</v>
      </c>
      <c r="G102" s="112">
        <f>G75</f>
        <v>7207</v>
      </c>
      <c r="H102" s="112">
        <f>H75</f>
        <v>6174</v>
      </c>
      <c r="I102" s="62">
        <f>I75</f>
        <v>7161</v>
      </c>
      <c r="J102" s="112">
        <f>J75</f>
        <v>7379</v>
      </c>
      <c r="K102" s="62">
        <f>K99*K103</f>
        <v>7256.929936495540</v>
      </c>
      <c r="L102" s="62">
        <f>L99*L103</f>
        <v>7503.833393326770</v>
      </c>
      <c r="M102" s="62">
        <f>M99*M103</f>
        <v>7723.816425722950</v>
      </c>
      <c r="N102" s="62">
        <f>N99*N103</f>
        <v>7913.9079968496</v>
      </c>
      <c r="O102" s="62">
        <f>O99*O103</f>
        <v>8071.429399370650</v>
      </c>
      <c r="P102" s="62">
        <f>P99*P103</f>
        <v>8202.927310016470</v>
      </c>
      <c r="Q102" s="36"/>
      <c r="R102" s="36"/>
      <c r="S102" s="36"/>
      <c r="T102" s="36"/>
    </row>
    <row r="103" ht="21.5" customHeight="1">
      <c r="A103" s="80"/>
      <c r="B103" t="s" s="66">
        <v>45</v>
      </c>
      <c r="C103" s="67"/>
      <c r="D103" s="69">
        <f>D102/D99</f>
        <v>0.229437801413754</v>
      </c>
      <c r="E103" s="69">
        <f>E102/E99</f>
        <v>0.239895047992295</v>
      </c>
      <c r="F103" s="69">
        <f>F102/F99</f>
        <v>0.242979435827779</v>
      </c>
      <c r="G103" s="69">
        <f>G102/G99</f>
        <v>0.219960323515947</v>
      </c>
      <c r="H103" s="69">
        <f>H102/H99</f>
        <v>0.192120985810306</v>
      </c>
      <c r="I103" s="69">
        <f>I102/I99</f>
        <v>0.222501864280388</v>
      </c>
      <c r="J103" s="69">
        <f>J102/J99</f>
        <v>0.208711639089238</v>
      </c>
      <c r="K103" s="70">
        <f>OFFSET(K103,$C$16,0)</f>
        <v>0.207778163059977</v>
      </c>
      <c r="L103" s="70">
        <f>OFFSET(L103,$C$16,0)</f>
        <v>0.210222530447982</v>
      </c>
      <c r="M103" s="70">
        <f>OFFSET(M103,$C$16,0)</f>
        <v>0.212666897835987</v>
      </c>
      <c r="N103" s="70">
        <f>OFFSET(N103,$C$16,0)</f>
        <v>0.215111265223991</v>
      </c>
      <c r="O103" s="70">
        <f>OFFSET(O103,$C$16,0)</f>
        <v>0.217555632611996</v>
      </c>
      <c r="P103" s="70">
        <f>OFFSET(P103,$C$16,0)</f>
        <v>0.22</v>
      </c>
      <c r="Q103" s="36"/>
      <c r="R103" s="36"/>
      <c r="S103" s="36"/>
      <c r="T103" s="36"/>
    </row>
    <row r="104" ht="22" customHeight="1">
      <c r="A104" s="8"/>
      <c r="B104" t="s" s="34">
        <v>33</v>
      </c>
      <c r="C104" s="28"/>
      <c r="D104" s="11"/>
      <c r="E104" s="64"/>
      <c r="F104" s="64"/>
      <c r="G104" s="64"/>
      <c r="H104" s="64"/>
      <c r="I104" s="64"/>
      <c r="J104" s="71"/>
      <c r="K104" s="72">
        <f>K105*$E$16</f>
        <v>0.187000346753979</v>
      </c>
      <c r="L104" s="72">
        <f>L105*$E$16</f>
        <v>0.189200277403184</v>
      </c>
      <c r="M104" s="72">
        <f>M105*$E$16</f>
        <v>0.191400208052388</v>
      </c>
      <c r="N104" s="72">
        <f>N105*$E$16</f>
        <v>0.193600138701592</v>
      </c>
      <c r="O104" s="72">
        <f>O105*$E$16</f>
        <v>0.195800069350796</v>
      </c>
      <c r="P104" s="72">
        <f>P105*$E$16</f>
        <v>0.198</v>
      </c>
      <c r="Q104" s="73"/>
      <c r="R104" s="36"/>
      <c r="S104" s="36"/>
      <c r="T104" s="36"/>
    </row>
    <row r="105" ht="22" customHeight="1">
      <c r="A105" s="13"/>
      <c r="B105" t="s" s="34">
        <v>34</v>
      </c>
      <c r="C105" s="28"/>
      <c r="D105" s="11"/>
      <c r="E105" s="64"/>
      <c r="F105" s="64"/>
      <c r="G105" s="64"/>
      <c r="H105" s="64"/>
      <c r="I105" s="64"/>
      <c r="J105" s="71"/>
      <c r="K105" s="72">
        <f>AVERAGE(J103,I103,H103)</f>
        <v>0.207778163059977</v>
      </c>
      <c r="L105" s="74">
        <f>K105-(K105-$P$105)/($P$97-K97)</f>
        <v>0.210222530447982</v>
      </c>
      <c r="M105" s="74">
        <f>L105-(L105-$P$105)/($P$97-L97)</f>
        <v>0.212666897835987</v>
      </c>
      <c r="N105" s="74">
        <f>M105-(M105-$P$105)/($P$97-M97)</f>
        <v>0.215111265223991</v>
      </c>
      <c r="O105" s="74">
        <f>N105-(N105-$P$105)/($P$97-N97)</f>
        <v>0.217555632611996</v>
      </c>
      <c r="P105" s="72">
        <f>G16</f>
        <v>0.22</v>
      </c>
      <c r="Q105" s="73"/>
      <c r="R105" s="36"/>
      <c r="S105" s="36"/>
      <c r="T105" s="36"/>
    </row>
    <row r="106" ht="22" customHeight="1">
      <c r="A106" s="13"/>
      <c r="B106" t="s" s="34">
        <v>35</v>
      </c>
      <c r="C106" s="28"/>
      <c r="D106" s="11"/>
      <c r="E106" s="64"/>
      <c r="F106" s="64"/>
      <c r="G106" s="64"/>
      <c r="H106" s="64"/>
      <c r="I106" s="64"/>
      <c r="J106" s="71"/>
      <c r="K106" s="74">
        <f>K105*$I$16</f>
        <v>0.228555979365975</v>
      </c>
      <c r="L106" s="96">
        <f>L105*$I$16</f>
        <v>0.23124478349278</v>
      </c>
      <c r="M106" s="96">
        <f>M105*$I$16</f>
        <v>0.233933587619586</v>
      </c>
      <c r="N106" s="96">
        <f>N105*$I$16</f>
        <v>0.23662239174639</v>
      </c>
      <c r="O106" s="96">
        <f>O105*$I$16</f>
        <v>0.239311195873196</v>
      </c>
      <c r="P106" s="74">
        <f>P105*$I$16</f>
        <v>0.242</v>
      </c>
      <c r="Q106" s="73"/>
      <c r="R106" s="36"/>
      <c r="S106" s="36"/>
      <c r="T106" s="36"/>
    </row>
    <row r="107" ht="21.5" customHeight="1">
      <c r="A107" s="113"/>
      <c r="B107" s="114"/>
      <c r="C107" s="28"/>
      <c r="D107" s="11"/>
      <c r="E107" s="119"/>
      <c r="F107" s="119"/>
      <c r="G107" s="119"/>
      <c r="H107" s="119"/>
      <c r="I107" s="119"/>
      <c r="J107" s="119"/>
      <c r="K107" s="125"/>
      <c r="L107" s="125"/>
      <c r="M107" s="125"/>
      <c r="N107" s="125"/>
      <c r="O107" s="125"/>
      <c r="P107" s="125"/>
      <c r="Q107" s="36"/>
      <c r="R107" s="36"/>
      <c r="S107" s="36"/>
      <c r="T107" s="36"/>
    </row>
    <row r="108" ht="21.5" customHeight="1">
      <c r="A108" s="87"/>
      <c r="B108" t="s" s="116">
        <v>46</v>
      </c>
      <c r="C108" s="28"/>
      <c r="D108" s="112">
        <f>D78</f>
        <v>1982</v>
      </c>
      <c r="E108" s="112">
        <f>E78</f>
        <v>1995</v>
      </c>
      <c r="F108" s="112">
        <f>F78</f>
        <v>2679</v>
      </c>
      <c r="G108" s="62">
        <f>G78</f>
        <v>1637</v>
      </c>
      <c r="H108" s="112">
        <f>H78</f>
        <v>1114</v>
      </c>
      <c r="I108" s="62">
        <f>I78</f>
        <v>1337</v>
      </c>
      <c r="J108" s="62">
        <f>J78</f>
        <v>1285</v>
      </c>
      <c r="K108" s="126">
        <f>K102*K109</f>
        <v>1620.772739566260</v>
      </c>
      <c r="L108" s="126">
        <f>L102*L109</f>
        <v>1461.221437080550</v>
      </c>
      <c r="M108" s="126">
        <f>M102*M109</f>
        <v>1524.717951543350</v>
      </c>
      <c r="N108" s="126">
        <f>N102*N109</f>
        <v>1623.607105400830</v>
      </c>
      <c r="O108" s="126">
        <f>O102*O109</f>
        <v>1607.003931908960</v>
      </c>
      <c r="P108" s="126">
        <f>P102*P109</f>
        <v>1645.127840312350</v>
      </c>
      <c r="Q108" s="36"/>
      <c r="R108" s="36"/>
      <c r="S108" s="36"/>
      <c r="T108" s="36"/>
    </row>
    <row r="109" ht="22" customHeight="1">
      <c r="A109" s="123"/>
      <c r="B109" t="s" s="118">
        <v>47</v>
      </c>
      <c r="C109" s="67"/>
      <c r="D109" s="69">
        <f>D108/D102</f>
        <v>0.285344082925425</v>
      </c>
      <c r="E109" s="69">
        <f>E108/E102</f>
        <v>0.276201024505053</v>
      </c>
      <c r="F109" s="69">
        <f>F108/F102</f>
        <v>0.348283931357254</v>
      </c>
      <c r="G109" s="69">
        <f>G108/G102</f>
        <v>0.227140280283058</v>
      </c>
      <c r="H109" s="69">
        <f>H108/H102</f>
        <v>0.180434078393262</v>
      </c>
      <c r="I109" s="69">
        <f>I108/I102</f>
        <v>0.186705767350929</v>
      </c>
      <c r="J109" s="99">
        <f>J108/J102</f>
        <v>0.174142837782897</v>
      </c>
      <c r="K109" s="74">
        <f>AVERAGE(J109,I109,H109,G109,F109)</f>
        <v>0.22334137903348</v>
      </c>
      <c r="L109" s="74">
        <f>AVERAGE(K109,J109,I109)</f>
        <v>0.194729994722435</v>
      </c>
      <c r="M109" s="74">
        <f>AVERAGE(L109,K109,J109)</f>
        <v>0.197404737179604</v>
      </c>
      <c r="N109" s="74">
        <f>AVERAGE(M109,L109,K109)</f>
        <v>0.205158703645173</v>
      </c>
      <c r="O109" s="74">
        <f>AVERAGE(N109,M109,L109)</f>
        <v>0.199097811849071</v>
      </c>
      <c r="P109" s="74">
        <f>AVERAGE(O109,N109,M109)</f>
        <v>0.200553750891283</v>
      </c>
      <c r="Q109" s="73"/>
      <c r="R109" s="36"/>
      <c r="S109" s="36"/>
      <c r="T109" s="36"/>
    </row>
    <row r="110" ht="21.65" customHeight="1">
      <c r="A110" s="127"/>
      <c r="B110" s="128"/>
      <c r="C110" s="129"/>
      <c r="D110" s="130"/>
      <c r="E110" s="131"/>
      <c r="F110" s="131"/>
      <c r="G110" s="131"/>
      <c r="H110" s="131"/>
      <c r="I110" s="131"/>
      <c r="J110" s="131"/>
      <c r="K110" s="132"/>
      <c r="L110" s="132"/>
      <c r="M110" s="132"/>
      <c r="N110" s="132"/>
      <c r="O110" s="132"/>
      <c r="P110" s="132"/>
      <c r="Q110" s="36"/>
      <c r="R110" s="36"/>
      <c r="S110" s="36"/>
      <c r="T110" s="36"/>
    </row>
    <row r="111" ht="21.15" customHeight="1">
      <c r="A111" s="133"/>
      <c r="B111" t="s" s="134">
        <v>56</v>
      </c>
      <c r="C111" s="135"/>
      <c r="D111" s="136"/>
      <c r="E111" s="137"/>
      <c r="F111" s="137"/>
      <c r="G111" s="137"/>
      <c r="H111" s="137"/>
      <c r="I111" s="137"/>
      <c r="J111" s="137"/>
      <c r="K111" s="137">
        <f>K102-K108</f>
        <v>5636.157196929280</v>
      </c>
      <c r="L111" s="137">
        <f>L102-L108</f>
        <v>6042.611956246220</v>
      </c>
      <c r="M111" s="137">
        <f>M102-M108</f>
        <v>6199.0984741796</v>
      </c>
      <c r="N111" s="137">
        <f>N102-N108</f>
        <v>6290.300891448770</v>
      </c>
      <c r="O111" s="137">
        <f>O102-O108</f>
        <v>6464.425467461690</v>
      </c>
      <c r="P111" s="137">
        <f>P102-P108</f>
        <v>6557.799469704120</v>
      </c>
      <c r="Q111" s="36"/>
      <c r="R111" s="36"/>
      <c r="S111" s="36"/>
      <c r="T111" s="36"/>
    </row>
    <row r="112" ht="21" customHeight="1">
      <c r="A112" s="87"/>
      <c r="B112" s="46"/>
      <c r="C112" s="138"/>
      <c r="D112" s="139"/>
      <c r="E112" s="140"/>
      <c r="F112" s="140"/>
      <c r="G112" s="140"/>
      <c r="H112" s="140"/>
      <c r="I112" s="140"/>
      <c r="J112" s="140"/>
      <c r="K112" s="140"/>
      <c r="L112" s="140"/>
      <c r="M112" s="140"/>
      <c r="N112" s="140"/>
      <c r="O112" s="140"/>
      <c r="P112" s="140"/>
      <c r="Q112" s="36"/>
      <c r="R112" s="36"/>
      <c r="S112" s="36"/>
      <c r="T112" s="36"/>
    </row>
    <row r="113" ht="21.5" customHeight="1">
      <c r="A113" s="87"/>
      <c r="B113" t="s" s="122">
        <v>49</v>
      </c>
      <c r="C113" s="28"/>
      <c r="D113" s="112">
        <f>D83</f>
        <v>1435</v>
      </c>
      <c r="E113" s="112">
        <f>E83</f>
        <v>1474</v>
      </c>
      <c r="F113" s="112">
        <f>F83</f>
        <v>1544</v>
      </c>
      <c r="G113" s="112">
        <f>G83</f>
        <v>1488</v>
      </c>
      <c r="H113" s="112">
        <f>H83</f>
        <v>1593</v>
      </c>
      <c r="I113" s="112">
        <f>I83</f>
        <v>1911</v>
      </c>
      <c r="J113" s="112">
        <f>J83</f>
        <v>1915</v>
      </c>
      <c r="K113" s="141">
        <f>K67*K114</f>
        <v>1898.977536169610</v>
      </c>
      <c r="L113" s="141">
        <f>L67*L114</f>
        <v>1997.870866473090</v>
      </c>
      <c r="M113" s="141">
        <f>M67*M114</f>
        <v>1991.566810212970</v>
      </c>
      <c r="N113" s="141">
        <f>N67*N114</f>
        <v>2025.619125494720</v>
      </c>
      <c r="O113" s="141">
        <f>O67*O114</f>
        <v>2051.2375125723</v>
      </c>
      <c r="P113" s="141">
        <f>P67*P114</f>
        <v>2053.012065505080</v>
      </c>
      <c r="Q113" s="36"/>
      <c r="R113" s="36"/>
      <c r="S113" s="36"/>
      <c r="T113" s="36"/>
    </row>
    <row r="114" ht="22" customHeight="1">
      <c r="A114" s="87"/>
      <c r="B114" t="s" s="142">
        <v>45</v>
      </c>
      <c r="C114" s="28"/>
      <c r="D114" s="119">
        <f>D113/D67</f>
        <v>0.0474004095923895</v>
      </c>
      <c r="E114" s="119">
        <f>E113/E67</f>
        <v>0.0489554618220466</v>
      </c>
      <c r="F114" s="119">
        <f>F113/F67</f>
        <v>0.0487727832706826</v>
      </c>
      <c r="G114" s="119">
        <f>G113/G67</f>
        <v>0.0454143140546315</v>
      </c>
      <c r="H114" s="119">
        <f>H113/H67</f>
        <v>0.0495705750560119</v>
      </c>
      <c r="I114" s="119">
        <f>I113/I67</f>
        <v>0.0593773303504847</v>
      </c>
      <c r="J114" s="143">
        <f>J113/J67</f>
        <v>0.0541648988827606</v>
      </c>
      <c r="K114" s="74">
        <f>AVERAGE(J114,I114,H114)</f>
        <v>0.0543709347630857</v>
      </c>
      <c r="L114" s="74">
        <f>AVERAGE(K114,J114,I114)</f>
        <v>0.0559710546654437</v>
      </c>
      <c r="M114" s="74">
        <f>AVERAGE(L114,K114,J114)</f>
        <v>0.0548356294370967</v>
      </c>
      <c r="N114" s="74">
        <f>AVERAGE(M114,L114,K114)</f>
        <v>0.055059206288542</v>
      </c>
      <c r="O114" s="74">
        <f>AVERAGE(N114,M114,L114)</f>
        <v>0.0552886301303608</v>
      </c>
      <c r="P114" s="74">
        <f>AVERAGE(O114,N114,M114)</f>
        <v>0.0550611552853332</v>
      </c>
      <c r="Q114" s="73"/>
      <c r="R114" s="36"/>
      <c r="S114" s="36"/>
      <c r="T114" s="36"/>
    </row>
    <row r="115" ht="21.5" customHeight="1">
      <c r="A115" s="87"/>
      <c r="B115" s="114"/>
      <c r="C115" s="28"/>
      <c r="D115" s="11"/>
      <c r="E115" s="119"/>
      <c r="F115" s="119"/>
      <c r="G115" s="119"/>
      <c r="H115" s="119"/>
      <c r="I115" s="119"/>
      <c r="J115" s="119"/>
      <c r="K115" s="125"/>
      <c r="L115" s="125"/>
      <c r="M115" s="125"/>
      <c r="N115" s="125"/>
      <c r="O115" s="125"/>
      <c r="P115" s="125"/>
      <c r="Q115" s="36"/>
      <c r="R115" s="36"/>
      <c r="S115" s="36"/>
      <c r="T115" s="36"/>
    </row>
    <row r="116" ht="21.5" customHeight="1">
      <c r="A116" s="87"/>
      <c r="B116" t="s" s="122">
        <v>52</v>
      </c>
      <c r="C116" s="28"/>
      <c r="D116" s="62">
        <f>D87</f>
        <v>1461</v>
      </c>
      <c r="E116" s="62">
        <f>E87</f>
        <v>1420</v>
      </c>
      <c r="F116" s="112">
        <f>F87</f>
        <v>1373</v>
      </c>
      <c r="G116" s="112">
        <f>G87</f>
        <v>1577</v>
      </c>
      <c r="H116" s="112">
        <f>H87</f>
        <v>1699</v>
      </c>
      <c r="I116" s="112">
        <f>I87</f>
        <v>1501</v>
      </c>
      <c r="J116" s="112">
        <f>J87</f>
        <v>1603</v>
      </c>
      <c r="K116" s="126">
        <f>K99*K117</f>
        <v>1686.328014120130</v>
      </c>
      <c r="L116" s="126">
        <f>L99*L117</f>
        <v>1668.854332187010</v>
      </c>
      <c r="M116" s="126">
        <f>M99*M117</f>
        <v>1699.432461499490</v>
      </c>
      <c r="N116" s="126">
        <f>N99*N117</f>
        <v>1739.276100386830</v>
      </c>
      <c r="O116" s="126">
        <f>O99*O117</f>
        <v>1741.518248620020</v>
      </c>
      <c r="P116" s="126">
        <f>P99*P117</f>
        <v>1752.549761311790</v>
      </c>
      <c r="Q116" s="36"/>
      <c r="R116" s="36"/>
      <c r="S116" s="36"/>
      <c r="T116" s="36"/>
    </row>
    <row r="117" ht="22" customHeight="1">
      <c r="A117" s="87"/>
      <c r="B117" t="s" s="142">
        <v>45</v>
      </c>
      <c r="C117" s="28"/>
      <c r="D117" s="119">
        <f>D116/D67</f>
        <v>0.0482592323445861</v>
      </c>
      <c r="E117" s="119">
        <f>E116/E67</f>
        <v>0.0471619781460693</v>
      </c>
      <c r="F117" s="119">
        <f>F116/F67</f>
        <v>0.0433711343462741</v>
      </c>
      <c r="G117" s="119">
        <f>G116/G67</f>
        <v>0.0481306271936518</v>
      </c>
      <c r="H117" s="119">
        <f>H116/H67</f>
        <v>0.0528690565098332</v>
      </c>
      <c r="I117" s="119">
        <f>I116/I67</f>
        <v>0.0466380810340542</v>
      </c>
      <c r="J117" s="143">
        <f>J116/J67</f>
        <v>0.0453401216235327</v>
      </c>
      <c r="K117" s="74">
        <f>AVERAGE(J117,I117,H117)</f>
        <v>0.0482824197224734</v>
      </c>
      <c r="L117" s="74">
        <f>AVERAGE(K117,J117,I117)</f>
        <v>0.0467535407933534</v>
      </c>
      <c r="M117" s="74">
        <f>AVERAGE(L117,K117,J117)</f>
        <v>0.0467920273797865</v>
      </c>
      <c r="N117" s="74">
        <f>AVERAGE(M117,L117,K117)</f>
        <v>0.0472759959652044</v>
      </c>
      <c r="O117" s="74">
        <f>AVERAGE(N117,M117,L117)</f>
        <v>0.0469405213794481</v>
      </c>
      <c r="P117" s="74">
        <f>AVERAGE(O117,N117,M117)</f>
        <v>0.0470028482414797</v>
      </c>
      <c r="Q117" s="73"/>
      <c r="R117" s="36"/>
      <c r="S117" s="36"/>
      <c r="T117" s="36"/>
    </row>
    <row r="118" ht="21.5" customHeight="1">
      <c r="A118" s="87"/>
      <c r="B118" s="114"/>
      <c r="C118" s="28"/>
      <c r="D118" s="11"/>
      <c r="E118" s="119"/>
      <c r="F118" s="119"/>
      <c r="G118" s="119"/>
      <c r="H118" s="119"/>
      <c r="I118" s="119"/>
      <c r="J118" s="119"/>
      <c r="K118" s="125"/>
      <c r="L118" s="125"/>
      <c r="M118" s="125"/>
      <c r="N118" s="125"/>
      <c r="O118" s="125"/>
      <c r="P118" s="125"/>
      <c r="Q118" s="36"/>
      <c r="R118" s="36"/>
      <c r="S118" s="36"/>
      <c r="T118" s="36"/>
    </row>
    <row r="119" ht="21.5" customHeight="1">
      <c r="A119" s="87"/>
      <c r="B119" t="s" s="122">
        <v>54</v>
      </c>
      <c r="C119" s="28"/>
      <c r="D119" s="11"/>
      <c r="E119" s="62">
        <f>E92</f>
        <v>-1639</v>
      </c>
      <c r="F119" s="62">
        <f>F92</f>
        <v>-1083</v>
      </c>
      <c r="G119" s="62">
        <f>G92</f>
        <v>125</v>
      </c>
      <c r="H119" s="62">
        <f>H92</f>
        <v>2716</v>
      </c>
      <c r="I119" s="62">
        <f>I92</f>
        <v>-3285</v>
      </c>
      <c r="J119" s="62">
        <f>J92</f>
        <v>666</v>
      </c>
      <c r="K119" s="144"/>
      <c r="L119" s="145">
        <f>L99*L120</f>
        <v>-1485.468525958840</v>
      </c>
      <c r="M119" s="145">
        <f>M99*M120</f>
        <v>-413.642927662866</v>
      </c>
      <c r="N119" s="145">
        <f>N99*N120</f>
        <v>-975.025031671111</v>
      </c>
      <c r="O119" s="145">
        <f>O99*O120</f>
        <v>-983.259256356814</v>
      </c>
      <c r="P119" s="145">
        <f>P99*P120</f>
        <v>-800.336508049741</v>
      </c>
      <c r="Q119" s="36"/>
      <c r="R119" s="36"/>
      <c r="S119" s="36"/>
      <c r="T119" s="36"/>
    </row>
    <row r="120" ht="22" customHeight="1">
      <c r="A120" s="87"/>
      <c r="B120" t="s" s="124">
        <v>45</v>
      </c>
      <c r="C120" s="28"/>
      <c r="D120" s="69"/>
      <c r="E120" s="69">
        <f>E119/E67</f>
        <v>-0.0544355508319771</v>
      </c>
      <c r="F120" s="69">
        <f>F119/F67</f>
        <v>-0.0342104431879205</v>
      </c>
      <c r="G120" s="69">
        <f>G119/G67</f>
        <v>0.00381504654356783</v>
      </c>
      <c r="H120" s="69">
        <f>H119/H67</f>
        <v>0.0845158078167787</v>
      </c>
      <c r="I120" s="69">
        <f>I119/I67</f>
        <v>-0.102069351230425</v>
      </c>
      <c r="J120" s="99">
        <f>J119/J67</f>
        <v>0.0188375053033517</v>
      </c>
      <c r="K120" s="74"/>
      <c r="L120" s="74">
        <f>AVERAGE(K120,J120,I120)</f>
        <v>-0.0416159229635367</v>
      </c>
      <c r="M120" s="74">
        <f>AVERAGE(L120,K120,J120)</f>
        <v>-0.0113892088300925</v>
      </c>
      <c r="N120" s="74">
        <f>AVERAGE(M120,L120,K120)</f>
        <v>-0.0265025658968146</v>
      </c>
      <c r="O120" s="74">
        <f>AVERAGE(N120,M120,L120)</f>
        <v>-0.0265025658968146</v>
      </c>
      <c r="P120" s="74">
        <f>AVERAGE(O120,N120,M120)</f>
        <v>-0.0214647802079072</v>
      </c>
      <c r="Q120" s="73"/>
      <c r="R120" s="36"/>
      <c r="S120" s="36"/>
      <c r="T120" s="36"/>
    </row>
    <row r="121" ht="21.65" customHeight="1">
      <c r="A121" s="127"/>
      <c r="B121" s="128"/>
      <c r="C121" s="129"/>
      <c r="D121" s="130"/>
      <c r="E121" s="131"/>
      <c r="F121" s="131"/>
      <c r="G121" s="131"/>
      <c r="H121" s="131"/>
      <c r="I121" s="131"/>
      <c r="J121" s="131"/>
      <c r="K121" s="132"/>
      <c r="L121" s="132"/>
      <c r="M121" s="132"/>
      <c r="N121" s="132"/>
      <c r="O121" s="132"/>
      <c r="P121" s="132"/>
      <c r="Q121" s="36"/>
      <c r="R121" s="36"/>
      <c r="S121" s="36"/>
      <c r="T121" s="36"/>
    </row>
    <row r="122" ht="21.15" customHeight="1">
      <c r="A122" s="146"/>
      <c r="B122" t="s" s="134">
        <v>57</v>
      </c>
      <c r="C122" s="147"/>
      <c r="D122" s="148"/>
      <c r="E122" s="149"/>
      <c r="F122" s="149"/>
      <c r="G122" s="149"/>
      <c r="H122" s="149"/>
      <c r="I122" s="149"/>
      <c r="J122" s="149"/>
      <c r="K122" s="150">
        <f>K111+K113-K116-K119</f>
        <v>5848.806718978760</v>
      </c>
      <c r="L122" s="150">
        <f>L111+L113-L116-L119</f>
        <v>7857.097016491140</v>
      </c>
      <c r="M122" s="150">
        <f>M111+M113-M116-M119</f>
        <v>6904.875750555950</v>
      </c>
      <c r="N122" s="150">
        <f>N111+N113-N116-N119</f>
        <v>7551.668948227770</v>
      </c>
      <c r="O122" s="150">
        <f>O111+O113-O116-O119</f>
        <v>7757.403987770780</v>
      </c>
      <c r="P122" s="150">
        <f>P111+P113-P116-P119</f>
        <v>7658.598281947150</v>
      </c>
      <c r="Q122" s="36"/>
      <c r="R122" s="36"/>
      <c r="S122" s="36"/>
      <c r="T122" s="36"/>
    </row>
    <row r="123" ht="21.15" customHeight="1">
      <c r="A123" s="127"/>
      <c r="B123" t="s" s="151">
        <v>58</v>
      </c>
      <c r="C123" s="129"/>
      <c r="D123" s="130"/>
      <c r="E123" s="131"/>
      <c r="F123" s="131"/>
      <c r="G123" s="131"/>
      <c r="H123" s="131"/>
      <c r="I123" s="131"/>
      <c r="J123" s="131"/>
      <c r="K123" s="152">
        <f>K122/(1+$C$20)^K96</f>
        <v>5469.5861484076</v>
      </c>
      <c r="L123" s="152">
        <f>L122/(1+$C$20)^L96</f>
        <v>6871.262027738330</v>
      </c>
      <c r="M123" s="152">
        <f>M122/(1+$C$20)^M96</f>
        <v>5646.9957364704</v>
      </c>
      <c r="N123" s="152">
        <f>N122/(1+$C$20)^N96</f>
        <v>5775.528509733570</v>
      </c>
      <c r="O123" s="152">
        <f>O122/(1+$C$20)^O96</f>
        <v>5548.203670615840</v>
      </c>
      <c r="P123" s="152">
        <f>P122/(1+$C$20)^P96</f>
        <v>5122.388024311790</v>
      </c>
      <c r="Q123" s="36"/>
      <c r="R123" s="36"/>
      <c r="S123" s="36"/>
      <c r="T123" s="36"/>
    </row>
    <row r="124" ht="21.15" customHeight="1">
      <c r="A124" s="133"/>
      <c r="B124" s="146"/>
      <c r="C124" s="135"/>
      <c r="D124" s="136"/>
      <c r="E124" s="153"/>
      <c r="F124" s="153"/>
      <c r="G124" s="153"/>
      <c r="H124" s="153"/>
      <c r="I124" s="153"/>
      <c r="J124" s="153"/>
      <c r="K124" s="153"/>
      <c r="L124" s="153"/>
      <c r="M124" s="153"/>
      <c r="N124" s="153"/>
      <c r="O124" s="153"/>
      <c r="P124" s="153"/>
      <c r="Q124" s="36"/>
      <c r="R124" s="36"/>
      <c r="S124" s="36"/>
      <c r="T124" s="36"/>
    </row>
    <row r="125" ht="21" customHeight="1">
      <c r="A125" s="87"/>
      <c r="B125" t="s" s="122">
        <v>59</v>
      </c>
      <c r="C125" s="88"/>
      <c r="D125" s="154"/>
      <c r="E125" s="155"/>
      <c r="F125" s="155"/>
      <c r="G125" s="155"/>
      <c r="H125" s="155"/>
      <c r="I125" s="155"/>
      <c r="J125" s="155"/>
      <c r="K125" s="155"/>
      <c r="L125" s="155"/>
      <c r="M125" s="155"/>
      <c r="N125" s="155"/>
      <c r="O125" s="155"/>
      <c r="P125" s="90">
        <f>P122*(1+C21)/(C20-C21)</f>
        <v>158349.082095188</v>
      </c>
      <c r="Q125" s="36"/>
      <c r="R125" s="36"/>
      <c r="S125" s="36"/>
      <c r="T125" s="36"/>
    </row>
    <row r="126" ht="21" customHeight="1">
      <c r="A126" s="87"/>
      <c r="B126" t="s" s="122">
        <v>60</v>
      </c>
      <c r="C126" s="88"/>
      <c r="D126" s="154"/>
      <c r="E126" s="155"/>
      <c r="F126" s="155"/>
      <c r="G126" s="155"/>
      <c r="H126" s="155"/>
      <c r="I126" s="155"/>
      <c r="J126" s="155"/>
      <c r="K126" s="155"/>
      <c r="L126" s="155"/>
      <c r="M126" s="155"/>
      <c r="N126" s="155"/>
      <c r="O126" s="155"/>
      <c r="P126" s="90">
        <f>P125/(1+C20)^P96</f>
        <v>105910.430593695</v>
      </c>
      <c r="Q126" s="36"/>
      <c r="R126" s="36"/>
      <c r="S126" s="36"/>
      <c r="T126" s="36"/>
    </row>
    <row r="127" ht="21" customHeight="1">
      <c r="A127" s="87"/>
      <c r="B127" s="46"/>
      <c r="C127" s="88"/>
      <c r="D127" s="154"/>
      <c r="E127" s="155"/>
      <c r="F127" s="155"/>
      <c r="G127" s="155"/>
      <c r="H127" s="155"/>
      <c r="I127" s="155"/>
      <c r="J127" s="155"/>
      <c r="K127" s="155"/>
      <c r="L127" s="155"/>
      <c r="M127" s="155"/>
      <c r="N127" s="155"/>
      <c r="O127" s="155"/>
      <c r="P127" s="90"/>
      <c r="Q127" s="36"/>
      <c r="R127" s="36"/>
      <c r="S127" s="36"/>
      <c r="T127" s="36"/>
    </row>
    <row r="128" ht="22" customHeight="1">
      <c r="A128" s="156"/>
      <c r="B128" t="s" s="157">
        <v>61</v>
      </c>
      <c r="C128" s="156"/>
      <c r="D128" s="156"/>
      <c r="E128" s="156"/>
      <c r="F128" s="156"/>
      <c r="G128" s="156"/>
      <c r="H128" s="156"/>
      <c r="I128" s="156"/>
      <c r="J128" s="156"/>
      <c r="K128" s="156"/>
      <c r="L128" s="156"/>
      <c r="M128" s="156"/>
      <c r="N128" s="156"/>
      <c r="O128" s="156"/>
      <c r="P128" s="158">
        <f>SUM(P126,P123,O123,N123,M123,L123,K123)</f>
        <v>140344.394710973</v>
      </c>
      <c r="Q128" s="79"/>
      <c r="R128" s="36"/>
      <c r="S128" s="36"/>
      <c r="T128" s="36"/>
    </row>
    <row r="129" ht="22" customHeight="1">
      <c r="A129" s="159"/>
      <c r="B129" t="s" s="160">
        <v>62</v>
      </c>
      <c r="C129" s="159"/>
      <c r="D129" s="159"/>
      <c r="E129" s="159"/>
      <c r="F129" s="159"/>
      <c r="G129" s="159"/>
      <c r="H129" s="159"/>
      <c r="I129" s="159"/>
      <c r="J129" s="159"/>
      <c r="K129" s="159"/>
      <c r="L129" s="159"/>
      <c r="M129" s="159"/>
      <c r="N129" s="159"/>
      <c r="O129" s="159"/>
      <c r="P129" s="161">
        <f>2980</f>
        <v>2980</v>
      </c>
      <c r="Q129" s="79"/>
      <c r="R129" s="36"/>
      <c r="S129" s="36"/>
      <c r="T129" s="36"/>
    </row>
    <row r="130" ht="22" customHeight="1">
      <c r="A130" s="159"/>
      <c r="B130" t="s" s="160">
        <v>63</v>
      </c>
      <c r="C130" s="159"/>
      <c r="D130" s="159"/>
      <c r="E130" s="159"/>
      <c r="F130" s="159"/>
      <c r="G130" s="159"/>
      <c r="H130" s="159"/>
      <c r="I130" s="159"/>
      <c r="J130" s="159"/>
      <c r="K130" s="159"/>
      <c r="L130" s="159"/>
      <c r="M130" s="159"/>
      <c r="N130" s="159"/>
      <c r="O130" s="159"/>
      <c r="P130" s="162">
        <f>'WACC - WACC'!B14</f>
        <v>17200</v>
      </c>
      <c r="Q130" s="79"/>
      <c r="R130" s="36"/>
      <c r="S130" s="36"/>
      <c r="T130" s="36"/>
    </row>
    <row r="131" ht="22" customHeight="1">
      <c r="A131" s="159"/>
      <c r="B131" t="s" s="160">
        <v>64</v>
      </c>
      <c r="C131" s="159"/>
      <c r="D131" s="159"/>
      <c r="E131" s="159"/>
      <c r="F131" s="159"/>
      <c r="G131" s="159"/>
      <c r="H131" s="159"/>
      <c r="I131" s="159"/>
      <c r="J131" s="159"/>
      <c r="K131" s="159"/>
      <c r="L131" s="159"/>
      <c r="M131" s="159"/>
      <c r="N131" s="159"/>
      <c r="O131" s="159"/>
      <c r="P131" s="161">
        <f>P128+P129-P130</f>
        <v>126124.394710973</v>
      </c>
      <c r="Q131" s="79"/>
      <c r="R131" s="36"/>
      <c r="S131" s="36"/>
      <c r="T131" s="36"/>
    </row>
    <row r="132" ht="22" customHeight="1">
      <c r="A132" s="159"/>
      <c r="B132" t="s" s="160">
        <v>65</v>
      </c>
      <c r="C132" s="159"/>
      <c r="D132" s="159"/>
      <c r="E132" s="159"/>
      <c r="F132" s="159"/>
      <c r="G132" s="159"/>
      <c r="H132" s="159"/>
      <c r="I132" s="159"/>
      <c r="J132" s="159"/>
      <c r="K132" s="159"/>
      <c r="L132" s="159"/>
      <c r="M132" s="159"/>
      <c r="N132" s="159"/>
      <c r="O132" s="159"/>
      <c r="P132" s="163">
        <v>569.603928</v>
      </c>
      <c r="Q132" s="79"/>
      <c r="R132" s="36"/>
      <c r="S132" s="36"/>
      <c r="T132" s="36"/>
    </row>
    <row r="133" ht="22" customHeight="1">
      <c r="A133" s="159"/>
      <c r="B133" t="s" s="160">
        <v>66</v>
      </c>
      <c r="C133" s="159"/>
      <c r="D133" s="159"/>
      <c r="E133" s="159"/>
      <c r="F133" s="159"/>
      <c r="G133" s="159"/>
      <c r="H133" s="159"/>
      <c r="I133" s="159"/>
      <c r="J133" s="159"/>
      <c r="K133" s="159"/>
      <c r="L133" s="159"/>
      <c r="M133" s="159"/>
      <c r="N133" s="159"/>
      <c r="O133" s="159"/>
      <c r="P133" s="163">
        <f>P131/P132</f>
        <v>221.424727799583</v>
      </c>
      <c r="Q133" s="79"/>
      <c r="R133" s="36"/>
      <c r="S133" s="36"/>
      <c r="T133" s="36"/>
    </row>
    <row r="134" ht="22" customHeight="1">
      <c r="A134" s="159"/>
      <c r="B134" s="159"/>
      <c r="C134" s="159"/>
      <c r="D134" s="159"/>
      <c r="E134" s="159"/>
      <c r="F134" s="159"/>
      <c r="G134" s="159"/>
      <c r="H134" s="159"/>
      <c r="I134" s="159"/>
      <c r="J134" s="159"/>
      <c r="K134" s="159"/>
      <c r="L134" s="159"/>
      <c r="M134" s="159"/>
      <c r="N134" s="159"/>
      <c r="O134" s="159"/>
      <c r="P134" s="159"/>
      <c r="Q134" s="79"/>
      <c r="R134" s="36"/>
      <c r="S134" s="36"/>
      <c r="T134" s="36"/>
    </row>
    <row r="135" ht="22" customHeight="1">
      <c r="A135" s="159"/>
      <c r="B135" s="159"/>
      <c r="C135" s="159"/>
      <c r="D135" s="159"/>
      <c r="E135" s="159"/>
      <c r="F135" s="159"/>
      <c r="G135" s="159"/>
      <c r="H135" s="159"/>
      <c r="I135" s="159"/>
      <c r="J135" s="159"/>
      <c r="K135" s="159"/>
      <c r="L135" s="159"/>
      <c r="M135" s="159"/>
      <c r="N135" s="159"/>
      <c r="O135" s="159"/>
      <c r="P135" s="159"/>
      <c r="Q135" s="79"/>
      <c r="R135" s="36"/>
      <c r="S135" s="36"/>
      <c r="T135" s="36"/>
    </row>
  </sheetData>
  <mergeCells count="2">
    <mergeCell ref="A1:T1"/>
    <mergeCell ref="K22:L22"/>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21"/>
  <sheetViews>
    <sheetView workbookViewId="0" showGridLines="0" defaultGridColor="1"/>
  </sheetViews>
  <sheetFormatPr defaultColWidth="16.3333" defaultRowHeight="19.9" customHeight="1" outlineLevelRow="0" outlineLevelCol="0"/>
  <cols>
    <col min="1" max="1" width="21.1875" style="164" customWidth="1"/>
    <col min="2" max="5" width="16.3516" style="164" customWidth="1"/>
    <col min="6" max="256" width="16.3516" style="164" customWidth="1"/>
  </cols>
  <sheetData>
    <row r="1" ht="28.65" customHeight="1">
      <c r="A1" t="s" s="165">
        <v>27</v>
      </c>
      <c r="B1" s="165"/>
      <c r="C1" s="165"/>
      <c r="D1" s="165"/>
      <c r="E1" s="165"/>
    </row>
    <row r="2" ht="19.7" customHeight="1">
      <c r="A2" s="36"/>
      <c r="B2" s="36"/>
      <c r="C2" s="36"/>
      <c r="D2" s="36"/>
      <c r="E2" s="36"/>
    </row>
    <row r="3" ht="22" customHeight="1">
      <c r="A3" t="s" s="166">
        <v>68</v>
      </c>
      <c r="B3" s="36"/>
      <c r="C3" s="36"/>
      <c r="D3" s="36"/>
      <c r="E3" s="36"/>
    </row>
    <row r="4" ht="22" customHeight="1">
      <c r="A4" t="s" s="166">
        <v>69</v>
      </c>
      <c r="B4" s="36"/>
      <c r="C4" s="36"/>
      <c r="D4" s="36"/>
      <c r="E4" s="36"/>
    </row>
    <row r="5" ht="19.7" customHeight="1">
      <c r="A5" s="36"/>
      <c r="B5" s="36"/>
      <c r="C5" s="36"/>
      <c r="D5" s="36"/>
      <c r="E5" s="36"/>
    </row>
    <row r="6" ht="22" customHeight="1">
      <c r="A6" t="s" s="167">
        <v>27</v>
      </c>
      <c r="B6" s="36"/>
      <c r="C6" s="36"/>
      <c r="D6" s="36"/>
      <c r="E6" s="36"/>
    </row>
    <row r="7" ht="19.7" customHeight="1">
      <c r="A7" t="s" s="168">
        <v>70</v>
      </c>
      <c r="B7" s="169">
        <v>63189.503448</v>
      </c>
      <c r="C7" s="36"/>
      <c r="D7" s="36"/>
      <c r="E7" s="36"/>
    </row>
    <row r="8" ht="19.7" customHeight="1">
      <c r="A8" t="s" s="168">
        <v>71</v>
      </c>
      <c r="B8" s="170">
        <f>B7/B19</f>
        <v>0.786041718604148</v>
      </c>
      <c r="C8" s="36"/>
      <c r="D8" s="36"/>
      <c r="E8" s="36"/>
    </row>
    <row r="9" ht="19.7" customHeight="1">
      <c r="A9" t="s" s="168">
        <v>72</v>
      </c>
      <c r="B9" s="171">
        <f>B10+B11*B12</f>
        <v>0.080808</v>
      </c>
      <c r="C9" s="36"/>
      <c r="D9" s="36"/>
      <c r="E9" s="36"/>
    </row>
    <row r="10" ht="19.7" customHeight="1">
      <c r="A10" t="s" s="168">
        <v>73</v>
      </c>
      <c r="B10" s="171">
        <v>0.03408</v>
      </c>
      <c r="C10" s="36"/>
      <c r="D10" s="36"/>
      <c r="E10" s="36"/>
    </row>
    <row r="11" ht="19.7" customHeight="1">
      <c r="A11" t="s" s="168">
        <v>74</v>
      </c>
      <c r="B11" s="172">
        <v>0.99</v>
      </c>
      <c r="C11" s="36"/>
      <c r="D11" s="36"/>
      <c r="E11" s="36"/>
    </row>
    <row r="12" ht="19.7" customHeight="1">
      <c r="A12" t="s" s="173">
        <v>75</v>
      </c>
      <c r="B12" s="171">
        <v>0.0472</v>
      </c>
      <c r="C12" s="36"/>
      <c r="D12" s="36"/>
      <c r="E12" s="36"/>
    </row>
    <row r="13" ht="19.7" customHeight="1">
      <c r="A13" s="174"/>
      <c r="B13" s="36"/>
      <c r="C13" s="36"/>
      <c r="D13" s="36"/>
      <c r="E13" s="36"/>
    </row>
    <row r="14" ht="19.7" customHeight="1">
      <c r="A14" t="s" s="168">
        <v>76</v>
      </c>
      <c r="B14" s="169">
        <v>17200</v>
      </c>
      <c r="C14" s="36"/>
      <c r="D14" s="36"/>
      <c r="E14" s="36"/>
    </row>
    <row r="15" ht="19.7" customHeight="1">
      <c r="A15" t="s" s="168">
        <v>77</v>
      </c>
      <c r="B15" s="175">
        <f>B14/B7</f>
        <v>0.272197106504473</v>
      </c>
      <c r="C15" s="36"/>
      <c r="D15" s="36"/>
      <c r="E15" s="36"/>
    </row>
    <row r="16" ht="19.7" customHeight="1">
      <c r="A16" t="s" s="168">
        <v>78</v>
      </c>
      <c r="B16" s="176">
        <v>0.0267</v>
      </c>
      <c r="C16" s="36"/>
      <c r="D16" s="36"/>
      <c r="E16" s="36"/>
    </row>
    <row r="17" ht="19.7" customHeight="1">
      <c r="A17" t="s" s="168">
        <v>79</v>
      </c>
      <c r="B17" s="177">
        <v>0.2</v>
      </c>
      <c r="C17" s="36"/>
      <c r="D17" s="36"/>
      <c r="E17" s="36"/>
    </row>
    <row r="18" ht="19.7" customHeight="1">
      <c r="A18" s="174"/>
      <c r="B18" s="169"/>
      <c r="C18" s="36"/>
      <c r="D18" s="36"/>
      <c r="E18" s="36"/>
    </row>
    <row r="19" ht="19.7" customHeight="1">
      <c r="A19" t="s" s="168">
        <v>80</v>
      </c>
      <c r="B19" s="169">
        <f>B7+B14</f>
        <v>80389.503448</v>
      </c>
      <c r="C19" s="36"/>
      <c r="D19" s="36"/>
      <c r="E19" s="36"/>
    </row>
    <row r="20" ht="19.7" customHeight="1">
      <c r="A20" s="174"/>
      <c r="B20" s="36"/>
      <c r="C20" t="s" s="178">
        <v>81</v>
      </c>
      <c r="D20" s="36"/>
      <c r="E20" s="36"/>
    </row>
    <row r="21" ht="19.7" customHeight="1">
      <c r="A21" t="s" s="168">
        <v>27</v>
      </c>
      <c r="B21" s="171">
        <f>(B8*B9)+(B15*B16*(1-B17))</f>
        <v>0.0693325893918995</v>
      </c>
      <c r="C21" s="36"/>
      <c r="D21" s="36"/>
      <c r="E21" s="36"/>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