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del - DCF" sheetId="2" r:id="rId5"/>
    <sheet name="WACC - WACC"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<sst xmlns="http://schemas.openxmlformats.org/spreadsheetml/2006/main" uniqueCount="75">
  <si>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</si>
  <si>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</si>
  <si>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</si>
  <si>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</si>
  <si>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Model</t>
  </si>
  <si>
    <t>DCF</t>
  </si>
  <si>
    <t>Model - DCF</t>
  </si>
  <si>
    <t>Ticker</t>
  </si>
  <si>
    <t>ULVR</t>
  </si>
  <si>
    <t>Implied Share Price</t>
  </si>
  <si>
    <t>Date</t>
  </si>
  <si>
    <t xml:space="preserve">Current Share Price </t>
  </si>
  <si>
    <t>Upside (Downside)</t>
  </si>
  <si>
    <t>X</t>
  </si>
  <si>
    <t xml:space="preserve">Assumptions </t>
  </si>
  <si>
    <t>Switches</t>
  </si>
  <si>
    <t>Conservative</t>
  </si>
  <si>
    <t>Street/ Base</t>
  </si>
  <si>
    <t>Optimistic</t>
  </si>
  <si>
    <t>Beauty &amp; Personal Care</t>
  </si>
  <si>
    <t xml:space="preserve">Food &amp; Refreshment </t>
  </si>
  <si>
    <t>Home Care</t>
  </si>
  <si>
    <t>EBIT</t>
  </si>
  <si>
    <t>Step</t>
  </si>
  <si>
    <t>WACC</t>
  </si>
  <si>
    <t>TGV</t>
  </si>
  <si>
    <t>Yahoo Street Estimates</t>
  </si>
  <si>
    <t>Revenue Build</t>
  </si>
  <si>
    <r>
      <rPr>
        <b val="1"/>
        <sz val="11"/>
        <color indexed="8"/>
        <rFont val="Calibri"/>
      </rPr>
      <t>Beauty &amp; Personal Care</t>
    </r>
  </si>
  <si>
    <t xml:space="preserve">% growth </t>
  </si>
  <si>
    <t xml:space="preserve">   Conservative</t>
  </si>
  <si>
    <t xml:space="preserve">   Street/Base Case</t>
  </si>
  <si>
    <t xml:space="preserve">   Optimistic</t>
  </si>
  <si>
    <t>% of Revenue</t>
  </si>
  <si>
    <r>
      <rPr>
        <b val="1"/>
        <sz val="11"/>
        <color indexed="8"/>
        <rFont val="Calibri"/>
      </rPr>
      <t xml:space="preserve">Food &amp; Refreshment </t>
    </r>
  </si>
  <si>
    <r>
      <rPr>
        <b val="1"/>
        <sz val="11"/>
        <color indexed="8"/>
        <rFont val="Calibri"/>
      </rPr>
      <t>Home Care</t>
    </r>
  </si>
  <si>
    <t>Total Revenues</t>
  </si>
  <si>
    <t>Income Statement</t>
  </si>
  <si>
    <t>Revenue</t>
  </si>
  <si>
    <t xml:space="preserve">% of sales </t>
  </si>
  <si>
    <t>Taxes</t>
  </si>
  <si>
    <t>% of EBIT</t>
  </si>
  <si>
    <t>Cash Flow Items</t>
  </si>
  <si>
    <t>D&amp;A</t>
  </si>
  <si>
    <t>% of sales</t>
  </si>
  <si>
    <t>% of CapEx</t>
  </si>
  <si>
    <t>Capital Expenditures</t>
  </si>
  <si>
    <t xml:space="preserve">Net Working Capital </t>
  </si>
  <si>
    <t xml:space="preserve">Change in Net Working Capital </t>
  </si>
  <si>
    <t>% change in sales</t>
  </si>
  <si>
    <t>EBIAT</t>
  </si>
  <si>
    <t>Unlevered Free Cash Flow</t>
  </si>
  <si>
    <t>Present Value of Free Cash Flow</t>
  </si>
  <si>
    <t xml:space="preserve">Terminal Value </t>
  </si>
  <si>
    <t xml:space="preserve">Present Value of Terminal Value </t>
  </si>
  <si>
    <t>Enterprise Value</t>
  </si>
  <si>
    <t xml:space="preserve">(+) Cash </t>
  </si>
  <si>
    <t>(-) Debt</t>
  </si>
  <si>
    <t>Equity Value</t>
  </si>
  <si>
    <t xml:space="preserve">Shares </t>
  </si>
  <si>
    <t xml:space="preserve">Implied Share Price </t>
  </si>
  <si>
    <t>WACC - WACC</t>
  </si>
  <si>
    <t>WACC = % of equity x cost of equity + % of debt x cost of debt x (1-Tax Rate)</t>
  </si>
  <si>
    <t xml:space="preserve">Cost of equity = Risk free rate + Beta x Market Risk Premium </t>
  </si>
  <si>
    <t xml:space="preserve">Market Cap </t>
  </si>
  <si>
    <t>% of equity</t>
  </si>
  <si>
    <t>Cost of Equity</t>
  </si>
  <si>
    <t>Risk Free Rate</t>
  </si>
  <si>
    <t>Beta</t>
  </si>
  <si>
    <t xml:space="preserve">Market Risk Premium </t>
  </si>
  <si>
    <t>Debt</t>
  </si>
  <si>
    <t>% of Debt</t>
  </si>
  <si>
    <t>Cost of Debt</t>
  </si>
  <si>
    <t>Tax Rate</t>
  </si>
  <si>
    <t xml:space="preserve">Total </t>
  </si>
</sst>
</file>

<file path=xl/styles.xml><?xml version="1.0" encoding="utf-8"?>
<styleSheet xmlns="http://schemas.openxmlformats.org/spreadsheetml/2006/main">
  <numFmts count="8">
    <numFmt numFmtId="0" formatCode="General"/>
    <numFmt numFmtId="59" formatCode="[$£-809]0.00"/>
    <numFmt numFmtId="60" formatCode="dd/mm/yyyy"/>
    <numFmt numFmtId="61" formatCode="0%_);\(0%\)"/>
    <numFmt numFmtId="62" formatCode="0.0%_);\(0.0%\)"/>
    <numFmt numFmtId="63" formatCode="0.0%"/>
    <numFmt numFmtId="64" formatCode="#,##0%_);\(#,##0%\)"/>
    <numFmt numFmtId="65" formatCode="0_);\(0\)"/>
  </numFmts>
  <fonts count="18">
    <font>
      <sz val="10"/>
      <color indexed="8"/>
      <name val="Helvetica Neue"/>
    </font>
    <font>
      <sz val="12"/>
      <color indexed="8"/>
      <name val="Helvetica Neue"/>
    </font>
    <font>
      <sz val="14"/>
      <color indexed="8"/>
      <name val="Helvetica Neue"/>
    </font>
    <font>
      <u val="single"/>
      <sz val="12"/>
      <color indexed="11"/>
      <name val="Helvetica Neue"/>
    </font>
    <font>
      <b val="1"/>
      <sz val="14"/>
      <color indexed="8"/>
      <name val="Calibri"/>
    </font>
    <font>
      <sz val="11"/>
      <color indexed="8"/>
      <name val="Calibri"/>
    </font>
    <font>
      <b val="1"/>
      <sz val="11"/>
      <color indexed="8"/>
      <name val="Calibri"/>
    </font>
    <font>
      <sz val="12"/>
      <color indexed="8"/>
      <name val="Calibri"/>
    </font>
    <font>
      <b val="1"/>
      <sz val="11"/>
      <color indexed="15"/>
      <name val="Calibri"/>
    </font>
    <font>
      <i val="1"/>
      <sz val="12"/>
      <color indexed="8"/>
      <name val="Calibri"/>
    </font>
    <font>
      <sz val="11"/>
      <color indexed="17"/>
      <name val="Calibri"/>
    </font>
    <font>
      <i val="1"/>
      <sz val="11"/>
      <color indexed="8"/>
      <name val="Calibri"/>
    </font>
    <font>
      <b val="1"/>
      <i val="1"/>
      <sz val="11"/>
      <color indexed="8"/>
      <name val="Calibri"/>
    </font>
    <font>
      <sz val="11"/>
      <color indexed="18"/>
      <name val="Calibri"/>
    </font>
    <font>
      <b val="1"/>
      <sz val="12"/>
      <color indexed="8"/>
      <name val="Calibri"/>
    </font>
    <font>
      <b val="1"/>
      <sz val="12"/>
      <color indexed="8"/>
      <name val="Helvetica Neue"/>
    </font>
    <font>
      <b val="1"/>
      <sz val="12"/>
      <color indexed="15"/>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4">
    <border>
      <left/>
      <right/>
      <top/>
      <bottom/>
      <diagonal/>
    </border>
    <border>
      <left>
        <color indexed="8"/>
      </left>
      <right>
        <color indexed="8"/>
      </right>
      <top>
        <color indexed="8"/>
      </top>
      <bottom/>
      <diagonal/>
    </border>
    <border>
      <left>
        <color indexed="8"/>
      </left>
      <right/>
      <top/>
      <bottom style="dotted">
        <color indexed="12"/>
      </bottom>
      <diagonal/>
    </border>
    <border>
      <left/>
      <right/>
      <top/>
      <bottom/>
      <diagonal/>
    </border>
    <border>
      <left/>
      <right/>
      <top/>
      <bottom style="hair">
        <color indexed="12"/>
      </bottom>
      <diagonal/>
    </border>
    <border>
      <left>
        <color indexed="8"/>
      </left>
      <right>
        <color indexed="8"/>
      </right>
      <top/>
      <bottom/>
      <diagonal/>
    </border>
    <border>
      <left>
        <color indexed="8"/>
      </left>
      <right style="dotted">
        <color indexed="12"/>
      </right>
      <top/>
      <bottom/>
      <diagonal/>
    </border>
    <border>
      <left style="dotted">
        <color indexed="12"/>
      </left>
      <right style="dotted">
        <color indexed="12"/>
      </right>
      <top style="dotted">
        <color indexed="12"/>
      </top>
      <bottom style="hair">
        <color indexed="12"/>
      </bottom>
      <diagonal/>
    </border>
    <border>
      <left style="dotted">
        <color indexed="12"/>
      </left>
      <right/>
      <top/>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hair">
        <color indexed="12"/>
      </left>
      <right/>
      <top/>
      <bottom/>
      <diagonal/>
    </border>
    <border>
      <left style="dotted">
        <color indexed="12"/>
      </left>
      <right style="dotted">
        <color indexed="12"/>
      </right>
      <top style="hair">
        <color indexed="12"/>
      </top>
      <bottom style="dotted">
        <color indexed="12"/>
      </bottom>
      <diagonal/>
    </border>
    <border>
      <left>
        <color indexed="8"/>
      </left>
      <right/>
      <top style="dotted">
        <color indexed="12"/>
      </top>
      <bottom/>
      <diagonal/>
    </border>
    <border>
      <left/>
      <right/>
      <top style="hair">
        <color indexed="12"/>
      </top>
      <bottom/>
      <diagonal/>
    </border>
    <border>
      <left>
        <color indexed="8"/>
      </left>
      <right/>
      <top/>
      <bottom/>
      <diagonal/>
    </border>
    <border>
      <left/>
      <right/>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dotted">
        <color indexed="12"/>
      </right>
      <top/>
      <bottom/>
      <diagonal/>
    </border>
    <border>
      <left>
        <color indexed="8"/>
      </left>
      <right style="dotted">
        <color indexed="12"/>
      </right>
      <top/>
      <bottom>
        <color indexed="8"/>
      </bottom>
      <diagonal/>
    </border>
    <border>
      <left>
        <color indexed="8"/>
      </left>
      <right>
        <color indexed="8"/>
      </right>
      <top>
        <color indexed="8"/>
      </top>
      <bottom>
        <color indexed="8"/>
      </bottom>
      <diagonal/>
    </border>
    <border>
      <left>
        <color indexed="8"/>
      </left>
      <right/>
      <top style="hair">
        <color indexed="12"/>
      </top>
      <bottom style="dotted">
        <color indexed="12"/>
      </bottom>
      <diagonal/>
    </border>
    <border>
      <left/>
      <right/>
      <top style="hair">
        <color indexed="12"/>
      </top>
      <bottom style="dotted">
        <color indexed="12"/>
      </bottom>
      <diagonal/>
    </border>
    <border>
      <left>
        <color indexed="8"/>
      </left>
      <right style="dotted">
        <color indexed="12"/>
      </right>
      <top>
        <color indexed="8"/>
      </top>
      <bottom>
        <color indexed="8"/>
      </bottom>
      <diagonal/>
    </border>
    <border>
      <left style="dotted">
        <color indexed="12"/>
      </left>
      <right style="dotted">
        <color indexed="12"/>
      </right>
      <top style="hair">
        <color indexed="12"/>
      </top>
      <bottom style="hair">
        <color indexed="12"/>
      </bottom>
      <diagonal/>
    </border>
    <border>
      <left/>
      <right/>
      <top style="dotted">
        <color indexed="12"/>
      </top>
      <bottom/>
      <diagonal/>
    </border>
    <border>
      <left>
        <color indexed="8"/>
      </left>
      <right/>
      <top style="hair">
        <color indexed="12"/>
      </top>
      <bottom/>
      <diagonal/>
    </border>
    <border>
      <left/>
      <right style="dotted">
        <color indexed="12"/>
      </right>
      <top/>
      <bottom/>
      <diagonal/>
    </border>
    <border>
      <left/>
      <right style="dotted">
        <color indexed="12"/>
      </right>
      <top/>
      <bottom>
        <color indexed="8"/>
      </bottom>
      <diagonal/>
    </border>
    <border>
      <left/>
      <right>
        <color indexed="8"/>
      </right>
      <top/>
      <bottom/>
      <diagonal/>
    </border>
    <border>
      <left>
        <color indexed="8"/>
      </left>
      <right>
        <color indexed="8"/>
      </right>
      <top style="dotted">
        <color indexed="12"/>
      </top>
      <bottom>
        <color indexed="8"/>
      </bottom>
      <diagonal/>
    </border>
    <border>
      <left>
        <color indexed="8"/>
      </left>
      <right>
        <color indexed="8"/>
      </right>
      <top/>
      <bottom>
        <color indexed="8"/>
      </bottom>
      <diagonal/>
    </border>
    <border>
      <left>
        <color indexed="8"/>
      </left>
      <right/>
      <top/>
      <bottom>
        <color indexed="8"/>
      </bottom>
      <diagonal/>
    </border>
    <border>
      <left/>
      <right/>
      <top/>
      <bottom>
        <color indexed="8"/>
      </bottom>
      <diagonal/>
    </border>
    <border>
      <left/>
      <right/>
      <top>
        <color indexed="8"/>
      </top>
      <bottom>
        <color indexed="8"/>
      </bottom>
      <diagonal/>
    </border>
    <border>
      <left>
        <color indexed="8"/>
      </left>
      <right/>
      <top>
        <color indexed="8"/>
      </top>
      <bottom>
        <color indexed="8"/>
      </bottom>
      <diagonal/>
    </border>
    <border>
      <left>
        <color indexed="8"/>
      </left>
      <right/>
      <top>
        <color indexed="8"/>
      </top>
      <bottom/>
      <diagonal/>
    </border>
    <border>
      <left/>
      <right/>
      <top>
        <color indexed="8"/>
      </top>
      <bottom/>
      <diagonal/>
    </border>
    <border>
      <left/>
      <right/>
      <top>
        <color indexed="8"/>
      </top>
      <bottom style="dotted">
        <color indexed="12"/>
      </bottom>
      <diagonal/>
    </border>
    <border>
      <left>
        <color indexed="8"/>
      </left>
      <right>
        <color indexed="8"/>
      </right>
      <top/>
      <bottom style="thin">
        <color indexed="12"/>
      </bottom>
      <diagonal/>
    </border>
    <border>
      <left>
        <color indexed="8"/>
      </left>
      <right/>
      <top/>
      <bottom style="thin">
        <color indexed="12"/>
      </bottom>
      <diagonal/>
    </border>
    <border>
      <left/>
      <right/>
      <top/>
      <bottom style="thin">
        <color indexed="12"/>
      </bottom>
      <diagonal/>
    </border>
    <border>
      <left>
        <color indexed="8"/>
      </left>
      <right>
        <color indexed="8"/>
      </right>
      <top style="thin">
        <color indexed="12"/>
      </top>
      <bottom/>
      <diagonal/>
    </border>
    <border>
      <left>
        <color indexed="8"/>
      </left>
      <right/>
      <top style="thin">
        <color indexed="12"/>
      </top>
      <bottom/>
      <diagonal/>
    </border>
    <border>
      <left/>
      <right/>
      <top style="thin">
        <color indexed="12"/>
      </top>
      <bottom/>
      <diagonal/>
    </border>
    <border>
      <left>
        <color indexed="8"/>
      </left>
      <right>
        <color indexed="8"/>
      </right>
      <top>
        <color indexed="8"/>
      </top>
      <bottom style="thin">
        <color indexed="19"/>
      </bottom>
      <diagonal/>
    </border>
    <border>
      <left>
        <color indexed="8"/>
      </left>
      <right/>
      <top/>
      <bottom style="thin">
        <color indexed="19"/>
      </bottom>
      <diagonal/>
    </border>
    <border>
      <left/>
      <right/>
      <top/>
      <bottom style="thin">
        <color indexed="19"/>
      </bottom>
      <diagonal/>
    </border>
    <border>
      <left/>
      <right/>
      <top style="hair">
        <color indexed="12"/>
      </top>
      <bottom style="thin">
        <color indexed="19"/>
      </bottom>
      <diagonal/>
    </border>
    <border>
      <left>
        <color indexed="8"/>
      </left>
      <right>
        <color indexed="8"/>
      </right>
      <top style="thin">
        <color indexed="19"/>
      </top>
      <bottom>
        <color indexed="8"/>
      </bottom>
      <diagonal/>
    </border>
    <border>
      <left>
        <color indexed="8"/>
      </left>
      <right/>
      <top style="thin">
        <color indexed="19"/>
      </top>
      <bottom>
        <color indexed="8"/>
      </bottom>
      <diagonal/>
    </border>
    <border>
      <left/>
      <right/>
      <top style="thin">
        <color indexed="19"/>
      </top>
      <bottom>
        <color indexed="8"/>
      </bottom>
      <diagonal/>
    </border>
    <border>
      <left>
        <color indexed="8"/>
      </left>
      <right/>
      <top style="thin">
        <color indexed="19"/>
      </top>
      <bottom/>
      <diagonal/>
    </border>
    <border>
      <left/>
      <right/>
      <top style="thin">
        <color indexed="19"/>
      </top>
      <bottom/>
      <diagonal/>
    </border>
  </borders>
  <cellStyleXfs count="1">
    <xf numFmtId="0" fontId="0" applyNumberFormat="0" applyFont="1" applyFill="0" applyBorder="0" applyAlignment="1" applyProtection="0">
      <alignment vertical="top" wrapText="1"/>
    </xf>
  </cellStyleXfs>
  <cellXfs count="17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0" fontId="5" borderId="1" applyNumberFormat="0" applyFont="1" applyFill="0" applyBorder="1" applyAlignment="1" applyProtection="0">
      <alignment vertical="top"/>
    </xf>
    <xf numFmtId="0" fontId="6" borderId="1" applyNumberFormat="0" applyFont="1" applyFill="0" applyBorder="1" applyAlignment="1" applyProtection="0">
      <alignment vertical="top"/>
    </xf>
    <xf numFmtId="0" fontId="5" borderId="2" applyNumberFormat="0" applyFont="1" applyFill="0" applyBorder="1" applyAlignment="1" applyProtection="0">
      <alignment vertical="top"/>
    </xf>
    <xf numFmtId="0" fontId="5" borderId="3" applyNumberFormat="0" applyFont="1" applyFill="0" applyBorder="1" applyAlignment="1" applyProtection="0">
      <alignment vertical="top"/>
    </xf>
    <xf numFmtId="0" fontId="5" borderId="4" applyNumberFormat="0" applyFont="1" applyFill="0" applyBorder="1" applyAlignment="1" applyProtection="0">
      <alignment vertical="top"/>
    </xf>
    <xf numFmtId="0" fontId="5" borderId="5" applyNumberFormat="0" applyFont="1" applyFill="0" applyBorder="1" applyAlignment="1" applyProtection="0">
      <alignment vertical="top"/>
    </xf>
    <xf numFmtId="49" fontId="6" borderId="6" applyNumberFormat="1" applyFont="1" applyFill="0" applyBorder="1" applyAlignment="1" applyProtection="0">
      <alignment vertical="top"/>
    </xf>
    <xf numFmtId="49" fontId="5" fillId="4" borderId="7" applyNumberFormat="1" applyFont="1" applyFill="1" applyBorder="1" applyAlignment="1" applyProtection="0">
      <alignment vertical="top"/>
    </xf>
    <xf numFmtId="0" fontId="5" borderId="8" applyNumberFormat="0" applyFont="1" applyFill="0" applyBorder="1" applyAlignment="1" applyProtection="0">
      <alignment vertical="top"/>
    </xf>
    <xf numFmtId="49" fontId="7" borderId="9" applyNumberFormat="1" applyFont="1" applyFill="0" applyBorder="1" applyAlignment="1" applyProtection="0">
      <alignment vertical="top"/>
    </xf>
    <xf numFmtId="59" fontId="7" fillId="5" borderId="10" applyNumberFormat="1" applyFont="1" applyFill="1" applyBorder="1" applyAlignment="1" applyProtection="0">
      <alignment horizontal="right" vertical="top" wrapText="1"/>
    </xf>
    <xf numFmtId="0" fontId="7" borderId="11" applyNumberFormat="0" applyFont="1" applyFill="0" applyBorder="1" applyAlignment="1" applyProtection="0">
      <alignment vertical="top" wrapText="1"/>
    </xf>
    <xf numFmtId="0" fontId="7" borderId="3" applyNumberFormat="0" applyFont="1" applyFill="0" applyBorder="1" applyAlignment="1" applyProtection="0">
      <alignment vertical="top" wrapText="1"/>
    </xf>
    <xf numFmtId="0" fontId="7" borderId="4" applyNumberFormat="0" applyFont="1" applyFill="0" applyBorder="1" applyAlignment="1" applyProtection="0">
      <alignment vertical="top" wrapText="1"/>
    </xf>
    <xf numFmtId="60" fontId="5" fillId="5" borderId="12" applyNumberFormat="1" applyFont="1" applyFill="1" applyBorder="1" applyAlignment="1" applyProtection="0">
      <alignment horizontal="left" vertical="top"/>
    </xf>
    <xf numFmtId="61" fontId="7" fillId="5" borderId="10" applyNumberFormat="1" applyFont="1" applyFill="1" applyBorder="1" applyAlignment="1" applyProtection="0">
      <alignment horizontal="right" vertical="top" wrapText="1"/>
    </xf>
    <xf numFmtId="0" fontId="5" borderId="11" applyNumberFormat="0" applyFont="1" applyFill="0" applyBorder="1" applyAlignment="1" applyProtection="0">
      <alignment vertical="top"/>
    </xf>
    <xf numFmtId="0" fontId="6" borderId="5" applyNumberFormat="0" applyFont="1" applyFill="0" applyBorder="1" applyAlignment="1" applyProtection="0">
      <alignment vertical="top"/>
    </xf>
    <xf numFmtId="0" fontId="5" borderId="13" applyNumberFormat="0" applyFont="1" applyFill="0" applyBorder="1" applyAlignment="1" applyProtection="0">
      <alignment vertical="top"/>
    </xf>
    <xf numFmtId="0" fontId="5" borderId="14" applyNumberFormat="0" applyFont="1" applyFill="0" applyBorder="1" applyAlignment="1" applyProtection="0">
      <alignment vertical="top"/>
    </xf>
    <xf numFmtId="0" fontId="5" borderId="15" applyNumberFormat="0" applyFont="1" applyFill="0" applyBorder="1" applyAlignment="1" applyProtection="0">
      <alignment vertical="top"/>
    </xf>
    <xf numFmtId="49" fontId="5" borderId="5" applyNumberFormat="1" applyFont="1" applyFill="0" applyBorder="1" applyAlignment="1" applyProtection="0">
      <alignment vertical="top"/>
    </xf>
    <xf numFmtId="49" fontId="8" fillId="6" borderId="5" applyNumberFormat="1" applyFont="1" applyFill="1" applyBorder="1" applyAlignment="1" applyProtection="0">
      <alignment vertical="top"/>
    </xf>
    <xf numFmtId="0" fontId="8" fillId="6" borderId="5" applyNumberFormat="0" applyFont="1" applyFill="1" applyBorder="1" applyAlignment="1" applyProtection="0">
      <alignment vertical="top"/>
    </xf>
    <xf numFmtId="0" fontId="8" fillId="6" borderId="15" applyNumberFormat="0" applyFont="1" applyFill="1" applyBorder="1" applyAlignment="1" applyProtection="0">
      <alignment vertical="top"/>
    </xf>
    <xf numFmtId="0" fontId="8" fillId="6" borderId="3" applyNumberFormat="0" applyFont="1" applyFill="1" applyBorder="1" applyAlignment="1" applyProtection="0">
      <alignment vertical="top"/>
    </xf>
    <xf numFmtId="49" fontId="6" borderId="5" applyNumberFormat="1" applyFont="1" applyFill="0" applyBorder="1" applyAlignment="1" applyProtection="0">
      <alignment vertical="top"/>
    </xf>
    <xf numFmtId="49" fontId="6" borderId="16" applyNumberFormat="1" applyFont="1" applyFill="0" applyBorder="1" applyAlignment="1" applyProtection="0">
      <alignment vertical="top"/>
    </xf>
    <xf numFmtId="0" fontId="0" borderId="3" applyNumberFormat="0" applyFont="1" applyFill="0" applyBorder="1" applyAlignment="1" applyProtection="0">
      <alignment vertical="top" wrapText="1"/>
    </xf>
    <xf numFmtId="0" fontId="5" fillId="4" borderId="17" applyNumberFormat="1" applyFont="1" applyFill="1" applyBorder="1" applyAlignment="1" applyProtection="0">
      <alignment vertical="top"/>
    </xf>
    <xf numFmtId="0" fontId="5" borderId="18" applyNumberFormat="0" applyFont="1" applyFill="0" applyBorder="1" applyAlignment="1" applyProtection="0">
      <alignment vertical="top"/>
    </xf>
    <xf numFmtId="62" fontId="5" fillId="4" borderId="17" applyNumberFormat="1" applyFont="1" applyFill="1" applyBorder="1" applyAlignment="1" applyProtection="0">
      <alignment vertical="top"/>
    </xf>
    <xf numFmtId="61" fontId="5" borderId="18" applyNumberFormat="1" applyFont="1" applyFill="0" applyBorder="1" applyAlignment="1" applyProtection="0">
      <alignment vertical="top"/>
    </xf>
    <xf numFmtId="61" fontId="5" fillId="4" borderId="17" applyNumberFormat="1" applyFont="1" applyFill="1" applyBorder="1" applyAlignment="1" applyProtection="0">
      <alignment vertical="top"/>
    </xf>
    <xf numFmtId="63" fontId="5" fillId="4" borderId="17" applyNumberFormat="1" applyFont="1" applyFill="1" applyBorder="1" applyAlignment="1" applyProtection="0">
      <alignment vertical="top"/>
    </xf>
    <xf numFmtId="49" fontId="6" borderId="19" applyNumberFormat="1" applyFont="1" applyFill="0" applyBorder="1" applyAlignment="1" applyProtection="0">
      <alignment vertical="top"/>
    </xf>
    <xf numFmtId="0" fontId="5" fillId="4" borderId="7" applyNumberFormat="1" applyFont="1" applyFill="1" applyBorder="1" applyAlignment="1" applyProtection="0">
      <alignment vertical="top"/>
    </xf>
    <xf numFmtId="63" fontId="5" fillId="4" borderId="7" applyNumberFormat="1" applyFont="1" applyFill="1" applyBorder="1" applyAlignment="1" applyProtection="0">
      <alignment vertical="top"/>
    </xf>
    <xf numFmtId="61" fontId="5" fillId="4" borderId="7" applyNumberFormat="1" applyFont="1" applyFill="1" applyBorder="1" applyAlignment="1" applyProtection="0">
      <alignment vertical="top"/>
    </xf>
    <xf numFmtId="0" fontId="6" borderId="20" applyNumberFormat="0" applyFont="1" applyFill="0" applyBorder="1" applyAlignment="1" applyProtection="0">
      <alignment vertical="top"/>
    </xf>
    <xf numFmtId="0" fontId="5" borderId="21" applyNumberFormat="0" applyFont="1" applyFill="0" applyBorder="1" applyAlignment="1" applyProtection="0">
      <alignment vertical="top"/>
    </xf>
    <xf numFmtId="9" fontId="5" borderId="22" applyNumberFormat="1" applyFont="1" applyFill="0" applyBorder="1" applyAlignment="1" applyProtection="0">
      <alignment vertical="top"/>
    </xf>
    <xf numFmtId="49" fontId="6" borderId="23" applyNumberFormat="1" applyFont="1" applyFill="0" applyBorder="1" applyAlignment="1" applyProtection="0">
      <alignment vertical="top"/>
    </xf>
    <xf numFmtId="9" fontId="5" fillId="4" borderId="17" applyNumberFormat="1" applyFont="1" applyFill="1" applyBorder="1" applyAlignment="1" applyProtection="0">
      <alignment vertical="top"/>
    </xf>
    <xf numFmtId="49" fontId="7" borderId="16" applyNumberFormat="1" applyFont="1" applyFill="0" applyBorder="1" applyAlignment="1" applyProtection="0">
      <alignment vertical="top" wrapText="1"/>
    </xf>
    <xf numFmtId="10" fontId="5" fillId="4" borderId="7" applyNumberFormat="1" applyFont="1" applyFill="1" applyBorder="1" applyAlignment="1" applyProtection="0">
      <alignment vertical="top"/>
    </xf>
    <xf numFmtId="10" fontId="5" fillId="4" borderId="17" applyNumberFormat="1" applyFont="1" applyFill="1" applyBorder="1" applyAlignment="1" applyProtection="0">
      <alignment vertical="top"/>
    </xf>
    <xf numFmtId="10" fontId="9" fillId="5" borderId="17" applyNumberFormat="1" applyFont="1" applyFill="1" applyBorder="1" applyAlignment="1" applyProtection="0">
      <alignment horizontal="center" vertical="top" wrapText="1"/>
    </xf>
    <xf numFmtId="63" fontId="5" fillId="4" borderId="24" applyNumberFormat="1" applyFont="1" applyFill="1" applyBorder="1" applyAlignment="1" applyProtection="0">
      <alignment vertical="top"/>
    </xf>
    <xf numFmtId="9" fontId="5" fillId="4" borderId="7" applyNumberFormat="1" applyFont="1" applyFill="1" applyBorder="1" applyAlignment="1" applyProtection="0">
      <alignment vertical="top"/>
    </xf>
    <xf numFmtId="0" fontId="5" borderId="25" applyNumberFormat="0" applyFont="1" applyFill="0" applyBorder="1" applyAlignment="1" applyProtection="0">
      <alignment vertical="top"/>
    </xf>
    <xf numFmtId="0" fontId="5" borderId="26" applyNumberFormat="0" applyFont="1" applyFill="0" applyBorder="1" applyAlignment="1" applyProtection="0">
      <alignment vertical="top"/>
    </xf>
    <xf numFmtId="49" fontId="5" borderId="3" applyNumberFormat="1" applyFont="1" applyFill="0" applyBorder="1" applyAlignment="1" applyProtection="0">
      <alignment horizontal="center" vertical="top"/>
    </xf>
    <xf numFmtId="0" fontId="8" fillId="6" borderId="15" applyNumberFormat="1" applyFont="1" applyFill="1" applyBorder="1" applyAlignment="1" applyProtection="0">
      <alignment vertical="top"/>
    </xf>
    <xf numFmtId="0" fontId="8" fillId="6" borderId="3" applyNumberFormat="1" applyFont="1" applyFill="1" applyBorder="1" applyAlignment="1" applyProtection="0">
      <alignment vertical="top"/>
    </xf>
    <xf numFmtId="37" fontId="5" borderId="3" applyNumberFormat="1" applyFont="1" applyFill="0" applyBorder="1" applyAlignment="1" applyProtection="0">
      <alignment vertical="top"/>
    </xf>
    <xf numFmtId="0" fontId="5" borderId="3" applyNumberFormat="0" applyFont="1" applyFill="0" applyBorder="1" applyAlignment="1" applyProtection="0">
      <alignment vertical="top" wrapText="1"/>
    </xf>
    <xf numFmtId="37" fontId="10" borderId="3" applyNumberFormat="1" applyFont="1" applyFill="0" applyBorder="1" applyAlignment="1" applyProtection="0">
      <alignment vertical="top"/>
    </xf>
    <xf numFmtId="0" fontId="11" borderId="5" applyNumberFormat="0" applyFont="1" applyFill="0" applyBorder="1" applyAlignment="1" applyProtection="0">
      <alignment vertical="top"/>
    </xf>
    <xf numFmtId="49" fontId="12" borderId="5" applyNumberFormat="1" applyFont="1" applyFill="0" applyBorder="1" applyAlignment="1" applyProtection="0">
      <alignment vertical="top"/>
    </xf>
    <xf numFmtId="0" fontId="11" borderId="15" applyNumberFormat="0" applyFont="1" applyFill="0" applyBorder="1" applyAlignment="1" applyProtection="0">
      <alignment vertical="top"/>
    </xf>
    <xf numFmtId="0" fontId="11" borderId="3" applyNumberFormat="0" applyFont="1" applyFill="0" applyBorder="1" applyAlignment="1" applyProtection="0">
      <alignment vertical="top"/>
    </xf>
    <xf numFmtId="64" fontId="11" borderId="3" applyNumberFormat="1" applyFont="1" applyFill="0" applyBorder="1" applyAlignment="1" applyProtection="0">
      <alignment vertical="top"/>
    </xf>
    <xf numFmtId="64" fontId="11" borderId="16" applyNumberFormat="1" applyFont="1" applyFill="0" applyBorder="1" applyAlignment="1" applyProtection="0">
      <alignment vertical="top"/>
    </xf>
    <xf numFmtId="37" fontId="10" borderId="27" applyNumberFormat="1" applyFont="1" applyFill="0" applyBorder="1" applyAlignment="1" applyProtection="0">
      <alignment vertical="top"/>
    </xf>
    <xf numFmtId="61" fontId="11" fillId="4" borderId="17" applyNumberFormat="1" applyFont="1" applyFill="1" applyBorder="1" applyAlignment="1" applyProtection="0">
      <alignment vertical="top"/>
    </xf>
    <xf numFmtId="0" fontId="0" borderId="8" applyNumberFormat="0" applyFont="1" applyFill="0" applyBorder="1" applyAlignment="1" applyProtection="0">
      <alignment vertical="top" wrapText="1"/>
    </xf>
    <xf numFmtId="61" fontId="11" fillId="4" borderId="7" applyNumberFormat="1" applyFont="1" applyFill="1" applyBorder="1" applyAlignment="1" applyProtection="0">
      <alignment vertical="top"/>
    </xf>
    <xf numFmtId="37" fontId="10" borderId="28" applyNumberFormat="1" applyFont="1" applyFill="0" applyBorder="1" applyAlignment="1" applyProtection="0">
      <alignment vertical="top"/>
    </xf>
    <xf numFmtId="61" fontId="11" fillId="4" borderId="12" applyNumberFormat="1" applyFont="1" applyFill="1" applyBorder="1" applyAlignment="1" applyProtection="0">
      <alignment vertical="top"/>
    </xf>
    <xf numFmtId="64" fontId="11" borderId="29" applyNumberFormat="1" applyFont="1" applyFill="0" applyBorder="1" applyAlignment="1" applyProtection="0">
      <alignment vertical="top"/>
    </xf>
    <xf numFmtId="64" fontId="11" borderId="20" applyNumberFormat="1" applyFont="1" applyFill="0" applyBorder="1" applyAlignment="1" applyProtection="0">
      <alignment vertical="top"/>
    </xf>
    <xf numFmtId="61" fontId="11" borderId="30" applyNumberFormat="1" applyFont="1" applyFill="0" applyBorder="1" applyAlignment="1" applyProtection="0">
      <alignment vertical="top"/>
    </xf>
    <xf numFmtId="0" fontId="0" borderId="15" applyNumberFormat="0" applyFont="1" applyFill="0" applyBorder="1" applyAlignment="1" applyProtection="0">
      <alignment vertical="top" wrapText="1"/>
    </xf>
    <xf numFmtId="0" fontId="11" borderId="31" applyNumberFormat="0" applyFont="1" applyFill="0" applyBorder="1" applyAlignment="1" applyProtection="0">
      <alignment vertical="top"/>
    </xf>
    <xf numFmtId="0" fontId="12" borderId="5" applyNumberFormat="0" applyFont="1" applyFill="0" applyBorder="1" applyAlignment="1" applyProtection="0">
      <alignment vertical="top"/>
    </xf>
    <xf numFmtId="0" fontId="11" borderId="32" applyNumberFormat="0" applyFont="1" applyFill="0" applyBorder="1" applyAlignment="1" applyProtection="0">
      <alignment vertical="top"/>
    </xf>
    <xf numFmtId="0" fontId="11" borderId="33" applyNumberFormat="0" applyFont="1" applyFill="0" applyBorder="1" applyAlignment="1" applyProtection="0">
      <alignment vertical="top"/>
    </xf>
    <xf numFmtId="37" fontId="11" borderId="33" applyNumberFormat="1" applyFont="1" applyFill="0" applyBorder="1" applyAlignment="1" applyProtection="0">
      <alignment vertical="top"/>
    </xf>
    <xf numFmtId="64" fontId="11" borderId="33" applyNumberFormat="1" applyFont="1" applyFill="0" applyBorder="1" applyAlignment="1" applyProtection="0">
      <alignment vertical="top"/>
    </xf>
    <xf numFmtId="64" fontId="11" borderId="34" applyNumberFormat="1" applyFont="1" applyFill="0" applyBorder="1" applyAlignment="1" applyProtection="0">
      <alignment vertical="top"/>
    </xf>
    <xf numFmtId="0" fontId="5" borderId="20" applyNumberFormat="0" applyFont="1" applyFill="0" applyBorder="1" applyAlignment="1" applyProtection="0">
      <alignment vertical="top"/>
    </xf>
    <xf numFmtId="0" fontId="5" borderId="35" applyNumberFormat="0" applyFont="1" applyFill="0" applyBorder="1" applyAlignment="1" applyProtection="0">
      <alignment vertical="top"/>
    </xf>
    <xf numFmtId="37" fontId="10" borderId="34" applyNumberFormat="1" applyFont="1" applyFill="0" applyBorder="1" applyAlignment="1" applyProtection="0">
      <alignment vertical="top"/>
    </xf>
    <xf numFmtId="37" fontId="5" borderId="34" applyNumberFormat="1" applyFont="1" applyFill="0" applyBorder="1" applyAlignment="1" applyProtection="0">
      <alignment vertical="top"/>
    </xf>
    <xf numFmtId="0" fontId="11" borderId="1" applyNumberFormat="0" applyFont="1" applyFill="0" applyBorder="1" applyAlignment="1" applyProtection="0">
      <alignment vertical="top"/>
    </xf>
    <xf numFmtId="0" fontId="11" borderId="36" applyNumberFormat="0" applyFont="1" applyFill="0" applyBorder="1" applyAlignment="1" applyProtection="0">
      <alignment vertical="top"/>
    </xf>
    <xf numFmtId="0" fontId="11" borderId="37" applyNumberFormat="0" applyFont="1" applyFill="0" applyBorder="1" applyAlignment="1" applyProtection="0">
      <alignment vertical="top"/>
    </xf>
    <xf numFmtId="64" fontId="11" borderId="37" applyNumberFormat="1" applyFont="1" applyFill="0" applyBorder="1" applyAlignment="1" applyProtection="0">
      <alignment vertical="top"/>
    </xf>
    <xf numFmtId="64" fontId="11" borderId="38" applyNumberFormat="1" applyFont="1" applyFill="0" applyBorder="1" applyAlignment="1" applyProtection="0">
      <alignment vertical="top"/>
    </xf>
    <xf numFmtId="61" fontId="11" fillId="4" borderId="24" applyNumberFormat="1" applyFont="1" applyFill="1" applyBorder="1" applyAlignment="1" applyProtection="0">
      <alignment vertical="top"/>
    </xf>
    <xf numFmtId="64" fontId="11" borderId="14" applyNumberFormat="1" applyFont="1" applyFill="0" applyBorder="1" applyAlignment="1" applyProtection="0">
      <alignment vertical="top"/>
    </xf>
    <xf numFmtId="37" fontId="10" borderId="35" applyNumberFormat="1" applyFont="1" applyFill="0" applyBorder="1" applyAlignment="1" applyProtection="0">
      <alignment vertical="top"/>
    </xf>
    <xf numFmtId="0" fontId="11" borderId="39" applyNumberFormat="0" applyFont="1" applyFill="0" applyBorder="1" applyAlignment="1" applyProtection="0">
      <alignment vertical="top"/>
    </xf>
    <xf numFmtId="0" fontId="6" borderId="39" applyNumberFormat="0" applyFont="1" applyFill="0" applyBorder="1" applyAlignment="1" applyProtection="0">
      <alignment vertical="top"/>
    </xf>
    <xf numFmtId="0" fontId="11" borderId="40" applyNumberFormat="0" applyFont="1" applyFill="0" applyBorder="1" applyAlignment="1" applyProtection="0">
      <alignment vertical="top"/>
    </xf>
    <xf numFmtId="64" fontId="11" borderId="41" applyNumberFormat="1" applyFont="1" applyFill="0" applyBorder="1" applyAlignment="1" applyProtection="0">
      <alignment vertical="top"/>
    </xf>
    <xf numFmtId="0" fontId="6" borderId="42" applyNumberFormat="0" applyFont="1" applyFill="0" applyBorder="1" applyAlignment="1" applyProtection="0">
      <alignment vertical="top"/>
    </xf>
    <xf numFmtId="49" fontId="6" borderId="42" applyNumberFormat="1" applyFont="1" applyFill="0" applyBorder="1" applyAlignment="1" applyProtection="0">
      <alignment vertical="top"/>
    </xf>
    <xf numFmtId="0" fontId="6" borderId="43" applyNumberFormat="0" applyFont="1" applyFill="0" applyBorder="1" applyAlignment="1" applyProtection="0">
      <alignment vertical="top"/>
    </xf>
    <xf numFmtId="37" fontId="6" borderId="44" applyNumberFormat="1" applyFont="1" applyFill="0" applyBorder="1" applyAlignment="1" applyProtection="0">
      <alignment vertical="top"/>
    </xf>
    <xf numFmtId="64" fontId="12" borderId="3" applyNumberFormat="1" applyFont="1" applyFill="0" applyBorder="1" applyAlignment="1" applyProtection="0">
      <alignment vertical="top"/>
    </xf>
    <xf numFmtId="0" fontId="8" borderId="3" applyNumberFormat="0" applyFont="1" applyFill="0" applyBorder="1" applyAlignment="1" applyProtection="0">
      <alignment vertical="top"/>
    </xf>
    <xf numFmtId="37" fontId="13" borderId="3" applyNumberFormat="1" applyFont="1" applyFill="0" applyBorder="1" applyAlignment="1" applyProtection="0">
      <alignment vertical="top"/>
    </xf>
    <xf numFmtId="0" fontId="13" borderId="3" applyNumberFormat="0" applyFont="1" applyFill="0" applyBorder="1" applyAlignment="1" applyProtection="0">
      <alignment vertical="top"/>
    </xf>
    <xf numFmtId="3" fontId="5" borderId="3" applyNumberFormat="1" applyFont="1" applyFill="0" applyBorder="1" applyAlignment="1" applyProtection="0">
      <alignment vertical="top"/>
    </xf>
    <xf numFmtId="0" fontId="5" borderId="31" applyNumberFormat="0" applyFont="1" applyFill="0" applyBorder="1" applyAlignment="1" applyProtection="0">
      <alignment vertical="top"/>
    </xf>
    <xf numFmtId="0" fontId="6" borderId="31" applyNumberFormat="0" applyFont="1" applyFill="0" applyBorder="1" applyAlignment="1" applyProtection="0">
      <alignment vertical="top"/>
    </xf>
    <xf numFmtId="9" fontId="5" borderId="3" applyNumberFormat="1" applyFont="1" applyFill="0" applyBorder="1" applyAlignment="1" applyProtection="0">
      <alignment vertical="top"/>
    </xf>
    <xf numFmtId="49" fontId="6" borderId="1" applyNumberFormat="1" applyFont="1" applyFill="0" applyBorder="1" applyAlignment="1" applyProtection="0">
      <alignment vertical="top"/>
    </xf>
    <xf numFmtId="3" fontId="10" borderId="3" applyNumberFormat="1" applyFont="1" applyFill="0" applyBorder="1" applyAlignment="1" applyProtection="0">
      <alignment vertical="top"/>
    </xf>
    <xf numFmtId="49" fontId="12" borderId="31" applyNumberFormat="1" applyFont="1" applyFill="0" applyBorder="1" applyAlignment="1" applyProtection="0">
      <alignment vertical="top"/>
    </xf>
    <xf numFmtId="64" fontId="5" borderId="3" applyNumberFormat="1" applyFont="1" applyFill="0" applyBorder="1" applyAlignment="1" applyProtection="0">
      <alignment vertical="top"/>
    </xf>
    <xf numFmtId="49" fontId="5" borderId="1" applyNumberFormat="1" applyFont="1" applyFill="0" applyBorder="1" applyAlignment="1" applyProtection="0">
      <alignment vertical="top"/>
    </xf>
    <xf numFmtId="49" fontId="8" fillId="6" borderId="1" applyNumberFormat="1" applyFont="1" applyFill="1" applyBorder="1" applyAlignment="1" applyProtection="0">
      <alignment vertical="top"/>
    </xf>
    <xf numFmtId="49" fontId="6" borderId="20" applyNumberFormat="1" applyFont="1" applyFill="0" applyBorder="1" applyAlignment="1" applyProtection="0">
      <alignment vertical="top"/>
    </xf>
    <xf numFmtId="0" fontId="11" borderId="20" applyNumberFormat="0" applyFont="1" applyFill="0" applyBorder="1" applyAlignment="1" applyProtection="0">
      <alignment vertical="top"/>
    </xf>
    <xf numFmtId="49" fontId="12" borderId="20" applyNumberFormat="1" applyFont="1" applyFill="0" applyBorder="1" applyAlignment="1" applyProtection="0">
      <alignment vertical="top"/>
    </xf>
    <xf numFmtId="64" fontId="5" borderId="14" applyNumberFormat="1" applyFont="1" applyFill="0" applyBorder="1" applyAlignment="1" applyProtection="0">
      <alignment vertical="top"/>
    </xf>
    <xf numFmtId="3" fontId="5" borderId="16" applyNumberFormat="1" applyFont="1" applyFill="0" applyBorder="1" applyAlignment="1" applyProtection="0">
      <alignment vertical="top"/>
    </xf>
    <xf numFmtId="64" fontId="11" borderId="27" applyNumberFormat="1" applyFont="1" applyFill="0" applyBorder="1" applyAlignment="1" applyProtection="0">
      <alignment vertical="top"/>
    </xf>
    <xf numFmtId="0" fontId="5" borderId="45" applyNumberFormat="0" applyFont="1" applyFill="0" applyBorder="1" applyAlignment="1" applyProtection="0">
      <alignment vertical="top"/>
    </xf>
    <xf numFmtId="0" fontId="6" borderId="45" applyNumberFormat="0" applyFont="1" applyFill="0" applyBorder="1" applyAlignment="1" applyProtection="0">
      <alignment vertical="top"/>
    </xf>
    <xf numFmtId="0" fontId="5" borderId="46" applyNumberFormat="0" applyFont="1" applyFill="0" applyBorder="1" applyAlignment="1" applyProtection="0">
      <alignment vertical="top"/>
    </xf>
    <xf numFmtId="0" fontId="5" borderId="47" applyNumberFormat="0" applyFont="1" applyFill="0" applyBorder="1" applyAlignment="1" applyProtection="0">
      <alignment vertical="top"/>
    </xf>
    <xf numFmtId="64" fontId="5" borderId="47" applyNumberFormat="1" applyFont="1" applyFill="0" applyBorder="1" applyAlignment="1" applyProtection="0">
      <alignment vertical="top"/>
    </xf>
    <xf numFmtId="64" fontId="5" borderId="48" applyNumberFormat="1" applyFont="1" applyFill="0" applyBorder="1" applyAlignment="1" applyProtection="0">
      <alignment vertical="top"/>
    </xf>
    <xf numFmtId="0" fontId="5" borderId="49" applyNumberFormat="0" applyFont="1" applyFill="0" applyBorder="1" applyAlignment="1" applyProtection="0">
      <alignment vertical="top"/>
    </xf>
    <xf numFmtId="49" fontId="6" borderId="49" applyNumberFormat="1" applyFont="1" applyFill="0" applyBorder="1" applyAlignment="1" applyProtection="0">
      <alignment vertical="top"/>
    </xf>
    <xf numFmtId="0" fontId="5" borderId="50" applyNumberFormat="0" applyFont="1" applyFill="0" applyBorder="1" applyAlignment="1" applyProtection="0">
      <alignment vertical="top"/>
    </xf>
    <xf numFmtId="0" fontId="5" borderId="51" applyNumberFormat="0" applyFont="1" applyFill="0" applyBorder="1" applyAlignment="1" applyProtection="0">
      <alignment vertical="top"/>
    </xf>
    <xf numFmtId="37" fontId="6" borderId="51" applyNumberFormat="1" applyFont="1" applyFill="0" applyBorder="1" applyAlignment="1" applyProtection="0">
      <alignment vertical="top"/>
    </xf>
    <xf numFmtId="0" fontId="5" borderId="36" applyNumberFormat="0" applyFont="1" applyFill="0" applyBorder="1" applyAlignment="1" applyProtection="0">
      <alignment vertical="top"/>
    </xf>
    <xf numFmtId="0" fontId="5" borderId="37" applyNumberFormat="0" applyFont="1" applyFill="0" applyBorder="1" applyAlignment="1" applyProtection="0">
      <alignment vertical="top"/>
    </xf>
    <xf numFmtId="64" fontId="5" borderId="37" applyNumberFormat="1" applyFont="1" applyFill="0" applyBorder="1" applyAlignment="1" applyProtection="0">
      <alignment vertical="top"/>
    </xf>
    <xf numFmtId="65" fontId="5" borderId="16" applyNumberFormat="1" applyFont="1" applyFill="0" applyBorder="1" applyAlignment="1" applyProtection="0">
      <alignment vertical="top"/>
    </xf>
    <xf numFmtId="49" fontId="12" borderId="1" applyNumberFormat="1" applyFont="1" applyFill="0" applyBorder="1" applyAlignment="1" applyProtection="0">
      <alignment vertical="top"/>
    </xf>
    <xf numFmtId="64" fontId="5" borderId="27" applyNumberFormat="1" applyFont="1" applyFill="0" applyBorder="1" applyAlignment="1" applyProtection="0">
      <alignment vertical="top"/>
    </xf>
    <xf numFmtId="37" fontId="5" borderId="16" applyNumberFormat="1" applyFont="1" applyFill="0" applyBorder="1" applyAlignment="1" applyProtection="0">
      <alignment vertical="top"/>
    </xf>
    <xf numFmtId="0" fontId="6" borderId="49" applyNumberFormat="0" applyFont="1" applyFill="0" applyBorder="1" applyAlignment="1" applyProtection="0">
      <alignment vertical="top"/>
    </xf>
    <xf numFmtId="0" fontId="6" borderId="52" applyNumberFormat="0" applyFont="1" applyFill="0" applyBorder="1" applyAlignment="1" applyProtection="0">
      <alignment vertical="top"/>
    </xf>
    <xf numFmtId="0" fontId="6" borderId="53" applyNumberFormat="0" applyFont="1" applyFill="0" applyBorder="1" applyAlignment="1" applyProtection="0">
      <alignment vertical="top"/>
    </xf>
    <xf numFmtId="64" fontId="6" borderId="53" applyNumberFormat="1" applyFont="1" applyFill="0" applyBorder="1" applyAlignment="1" applyProtection="0">
      <alignment vertical="top"/>
    </xf>
    <xf numFmtId="37" fontId="6" borderId="53" applyNumberFormat="1" applyFont="1" applyFill="0" applyBorder="1" applyAlignment="1" applyProtection="0">
      <alignment vertical="top"/>
    </xf>
    <xf numFmtId="49" fontId="6" borderId="45" applyNumberFormat="1" applyFont="1" applyFill="0" applyBorder="1" applyAlignment="1" applyProtection="0">
      <alignment vertical="top"/>
    </xf>
    <xf numFmtId="37" fontId="5" borderId="47" applyNumberFormat="1" applyFont="1" applyFill="0" applyBorder="1" applyAlignment="1" applyProtection="0">
      <alignment vertical="top"/>
    </xf>
    <xf numFmtId="64" fontId="5" borderId="51" applyNumberFormat="1" applyFont="1" applyFill="0" applyBorder="1" applyAlignment="1" applyProtection="0">
      <alignment vertical="top"/>
    </xf>
    <xf numFmtId="0" fontId="5" borderId="34" applyNumberFormat="0" applyFont="1" applyFill="0" applyBorder="1" applyAlignment="1" applyProtection="0">
      <alignment vertical="top"/>
    </xf>
    <xf numFmtId="64" fontId="5" borderId="34" applyNumberFormat="1" applyFont="1" applyFill="0" applyBorder="1" applyAlignment="1" applyProtection="0">
      <alignment vertical="top"/>
    </xf>
    <xf numFmtId="0" fontId="14" borderId="1" applyNumberFormat="0" applyFont="1" applyFill="0" applyBorder="1" applyAlignment="1" applyProtection="0">
      <alignment vertical="top"/>
    </xf>
    <xf numFmtId="49" fontId="14" borderId="1" applyNumberFormat="1" applyFont="1" applyFill="0" applyBorder="1" applyAlignment="1" applyProtection="0">
      <alignment vertical="top"/>
    </xf>
    <xf numFmtId="37" fontId="14" borderId="1" applyNumberFormat="1" applyFont="1" applyFill="0" applyBorder="1" applyAlignment="1" applyProtection="0">
      <alignment vertical="top"/>
    </xf>
    <xf numFmtId="0" fontId="14" borderId="5" applyNumberFormat="0" applyFont="1" applyFill="0" applyBorder="1" applyAlignment="1" applyProtection="0">
      <alignment vertical="top"/>
    </xf>
    <xf numFmtId="49" fontId="14" borderId="5" applyNumberFormat="1" applyFont="1" applyFill="0" applyBorder="1" applyAlignment="1" applyProtection="0">
      <alignment vertical="top"/>
    </xf>
    <xf numFmtId="3" fontId="14" borderId="5" applyNumberFormat="1" applyFont="1" applyFill="0" applyBorder="1" applyAlignment="1" applyProtection="0">
      <alignment vertical="top"/>
    </xf>
    <xf numFmtId="37" fontId="14"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15" applyNumberFormat="0" applyFont="1" applyFill="0" applyBorder="0" applyAlignment="1" applyProtection="0">
      <alignment horizontal="left" vertical="center"/>
    </xf>
    <xf numFmtId="49" fontId="7" borderId="3" applyNumberFormat="1" applyFont="1" applyFill="0" applyBorder="1" applyAlignment="1" applyProtection="0">
      <alignment vertical="top"/>
    </xf>
    <xf numFmtId="49" fontId="16" fillId="6" borderId="3" applyNumberFormat="1" applyFont="1" applyFill="1" applyBorder="1" applyAlignment="1" applyProtection="0">
      <alignment vertical="top" wrapText="1"/>
    </xf>
    <xf numFmtId="49" fontId="17" borderId="3" applyNumberFormat="1" applyFont="1" applyFill="0" applyBorder="1" applyAlignment="1" applyProtection="0">
      <alignment vertical="top" wrapText="1"/>
    </xf>
    <xf numFmtId="37" fontId="0" borderId="3" applyNumberFormat="1" applyFont="1" applyFill="0" applyBorder="1" applyAlignment="1" applyProtection="0">
      <alignment vertical="top" wrapText="1"/>
    </xf>
    <xf numFmtId="64" fontId="0" borderId="3" applyNumberFormat="1" applyFont="1" applyFill="0" applyBorder="1" applyAlignment="1" applyProtection="0">
      <alignment vertical="top" wrapText="1"/>
    </xf>
    <xf numFmtId="10"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17" borderId="3" applyNumberFormat="1" applyFont="1" applyFill="0" applyBorder="1" applyAlignment="1" applyProtection="0">
      <alignment vertical="top"/>
    </xf>
    <xf numFmtId="0" fontId="17" borderId="3" applyNumberFormat="0" applyFont="1" applyFill="0" applyBorder="1" applyAlignment="1" applyProtection="0">
      <alignment vertical="top" wrapText="1"/>
    </xf>
    <xf numFmtId="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15151"/>
      <rgbColor rgb="fffaf5d2"/>
      <rgbColor rgb="fffaf4cf"/>
      <rgbColor rgb="fffefefe"/>
      <rgbColor rgb="ff004c7f"/>
      <rgbColor rgb="ff017000"/>
      <rgbColor rgb="ff98185e"/>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24</v>
      </c>
      <c r="C11" s="3"/>
      <c r="D11" s="3"/>
    </row>
    <row r="12">
      <c r="B12" s="4"/>
      <c r="C12" t="s" s="4">
        <v>24</v>
      </c>
      <c r="D12" t="s" s="5">
        <v>61</v>
      </c>
    </row>
  </sheetData>
  <mergeCells count="1">
    <mergeCell ref="B3:D3"/>
  </mergeCells>
  <hyperlinks>
    <hyperlink ref="D10" location="'Model - DCF'!R2C1" tooltip="" display="Model - DCF"/>
    <hyperlink ref="D12" location="'WACC - WACC'!R2C1" tooltip="" display="WACC - WACC"/>
  </hyperlinks>
</worksheet>
</file>

<file path=xl/worksheets/sheet2.xml><?xml version="1.0" encoding="utf-8"?>
<worksheet xmlns:r="http://schemas.openxmlformats.org/officeDocument/2006/relationships" xmlns="http://schemas.openxmlformats.org/spreadsheetml/2006/main">
  <sheetPr>
    <pageSetUpPr fitToPage="1"/>
  </sheetPr>
  <dimension ref="A2:T112"/>
  <sheetViews>
    <sheetView workbookViewId="0" showGridLines="0" defaultGridColor="1">
      <pane topLeftCell="C1" xSplit="2" ySplit="0" activePane="topRight" state="frozen"/>
    </sheetView>
  </sheetViews>
  <sheetFormatPr defaultColWidth="16.3333" defaultRowHeight="19.9" customHeight="1" outlineLevelRow="0" outlineLevelCol="0"/>
  <cols>
    <col min="1" max="1" width="2.5" style="6" customWidth="1"/>
    <col min="2" max="2" width="31.1016" style="6" customWidth="1"/>
    <col min="3" max="20" width="16.3516" style="6" customWidth="1"/>
    <col min="21" max="256" width="16.3516" style="6" customWidth="1"/>
  </cols>
  <sheetData>
    <row r="1" ht="31" customHeight="1">
      <c r="A1" t="s" s="7">
        <v>5</v>
      </c>
      <c r="B1" s="7"/>
      <c r="C1" s="7"/>
      <c r="D1" s="7"/>
      <c r="E1" s="7"/>
      <c r="F1" s="7"/>
      <c r="G1" s="7"/>
      <c r="H1" s="7"/>
      <c r="I1" s="7"/>
      <c r="J1" s="7"/>
      <c r="K1" s="7"/>
      <c r="L1" s="7"/>
      <c r="M1" s="7"/>
      <c r="N1" s="7"/>
      <c r="O1" s="7"/>
      <c r="P1" s="7"/>
      <c r="Q1" s="7"/>
      <c r="R1" s="7"/>
      <c r="S1" s="7"/>
      <c r="T1" s="7"/>
    </row>
    <row r="2" ht="21.5" customHeight="1">
      <c r="A2" s="8"/>
      <c r="B2" s="9"/>
      <c r="C2" s="10"/>
      <c r="D2" s="11"/>
      <c r="E2" s="11"/>
      <c r="F2" s="12"/>
      <c r="G2" s="11"/>
      <c r="H2" s="11"/>
      <c r="I2" s="11"/>
      <c r="J2" s="11"/>
      <c r="K2" s="11"/>
      <c r="L2" s="11"/>
      <c r="M2" s="11"/>
      <c r="N2" s="11"/>
      <c r="O2" s="11"/>
      <c r="P2" s="11"/>
      <c r="Q2" s="11"/>
      <c r="R2" s="11"/>
      <c r="S2" s="11"/>
      <c r="T2" s="11"/>
    </row>
    <row r="3" ht="23" customHeight="1">
      <c r="A3" s="13"/>
      <c r="B3" t="s" s="14">
        <v>7</v>
      </c>
      <c r="C3" t="s" s="15">
        <v>8</v>
      </c>
      <c r="D3" s="16"/>
      <c r="E3" t="s" s="17">
        <v>9</v>
      </c>
      <c r="F3" s="18">
        <f>P110</f>
        <v>99.8648669880906</v>
      </c>
      <c r="G3" s="19"/>
      <c r="H3" s="20"/>
      <c r="I3" s="21"/>
      <c r="J3" s="11"/>
      <c r="K3" s="11"/>
      <c r="L3" s="11"/>
      <c r="M3" s="11"/>
      <c r="N3" s="11"/>
      <c r="O3" s="11"/>
      <c r="P3" s="11"/>
      <c r="Q3" s="11"/>
      <c r="R3" s="11"/>
      <c r="S3" s="11"/>
      <c r="T3" s="11"/>
    </row>
    <row r="4" ht="23" customHeight="1">
      <c r="A4" s="13"/>
      <c r="B4" t="s" s="14">
        <v>10</v>
      </c>
      <c r="C4" s="22">
        <v>43364</v>
      </c>
      <c r="D4" s="16"/>
      <c r="E4" t="s" s="17">
        <v>11</v>
      </c>
      <c r="F4" s="18">
        <v>39.89</v>
      </c>
      <c r="G4" s="19"/>
      <c r="H4" t="s" s="17">
        <v>12</v>
      </c>
      <c r="I4" s="23">
        <f>F3/F4-1</f>
        <v>1.50350631707422</v>
      </c>
      <c r="J4" s="24"/>
      <c r="K4" s="11"/>
      <c r="L4" s="11"/>
      <c r="M4" s="11"/>
      <c r="N4" s="11"/>
      <c r="O4" s="11"/>
      <c r="P4" s="11"/>
      <c r="Q4" s="11"/>
      <c r="R4" s="11"/>
      <c r="S4" s="11"/>
      <c r="T4" s="11"/>
    </row>
    <row r="5" ht="21.5" customHeight="1">
      <c r="A5" s="13"/>
      <c r="B5" s="25"/>
      <c r="C5" s="26"/>
      <c r="D5" s="11"/>
      <c r="E5" s="11"/>
      <c r="F5" s="27"/>
      <c r="G5" s="11"/>
      <c r="H5" s="11"/>
      <c r="I5" s="27"/>
      <c r="J5" s="11"/>
      <c r="K5" s="11"/>
      <c r="L5" s="11"/>
      <c r="M5" s="11"/>
      <c r="N5" s="11"/>
      <c r="O5" s="11"/>
      <c r="P5" s="11"/>
      <c r="Q5" s="11"/>
      <c r="R5" s="11"/>
      <c r="S5" s="11"/>
      <c r="T5" s="11"/>
    </row>
    <row r="6" ht="21" customHeight="1">
      <c r="A6" s="13"/>
      <c r="B6" s="25"/>
      <c r="C6" s="28"/>
      <c r="D6" s="11"/>
      <c r="E6" s="11"/>
      <c r="F6" s="11"/>
      <c r="G6" s="11"/>
      <c r="H6" s="11"/>
      <c r="I6" s="11"/>
      <c r="J6" s="11"/>
      <c r="K6" s="11"/>
      <c r="L6" s="11"/>
      <c r="M6" s="11"/>
      <c r="N6" s="11"/>
      <c r="O6" s="11"/>
      <c r="P6" s="11"/>
      <c r="Q6" s="11"/>
      <c r="R6" s="11"/>
      <c r="S6" s="11"/>
      <c r="T6" s="11"/>
    </row>
    <row r="7" ht="21" customHeight="1">
      <c r="A7" t="s" s="29">
        <v>13</v>
      </c>
      <c r="B7" t="s" s="30">
        <v>14</v>
      </c>
      <c r="C7" s="31"/>
      <c r="D7" s="32"/>
      <c r="E7" s="33"/>
      <c r="F7" s="33"/>
      <c r="G7" s="33"/>
      <c r="H7" s="33"/>
      <c r="I7" s="33"/>
      <c r="J7" s="33"/>
      <c r="K7" s="33"/>
      <c r="L7" s="33"/>
      <c r="M7" s="33"/>
      <c r="N7" s="33"/>
      <c r="O7" s="33"/>
      <c r="P7" s="33"/>
      <c r="Q7" s="33"/>
      <c r="R7" s="33"/>
      <c r="S7" s="33"/>
      <c r="T7" s="33"/>
    </row>
    <row r="8" ht="21.5" customHeight="1">
      <c r="A8" s="13"/>
      <c r="B8" t="s" s="34">
        <v>15</v>
      </c>
      <c r="C8" s="10"/>
      <c r="D8" s="11"/>
      <c r="E8" t="s" s="35">
        <v>16</v>
      </c>
      <c r="F8" s="11"/>
      <c r="G8" t="s" s="35">
        <v>17</v>
      </c>
      <c r="H8" s="36"/>
      <c r="I8" t="s" s="35">
        <v>18</v>
      </c>
      <c r="J8" s="11"/>
      <c r="K8" s="36"/>
      <c r="L8" s="11"/>
      <c r="M8" s="11"/>
      <c r="N8" s="11"/>
      <c r="O8" s="11"/>
      <c r="P8" s="11"/>
      <c r="Q8" s="11"/>
      <c r="R8" s="11"/>
      <c r="S8" s="11"/>
      <c r="T8" s="11"/>
    </row>
    <row r="9" ht="22" customHeight="1">
      <c r="A9" s="13"/>
      <c r="B9" t="s" s="14">
        <v>19</v>
      </c>
      <c r="C9" s="37">
        <v>2</v>
      </c>
      <c r="D9" s="38"/>
      <c r="E9" s="39">
        <v>0.8</v>
      </c>
      <c r="F9" s="40"/>
      <c r="G9" s="41">
        <v>0.04</v>
      </c>
      <c r="H9" s="40"/>
      <c r="I9" s="39">
        <v>1.2</v>
      </c>
      <c r="J9" s="16"/>
      <c r="K9" s="11"/>
      <c r="L9" s="11"/>
      <c r="M9" s="11"/>
      <c r="N9" s="11"/>
      <c r="O9" s="11"/>
      <c r="P9" s="11"/>
      <c r="Q9" s="11"/>
      <c r="R9" s="11"/>
      <c r="S9" s="11"/>
      <c r="T9" s="11"/>
    </row>
    <row r="10" ht="22" customHeight="1">
      <c r="A10" s="13"/>
      <c r="B10" t="s" s="14">
        <v>20</v>
      </c>
      <c r="C10" s="37">
        <v>2</v>
      </c>
      <c r="D10" s="38"/>
      <c r="E10" s="42">
        <v>0.9</v>
      </c>
      <c r="F10" s="38"/>
      <c r="G10" s="41">
        <v>0.04</v>
      </c>
      <c r="H10" s="38"/>
      <c r="I10" s="42">
        <v>1.1</v>
      </c>
      <c r="J10" s="16"/>
      <c r="K10" s="11"/>
      <c r="L10" s="11"/>
      <c r="M10" s="11"/>
      <c r="N10" s="11"/>
      <c r="O10" s="11"/>
      <c r="P10" s="11"/>
      <c r="Q10" s="11"/>
      <c r="R10" s="11"/>
      <c r="S10" s="11"/>
      <c r="T10" s="11"/>
    </row>
    <row r="11" ht="22" customHeight="1">
      <c r="A11" s="13"/>
      <c r="B11" t="s" s="43">
        <v>21</v>
      </c>
      <c r="C11" s="44">
        <v>2</v>
      </c>
      <c r="D11" s="38"/>
      <c r="E11" s="45">
        <v>0.9</v>
      </c>
      <c r="F11" s="38"/>
      <c r="G11" s="46">
        <v>0.04</v>
      </c>
      <c r="H11" s="38"/>
      <c r="I11" s="45">
        <v>1.1</v>
      </c>
      <c r="J11" s="16"/>
      <c r="K11" s="11"/>
      <c r="L11" s="11"/>
      <c r="M11" s="11"/>
      <c r="N11" s="11"/>
      <c r="O11" s="11"/>
      <c r="P11" s="11"/>
      <c r="Q11" s="11"/>
      <c r="R11" s="11"/>
      <c r="S11" s="11"/>
      <c r="T11" s="11"/>
    </row>
    <row r="12" ht="22" customHeight="1">
      <c r="A12" s="13"/>
      <c r="B12" s="47"/>
      <c r="C12" s="48"/>
      <c r="D12" s="11"/>
      <c r="E12" s="49"/>
      <c r="F12" s="11"/>
      <c r="G12" s="49"/>
      <c r="H12" s="11"/>
      <c r="I12" s="49"/>
      <c r="J12" s="11"/>
      <c r="K12" s="11"/>
      <c r="L12" s="11"/>
      <c r="M12" s="11"/>
      <c r="N12" s="11"/>
      <c r="O12" s="11"/>
      <c r="P12" s="11"/>
      <c r="Q12" s="11"/>
      <c r="R12" s="11"/>
      <c r="S12" s="11"/>
      <c r="T12" s="11"/>
    </row>
    <row r="13" ht="23" customHeight="1">
      <c r="A13" s="13"/>
      <c r="B13" t="s" s="50">
        <v>22</v>
      </c>
      <c r="C13" s="37">
        <v>2</v>
      </c>
      <c r="D13" s="38"/>
      <c r="E13" s="42">
        <v>0.9</v>
      </c>
      <c r="F13" s="38"/>
      <c r="G13" s="51">
        <v>0.16</v>
      </c>
      <c r="H13" s="38"/>
      <c r="I13" s="42">
        <v>1.1</v>
      </c>
      <c r="J13" s="16"/>
      <c r="K13" t="s" s="52">
        <v>23</v>
      </c>
      <c r="L13" s="11"/>
      <c r="M13" s="11"/>
      <c r="N13" s="11"/>
      <c r="O13" s="11"/>
      <c r="P13" s="11"/>
      <c r="Q13" s="11"/>
      <c r="R13" s="11"/>
      <c r="S13" s="11"/>
      <c r="T13" s="11"/>
    </row>
    <row r="14" ht="23" customHeight="1">
      <c r="A14" s="13"/>
      <c r="B14" t="s" s="50">
        <v>24</v>
      </c>
      <c r="C14" s="37">
        <v>2</v>
      </c>
      <c r="D14" s="38"/>
      <c r="E14" s="53">
        <f>G14+$K$14</f>
        <v>0.0504203493919555</v>
      </c>
      <c r="F14" s="38"/>
      <c r="G14" s="54">
        <f>'WACC - WACC'!B21</f>
        <v>0.0454203493919555</v>
      </c>
      <c r="H14" s="38"/>
      <c r="I14" s="54">
        <f>G14-$K$14</f>
        <v>0.0404203493919555</v>
      </c>
      <c r="J14" s="38"/>
      <c r="K14" s="55">
        <v>0.005</v>
      </c>
      <c r="L14" s="16"/>
      <c r="M14" s="11"/>
      <c r="N14" s="11"/>
      <c r="O14" s="11"/>
      <c r="P14" s="11"/>
      <c r="Q14" s="11"/>
      <c r="R14" s="11"/>
      <c r="S14" s="11"/>
      <c r="T14" s="11"/>
    </row>
    <row r="15" ht="23" customHeight="1">
      <c r="A15" s="13"/>
      <c r="B15" t="s" s="50">
        <v>25</v>
      </c>
      <c r="C15" s="44">
        <v>2</v>
      </c>
      <c r="D15" s="38"/>
      <c r="E15" s="56">
        <f>G15-$K$15</f>
        <v>0.015</v>
      </c>
      <c r="F15" s="38"/>
      <c r="G15" s="57">
        <v>0.02</v>
      </c>
      <c r="H15" s="38"/>
      <c r="I15" s="45">
        <f>G15+$K$15</f>
        <v>0.025</v>
      </c>
      <c r="J15" s="38"/>
      <c r="K15" s="55">
        <v>0.005</v>
      </c>
      <c r="L15" s="16"/>
      <c r="M15" s="11"/>
      <c r="N15" s="11"/>
      <c r="O15" s="11"/>
      <c r="P15" s="11"/>
      <c r="Q15" s="11"/>
      <c r="R15" s="11"/>
      <c r="S15" s="11"/>
      <c r="T15" s="11"/>
    </row>
    <row r="16" ht="22" customHeight="1">
      <c r="A16" s="13"/>
      <c r="B16" s="47"/>
      <c r="C16" s="48"/>
      <c r="D16" s="11"/>
      <c r="E16" s="27"/>
      <c r="F16" s="11"/>
      <c r="G16" s="27"/>
      <c r="H16" s="11"/>
      <c r="I16" s="27"/>
      <c r="J16" s="11"/>
      <c r="K16" s="58"/>
      <c r="L16" s="11"/>
      <c r="M16" s="11"/>
      <c r="N16" s="11"/>
      <c r="O16" s="11"/>
      <c r="P16" s="11"/>
      <c r="Q16" s="11"/>
      <c r="R16" s="11"/>
      <c r="S16" s="11"/>
      <c r="T16" s="11"/>
    </row>
    <row r="17" ht="22" customHeight="1">
      <c r="A17" s="13"/>
      <c r="B17" t="s" s="50">
        <v>24</v>
      </c>
      <c r="C17" s="54">
        <f>CHOOSE(C14,E14,G14,I14)</f>
        <v>0.0454203493919555</v>
      </c>
      <c r="D17" s="16"/>
      <c r="E17" s="11"/>
      <c r="F17" s="11"/>
      <c r="G17" s="11"/>
      <c r="H17" s="11"/>
      <c r="I17" s="11"/>
      <c r="J17" s="11"/>
      <c r="K17" s="11"/>
      <c r="L17" s="11"/>
      <c r="M17" s="11"/>
      <c r="N17" s="11"/>
      <c r="O17" s="11"/>
      <c r="P17" s="11"/>
      <c r="Q17" s="11"/>
      <c r="R17" s="11"/>
      <c r="S17" s="11"/>
      <c r="T17" s="11"/>
    </row>
    <row r="18" ht="22" customHeight="1">
      <c r="A18" s="13"/>
      <c r="B18" t="s" s="50">
        <v>25</v>
      </c>
      <c r="C18" s="57">
        <f>CHOOSE(C15,E15,G15,I15)</f>
        <v>0.02</v>
      </c>
      <c r="D18" s="16"/>
      <c r="E18" s="11"/>
      <c r="F18" s="11"/>
      <c r="G18" s="11"/>
      <c r="H18" s="11"/>
      <c r="I18" s="11"/>
      <c r="J18" s="11"/>
      <c r="K18" s="11"/>
      <c r="L18" s="11"/>
      <c r="M18" s="11"/>
      <c r="N18" s="11"/>
      <c r="O18" s="11"/>
      <c r="P18" s="11"/>
      <c r="Q18" s="11"/>
      <c r="R18" s="11"/>
      <c r="S18" s="11"/>
      <c r="T18" s="11"/>
    </row>
    <row r="19" ht="21.5" customHeight="1">
      <c r="A19" s="13"/>
      <c r="B19" s="9"/>
      <c r="C19" s="59"/>
      <c r="D19" s="11"/>
      <c r="E19" s="11"/>
      <c r="F19" s="11"/>
      <c r="G19" s="11"/>
      <c r="H19" s="11"/>
      <c r="I19" s="11"/>
      <c r="J19" s="11"/>
      <c r="K19" t="s" s="60">
        <v>26</v>
      </c>
      <c r="L19" s="36"/>
      <c r="M19" s="11"/>
      <c r="N19" s="11"/>
      <c r="O19" s="11"/>
      <c r="P19" s="11"/>
      <c r="Q19" s="11"/>
      <c r="R19" s="11"/>
      <c r="S19" s="11"/>
      <c r="T19" s="11"/>
    </row>
    <row r="20" ht="21" customHeight="1">
      <c r="A20" t="s" s="29">
        <v>13</v>
      </c>
      <c r="B20" t="s" s="30">
        <v>27</v>
      </c>
      <c r="C20" s="31"/>
      <c r="D20" s="61">
        <v>2015</v>
      </c>
      <c r="E20" s="62">
        <v>2016</v>
      </c>
      <c r="F20" s="62">
        <v>2017</v>
      </c>
      <c r="G20" s="62">
        <v>2018</v>
      </c>
      <c r="H20" s="62">
        <v>2019</v>
      </c>
      <c r="I20" s="62">
        <v>2020</v>
      </c>
      <c r="J20" s="62">
        <v>2021</v>
      </c>
      <c r="K20" s="62">
        <v>2022</v>
      </c>
      <c r="L20" s="62">
        <v>2023</v>
      </c>
      <c r="M20" s="62">
        <v>2024</v>
      </c>
      <c r="N20" s="62">
        <v>2025</v>
      </c>
      <c r="O20" s="62">
        <v>2026</v>
      </c>
      <c r="P20" s="62">
        <v>2027</v>
      </c>
      <c r="Q20" s="36"/>
      <c r="R20" s="36"/>
      <c r="S20" s="36"/>
      <c r="T20" s="36"/>
    </row>
    <row r="21" ht="21" customHeight="1">
      <c r="A21" s="13"/>
      <c r="B21" s="25"/>
      <c r="C21" s="28"/>
      <c r="D21" s="11"/>
      <c r="E21" s="63"/>
      <c r="F21" s="63"/>
      <c r="G21" s="63"/>
      <c r="H21" s="63"/>
      <c r="I21" s="63"/>
      <c r="J21" s="64"/>
      <c r="K21" s="63"/>
      <c r="L21" s="63"/>
      <c r="M21" s="63"/>
      <c r="N21" s="63"/>
      <c r="O21" s="63"/>
      <c r="P21" s="63"/>
      <c r="Q21" s="36"/>
      <c r="R21" s="36"/>
      <c r="S21" s="36"/>
      <c r="T21" s="36"/>
    </row>
    <row r="22" ht="21" customHeight="1">
      <c r="A22" s="13"/>
      <c r="B22" t="s" s="34">
        <f>$B9</f>
        <v>28</v>
      </c>
      <c r="C22" s="28"/>
      <c r="D22" s="65">
        <f>20100</f>
        <v>20100</v>
      </c>
      <c r="E22" s="65">
        <v>20200</v>
      </c>
      <c r="F22" s="65">
        <v>20700</v>
      </c>
      <c r="G22" s="65">
        <v>20700</v>
      </c>
      <c r="H22" s="65">
        <v>21900</v>
      </c>
      <c r="I22" s="65">
        <v>21100</v>
      </c>
      <c r="J22" s="65">
        <v>21900</v>
      </c>
      <c r="K22" s="63">
        <f>12200*2</f>
        <v>24400</v>
      </c>
      <c r="L22" s="63">
        <f>K22*(1+L23)</f>
        <v>25400.4</v>
      </c>
      <c r="M22" s="63">
        <f>L22*(1+M23)</f>
        <v>26435.4663</v>
      </c>
      <c r="N22" s="63">
        <f>M22*(1+N23)</f>
        <v>27506.10268515</v>
      </c>
      <c r="O22" s="63">
        <f>N22*(1+O23)</f>
        <v>28613.2233182273</v>
      </c>
      <c r="P22" s="63">
        <f>O22*(1+P23)</f>
        <v>29757.7522509564</v>
      </c>
      <c r="Q22" s="36"/>
      <c r="R22" s="36"/>
      <c r="S22" s="36"/>
      <c r="T22" s="36"/>
    </row>
    <row r="23" ht="21.5" customHeight="1">
      <c r="A23" s="66"/>
      <c r="B23" t="s" s="67">
        <v>29</v>
      </c>
      <c r="C23" s="68"/>
      <c r="D23" s="69"/>
      <c r="E23" s="70">
        <f>E22/D22-1</f>
        <v>0.00497512437810945</v>
      </c>
      <c r="F23" s="70">
        <f>F22/E22-1</f>
        <v>0.0247524752475248</v>
      </c>
      <c r="G23" s="70">
        <f>G22/F22-1</f>
        <v>0</v>
      </c>
      <c r="H23" s="70">
        <f>H22/G22-1</f>
        <v>0.0579710144927536</v>
      </c>
      <c r="I23" s="70">
        <f>I22/H22-1</f>
        <v>-0.0365296803652968</v>
      </c>
      <c r="J23" s="70">
        <f>J22/I22-1</f>
        <v>0.037914691943128</v>
      </c>
      <c r="K23" s="70">
        <f>K22/J22-1</f>
        <v>0.114155251141553</v>
      </c>
      <c r="L23" s="71">
        <f>OFFSET(L23,$C$9,0)</f>
        <v>0.041</v>
      </c>
      <c r="M23" s="71">
        <f>OFFSET(M23,$C$9,0)</f>
        <v>0.04075</v>
      </c>
      <c r="N23" s="71">
        <f>OFFSET(N23,$C$9,0)</f>
        <v>0.0405</v>
      </c>
      <c r="O23" s="71">
        <f>OFFSET(O23,$C$9,0)</f>
        <v>0.04025</v>
      </c>
      <c r="P23" s="71">
        <f>OFFSET(P23,$C$9,0)</f>
        <v>0.04</v>
      </c>
      <c r="Q23" s="36"/>
      <c r="R23" s="36"/>
      <c r="S23" s="36"/>
      <c r="T23" s="36"/>
    </row>
    <row r="24" ht="22" customHeight="1">
      <c r="A24" s="13"/>
      <c r="B24" t="s" s="34">
        <v>30</v>
      </c>
      <c r="C24" s="28"/>
      <c r="D24" s="11"/>
      <c r="E24" s="65"/>
      <c r="F24" s="65"/>
      <c r="G24" s="65"/>
      <c r="H24" s="65"/>
      <c r="I24" s="65"/>
      <c r="J24" s="65"/>
      <c r="K24" s="72"/>
      <c r="L24" s="73">
        <f>L25</f>
        <v>0.041</v>
      </c>
      <c r="M24" s="73">
        <f>M25*$E$9</f>
        <v>0.0326</v>
      </c>
      <c r="N24" s="73">
        <f>N25*$E$9</f>
        <v>0.0324</v>
      </c>
      <c r="O24" s="73">
        <f>O25*$E$9</f>
        <v>0.0322</v>
      </c>
      <c r="P24" s="73">
        <f>P25*$E$9</f>
        <v>0.032</v>
      </c>
      <c r="Q24" s="74"/>
      <c r="R24" s="36"/>
      <c r="S24" s="36"/>
      <c r="T24" s="36"/>
    </row>
    <row r="25" ht="22" customHeight="1">
      <c r="A25" s="13"/>
      <c r="B25" t="s" s="34">
        <v>31</v>
      </c>
      <c r="C25" s="28"/>
      <c r="D25" s="11"/>
      <c r="E25" s="65"/>
      <c r="F25" s="65"/>
      <c r="G25" s="65"/>
      <c r="H25" s="65"/>
      <c r="I25" s="65"/>
      <c r="J25" s="65"/>
      <c r="K25" s="72"/>
      <c r="L25" s="73">
        <v>0.041</v>
      </c>
      <c r="M25" s="75">
        <f>L25-(L25-$P$25)/($P$20-L20)</f>
        <v>0.04075</v>
      </c>
      <c r="N25" s="75">
        <f>M25-(M25-$P$25)/($P$20-M20)</f>
        <v>0.0405</v>
      </c>
      <c r="O25" s="75">
        <f>N25-(N25-$P$25)/($P$20-N20)</f>
        <v>0.04025</v>
      </c>
      <c r="P25" s="73">
        <f>G9</f>
        <v>0.04</v>
      </c>
      <c r="Q25" s="74"/>
      <c r="R25" s="36"/>
      <c r="S25" s="36"/>
      <c r="T25" s="36"/>
    </row>
    <row r="26" ht="22" customHeight="1">
      <c r="A26" s="13"/>
      <c r="B26" t="s" s="34">
        <v>32</v>
      </c>
      <c r="C26" s="28"/>
      <c r="D26" s="11"/>
      <c r="E26" s="65"/>
      <c r="F26" s="65"/>
      <c r="G26" s="65"/>
      <c r="H26" s="65"/>
      <c r="I26" s="65"/>
      <c r="J26" s="65"/>
      <c r="K26" s="76"/>
      <c r="L26" s="73">
        <f>L25</f>
        <v>0.041</v>
      </c>
      <c r="M26" s="77">
        <f>M25*$I$9</f>
        <v>0.0489</v>
      </c>
      <c r="N26" s="77">
        <f>N25*$I$9</f>
        <v>0.0486</v>
      </c>
      <c r="O26" s="77">
        <f>O25*$I$9</f>
        <v>0.0483</v>
      </c>
      <c r="P26" s="73">
        <f>P25*$I$9</f>
        <v>0.048</v>
      </c>
      <c r="Q26" s="74"/>
      <c r="R26" s="36"/>
      <c r="S26" s="36"/>
      <c r="T26" s="36"/>
    </row>
    <row r="27" ht="21.5" customHeight="1">
      <c r="A27" s="13"/>
      <c r="B27" t="s" s="34">
        <v>33</v>
      </c>
      <c r="C27" s="28"/>
      <c r="D27" s="70">
        <f>D22/D44</f>
        <v>0.377110694183865</v>
      </c>
      <c r="E27" s="70">
        <f>E22/E44</f>
        <v>0.383301707779886</v>
      </c>
      <c r="F27" s="70">
        <f>F22/F44</f>
        <v>0.385474860335196</v>
      </c>
      <c r="G27" s="70">
        <f>G22/G44</f>
        <v>0.405882352941176</v>
      </c>
      <c r="H27" s="70">
        <f>H22/H44</f>
        <v>0.421153846153846</v>
      </c>
      <c r="I27" s="70">
        <f>I22/I44</f>
        <v>0.416173570019724</v>
      </c>
      <c r="J27" s="78">
        <f>J22/J44</f>
        <v>0.417142857142857</v>
      </c>
      <c r="K27" s="79">
        <f>K22/K44</f>
        <v>0.412162162162162</v>
      </c>
      <c r="L27" s="80">
        <f>AVERAGE(K27,J27,I27)</f>
        <v>0.415159529774914</v>
      </c>
      <c r="M27" s="80"/>
      <c r="N27" s="80"/>
      <c r="O27" s="80"/>
      <c r="P27" s="80"/>
      <c r="Q27" s="81"/>
      <c r="R27" s="36"/>
      <c r="S27" s="36"/>
      <c r="T27" s="36"/>
    </row>
    <row r="28" ht="21" customHeight="1">
      <c r="A28" s="82"/>
      <c r="B28" s="83"/>
      <c r="C28" s="84"/>
      <c r="D28" s="85"/>
      <c r="E28" s="86"/>
      <c r="F28" s="87"/>
      <c r="G28" s="87"/>
      <c r="H28" s="87"/>
      <c r="I28" s="87"/>
      <c r="J28" s="87"/>
      <c r="K28" s="88"/>
      <c r="L28" s="88"/>
      <c r="M28" s="88"/>
      <c r="N28" s="88"/>
      <c r="O28" s="88"/>
      <c r="P28" s="88"/>
      <c r="Q28" s="36"/>
      <c r="R28" s="36"/>
      <c r="S28" s="36"/>
      <c r="T28" s="36"/>
    </row>
    <row r="29" ht="21" customHeight="1">
      <c r="A29" s="89"/>
      <c r="B29" t="s" s="34">
        <f>$B10</f>
        <v>34</v>
      </c>
      <c r="C29" s="90"/>
      <c r="D29" s="91">
        <f>12900+10100</f>
        <v>23000</v>
      </c>
      <c r="E29" s="91">
        <f>12500+10000</f>
        <v>22500</v>
      </c>
      <c r="F29" s="91">
        <v>22400</v>
      </c>
      <c r="G29" s="91">
        <v>20200</v>
      </c>
      <c r="H29" s="91">
        <v>19300</v>
      </c>
      <c r="I29" s="91">
        <v>19100</v>
      </c>
      <c r="J29" s="91">
        <v>20000</v>
      </c>
      <c r="K29" s="92">
        <f>11400*2</f>
        <v>22800</v>
      </c>
      <c r="L29" s="92">
        <f>K29*(1+L30)</f>
        <v>23734.8</v>
      </c>
      <c r="M29" s="92">
        <f>L29*(1+M30)</f>
        <v>24701.9931</v>
      </c>
      <c r="N29" s="92">
        <f>M29*(1+N30)</f>
        <v>25702.42382055</v>
      </c>
      <c r="O29" s="92">
        <f>N29*(1+O30)</f>
        <v>26736.9463793271</v>
      </c>
      <c r="P29" s="92">
        <f>O29*(1+P30)</f>
        <v>27806.4242345002</v>
      </c>
      <c r="Q29" s="36"/>
      <c r="R29" s="36"/>
      <c r="S29" s="36"/>
      <c r="T29" s="36"/>
    </row>
    <row r="30" ht="21.5" customHeight="1">
      <c r="A30" s="93"/>
      <c r="B30" t="s" s="67">
        <v>29</v>
      </c>
      <c r="C30" s="94"/>
      <c r="D30" s="95"/>
      <c r="E30" s="96">
        <f>E29/D29-1</f>
        <v>-0.0217391304347826</v>
      </c>
      <c r="F30" s="96">
        <f>F29/E29-1</f>
        <v>-0.00444444444444444</v>
      </c>
      <c r="G30" s="96">
        <f>G29/F29-1</f>
        <v>-0.0982142857142857</v>
      </c>
      <c r="H30" s="96">
        <f>H29/G29-1</f>
        <v>-0.0445544554455446</v>
      </c>
      <c r="I30" s="96">
        <f>I29/H29-1</f>
        <v>-0.0103626943005181</v>
      </c>
      <c r="J30" s="96">
        <f>J29/I29-1</f>
        <v>0.0471204188481675</v>
      </c>
      <c r="K30" s="96">
        <f>K29/J29-1</f>
        <v>0.14</v>
      </c>
      <c r="L30" s="97">
        <f>OFFSET(L30,$C$10,0)</f>
        <v>0.041</v>
      </c>
      <c r="M30" s="97">
        <f>OFFSET(M30,$C$10,0)</f>
        <v>0.04075</v>
      </c>
      <c r="N30" s="97">
        <f>OFFSET(N30,$C$10,0)</f>
        <v>0.0405</v>
      </c>
      <c r="O30" s="97">
        <f>OFFSET(O30,$C$10,0)</f>
        <v>0.04025</v>
      </c>
      <c r="P30" s="97">
        <f>OFFSET(P30,$C$10,0)</f>
        <v>0.04</v>
      </c>
      <c r="Q30" s="36"/>
      <c r="R30" s="36"/>
      <c r="S30" s="36"/>
      <c r="T30" s="36"/>
    </row>
    <row r="31" ht="22" customHeight="1">
      <c r="A31" s="13"/>
      <c r="B31" t="s" s="34">
        <v>30</v>
      </c>
      <c r="C31" s="28"/>
      <c r="D31" s="11"/>
      <c r="E31" s="65"/>
      <c r="F31" s="65"/>
      <c r="G31" s="65"/>
      <c r="H31" s="65"/>
      <c r="I31" s="65"/>
      <c r="J31" s="65"/>
      <c r="K31" s="72"/>
      <c r="L31" s="73">
        <f>L32</f>
        <v>0.041</v>
      </c>
      <c r="M31" s="73">
        <f>M32*$E$10</f>
        <v>0.036675</v>
      </c>
      <c r="N31" s="73">
        <f>N32*$E$10</f>
        <v>0.03645</v>
      </c>
      <c r="O31" s="73">
        <f>O32*$E$10</f>
        <v>0.036225</v>
      </c>
      <c r="P31" s="73">
        <f>P32*$E$10</f>
        <v>0.036</v>
      </c>
      <c r="Q31" s="74"/>
      <c r="R31" s="36"/>
      <c r="S31" s="36"/>
      <c r="T31" s="36"/>
    </row>
    <row r="32" ht="22" customHeight="1">
      <c r="A32" s="13"/>
      <c r="B32" t="s" s="34">
        <v>31</v>
      </c>
      <c r="C32" s="28"/>
      <c r="D32" s="11"/>
      <c r="E32" s="65"/>
      <c r="F32" s="65"/>
      <c r="G32" s="65"/>
      <c r="H32" s="65"/>
      <c r="I32" s="65"/>
      <c r="J32" s="65"/>
      <c r="K32" s="72"/>
      <c r="L32" s="75">
        <v>0.041</v>
      </c>
      <c r="M32" s="75">
        <f>L32-(L32-$P$32)/($P$20-L20)</f>
        <v>0.04075</v>
      </c>
      <c r="N32" s="75">
        <f>M32-(M32-$P$32)/($P$20-M20)</f>
        <v>0.0405</v>
      </c>
      <c r="O32" s="75">
        <f>N32-(N32-$P$32)/($P$20-N20)</f>
        <v>0.04025</v>
      </c>
      <c r="P32" s="73">
        <f>G10</f>
        <v>0.04</v>
      </c>
      <c r="Q32" s="74"/>
      <c r="R32" s="36"/>
      <c r="S32" s="36"/>
      <c r="T32" s="36"/>
    </row>
    <row r="33" ht="22" customHeight="1">
      <c r="A33" s="13"/>
      <c r="B33" t="s" s="34">
        <v>32</v>
      </c>
      <c r="C33" s="28"/>
      <c r="D33" s="11"/>
      <c r="E33" s="65"/>
      <c r="F33" s="65"/>
      <c r="G33" s="65"/>
      <c r="H33" s="65"/>
      <c r="I33" s="65"/>
      <c r="J33" s="65"/>
      <c r="K33" s="72"/>
      <c r="L33" s="98">
        <f>L32</f>
        <v>0.041</v>
      </c>
      <c r="M33" s="98">
        <f>M32*$I$10</f>
        <v>0.044825</v>
      </c>
      <c r="N33" s="98">
        <f>N32*$I$10</f>
        <v>0.04455</v>
      </c>
      <c r="O33" s="98">
        <f>O32*$I$10</f>
        <v>0.044275</v>
      </c>
      <c r="P33" s="75">
        <f>P32*$I$10</f>
        <v>0.044</v>
      </c>
      <c r="Q33" s="74"/>
      <c r="R33" s="36"/>
      <c r="S33" s="36"/>
      <c r="T33" s="36"/>
    </row>
    <row r="34" ht="21.5" customHeight="1">
      <c r="A34" s="66"/>
      <c r="B34" t="s" s="34">
        <v>33</v>
      </c>
      <c r="C34" s="68"/>
      <c r="D34" s="70">
        <f>D29/D44</f>
        <v>0.431519699812383</v>
      </c>
      <c r="E34" s="70">
        <f>E29/E44</f>
        <v>0.426944971537002</v>
      </c>
      <c r="F34" s="70">
        <f>F29/F44</f>
        <v>0.417132216014898</v>
      </c>
      <c r="G34" s="70">
        <f>G29/G44</f>
        <v>0.396078431372549</v>
      </c>
      <c r="H34" s="70">
        <f>H29/H44</f>
        <v>0.371153846153846</v>
      </c>
      <c r="I34" s="70">
        <f>I29/I44</f>
        <v>0.3767258382643</v>
      </c>
      <c r="J34" s="70">
        <f>J29/J44</f>
        <v>0.380952380952381</v>
      </c>
      <c r="K34" s="70">
        <f>K29/K44</f>
        <v>0.385135135135135</v>
      </c>
      <c r="L34" s="99">
        <f>AVERAGE(K34,J34,I34)</f>
        <v>0.380937784783939</v>
      </c>
      <c r="M34" s="99"/>
      <c r="N34" s="99"/>
      <c r="O34" s="99"/>
      <c r="P34" s="99"/>
      <c r="Q34" s="36"/>
      <c r="R34" s="36"/>
      <c r="S34" s="36"/>
      <c r="T34" s="36"/>
    </row>
    <row r="35" ht="21" customHeight="1">
      <c r="A35" s="66"/>
      <c r="B35" s="25"/>
      <c r="C35" s="84"/>
      <c r="D35" s="87"/>
      <c r="E35" s="87"/>
      <c r="F35" s="87"/>
      <c r="G35" s="87"/>
      <c r="H35" s="87"/>
      <c r="I35" s="87"/>
      <c r="J35" s="87"/>
      <c r="K35" s="87"/>
      <c r="L35" s="87"/>
      <c r="M35" s="87"/>
      <c r="N35" s="87"/>
      <c r="O35" s="87"/>
      <c r="P35" s="87"/>
      <c r="Q35" s="36"/>
      <c r="R35" s="36"/>
      <c r="S35" s="36"/>
      <c r="T35" s="36"/>
    </row>
    <row r="36" ht="21" customHeight="1">
      <c r="A36" s="66"/>
      <c r="B36" t="s" s="34">
        <f>$B11</f>
        <v>35</v>
      </c>
      <c r="C36" s="100"/>
      <c r="D36" s="91">
        <v>10200</v>
      </c>
      <c r="E36" s="91">
        <v>10000</v>
      </c>
      <c r="F36" s="91">
        <v>10600</v>
      </c>
      <c r="G36" s="91">
        <v>10100</v>
      </c>
      <c r="H36" s="91">
        <v>10800</v>
      </c>
      <c r="I36" s="91">
        <v>10500</v>
      </c>
      <c r="J36" s="91">
        <v>10600</v>
      </c>
      <c r="K36" s="92">
        <f>6000*2</f>
        <v>12000</v>
      </c>
      <c r="L36" s="92">
        <f>K36*(1+L37)</f>
        <v>12492</v>
      </c>
      <c r="M36" s="92">
        <f>L36*(1+M37)</f>
        <v>13001.049</v>
      </c>
      <c r="N36" s="92">
        <f>M36*(1+N37)</f>
        <v>13527.5914845</v>
      </c>
      <c r="O36" s="92">
        <f>N36*(1+O37)</f>
        <v>14072.0770417511</v>
      </c>
      <c r="P36" s="92">
        <f>O36*(1+P37)</f>
        <v>14634.9601234211</v>
      </c>
      <c r="Q36" s="36"/>
      <c r="R36" s="36"/>
      <c r="S36" s="36"/>
      <c r="T36" s="36"/>
    </row>
    <row r="37" ht="21.5" customHeight="1">
      <c r="A37" s="66"/>
      <c r="B37" t="s" s="67">
        <v>29</v>
      </c>
      <c r="C37" s="94"/>
      <c r="D37" s="96"/>
      <c r="E37" s="96">
        <f>E36/D36-1</f>
        <v>-0.0196078431372549</v>
      </c>
      <c r="F37" s="96">
        <f>F36/E36-1</f>
        <v>0.06</v>
      </c>
      <c r="G37" s="96">
        <f>G36/F36-1</f>
        <v>-0.0471698113207547</v>
      </c>
      <c r="H37" s="96">
        <f>H36/G36-1</f>
        <v>0.0693069306930693</v>
      </c>
      <c r="I37" s="96">
        <f>I36/H36-1</f>
        <v>-0.0277777777777778</v>
      </c>
      <c r="J37" s="96">
        <f>J36/I36-1</f>
        <v>0.009523809523809519</v>
      </c>
      <c r="K37" s="96">
        <f>K36/J36-1</f>
        <v>0.132075471698113</v>
      </c>
      <c r="L37" s="97">
        <f>OFFSET(L37,$C$11,0)</f>
        <v>0.041</v>
      </c>
      <c r="M37" s="97">
        <f>OFFSET(M37,$C$11,0)</f>
        <v>0.04075</v>
      </c>
      <c r="N37" s="97">
        <f>OFFSET(N37,$C$11,0)</f>
        <v>0.0405</v>
      </c>
      <c r="O37" s="97">
        <f>OFFSET(O37,$C$11,0)</f>
        <v>0.04025</v>
      </c>
      <c r="P37" s="97">
        <f>OFFSET(P37,$C$11,0)</f>
        <v>0.04</v>
      </c>
      <c r="Q37" s="36"/>
      <c r="R37" s="36"/>
      <c r="S37" s="36"/>
      <c r="T37" s="36"/>
    </row>
    <row r="38" ht="22" customHeight="1">
      <c r="A38" s="66"/>
      <c r="B38" t="s" s="34">
        <v>30</v>
      </c>
      <c r="C38" s="68"/>
      <c r="D38" s="70"/>
      <c r="E38" s="70"/>
      <c r="F38" s="70"/>
      <c r="G38" s="70"/>
      <c r="H38" s="70"/>
      <c r="I38" s="70"/>
      <c r="J38" s="70"/>
      <c r="K38" s="72"/>
      <c r="L38" s="73">
        <f>L39</f>
        <v>0.041</v>
      </c>
      <c r="M38" s="73">
        <f>M39*$E$10</f>
        <v>0.036675</v>
      </c>
      <c r="N38" s="73">
        <f>N39*$E$10</f>
        <v>0.03645</v>
      </c>
      <c r="O38" s="73">
        <f>O39*$E$10</f>
        <v>0.036225</v>
      </c>
      <c r="P38" s="73">
        <f>P39*$E$10</f>
        <v>0.036</v>
      </c>
      <c r="Q38" s="74"/>
      <c r="R38" s="36"/>
      <c r="S38" s="36"/>
      <c r="T38" s="36"/>
    </row>
    <row r="39" ht="22" customHeight="1">
      <c r="A39" s="66"/>
      <c r="B39" t="s" s="34">
        <v>31</v>
      </c>
      <c r="C39" s="68"/>
      <c r="D39" s="70"/>
      <c r="E39" s="70"/>
      <c r="F39" s="70"/>
      <c r="G39" s="70"/>
      <c r="H39" s="70"/>
      <c r="I39" s="70"/>
      <c r="J39" s="70"/>
      <c r="K39" s="72"/>
      <c r="L39" s="75">
        <v>0.041</v>
      </c>
      <c r="M39" s="75">
        <f>L39-(L39-$P$39)/($P$20-L20)</f>
        <v>0.04075</v>
      </c>
      <c r="N39" s="75">
        <f>M39-(M39-$P$39)/($P$20-M20)</f>
        <v>0.0405</v>
      </c>
      <c r="O39" s="75">
        <f>N39-(N39-$P$39)/($P$20-N20)</f>
        <v>0.04025</v>
      </c>
      <c r="P39" s="73">
        <f>G11</f>
        <v>0.04</v>
      </c>
      <c r="Q39" s="74"/>
      <c r="R39" s="36"/>
      <c r="S39" s="36"/>
      <c r="T39" s="36"/>
    </row>
    <row r="40" ht="22" customHeight="1">
      <c r="A40" s="66"/>
      <c r="B40" t="s" s="34">
        <v>32</v>
      </c>
      <c r="C40" s="68"/>
      <c r="D40" s="70"/>
      <c r="E40" s="70"/>
      <c r="F40" s="70"/>
      <c r="G40" s="70"/>
      <c r="H40" s="70"/>
      <c r="I40" s="70"/>
      <c r="J40" s="70"/>
      <c r="K40" s="72"/>
      <c r="L40" s="98">
        <f>L39</f>
        <v>0.041</v>
      </c>
      <c r="M40" s="98">
        <f>M39*$I$10</f>
        <v>0.044825</v>
      </c>
      <c r="N40" s="98">
        <f>N39*$I$10</f>
        <v>0.04455</v>
      </c>
      <c r="O40" s="98">
        <f>O39*$I$10</f>
        <v>0.044275</v>
      </c>
      <c r="P40" s="75">
        <f>P39*$I$10</f>
        <v>0.044</v>
      </c>
      <c r="Q40" s="74"/>
      <c r="R40" s="36"/>
      <c r="S40" s="36"/>
      <c r="T40" s="36"/>
    </row>
    <row r="41" ht="21.5" customHeight="1">
      <c r="A41" s="66"/>
      <c r="B41" t="s" s="34">
        <v>33</v>
      </c>
      <c r="C41" s="68"/>
      <c r="D41" s="70"/>
      <c r="E41" s="70"/>
      <c r="F41" s="70"/>
      <c r="G41" s="70"/>
      <c r="H41" s="70"/>
      <c r="I41" s="70"/>
      <c r="J41" s="70"/>
      <c r="K41" s="70"/>
      <c r="L41" s="99"/>
      <c r="M41" s="99"/>
      <c r="N41" s="99"/>
      <c r="O41" s="99"/>
      <c r="P41" s="99"/>
      <c r="Q41" s="36"/>
      <c r="R41" s="36"/>
      <c r="S41" s="36"/>
      <c r="T41" s="36"/>
    </row>
    <row r="42" ht="21" customHeight="1">
      <c r="A42" s="66"/>
      <c r="B42" s="83"/>
      <c r="C42" s="68"/>
      <c r="D42" s="70"/>
      <c r="E42" s="70"/>
      <c r="F42" s="70"/>
      <c r="G42" s="70"/>
      <c r="H42" s="70"/>
      <c r="I42" s="70"/>
      <c r="J42" s="70"/>
      <c r="K42" s="70"/>
      <c r="L42" s="70"/>
      <c r="M42" s="70"/>
      <c r="N42" s="70"/>
      <c r="O42" s="70"/>
      <c r="P42" s="70"/>
      <c r="Q42" s="36"/>
      <c r="R42" s="36"/>
      <c r="S42" s="36"/>
      <c r="T42" s="36"/>
    </row>
    <row r="43" ht="21.5" customHeight="1">
      <c r="A43" s="101"/>
      <c r="B43" s="102"/>
      <c r="C43" s="103"/>
      <c r="D43" s="104"/>
      <c r="E43" s="104"/>
      <c r="F43" s="104"/>
      <c r="G43" s="104"/>
      <c r="H43" s="104"/>
      <c r="I43" s="104"/>
      <c r="J43" s="104"/>
      <c r="K43" s="104"/>
      <c r="L43" s="104"/>
      <c r="M43" s="104"/>
      <c r="N43" s="104"/>
      <c r="O43" s="104"/>
      <c r="P43" s="104"/>
      <c r="Q43" s="36"/>
      <c r="R43" s="36"/>
      <c r="S43" s="36"/>
      <c r="T43" s="36"/>
    </row>
    <row r="44" ht="21.5" customHeight="1">
      <c r="A44" s="105"/>
      <c r="B44" t="s" s="106">
        <v>36</v>
      </c>
      <c r="C44" s="107"/>
      <c r="D44" s="108">
        <f>SUM(D36,D29,D22)</f>
        <v>53300</v>
      </c>
      <c r="E44" s="108">
        <f>SUM(E36,E29,E22)</f>
        <v>52700</v>
      </c>
      <c r="F44" s="108">
        <f>SUM(F36,F29,F22)</f>
        <v>53700</v>
      </c>
      <c r="G44" s="108">
        <f>SUM(G36,G29,G22)</f>
        <v>51000</v>
      </c>
      <c r="H44" s="108">
        <f>SUM(H36,H29,H22)</f>
        <v>52000</v>
      </c>
      <c r="I44" s="108">
        <f>SUM(I36,I29,I22)</f>
        <v>50700</v>
      </c>
      <c r="J44" s="108">
        <f>SUM(J36,J29,J22)</f>
        <v>52500</v>
      </c>
      <c r="K44" s="108">
        <f>SUM(K36,K29,K22)</f>
        <v>59200</v>
      </c>
      <c r="L44" s="108">
        <f>SUM(L36,L29,L22)</f>
        <v>61627.2</v>
      </c>
      <c r="M44" s="108">
        <f>SUM(M36,M29,M22)</f>
        <v>64138.5084</v>
      </c>
      <c r="N44" s="108">
        <f>SUM(N36,N29,N22)</f>
        <v>66736.1179902</v>
      </c>
      <c r="O44" s="108">
        <f>SUM(O36,O29,O22)</f>
        <v>69422.2467393055</v>
      </c>
      <c r="P44" s="108">
        <f>SUM(P36,P29,P22)</f>
        <v>72199.1366088777</v>
      </c>
      <c r="Q44" s="36"/>
      <c r="R44" s="36"/>
      <c r="S44" s="36"/>
      <c r="T44" s="36"/>
    </row>
    <row r="45" ht="21" customHeight="1">
      <c r="A45" s="13"/>
      <c r="B45" t="s" s="67">
        <v>29</v>
      </c>
      <c r="C45" s="28"/>
      <c r="D45" s="11"/>
      <c r="E45" s="109">
        <f>E44/D44-1</f>
        <v>-0.0112570356472795</v>
      </c>
      <c r="F45" s="109">
        <f>F44/E44-1</f>
        <v>0.0189753320683112</v>
      </c>
      <c r="G45" s="109">
        <f>G44/F44-1</f>
        <v>-0.0502793296089385</v>
      </c>
      <c r="H45" s="109">
        <f>H44/G44-1</f>
        <v>0.0196078431372549</v>
      </c>
      <c r="I45" s="109">
        <f>I44/H44-1</f>
        <v>-0.025</v>
      </c>
      <c r="J45" s="109">
        <f>J44/I44-1</f>
        <v>0.0355029585798817</v>
      </c>
      <c r="K45" s="109">
        <f>K44/J44-1</f>
        <v>0.127619047619048</v>
      </c>
      <c r="L45" s="109">
        <f>L44/K44-1</f>
        <v>0.041</v>
      </c>
      <c r="M45" s="109">
        <f>M44/L44-1</f>
        <v>0.04075</v>
      </c>
      <c r="N45" s="109">
        <f>N44/M44-1</f>
        <v>0.0405</v>
      </c>
      <c r="O45" s="109">
        <f>O44/N44-1</f>
        <v>0.0402499999999993</v>
      </c>
      <c r="P45" s="109">
        <f>P44/O44-1</f>
        <v>0.0399999999999997</v>
      </c>
      <c r="Q45" s="36"/>
      <c r="R45" s="36"/>
      <c r="S45" s="36"/>
      <c r="T45" s="36"/>
    </row>
    <row r="46" ht="21" customHeight="1">
      <c r="A46" s="13"/>
      <c r="B46" s="25"/>
      <c r="C46" s="28"/>
      <c r="D46" s="11"/>
      <c r="E46" s="63"/>
      <c r="F46" s="63"/>
      <c r="G46" s="63"/>
      <c r="H46" s="63"/>
      <c r="I46" s="63"/>
      <c r="J46" s="63"/>
      <c r="K46" s="63"/>
      <c r="L46" s="63"/>
      <c r="M46" s="63"/>
      <c r="N46" s="63"/>
      <c r="O46" s="63"/>
      <c r="P46" s="63"/>
      <c r="Q46" s="36"/>
      <c r="R46" s="36"/>
      <c r="S46" s="36"/>
      <c r="T46" s="36"/>
    </row>
    <row r="47" ht="21" customHeight="1">
      <c r="A47" t="s" s="29">
        <v>13</v>
      </c>
      <c r="B47" t="s" s="30">
        <v>37</v>
      </c>
      <c r="C47" s="31"/>
      <c r="D47" s="61">
        <v>2015</v>
      </c>
      <c r="E47" s="62">
        <v>2016</v>
      </c>
      <c r="F47" s="62">
        <v>2017</v>
      </c>
      <c r="G47" s="62">
        <v>2018</v>
      </c>
      <c r="H47" s="62">
        <v>2019</v>
      </c>
      <c r="I47" s="62">
        <v>2020</v>
      </c>
      <c r="J47" s="62">
        <v>2021</v>
      </c>
      <c r="K47" s="36"/>
      <c r="L47" s="36"/>
      <c r="M47" s="36"/>
      <c r="N47" s="36"/>
      <c r="O47" s="36"/>
      <c r="P47" s="110"/>
      <c r="Q47" s="36"/>
      <c r="R47" s="36"/>
      <c r="S47" s="36"/>
      <c r="T47" s="36"/>
    </row>
    <row r="48" ht="21" customHeight="1">
      <c r="A48" s="13"/>
      <c r="B48" s="25"/>
      <c r="C48" s="28"/>
      <c r="D48" s="11"/>
      <c r="E48" s="11"/>
      <c r="F48" s="11"/>
      <c r="G48" s="11"/>
      <c r="H48" s="11"/>
      <c r="I48" s="11"/>
      <c r="J48" s="11"/>
      <c r="K48" s="36"/>
      <c r="L48" s="36"/>
      <c r="M48" s="36"/>
      <c r="N48" s="36"/>
      <c r="O48" s="36"/>
      <c r="P48" s="11"/>
      <c r="Q48" s="36"/>
      <c r="R48" s="36"/>
      <c r="S48" s="36"/>
      <c r="T48" s="36"/>
    </row>
    <row r="49" ht="21" customHeight="1">
      <c r="A49" s="13"/>
      <c r="B49" t="s" s="34">
        <v>38</v>
      </c>
      <c r="C49" s="28"/>
      <c r="D49" s="111">
        <f>D44</f>
        <v>53300</v>
      </c>
      <c r="E49" s="111">
        <f>E44</f>
        <v>52700</v>
      </c>
      <c r="F49" s="111">
        <f>F44</f>
        <v>53700</v>
      </c>
      <c r="G49" s="111">
        <f>G44</f>
        <v>51000</v>
      </c>
      <c r="H49" s="111">
        <f>H44</f>
        <v>52000</v>
      </c>
      <c r="I49" s="111">
        <f>I44</f>
        <v>50700</v>
      </c>
      <c r="J49" s="111">
        <f>J44</f>
        <v>52500</v>
      </c>
      <c r="K49" s="36"/>
      <c r="L49" s="36"/>
      <c r="M49" s="36"/>
      <c r="N49" s="36"/>
      <c r="O49" s="36"/>
      <c r="P49" s="112"/>
      <c r="Q49" s="36"/>
      <c r="R49" s="36"/>
      <c r="S49" s="36"/>
      <c r="T49" s="36"/>
    </row>
    <row r="50" ht="21" customHeight="1">
      <c r="A50" s="66"/>
      <c r="B50" t="s" s="67">
        <v>29</v>
      </c>
      <c r="C50" s="68"/>
      <c r="D50" s="69"/>
      <c r="E50" s="70">
        <f>E49/D49-1</f>
        <v>-0.0112570356472795</v>
      </c>
      <c r="F50" s="70">
        <f>F49/E49-1</f>
        <v>0.0189753320683112</v>
      </c>
      <c r="G50" s="70">
        <f>G49/F49-1</f>
        <v>-0.0502793296089385</v>
      </c>
      <c r="H50" s="70">
        <f>H49/G49-1</f>
        <v>0.0196078431372549</v>
      </c>
      <c r="I50" s="70">
        <f>I49/H49-1</f>
        <v>-0.025</v>
      </c>
      <c r="J50" s="70">
        <f>J49/I49-1</f>
        <v>0.0355029585798817</v>
      </c>
      <c r="K50" s="36"/>
      <c r="L50" s="36"/>
      <c r="M50" s="36"/>
      <c r="N50" s="36"/>
      <c r="O50" s="36"/>
      <c r="P50" s="70"/>
      <c r="Q50" s="36"/>
      <c r="R50" s="36"/>
      <c r="S50" s="36"/>
      <c r="T50" s="36"/>
    </row>
    <row r="51" ht="21" customHeight="1">
      <c r="A51" s="13"/>
      <c r="B51" s="25"/>
      <c r="C51" s="28"/>
      <c r="D51" s="11"/>
      <c r="E51" s="11"/>
      <c r="F51" s="11"/>
      <c r="G51" s="11"/>
      <c r="H51" s="11"/>
      <c r="I51" s="11"/>
      <c r="J51" s="11"/>
      <c r="K51" s="36"/>
      <c r="L51" s="36"/>
      <c r="M51" s="36"/>
      <c r="N51" s="36"/>
      <c r="O51" s="36"/>
      <c r="P51" s="11"/>
      <c r="Q51" s="36"/>
      <c r="R51" s="36"/>
      <c r="S51" s="36"/>
      <c r="T51" s="36"/>
    </row>
    <row r="52" ht="21" customHeight="1">
      <c r="A52" s="13"/>
      <c r="B52" t="s" s="34">
        <v>22</v>
      </c>
      <c r="C52" s="28"/>
      <c r="D52" s="63">
        <f>5259+1961+460</f>
        <v>7680</v>
      </c>
      <c r="E52" s="63">
        <f>5547+1922+367</f>
        <v>7836</v>
      </c>
      <c r="F52" s="63">
        <f>6486+1667+316</f>
        <v>8469</v>
      </c>
      <c r="G52" s="113">
        <f>9788+2572+461</f>
        <v>12821</v>
      </c>
      <c r="H52" s="113">
        <f>6026+2262+548</f>
        <v>8836</v>
      </c>
      <c r="I52" s="63">
        <f>6073+1923+169</f>
        <v>8165</v>
      </c>
      <c r="J52" s="113">
        <f>6621+1935+488</f>
        <v>9044</v>
      </c>
      <c r="K52" s="36"/>
      <c r="L52" s="36"/>
      <c r="M52" s="36"/>
      <c r="N52" s="36"/>
      <c r="O52" s="36"/>
      <c r="P52" s="113"/>
      <c r="Q52" s="36"/>
      <c r="R52" s="36"/>
      <c r="S52" s="36"/>
      <c r="T52" s="36"/>
    </row>
    <row r="53" ht="21" customHeight="1">
      <c r="A53" s="66"/>
      <c r="B53" t="s" s="67">
        <v>39</v>
      </c>
      <c r="C53" s="68"/>
      <c r="D53" s="70">
        <f>D52/D49</f>
        <v>0.144090056285178</v>
      </c>
      <c r="E53" s="70">
        <f>E52/E49</f>
        <v>0.148690702087287</v>
      </c>
      <c r="F53" s="70">
        <f>F52/F49</f>
        <v>0.157709497206704</v>
      </c>
      <c r="G53" s="70">
        <f>G52/G49</f>
        <v>0.251392156862745</v>
      </c>
      <c r="H53" s="70">
        <f>H52/H49</f>
        <v>0.169923076923077</v>
      </c>
      <c r="I53" s="70">
        <f>I52/I49</f>
        <v>0.161045364891519</v>
      </c>
      <c r="J53" s="70">
        <f>J52/J49</f>
        <v>0.172266666666667</v>
      </c>
      <c r="K53" s="36"/>
      <c r="L53" s="36"/>
      <c r="M53" s="36"/>
      <c r="N53" s="36"/>
      <c r="O53" s="36"/>
      <c r="P53" s="70"/>
      <c r="Q53" s="36"/>
      <c r="R53" s="36"/>
      <c r="S53" s="36"/>
      <c r="T53" s="36"/>
    </row>
    <row r="54" ht="21" customHeight="1">
      <c r="A54" s="114"/>
      <c r="B54" s="115"/>
      <c r="C54" s="28"/>
      <c r="D54" s="116"/>
      <c r="E54" s="11"/>
      <c r="F54" s="11"/>
      <c r="G54" s="11"/>
      <c r="H54" s="11"/>
      <c r="I54" s="11"/>
      <c r="J54" s="11"/>
      <c r="K54" s="36"/>
      <c r="L54" s="36"/>
      <c r="M54" s="36"/>
      <c r="N54" s="36"/>
      <c r="O54" s="36"/>
      <c r="P54" s="11"/>
      <c r="Q54" s="36"/>
      <c r="R54" s="36"/>
      <c r="S54" s="36"/>
      <c r="T54" s="36"/>
    </row>
    <row r="55" ht="21" customHeight="1">
      <c r="A55" s="8"/>
      <c r="B55" t="s" s="117">
        <v>40</v>
      </c>
      <c r="C55" s="28"/>
      <c r="D55" s="118">
        <v>1961</v>
      </c>
      <c r="E55" s="118">
        <v>1922</v>
      </c>
      <c r="F55" s="118">
        <v>1667</v>
      </c>
      <c r="G55" s="65">
        <v>2575</v>
      </c>
      <c r="H55" s="118">
        <v>2262</v>
      </c>
      <c r="I55" s="65">
        <v>1923</v>
      </c>
      <c r="J55" s="65">
        <v>1935</v>
      </c>
      <c r="K55" s="36"/>
      <c r="L55" s="36"/>
      <c r="M55" s="36"/>
      <c r="N55" s="36"/>
      <c r="O55" s="36"/>
      <c r="P55" s="113"/>
      <c r="Q55" s="36"/>
      <c r="R55" s="36"/>
      <c r="S55" s="36"/>
      <c r="T55" s="36"/>
    </row>
    <row r="56" ht="21" customHeight="1">
      <c r="A56" s="82"/>
      <c r="B56" t="s" s="119">
        <v>41</v>
      </c>
      <c r="C56" s="68"/>
      <c r="D56" s="70">
        <f>D55/D52</f>
        <v>0.255338541666667</v>
      </c>
      <c r="E56" s="70">
        <f>E55/E52</f>
        <v>0.24527820316488</v>
      </c>
      <c r="F56" s="70">
        <f>F55/F52</f>
        <v>0.196835517770693</v>
      </c>
      <c r="G56" s="70">
        <f>G55/G52</f>
        <v>0.200842367990016</v>
      </c>
      <c r="H56" s="70">
        <f>H55/H52</f>
        <v>0.255998189225894</v>
      </c>
      <c r="I56" s="70">
        <f>I55/I52</f>
        <v>0.235517452541335</v>
      </c>
      <c r="J56" s="70">
        <f>J55/J52</f>
        <v>0.213954002653693</v>
      </c>
      <c r="K56" s="36"/>
      <c r="L56" s="36"/>
      <c r="M56" s="36"/>
      <c r="N56" s="36"/>
      <c r="O56" s="36"/>
      <c r="P56" s="70"/>
      <c r="Q56" s="36"/>
      <c r="R56" s="36"/>
      <c r="S56" s="36"/>
      <c r="T56" s="36"/>
    </row>
    <row r="57" ht="21" customHeight="1">
      <c r="A57" s="89"/>
      <c r="B57" s="47"/>
      <c r="C57" s="28"/>
      <c r="D57" s="11"/>
      <c r="E57" s="120"/>
      <c r="F57" s="120"/>
      <c r="G57" s="120"/>
      <c r="H57" s="120"/>
      <c r="I57" s="120"/>
      <c r="J57" s="120"/>
      <c r="K57" s="36"/>
      <c r="L57" s="36"/>
      <c r="M57" s="36"/>
      <c r="N57" s="36"/>
      <c r="O57" s="36"/>
      <c r="P57" s="120"/>
      <c r="Q57" s="36"/>
      <c r="R57" s="36"/>
      <c r="S57" s="36"/>
      <c r="T57" s="36"/>
    </row>
    <row r="58" ht="21" customHeight="1">
      <c r="A58" t="s" s="121">
        <v>13</v>
      </c>
      <c r="B58" t="s" s="122">
        <v>42</v>
      </c>
      <c r="C58" s="31"/>
      <c r="D58" s="61">
        <v>2015</v>
      </c>
      <c r="E58" s="62">
        <v>2016</v>
      </c>
      <c r="F58" s="62">
        <v>2017</v>
      </c>
      <c r="G58" s="62">
        <v>2018</v>
      </c>
      <c r="H58" s="62">
        <v>2019</v>
      </c>
      <c r="I58" s="62">
        <v>2020</v>
      </c>
      <c r="J58" s="62">
        <v>2021</v>
      </c>
      <c r="K58" s="36"/>
      <c r="L58" s="36"/>
      <c r="M58" s="36"/>
      <c r="N58" s="36"/>
      <c r="O58" s="36"/>
      <c r="P58" s="120"/>
      <c r="Q58" s="36"/>
      <c r="R58" s="36"/>
      <c r="S58" s="36"/>
      <c r="T58" s="36"/>
    </row>
    <row r="59" ht="21" customHeight="1">
      <c r="A59" s="114"/>
      <c r="B59" s="115"/>
      <c r="C59" s="28"/>
      <c r="D59" s="11"/>
      <c r="E59" s="120"/>
      <c r="F59" s="120"/>
      <c r="G59" s="120"/>
      <c r="H59" s="120"/>
      <c r="I59" s="120"/>
      <c r="J59" s="120"/>
      <c r="K59" s="36"/>
      <c r="L59" s="36"/>
      <c r="M59" s="36"/>
      <c r="N59" s="36"/>
      <c r="O59" s="36"/>
      <c r="P59" s="120"/>
      <c r="Q59" s="36"/>
      <c r="R59" s="36"/>
      <c r="S59" s="36"/>
      <c r="T59" s="36"/>
    </row>
    <row r="60" ht="21" customHeight="1">
      <c r="A60" s="89"/>
      <c r="B60" t="s" s="123">
        <v>43</v>
      </c>
      <c r="C60" s="28"/>
      <c r="D60" s="118">
        <v>1370</v>
      </c>
      <c r="E60" s="118">
        <v>1464</v>
      </c>
      <c r="F60" s="118">
        <v>1538</v>
      </c>
      <c r="G60" s="118">
        <v>2216</v>
      </c>
      <c r="H60" s="118">
        <v>1982</v>
      </c>
      <c r="I60" s="118">
        <v>2018</v>
      </c>
      <c r="J60" s="118">
        <v>1763</v>
      </c>
      <c r="K60" s="36"/>
      <c r="L60" s="36"/>
      <c r="M60" s="36"/>
      <c r="N60" s="36"/>
      <c r="O60" s="36"/>
      <c r="P60" s="120"/>
      <c r="Q60" s="36"/>
      <c r="R60" s="36"/>
      <c r="S60" s="36"/>
      <c r="T60" s="36"/>
    </row>
    <row r="61" ht="21" customHeight="1">
      <c r="A61" s="124"/>
      <c r="B61" t="s" s="125">
        <v>44</v>
      </c>
      <c r="C61" s="68"/>
      <c r="D61" s="70">
        <f>D60/D44</f>
        <v>0.025703564727955</v>
      </c>
      <c r="E61" s="70">
        <f>E60/E44</f>
        <v>0.0277798861480076</v>
      </c>
      <c r="F61" s="70">
        <f>F60/F44</f>
        <v>0.0286405959031657</v>
      </c>
      <c r="G61" s="70">
        <f>G60/G44</f>
        <v>0.0434509803921569</v>
      </c>
      <c r="H61" s="70">
        <f>H60/H44</f>
        <v>0.0381153846153846</v>
      </c>
      <c r="I61" s="70">
        <f>I60/I44</f>
        <v>0.0398027613412229</v>
      </c>
      <c r="J61" s="70">
        <f>J60/J44</f>
        <v>0.0335809523809524</v>
      </c>
      <c r="K61" s="36"/>
      <c r="L61" s="36"/>
      <c r="M61" s="36"/>
      <c r="N61" s="36"/>
      <c r="O61" s="36"/>
      <c r="P61" s="70"/>
      <c r="Q61" s="36"/>
      <c r="R61" s="36"/>
      <c r="S61" s="36"/>
      <c r="T61" s="36"/>
    </row>
    <row r="62" ht="21" customHeight="1">
      <c r="A62" s="124"/>
      <c r="B62" t="s" s="125">
        <v>45</v>
      </c>
      <c r="C62" s="68"/>
      <c r="D62" s="70">
        <f>D60/D64</f>
        <v>0.660559305689489</v>
      </c>
      <c r="E62" s="70">
        <f>E60/E64</f>
        <v>0.779552715654952</v>
      </c>
      <c r="F62" s="70">
        <f>F60/F64</f>
        <v>0.948797038864898</v>
      </c>
      <c r="G62" s="70">
        <f>G60/G64</f>
        <v>1.5561797752809</v>
      </c>
      <c r="H62" s="70">
        <f>H60/H64</f>
        <v>1.16656856974691</v>
      </c>
      <c r="I62" s="70">
        <f>I60/I64</f>
        <v>1.62873284907183</v>
      </c>
      <c r="J62" s="70">
        <f>J60/J64</f>
        <v>1.89163090128755</v>
      </c>
      <c r="K62" s="36"/>
      <c r="L62" s="36"/>
      <c r="M62" s="36"/>
      <c r="N62" s="36"/>
      <c r="O62" s="36"/>
      <c r="P62" s="70"/>
      <c r="Q62" s="36"/>
      <c r="R62" s="36"/>
      <c r="S62" s="36"/>
      <c r="T62" s="36"/>
    </row>
    <row r="63" ht="21" customHeight="1">
      <c r="A63" s="89"/>
      <c r="B63" s="47"/>
      <c r="C63" s="28"/>
      <c r="D63" s="11"/>
      <c r="E63" s="120"/>
      <c r="F63" s="120"/>
      <c r="G63" s="120"/>
      <c r="H63" s="120"/>
      <c r="I63" s="120"/>
      <c r="J63" s="120"/>
      <c r="K63" s="36"/>
      <c r="L63" s="36"/>
      <c r="M63" s="36"/>
      <c r="N63" s="36"/>
      <c r="O63" s="36"/>
      <c r="P63" s="120"/>
      <c r="Q63" s="36"/>
      <c r="R63" s="36"/>
      <c r="S63" s="36"/>
      <c r="T63" s="36"/>
    </row>
    <row r="64" ht="21" customHeight="1">
      <c r="A64" s="89"/>
      <c r="B64" t="s" s="123">
        <v>46</v>
      </c>
      <c r="C64" s="28"/>
      <c r="D64" s="65">
        <v>2074</v>
      </c>
      <c r="E64" s="65">
        <v>1878</v>
      </c>
      <c r="F64" s="118">
        <v>1621</v>
      </c>
      <c r="G64" s="118">
        <v>1424</v>
      </c>
      <c r="H64" s="118">
        <v>1699</v>
      </c>
      <c r="I64" s="118">
        <v>1239</v>
      </c>
      <c r="J64" s="118">
        <v>932</v>
      </c>
      <c r="K64" s="36"/>
      <c r="L64" s="36"/>
      <c r="M64" s="36"/>
      <c r="N64" s="36"/>
      <c r="O64" s="36"/>
      <c r="P64" s="120"/>
      <c r="Q64" s="36"/>
      <c r="R64" s="36"/>
      <c r="S64" s="36"/>
      <c r="T64" s="36"/>
    </row>
    <row r="65" ht="21" customHeight="1">
      <c r="A65" s="124"/>
      <c r="B65" t="s" s="125">
        <v>39</v>
      </c>
      <c r="C65" s="68"/>
      <c r="D65" s="70">
        <f>D64/D44</f>
        <v>0.0389118198874296</v>
      </c>
      <c r="E65" s="70">
        <f>E64/E44</f>
        <v>0.0356356736242884</v>
      </c>
      <c r="F65" s="70">
        <f>F64/F44</f>
        <v>0.0301862197392924</v>
      </c>
      <c r="G65" s="70">
        <f>G64/G44</f>
        <v>0.027921568627451</v>
      </c>
      <c r="H65" s="70">
        <f>H64/H44</f>
        <v>0.0326730769230769</v>
      </c>
      <c r="I65" s="70">
        <f>I64/I44</f>
        <v>0.0244378698224852</v>
      </c>
      <c r="J65" s="70">
        <f>J64/J44</f>
        <v>0.017752380952381</v>
      </c>
      <c r="K65" s="36"/>
      <c r="L65" s="36"/>
      <c r="M65" s="36"/>
      <c r="N65" s="36"/>
      <c r="O65" s="36"/>
      <c r="P65" s="70"/>
      <c r="Q65" s="36"/>
      <c r="R65" s="36"/>
      <c r="S65" s="36"/>
      <c r="T65" s="36"/>
    </row>
    <row r="66" ht="21" customHeight="1">
      <c r="A66" s="89"/>
      <c r="B66" s="47"/>
      <c r="C66" s="28"/>
      <c r="D66" s="11"/>
      <c r="E66" s="120"/>
      <c r="F66" s="120"/>
      <c r="G66" s="120"/>
      <c r="H66" s="120"/>
      <c r="I66" s="120"/>
      <c r="J66" s="120"/>
      <c r="K66" s="36"/>
      <c r="L66" s="36"/>
      <c r="M66" s="36"/>
      <c r="N66" s="36"/>
      <c r="O66" s="36"/>
      <c r="P66" s="120"/>
      <c r="Q66" s="36"/>
      <c r="R66" s="36"/>
      <c r="S66" s="36"/>
      <c r="T66" s="36"/>
    </row>
    <row r="67" ht="21" customHeight="1">
      <c r="A67" s="89"/>
      <c r="B67" t="s" s="123">
        <v>47</v>
      </c>
      <c r="C67" s="28"/>
      <c r="D67" s="63">
        <f>12686-20019</f>
        <v>-7333</v>
      </c>
      <c r="E67" s="63">
        <f>13884-20556</f>
        <v>-6672</v>
      </c>
      <c r="F67" s="63">
        <f>16983-23177</f>
        <v>-6194</v>
      </c>
      <c r="G67" s="63">
        <f>15478-20150</f>
        <v>-4672</v>
      </c>
      <c r="H67" s="63">
        <f>16430-20978</f>
        <v>-4548</v>
      </c>
      <c r="I67" s="63">
        <f>16157-20592</f>
        <v>-4435</v>
      </c>
      <c r="J67" s="63">
        <f>17401-24778</f>
        <v>-7377</v>
      </c>
      <c r="K67" s="36"/>
      <c r="L67" s="36"/>
      <c r="M67" s="36"/>
      <c r="N67" s="36"/>
      <c r="O67" s="36"/>
      <c r="P67" s="120"/>
      <c r="Q67" s="36"/>
      <c r="R67" s="36"/>
      <c r="S67" s="36"/>
      <c r="T67" s="36"/>
    </row>
    <row r="68" ht="21" customHeight="1">
      <c r="A68" s="89"/>
      <c r="B68" s="47"/>
      <c r="C68" s="28"/>
      <c r="D68" s="11"/>
      <c r="E68" s="120"/>
      <c r="F68" s="120"/>
      <c r="G68" s="120"/>
      <c r="H68" s="120"/>
      <c r="I68" s="120"/>
      <c r="J68" s="120"/>
      <c r="K68" s="36"/>
      <c r="L68" s="36"/>
      <c r="M68" s="36"/>
      <c r="N68" s="36"/>
      <c r="O68" s="36"/>
      <c r="P68" s="120"/>
      <c r="Q68" s="36"/>
      <c r="R68" s="36"/>
      <c r="S68" s="36"/>
      <c r="T68" s="36"/>
    </row>
    <row r="69" ht="21" customHeight="1">
      <c r="A69" s="89"/>
      <c r="B69" t="s" s="123">
        <v>48</v>
      </c>
      <c r="C69" s="28"/>
      <c r="D69" s="63"/>
      <c r="E69" s="63">
        <f>D67-E67</f>
        <v>-661</v>
      </c>
      <c r="F69" s="63">
        <f>E67-F67</f>
        <v>-478</v>
      </c>
      <c r="G69" s="63">
        <f>F67-G67</f>
        <v>-1522</v>
      </c>
      <c r="H69" s="63">
        <f>G67-H67</f>
        <v>-124</v>
      </c>
      <c r="I69" s="63">
        <f>H67-I67</f>
        <v>-113</v>
      </c>
      <c r="J69" s="63">
        <f>I67-J67</f>
        <v>2942</v>
      </c>
      <c r="K69" s="36"/>
      <c r="L69" s="36"/>
      <c r="M69" s="36"/>
      <c r="N69" s="36"/>
      <c r="O69" s="36"/>
      <c r="P69" s="120"/>
      <c r="Q69" s="36"/>
      <c r="R69" s="36"/>
      <c r="S69" s="36"/>
      <c r="T69" s="36"/>
    </row>
    <row r="70" ht="21" customHeight="1">
      <c r="A70" s="124"/>
      <c r="B70" t="s" s="125">
        <v>39</v>
      </c>
      <c r="C70" s="68"/>
      <c r="D70" s="70">
        <f>D69/D49</f>
        <v>0</v>
      </c>
      <c r="E70" s="70">
        <f>E69/E49</f>
        <v>-0.0125426944971537</v>
      </c>
      <c r="F70" s="70">
        <f>F69/F49</f>
        <v>-0.008901303538175051</v>
      </c>
      <c r="G70" s="70">
        <f>G69/G49</f>
        <v>-0.029843137254902</v>
      </c>
      <c r="H70" s="70">
        <f>H69/H49</f>
        <v>-0.00238461538461538</v>
      </c>
      <c r="I70" s="70">
        <f>I69/I49</f>
        <v>-0.00222879684418146</v>
      </c>
      <c r="J70" s="70">
        <f>J69/J49</f>
        <v>0.0560380952380952</v>
      </c>
      <c r="K70" s="36"/>
      <c r="L70" s="36"/>
      <c r="M70" s="36"/>
      <c r="N70" s="36"/>
      <c r="O70" s="36"/>
      <c r="P70" s="70"/>
      <c r="Q70" s="36"/>
      <c r="R70" s="36"/>
      <c r="S70" s="36"/>
      <c r="T70" s="36"/>
    </row>
    <row r="71" ht="21" customHeight="1">
      <c r="A71" s="124"/>
      <c r="B71" t="s" s="125">
        <v>49</v>
      </c>
      <c r="C71" s="68"/>
      <c r="D71" s="70">
        <f>(D69-C69)/(D49-C49)</f>
        <v>0</v>
      </c>
      <c r="E71" s="70">
        <f>(E69-D69)/(E49-D49)</f>
        <v>1.10166666666667</v>
      </c>
      <c r="F71" s="70">
        <f>(F69-E69)/(F49-E49)</f>
        <v>0.183</v>
      </c>
      <c r="G71" s="70">
        <f>(G69-F69)/(G49-F49)</f>
        <v>0.386666666666667</v>
      </c>
      <c r="H71" s="70">
        <f>(H69-G69)/(H49-G49)</f>
        <v>1.398</v>
      </c>
      <c r="I71" s="70">
        <f>(I69-H69)/(I49-H49)</f>
        <v>-0.00846153846153846</v>
      </c>
      <c r="J71" s="70">
        <f>(J69-I69)/(J49-I49)</f>
        <v>1.69722222222222</v>
      </c>
      <c r="K71" s="36"/>
      <c r="L71" s="36"/>
      <c r="M71" s="36"/>
      <c r="N71" s="36"/>
      <c r="O71" s="36"/>
      <c r="P71" s="70"/>
      <c r="Q71" s="36"/>
      <c r="R71" s="36"/>
      <c r="S71" s="36"/>
      <c r="T71" s="36"/>
    </row>
    <row r="72" ht="21" customHeight="1">
      <c r="A72" s="89"/>
      <c r="B72" s="47"/>
      <c r="C72" s="28"/>
      <c r="D72" s="11"/>
      <c r="E72" s="63"/>
      <c r="F72" s="63"/>
      <c r="G72" s="63"/>
      <c r="H72" s="63"/>
      <c r="I72" s="63"/>
      <c r="J72" s="63"/>
      <c r="K72" s="120"/>
      <c r="L72" s="120"/>
      <c r="M72" s="120"/>
      <c r="N72" s="120"/>
      <c r="O72" s="120"/>
      <c r="P72" s="120"/>
      <c r="Q72" s="36"/>
      <c r="R72" s="36"/>
      <c r="S72" s="36"/>
      <c r="T72" s="36"/>
    </row>
    <row r="73" ht="21" customHeight="1">
      <c r="A73" s="89"/>
      <c r="B73" s="47"/>
      <c r="C73" s="28"/>
      <c r="D73" s="11"/>
      <c r="E73" s="63"/>
      <c r="F73" s="63"/>
      <c r="G73" s="63"/>
      <c r="H73" s="63"/>
      <c r="I73" s="63"/>
      <c r="J73" s="63"/>
      <c r="K73" s="63">
        <v>1</v>
      </c>
      <c r="L73" s="63">
        <v>2</v>
      </c>
      <c r="M73" s="63">
        <v>3</v>
      </c>
      <c r="N73" s="63">
        <v>4</v>
      </c>
      <c r="O73" s="63">
        <v>5</v>
      </c>
      <c r="P73" s="63">
        <v>6</v>
      </c>
      <c r="Q73" s="36"/>
      <c r="R73" s="36"/>
      <c r="S73" s="36"/>
      <c r="T73" s="36"/>
    </row>
    <row r="74" ht="21" customHeight="1">
      <c r="A74" t="s" s="121">
        <v>13</v>
      </c>
      <c r="B74" t="s" s="122">
        <v>5</v>
      </c>
      <c r="C74" s="31"/>
      <c r="D74" s="61">
        <v>2015</v>
      </c>
      <c r="E74" s="62">
        <v>2016</v>
      </c>
      <c r="F74" s="62">
        <v>2017</v>
      </c>
      <c r="G74" s="62">
        <v>2018</v>
      </c>
      <c r="H74" s="62">
        <v>2019</v>
      </c>
      <c r="I74" s="62">
        <v>2020</v>
      </c>
      <c r="J74" s="62">
        <v>2021</v>
      </c>
      <c r="K74" s="62">
        <v>2022</v>
      </c>
      <c r="L74" s="62">
        <v>2023</v>
      </c>
      <c r="M74" s="62">
        <v>2024</v>
      </c>
      <c r="N74" s="62">
        <v>2025</v>
      </c>
      <c r="O74" s="62">
        <v>2026</v>
      </c>
      <c r="P74" s="62">
        <v>2027</v>
      </c>
      <c r="Q74" s="36"/>
      <c r="R74" s="36"/>
      <c r="S74" s="36"/>
      <c r="T74" s="36"/>
    </row>
    <row r="75" ht="21" customHeight="1">
      <c r="A75" s="114"/>
      <c r="B75" s="115"/>
      <c r="C75" s="28"/>
      <c r="D75" s="11"/>
      <c r="E75" s="120"/>
      <c r="F75" s="120"/>
      <c r="G75" s="120"/>
      <c r="H75" s="120"/>
      <c r="I75" s="120"/>
      <c r="J75" s="120"/>
      <c r="K75" s="120"/>
      <c r="L75" s="120"/>
      <c r="M75" s="120"/>
      <c r="N75" s="120"/>
      <c r="O75" s="120"/>
      <c r="P75" s="120"/>
      <c r="Q75" s="36"/>
      <c r="R75" s="36"/>
      <c r="S75" s="36"/>
      <c r="T75" s="36"/>
    </row>
    <row r="76" ht="21" customHeight="1">
      <c r="A76" s="8"/>
      <c r="B76" t="s" s="117">
        <v>38</v>
      </c>
      <c r="C76" s="28"/>
      <c r="D76" s="111">
        <f>D44</f>
        <v>53300</v>
      </c>
      <c r="E76" s="111">
        <f>E44</f>
        <v>52700</v>
      </c>
      <c r="F76" s="111">
        <f>F44</f>
        <v>53700</v>
      </c>
      <c r="G76" s="111">
        <f>G44</f>
        <v>51000</v>
      </c>
      <c r="H76" s="111">
        <f>H44</f>
        <v>52000</v>
      </c>
      <c r="I76" s="111">
        <f>I44</f>
        <v>50700</v>
      </c>
      <c r="J76" s="111">
        <f>J44</f>
        <v>52500</v>
      </c>
      <c r="K76" s="111">
        <f>K44</f>
        <v>59200</v>
      </c>
      <c r="L76" s="111">
        <f>L44</f>
        <v>61627.2</v>
      </c>
      <c r="M76" s="111">
        <f>M44</f>
        <v>64138.5084</v>
      </c>
      <c r="N76" s="111">
        <f>N44</f>
        <v>66736.1179902</v>
      </c>
      <c r="O76" s="111">
        <f>O44</f>
        <v>69422.2467393055</v>
      </c>
      <c r="P76" s="111">
        <f>P44</f>
        <v>72199.1366088777</v>
      </c>
      <c r="Q76" s="36"/>
      <c r="R76" s="36"/>
      <c r="S76" s="36"/>
      <c r="T76" s="36"/>
    </row>
    <row r="77" ht="21" customHeight="1">
      <c r="A77" s="114"/>
      <c r="B77" t="s" s="67">
        <v>29</v>
      </c>
      <c r="C77" s="28"/>
      <c r="D77" s="11"/>
      <c r="E77" s="120">
        <f>E76/D76-1</f>
        <v>-0.0112570356472795</v>
      </c>
      <c r="F77" s="120">
        <f>F76/E76-1</f>
        <v>0.0189753320683112</v>
      </c>
      <c r="G77" s="120">
        <f>G76/F76-1</f>
        <v>-0.0502793296089385</v>
      </c>
      <c r="H77" s="120">
        <f>H76/G76-1</f>
        <v>0.0196078431372549</v>
      </c>
      <c r="I77" s="120">
        <f>I76/H76-1</f>
        <v>-0.025</v>
      </c>
      <c r="J77" s="120">
        <f>J76/I76-1</f>
        <v>0.0355029585798817</v>
      </c>
      <c r="K77" s="120">
        <f>K76/J76-1</f>
        <v>0.127619047619048</v>
      </c>
      <c r="L77" s="120">
        <f>L76/K76-1</f>
        <v>0.041</v>
      </c>
      <c r="M77" s="120">
        <f>M76/L76-1</f>
        <v>0.04075</v>
      </c>
      <c r="N77" s="120">
        <f>N76/M76-1</f>
        <v>0.0405</v>
      </c>
      <c r="O77" s="120">
        <f>O76/N76-1</f>
        <v>0.0402499999999993</v>
      </c>
      <c r="P77" s="120">
        <f>P76/O76-1</f>
        <v>0.0399999999999997</v>
      </c>
      <c r="Q77" s="36"/>
      <c r="R77" s="36"/>
      <c r="S77" s="36"/>
      <c r="T77" s="36"/>
    </row>
    <row r="78" ht="21" customHeight="1">
      <c r="A78" s="89"/>
      <c r="B78" s="115"/>
      <c r="C78" s="28"/>
      <c r="D78" s="11"/>
      <c r="E78" s="120"/>
      <c r="F78" s="120"/>
      <c r="G78" s="120"/>
      <c r="H78" s="120"/>
      <c r="I78" s="120"/>
      <c r="J78" s="120"/>
      <c r="K78" s="120"/>
      <c r="L78" s="120"/>
      <c r="M78" s="120"/>
      <c r="N78" s="120"/>
      <c r="O78" s="120"/>
      <c r="P78" s="120"/>
      <c r="Q78" s="36"/>
      <c r="R78" s="36"/>
      <c r="S78" s="36"/>
      <c r="T78" s="36"/>
    </row>
    <row r="79" ht="21" customHeight="1">
      <c r="A79" s="8"/>
      <c r="B79" t="s" s="117">
        <v>22</v>
      </c>
      <c r="C79" s="28"/>
      <c r="D79" s="63">
        <f>D52</f>
        <v>7680</v>
      </c>
      <c r="E79" s="63">
        <f>E52</f>
        <v>7836</v>
      </c>
      <c r="F79" s="63">
        <f>F52</f>
        <v>8469</v>
      </c>
      <c r="G79" s="113">
        <f>G52</f>
        <v>12821</v>
      </c>
      <c r="H79" s="113">
        <f>H52</f>
        <v>8836</v>
      </c>
      <c r="I79" s="63">
        <f>I52</f>
        <v>8165</v>
      </c>
      <c r="J79" s="113">
        <f>J52</f>
        <v>9044</v>
      </c>
      <c r="K79" s="63">
        <f>K76*K80</f>
        <v>9930.506140696920</v>
      </c>
      <c r="L79" s="63">
        <f>L76*L80</f>
        <v>10242.1959139724</v>
      </c>
      <c r="M79" s="63">
        <f>M76*M80</f>
        <v>10560.2143841001</v>
      </c>
      <c r="N79" s="63">
        <f>N76*N80</f>
        <v>10884.5283372481</v>
      </c>
      <c r="O79" s="63">
        <f>O76*O80</f>
        <v>11215.0950405557</v>
      </c>
      <c r="P79" s="63">
        <f>P76*P80</f>
        <v>11551.8618574204</v>
      </c>
      <c r="Q79" s="36"/>
      <c r="R79" s="36"/>
      <c r="S79" s="36"/>
      <c r="T79" s="36"/>
    </row>
    <row r="80" ht="21.5" customHeight="1">
      <c r="A80" s="82"/>
      <c r="B80" t="s" s="67">
        <v>39</v>
      </c>
      <c r="C80" s="68"/>
      <c r="D80" s="70">
        <f>D79/D76</f>
        <v>0.144090056285178</v>
      </c>
      <c r="E80" s="70">
        <f>E79/E76</f>
        <v>0.148690702087287</v>
      </c>
      <c r="F80" s="70">
        <f>F79/F76</f>
        <v>0.157709497206704</v>
      </c>
      <c r="G80" s="70">
        <f>G79/G76</f>
        <v>0.251392156862745</v>
      </c>
      <c r="H80" s="70">
        <f>H79/H76</f>
        <v>0.169923076923077</v>
      </c>
      <c r="I80" s="70">
        <f>I79/I76</f>
        <v>0.161045364891519</v>
      </c>
      <c r="J80" s="70">
        <f>J79/J76</f>
        <v>0.172266666666667</v>
      </c>
      <c r="K80" s="71">
        <f>OFFSET(K80,$C$13,0)</f>
        <v>0.167745036160421</v>
      </c>
      <c r="L80" s="71">
        <f>OFFSET(L80,$C$13,0)</f>
        <v>0.166196028928337</v>
      </c>
      <c r="M80" s="71">
        <f>OFFSET(M80,$C$13,0)</f>
        <v>0.164647021696253</v>
      </c>
      <c r="N80" s="71">
        <f>OFFSET(N80,$C$13,0)</f>
        <v>0.163098014464169</v>
      </c>
      <c r="O80" s="71">
        <f>OFFSET(O80,$C$13,0)</f>
        <v>0.161549007232085</v>
      </c>
      <c r="P80" s="71">
        <f>OFFSET(P80,$C$13,0)</f>
        <v>0.16</v>
      </c>
      <c r="Q80" s="36"/>
      <c r="R80" s="36"/>
      <c r="S80" s="36"/>
      <c r="T80" s="36"/>
    </row>
    <row r="81" ht="22" customHeight="1">
      <c r="A81" s="8"/>
      <c r="B81" t="s" s="34">
        <v>30</v>
      </c>
      <c r="C81" s="28"/>
      <c r="D81" s="11"/>
      <c r="E81" s="65"/>
      <c r="F81" s="65"/>
      <c r="G81" s="65"/>
      <c r="H81" s="65"/>
      <c r="I81" s="65"/>
      <c r="J81" s="72"/>
      <c r="K81" s="73">
        <f>K82*$E$13</f>
        <v>0.150970532544379</v>
      </c>
      <c r="L81" s="73">
        <f>L82*$E$13</f>
        <v>0.149576426035503</v>
      </c>
      <c r="M81" s="73">
        <f>M82*$E$13</f>
        <v>0.148182319526628</v>
      </c>
      <c r="N81" s="73">
        <f>N82*$E$13</f>
        <v>0.146788213017752</v>
      </c>
      <c r="O81" s="73">
        <f>O82*$E$13</f>
        <v>0.145394106508877</v>
      </c>
      <c r="P81" s="73">
        <f>P82*$E$13</f>
        <v>0.144</v>
      </c>
      <c r="Q81" s="74"/>
      <c r="R81" s="36"/>
      <c r="S81" s="36"/>
      <c r="T81" s="36"/>
    </row>
    <row r="82" ht="22" customHeight="1">
      <c r="A82" s="13"/>
      <c r="B82" t="s" s="34">
        <v>31</v>
      </c>
      <c r="C82" s="28"/>
      <c r="D82" s="11"/>
      <c r="E82" s="65"/>
      <c r="F82" s="65"/>
      <c r="G82" s="65"/>
      <c r="H82" s="65"/>
      <c r="I82" s="65"/>
      <c r="J82" s="72"/>
      <c r="K82" s="73">
        <f>AVERAGE(J80,I80,H80)</f>
        <v>0.167745036160421</v>
      </c>
      <c r="L82" s="75">
        <f>K82-(K82-$P$82)/($P$74-K74)</f>
        <v>0.166196028928337</v>
      </c>
      <c r="M82" s="75">
        <f>L82-(L82-$P$82)/($P$74-L74)</f>
        <v>0.164647021696253</v>
      </c>
      <c r="N82" s="75">
        <f>M82-(M82-$P$82)/($P$74-M74)</f>
        <v>0.163098014464169</v>
      </c>
      <c r="O82" s="75">
        <f>N82-(N82-$P$82)/($P$74-N74)</f>
        <v>0.161549007232085</v>
      </c>
      <c r="P82" s="73">
        <f>G13</f>
        <v>0.16</v>
      </c>
      <c r="Q82" s="74"/>
      <c r="R82" s="36"/>
      <c r="S82" s="36"/>
      <c r="T82" s="36"/>
    </row>
    <row r="83" ht="22" customHeight="1">
      <c r="A83" s="13"/>
      <c r="B83" t="s" s="34">
        <v>32</v>
      </c>
      <c r="C83" s="28"/>
      <c r="D83" s="11"/>
      <c r="E83" s="65"/>
      <c r="F83" s="65"/>
      <c r="G83" s="65"/>
      <c r="H83" s="65"/>
      <c r="I83" s="65"/>
      <c r="J83" s="72"/>
      <c r="K83" s="75">
        <f>K82*$I$13</f>
        <v>0.184519539776463</v>
      </c>
      <c r="L83" s="98">
        <f>L82*$I$13</f>
        <v>0.182815631821171</v>
      </c>
      <c r="M83" s="98">
        <f>M82*$I$13</f>
        <v>0.181111723865878</v>
      </c>
      <c r="N83" s="98">
        <f>N82*$I$13</f>
        <v>0.179407815910586</v>
      </c>
      <c r="O83" s="98">
        <f>O82*$I$13</f>
        <v>0.177703907955294</v>
      </c>
      <c r="P83" s="75">
        <f>P82*$I$13</f>
        <v>0.176</v>
      </c>
      <c r="Q83" s="74"/>
      <c r="R83" s="36"/>
      <c r="S83" s="36"/>
      <c r="T83" s="36"/>
    </row>
    <row r="84" ht="21.5" customHeight="1">
      <c r="A84" s="114"/>
      <c r="B84" s="115"/>
      <c r="C84" s="28"/>
      <c r="D84" s="11"/>
      <c r="E84" s="120"/>
      <c r="F84" s="120"/>
      <c r="G84" s="120"/>
      <c r="H84" s="120"/>
      <c r="I84" s="120"/>
      <c r="J84" s="120"/>
      <c r="K84" s="126"/>
      <c r="L84" s="126"/>
      <c r="M84" s="126"/>
      <c r="N84" s="126"/>
      <c r="O84" s="126"/>
      <c r="P84" s="126"/>
      <c r="Q84" s="36"/>
      <c r="R84" s="36"/>
      <c r="S84" s="36"/>
      <c r="T84" s="36"/>
    </row>
    <row r="85" ht="21.5" customHeight="1">
      <c r="A85" s="89"/>
      <c r="B85" t="s" s="117">
        <v>40</v>
      </c>
      <c r="C85" s="28"/>
      <c r="D85" s="113">
        <f>D55</f>
        <v>1961</v>
      </c>
      <c r="E85" s="113">
        <f>E55</f>
        <v>1922</v>
      </c>
      <c r="F85" s="113">
        <f>F55</f>
        <v>1667</v>
      </c>
      <c r="G85" s="63">
        <f>G55</f>
        <v>2575</v>
      </c>
      <c r="H85" s="113">
        <f>H55</f>
        <v>2262</v>
      </c>
      <c r="I85" s="63">
        <f>I55</f>
        <v>1923</v>
      </c>
      <c r="J85" s="63">
        <f>J55</f>
        <v>1935</v>
      </c>
      <c r="K85" s="127">
        <f>K79*K86</f>
        <v>2335.223545332410</v>
      </c>
      <c r="L85" s="127">
        <f>L79*L86</f>
        <v>2337.364712784090</v>
      </c>
      <c r="M85" s="127">
        <f>M79*M86</f>
        <v>2384.214398246370</v>
      </c>
      <c r="N85" s="127">
        <f>N79*N86</f>
        <v>2500.318302534630</v>
      </c>
      <c r="O85" s="127">
        <f>O79*O86</f>
        <v>2555.904042703480</v>
      </c>
      <c r="P85" s="127">
        <f>P79*P86</f>
        <v>2631.456053044850</v>
      </c>
      <c r="Q85" s="36"/>
      <c r="R85" s="36"/>
      <c r="S85" s="36"/>
      <c r="T85" s="36"/>
    </row>
    <row r="86" ht="22" customHeight="1">
      <c r="A86" s="124"/>
      <c r="B86" t="s" s="119">
        <v>41</v>
      </c>
      <c r="C86" s="68"/>
      <c r="D86" s="70">
        <f>D85/D79</f>
        <v>0.255338541666667</v>
      </c>
      <c r="E86" s="70">
        <f>E85/E79</f>
        <v>0.24527820316488</v>
      </c>
      <c r="F86" s="70">
        <f>F85/F79</f>
        <v>0.196835517770693</v>
      </c>
      <c r="G86" s="70">
        <f>G85/G79</f>
        <v>0.200842367990016</v>
      </c>
      <c r="H86" s="70">
        <f>H85/H79</f>
        <v>0.255998189225894</v>
      </c>
      <c r="I86" s="70">
        <f>I85/I79</f>
        <v>0.235517452541335</v>
      </c>
      <c r="J86" s="128">
        <f>J85/J79</f>
        <v>0.213954002653693</v>
      </c>
      <c r="K86" s="75">
        <f>AVERAGE(J86,I86,H86)</f>
        <v>0.235156548140307</v>
      </c>
      <c r="L86" s="75">
        <f>AVERAGE(K86,J86,I86)</f>
        <v>0.228209334445112</v>
      </c>
      <c r="M86" s="75">
        <f>AVERAGE(L86,K86,J86)</f>
        <v>0.225773295079704</v>
      </c>
      <c r="N86" s="75">
        <f>AVERAGE(M86,L86,K86)</f>
        <v>0.229713059221708</v>
      </c>
      <c r="O86" s="75">
        <f>AVERAGE(N86,M86,L86)</f>
        <v>0.227898562915508</v>
      </c>
      <c r="P86" s="75">
        <f>AVERAGE(O86,N86,M86)</f>
        <v>0.22779497240564</v>
      </c>
      <c r="Q86" s="74"/>
      <c r="R86" s="36"/>
      <c r="S86" s="36"/>
      <c r="T86" s="36"/>
    </row>
    <row r="87" ht="21.65" customHeight="1">
      <c r="A87" s="129"/>
      <c r="B87" s="130"/>
      <c r="C87" s="131"/>
      <c r="D87" s="132"/>
      <c r="E87" s="133"/>
      <c r="F87" s="133"/>
      <c r="G87" s="133"/>
      <c r="H87" s="133"/>
      <c r="I87" s="133"/>
      <c r="J87" s="133"/>
      <c r="K87" s="134"/>
      <c r="L87" s="134"/>
      <c r="M87" s="134"/>
      <c r="N87" s="134"/>
      <c r="O87" s="134"/>
      <c r="P87" s="134"/>
      <c r="Q87" s="36"/>
      <c r="R87" s="36"/>
      <c r="S87" s="36"/>
      <c r="T87" s="36"/>
    </row>
    <row r="88" ht="21.15" customHeight="1">
      <c r="A88" s="135"/>
      <c r="B88" t="s" s="136">
        <v>50</v>
      </c>
      <c r="C88" s="137"/>
      <c r="D88" s="138"/>
      <c r="E88" s="139"/>
      <c r="F88" s="139"/>
      <c r="G88" s="139"/>
      <c r="H88" s="139"/>
      <c r="I88" s="139"/>
      <c r="J88" s="139"/>
      <c r="K88" s="139">
        <f>K79-K85</f>
        <v>7595.282595364510</v>
      </c>
      <c r="L88" s="139">
        <f>L79-L85</f>
        <v>7904.831201188310</v>
      </c>
      <c r="M88" s="139">
        <f>M79-M85</f>
        <v>8175.999985853730</v>
      </c>
      <c r="N88" s="139">
        <f>N79-N85</f>
        <v>8384.210034713469</v>
      </c>
      <c r="O88" s="139">
        <f>O79-O85</f>
        <v>8659.190997852220</v>
      </c>
      <c r="P88" s="139">
        <f>P79-P85</f>
        <v>8920.405804375550</v>
      </c>
      <c r="Q88" s="36"/>
      <c r="R88" s="36"/>
      <c r="S88" s="36"/>
      <c r="T88" s="36"/>
    </row>
    <row r="89" ht="21" customHeight="1">
      <c r="A89" s="89"/>
      <c r="B89" s="47"/>
      <c r="C89" s="140"/>
      <c r="D89" s="141"/>
      <c r="E89" s="142"/>
      <c r="F89" s="142"/>
      <c r="G89" s="142"/>
      <c r="H89" s="142"/>
      <c r="I89" s="142"/>
      <c r="J89" s="142"/>
      <c r="K89" s="142"/>
      <c r="L89" s="142"/>
      <c r="M89" s="142"/>
      <c r="N89" s="142"/>
      <c r="O89" s="142"/>
      <c r="P89" s="142"/>
      <c r="Q89" s="36"/>
      <c r="R89" s="36"/>
      <c r="S89" s="36"/>
      <c r="T89" s="36"/>
    </row>
    <row r="90" ht="21.5" customHeight="1">
      <c r="A90" s="89"/>
      <c r="B90" t="s" s="123">
        <v>43</v>
      </c>
      <c r="C90" s="28"/>
      <c r="D90" s="113">
        <f>D60</f>
        <v>1370</v>
      </c>
      <c r="E90" s="113">
        <f>E60</f>
        <v>1464</v>
      </c>
      <c r="F90" s="113">
        <f>F60</f>
        <v>1538</v>
      </c>
      <c r="G90" s="113">
        <f>G60</f>
        <v>2216</v>
      </c>
      <c r="H90" s="113">
        <f>H60</f>
        <v>1982</v>
      </c>
      <c r="I90" s="113">
        <f>I60</f>
        <v>2018</v>
      </c>
      <c r="J90" s="113">
        <f>J60</f>
        <v>1763</v>
      </c>
      <c r="K90" s="143">
        <f>K44*K91</f>
        <v>2200.248873861180</v>
      </c>
      <c r="L90" s="143">
        <f>L44*L91</f>
        <v>2270.963959996240</v>
      </c>
      <c r="M90" s="143">
        <f>M44*M91</f>
        <v>2300.377740945720</v>
      </c>
      <c r="N90" s="143">
        <f>N44*N91</f>
        <v>2444.369919165850</v>
      </c>
      <c r="O90" s="143">
        <f>O44*O91</f>
        <v>2530.283531660780</v>
      </c>
      <c r="P90" s="143">
        <f>P44*P91</f>
        <v>2621.8131287799</v>
      </c>
      <c r="Q90" s="36"/>
      <c r="R90" s="36"/>
      <c r="S90" s="36"/>
      <c r="T90" s="36"/>
    </row>
    <row r="91" ht="22" customHeight="1">
      <c r="A91" s="89"/>
      <c r="B91" t="s" s="144">
        <v>39</v>
      </c>
      <c r="C91" s="28"/>
      <c r="D91" s="120">
        <f>D90/D44</f>
        <v>0.025703564727955</v>
      </c>
      <c r="E91" s="120">
        <f>E90/E44</f>
        <v>0.0277798861480076</v>
      </c>
      <c r="F91" s="120">
        <f>F90/F44</f>
        <v>0.0286405959031657</v>
      </c>
      <c r="G91" s="120">
        <f>G90/G44</f>
        <v>0.0434509803921569</v>
      </c>
      <c r="H91" s="120">
        <f>H90/H44</f>
        <v>0.0381153846153846</v>
      </c>
      <c r="I91" s="120">
        <f>I90/I44</f>
        <v>0.0398027613412229</v>
      </c>
      <c r="J91" s="145">
        <f>J90/J44</f>
        <v>0.0335809523809524</v>
      </c>
      <c r="K91" s="75">
        <f>AVERAGE(J91,I91,H91)</f>
        <v>0.03716636611252</v>
      </c>
      <c r="L91" s="75">
        <f>AVERAGE(K91,J91,I91)</f>
        <v>0.0368500266115651</v>
      </c>
      <c r="M91" s="75">
        <f>AVERAGE(L91,K91,J91)</f>
        <v>0.0358657817016792</v>
      </c>
      <c r="N91" s="75">
        <f>AVERAGE(M91,L91,K91)</f>
        <v>0.0366273914752548</v>
      </c>
      <c r="O91" s="75">
        <f>AVERAGE(N91,M91,L91)</f>
        <v>0.036447733262833</v>
      </c>
      <c r="P91" s="75">
        <f>AVERAGE(O91,N91,M91)</f>
        <v>0.0363136354799223</v>
      </c>
      <c r="Q91" s="74"/>
      <c r="R91" s="36"/>
      <c r="S91" s="36"/>
      <c r="T91" s="36"/>
    </row>
    <row r="92" ht="21.5" customHeight="1">
      <c r="A92" s="89"/>
      <c r="B92" s="115"/>
      <c r="C92" s="28"/>
      <c r="D92" s="11"/>
      <c r="E92" s="120"/>
      <c r="F92" s="120"/>
      <c r="G92" s="120"/>
      <c r="H92" s="120"/>
      <c r="I92" s="120"/>
      <c r="J92" s="120"/>
      <c r="K92" s="126"/>
      <c r="L92" s="126"/>
      <c r="M92" s="126"/>
      <c r="N92" s="126"/>
      <c r="O92" s="126"/>
      <c r="P92" s="126"/>
      <c r="Q92" s="36"/>
      <c r="R92" s="36"/>
      <c r="S92" s="36"/>
      <c r="T92" s="36"/>
    </row>
    <row r="93" ht="21.5" customHeight="1">
      <c r="A93" s="89"/>
      <c r="B93" t="s" s="123">
        <v>46</v>
      </c>
      <c r="C93" s="28"/>
      <c r="D93" s="63">
        <f>D64</f>
        <v>2074</v>
      </c>
      <c r="E93" s="63">
        <f>E64</f>
        <v>1878</v>
      </c>
      <c r="F93" s="113">
        <f>F64</f>
        <v>1621</v>
      </c>
      <c r="G93" s="113">
        <f>G64</f>
        <v>1424</v>
      </c>
      <c r="H93" s="113">
        <f>H64</f>
        <v>1699</v>
      </c>
      <c r="I93" s="113">
        <f>I64</f>
        <v>1239</v>
      </c>
      <c r="J93" s="113">
        <f>J64</f>
        <v>932</v>
      </c>
      <c r="K93" s="127">
        <f>K76*K94</f>
        <v>1477.302999906080</v>
      </c>
      <c r="L93" s="127">
        <f>L76*L94</f>
        <v>1379.313148485020</v>
      </c>
      <c r="M93" s="127">
        <f>M76*M94</f>
        <v>1391.557372751860</v>
      </c>
      <c r="N93" s="127">
        <f>N76*N94</f>
        <v>1535.645598516050</v>
      </c>
      <c r="O93" s="127">
        <f>O76*O94</f>
        <v>1552.475955455970</v>
      </c>
      <c r="P93" s="127">
        <f>P76*P94</f>
        <v>1614.123448557050</v>
      </c>
      <c r="Q93" s="36"/>
      <c r="R93" s="36"/>
      <c r="S93" s="36"/>
      <c r="T93" s="36"/>
    </row>
    <row r="94" ht="22" customHeight="1">
      <c r="A94" s="89"/>
      <c r="B94" t="s" s="144">
        <v>39</v>
      </c>
      <c r="C94" s="28"/>
      <c r="D94" s="120">
        <f>D93/D44</f>
        <v>0.0389118198874296</v>
      </c>
      <c r="E94" s="120">
        <f>E93/E44</f>
        <v>0.0356356736242884</v>
      </c>
      <c r="F94" s="120">
        <f>F93/F44</f>
        <v>0.0301862197392924</v>
      </c>
      <c r="G94" s="120">
        <f>G93/G44</f>
        <v>0.027921568627451</v>
      </c>
      <c r="H94" s="120">
        <f>H93/H44</f>
        <v>0.0326730769230769</v>
      </c>
      <c r="I94" s="120">
        <f>I93/I44</f>
        <v>0.0244378698224852</v>
      </c>
      <c r="J94" s="145">
        <f>J93/J44</f>
        <v>0.017752380952381</v>
      </c>
      <c r="K94" s="75">
        <f>AVERAGE(J94,I94,H94)</f>
        <v>0.024954442565981</v>
      </c>
      <c r="L94" s="75">
        <f>AVERAGE(K94,J94,I94)</f>
        <v>0.0223815644469491</v>
      </c>
      <c r="M94" s="75">
        <f>AVERAGE(L94,K94,J94)</f>
        <v>0.0216961293217704</v>
      </c>
      <c r="N94" s="75">
        <f>AVERAGE(M94,L94,K94)</f>
        <v>0.0230107121115668</v>
      </c>
      <c r="O94" s="75">
        <f>AVERAGE(N94,M94,L94)</f>
        <v>0.0223628019600954</v>
      </c>
      <c r="P94" s="75">
        <f>AVERAGE(O94,N94,M94)</f>
        <v>0.0223565477978109</v>
      </c>
      <c r="Q94" s="74"/>
      <c r="R94" s="36"/>
      <c r="S94" s="36"/>
      <c r="T94" s="36"/>
    </row>
    <row r="95" ht="21.5" customHeight="1">
      <c r="A95" s="89"/>
      <c r="B95" s="115"/>
      <c r="C95" s="28"/>
      <c r="D95" s="11"/>
      <c r="E95" s="120"/>
      <c r="F95" s="120"/>
      <c r="G95" s="120"/>
      <c r="H95" s="120"/>
      <c r="I95" s="120"/>
      <c r="J95" s="120"/>
      <c r="K95" s="126"/>
      <c r="L95" s="126"/>
      <c r="M95" s="126"/>
      <c r="N95" s="126"/>
      <c r="O95" s="126"/>
      <c r="P95" s="126"/>
      <c r="Q95" s="36"/>
      <c r="R95" s="36"/>
      <c r="S95" s="36"/>
      <c r="T95" s="36"/>
    </row>
    <row r="96" ht="21.5" customHeight="1">
      <c r="A96" s="89"/>
      <c r="B96" t="s" s="123">
        <v>48</v>
      </c>
      <c r="C96" s="28"/>
      <c r="D96" s="11"/>
      <c r="E96" s="63">
        <f>E69</f>
        <v>-661</v>
      </c>
      <c r="F96" s="63">
        <f>F69</f>
        <v>-478</v>
      </c>
      <c r="G96" s="63">
        <f>G69</f>
        <v>-1522</v>
      </c>
      <c r="H96" s="63">
        <f>H69</f>
        <v>-124</v>
      </c>
      <c r="I96" s="63">
        <f>I69</f>
        <v>-113</v>
      </c>
      <c r="J96" s="63">
        <f>J69</f>
        <v>2942</v>
      </c>
      <c r="K96" s="146">
        <f>K76*K97</f>
        <v>1014.780411383490</v>
      </c>
      <c r="L96" s="146">
        <f>L76*L97</f>
        <v>1457.500934077210</v>
      </c>
      <c r="M96" s="146">
        <f>M76*M97</f>
        <v>2070.176031225280</v>
      </c>
      <c r="N96" s="146">
        <f>N76*N97</f>
        <v>1625.435902068010</v>
      </c>
      <c r="O96" s="146">
        <f>O76*O97</f>
        <v>1857.811037016980</v>
      </c>
      <c r="P96" s="146">
        <f>P76*P97</f>
        <v>2006.987883538850</v>
      </c>
      <c r="Q96" s="36"/>
      <c r="R96" s="36"/>
      <c r="S96" s="36"/>
      <c r="T96" s="36"/>
    </row>
    <row r="97" ht="22" customHeight="1">
      <c r="A97" s="89"/>
      <c r="B97" t="s" s="125">
        <v>39</v>
      </c>
      <c r="C97" s="28"/>
      <c r="D97" s="70"/>
      <c r="E97" s="70">
        <f>E96/E44</f>
        <v>-0.0125426944971537</v>
      </c>
      <c r="F97" s="70">
        <f>F96/F44</f>
        <v>-0.008901303538175051</v>
      </c>
      <c r="G97" s="70">
        <f>G96/G44</f>
        <v>-0.029843137254902</v>
      </c>
      <c r="H97" s="70">
        <f>H96/H44</f>
        <v>-0.00238461538461538</v>
      </c>
      <c r="I97" s="70">
        <f>I96/I44</f>
        <v>-0.00222879684418146</v>
      </c>
      <c r="J97" s="128">
        <f>J96/J44</f>
        <v>0.0560380952380952</v>
      </c>
      <c r="K97" s="75">
        <f>AVERAGE(J97,I97,H97)</f>
        <v>0.0171415610030995</v>
      </c>
      <c r="L97" s="75">
        <f>AVERAGE(K97,J97,I97)</f>
        <v>0.0236502864656711</v>
      </c>
      <c r="M97" s="75">
        <f>AVERAGE(L97,K97,J97)</f>
        <v>0.0322766475689553</v>
      </c>
      <c r="N97" s="75">
        <f>AVERAGE(M97,L97,K97)</f>
        <v>0.0243561650125753</v>
      </c>
      <c r="O97" s="75">
        <f>AVERAGE(N97,M97,L97)</f>
        <v>0.0267610330157339</v>
      </c>
      <c r="P97" s="75">
        <f>AVERAGE(O97,N97,M97)</f>
        <v>0.0277979485324215</v>
      </c>
      <c r="Q97" s="74"/>
      <c r="R97" s="36"/>
      <c r="S97" s="36"/>
      <c r="T97" s="36"/>
    </row>
    <row r="98" ht="21.65" customHeight="1">
      <c r="A98" s="129"/>
      <c r="B98" s="130"/>
      <c r="C98" s="131"/>
      <c r="D98" s="132"/>
      <c r="E98" s="133"/>
      <c r="F98" s="133"/>
      <c r="G98" s="133"/>
      <c r="H98" s="133"/>
      <c r="I98" s="133"/>
      <c r="J98" s="133"/>
      <c r="K98" s="134"/>
      <c r="L98" s="134"/>
      <c r="M98" s="134"/>
      <c r="N98" s="134"/>
      <c r="O98" s="134"/>
      <c r="P98" s="134"/>
      <c r="Q98" s="36"/>
      <c r="R98" s="36"/>
      <c r="S98" s="36"/>
      <c r="T98" s="36"/>
    </row>
    <row r="99" ht="21.15" customHeight="1">
      <c r="A99" s="147"/>
      <c r="B99" t="s" s="136">
        <v>51</v>
      </c>
      <c r="C99" s="148"/>
      <c r="D99" s="149"/>
      <c r="E99" s="150"/>
      <c r="F99" s="150"/>
      <c r="G99" s="150"/>
      <c r="H99" s="150"/>
      <c r="I99" s="150"/>
      <c r="J99" s="150"/>
      <c r="K99" s="151">
        <f>K88+K90-K93-K96</f>
        <v>7303.448057936120</v>
      </c>
      <c r="L99" s="151">
        <f>L88+L90-L93-L96</f>
        <v>7338.981078622320</v>
      </c>
      <c r="M99" s="151">
        <f>M88+M90-M93-M96</f>
        <v>7014.644322822310</v>
      </c>
      <c r="N99" s="151">
        <f>N88+N90-N93-N96</f>
        <v>7667.498453295260</v>
      </c>
      <c r="O99" s="151">
        <f>O88+O90-O93-O96</f>
        <v>7779.187537040050</v>
      </c>
      <c r="P99" s="151">
        <f>P88+P90-P93-P96</f>
        <v>7921.107601059550</v>
      </c>
      <c r="Q99" s="36"/>
      <c r="R99" s="36"/>
      <c r="S99" s="36"/>
      <c r="T99" s="36"/>
    </row>
    <row r="100" ht="21.15" customHeight="1">
      <c r="A100" s="129"/>
      <c r="B100" t="s" s="152">
        <v>52</v>
      </c>
      <c r="C100" s="131"/>
      <c r="D100" s="132"/>
      <c r="E100" s="133"/>
      <c r="F100" s="133"/>
      <c r="G100" s="133"/>
      <c r="H100" s="133"/>
      <c r="I100" s="133"/>
      <c r="J100" s="133"/>
      <c r="K100" s="153">
        <f>K99/(1+$C$17)^K73</f>
        <v>6986.135349463970</v>
      </c>
      <c r="L100" s="153">
        <f>L99/(1+$C$17)^L73</f>
        <v>6715.121407434970</v>
      </c>
      <c r="M100" s="153">
        <f>M99/(1+$C$17)^M73</f>
        <v>6139.497212651120</v>
      </c>
      <c r="N100" s="153">
        <f>N99/(1+$C$17)^N73</f>
        <v>6419.332910296980</v>
      </c>
      <c r="O100" s="153">
        <f>O99/(1+$C$17)^O73</f>
        <v>6229.877310443560</v>
      </c>
      <c r="P100" s="153">
        <f>P99/(1+$C$17)^P73</f>
        <v>6067.925161566820</v>
      </c>
      <c r="Q100" s="36"/>
      <c r="R100" s="36"/>
      <c r="S100" s="36"/>
      <c r="T100" s="36"/>
    </row>
    <row r="101" ht="21.15" customHeight="1">
      <c r="A101" s="135"/>
      <c r="B101" s="147"/>
      <c r="C101" s="137"/>
      <c r="D101" s="138"/>
      <c r="E101" s="154"/>
      <c r="F101" s="154"/>
      <c r="G101" s="154"/>
      <c r="H101" s="154"/>
      <c r="I101" s="154"/>
      <c r="J101" s="154"/>
      <c r="K101" s="154"/>
      <c r="L101" s="154"/>
      <c r="M101" s="154"/>
      <c r="N101" s="154"/>
      <c r="O101" s="154"/>
      <c r="P101" s="154"/>
      <c r="Q101" s="36"/>
      <c r="R101" s="36"/>
      <c r="S101" s="36"/>
      <c r="T101" s="36"/>
    </row>
    <row r="102" ht="21" customHeight="1">
      <c r="A102" s="89"/>
      <c r="B102" t="s" s="123">
        <v>53</v>
      </c>
      <c r="C102" s="90"/>
      <c r="D102" s="155"/>
      <c r="E102" s="156"/>
      <c r="F102" s="156"/>
      <c r="G102" s="156"/>
      <c r="H102" s="156"/>
      <c r="I102" s="156"/>
      <c r="J102" s="156"/>
      <c r="K102" s="156"/>
      <c r="L102" s="156"/>
      <c r="M102" s="156"/>
      <c r="N102" s="156"/>
      <c r="O102" s="156"/>
      <c r="P102" s="92">
        <f>P99*(1+C18)/(C17-C18)</f>
        <v>317837.085104644</v>
      </c>
      <c r="Q102" s="36"/>
      <c r="R102" s="36"/>
      <c r="S102" s="36"/>
      <c r="T102" s="36"/>
    </row>
    <row r="103" ht="21" customHeight="1">
      <c r="A103" s="89"/>
      <c r="B103" t="s" s="123">
        <v>54</v>
      </c>
      <c r="C103" s="90"/>
      <c r="D103" s="155"/>
      <c r="E103" s="156"/>
      <c r="F103" s="156"/>
      <c r="G103" s="156"/>
      <c r="H103" s="156"/>
      <c r="I103" s="156"/>
      <c r="J103" s="156"/>
      <c r="K103" s="156"/>
      <c r="L103" s="156"/>
      <c r="M103" s="156"/>
      <c r="N103" s="156"/>
      <c r="O103" s="156"/>
      <c r="P103" s="92">
        <f>P102/(1+C17)^P73</f>
        <v>243477.521467774</v>
      </c>
      <c r="Q103" s="36"/>
      <c r="R103" s="36"/>
      <c r="S103" s="36"/>
      <c r="T103" s="36"/>
    </row>
    <row r="104" ht="21" customHeight="1">
      <c r="A104" s="89"/>
      <c r="B104" s="47"/>
      <c r="C104" s="90"/>
      <c r="D104" s="155"/>
      <c r="E104" s="156"/>
      <c r="F104" s="156"/>
      <c r="G104" s="156"/>
      <c r="H104" s="156"/>
      <c r="I104" s="156"/>
      <c r="J104" s="156"/>
      <c r="K104" s="156"/>
      <c r="L104" s="156"/>
      <c r="M104" s="156"/>
      <c r="N104" s="156"/>
      <c r="O104" s="156"/>
      <c r="P104" s="92"/>
      <c r="Q104" s="36"/>
      <c r="R104" s="36"/>
      <c r="S104" s="36"/>
      <c r="T104" s="36"/>
    </row>
    <row r="105" ht="22" customHeight="1">
      <c r="A105" s="157"/>
      <c r="B105" t="s" s="158">
        <v>55</v>
      </c>
      <c r="C105" s="157"/>
      <c r="D105" s="157"/>
      <c r="E105" s="157"/>
      <c r="F105" s="157"/>
      <c r="G105" s="157"/>
      <c r="H105" s="157"/>
      <c r="I105" s="157"/>
      <c r="J105" s="157"/>
      <c r="K105" s="157"/>
      <c r="L105" s="157"/>
      <c r="M105" s="157"/>
      <c r="N105" s="157"/>
      <c r="O105" s="157"/>
      <c r="P105" s="159">
        <f>SUM(P103,P100,O100,N100,M100,L100,K100)</f>
        <v>282035.410819631</v>
      </c>
      <c r="Q105" s="81"/>
      <c r="R105" s="36"/>
      <c r="S105" s="36"/>
      <c r="T105" s="36"/>
    </row>
    <row r="106" ht="22" customHeight="1">
      <c r="A106" s="160"/>
      <c r="B106" t="s" s="161">
        <v>56</v>
      </c>
      <c r="C106" s="160"/>
      <c r="D106" s="160"/>
      <c r="E106" s="160"/>
      <c r="F106" s="160"/>
      <c r="G106" s="160"/>
      <c r="H106" s="160"/>
      <c r="I106" s="160"/>
      <c r="J106" s="160"/>
      <c r="K106" s="160"/>
      <c r="L106" s="160"/>
      <c r="M106" s="160"/>
      <c r="N106" s="160"/>
      <c r="O106" s="160"/>
      <c r="P106" s="162">
        <v>6580</v>
      </c>
      <c r="Q106" s="81"/>
      <c r="R106" s="36"/>
      <c r="S106" s="36"/>
      <c r="T106" s="36"/>
    </row>
    <row r="107" ht="22" customHeight="1">
      <c r="A107" s="160"/>
      <c r="B107" t="s" s="161">
        <v>57</v>
      </c>
      <c r="C107" s="160"/>
      <c r="D107" s="160"/>
      <c r="E107" s="160"/>
      <c r="F107" s="160"/>
      <c r="G107" s="160"/>
      <c r="H107" s="160"/>
      <c r="I107" s="160"/>
      <c r="J107" s="160"/>
      <c r="K107" s="160"/>
      <c r="L107" s="160"/>
      <c r="M107" s="160"/>
      <c r="N107" s="160"/>
      <c r="O107" s="160"/>
      <c r="P107" s="163">
        <f>'WACC - WACC'!B14</f>
        <v>33960</v>
      </c>
      <c r="Q107" s="81"/>
      <c r="R107" s="36"/>
      <c r="S107" s="36"/>
      <c r="T107" s="36"/>
    </row>
    <row r="108" ht="22" customHeight="1">
      <c r="A108" s="160"/>
      <c r="B108" t="s" s="161">
        <v>58</v>
      </c>
      <c r="C108" s="160"/>
      <c r="D108" s="160"/>
      <c r="E108" s="160"/>
      <c r="F108" s="160"/>
      <c r="G108" s="160"/>
      <c r="H108" s="160"/>
      <c r="I108" s="160"/>
      <c r="J108" s="160"/>
      <c r="K108" s="160"/>
      <c r="L108" s="160"/>
      <c r="M108" s="160"/>
      <c r="N108" s="160"/>
      <c r="O108" s="160"/>
      <c r="P108" s="162">
        <f>P105+P106-P107</f>
        <v>254655.410819631</v>
      </c>
      <c r="Q108" s="81"/>
      <c r="R108" s="36"/>
      <c r="S108" s="36"/>
      <c r="T108" s="36"/>
    </row>
    <row r="109" ht="22" customHeight="1">
      <c r="A109" s="160"/>
      <c r="B109" t="s" s="161">
        <v>59</v>
      </c>
      <c r="C109" s="160"/>
      <c r="D109" s="160"/>
      <c r="E109" s="160"/>
      <c r="F109" s="160"/>
      <c r="G109" s="160"/>
      <c r="H109" s="160"/>
      <c r="I109" s="160"/>
      <c r="J109" s="160"/>
      <c r="K109" s="160"/>
      <c r="L109" s="160"/>
      <c r="M109" s="160"/>
      <c r="N109" s="160"/>
      <c r="O109" s="160"/>
      <c r="P109" s="162">
        <v>2550</v>
      </c>
      <c r="Q109" s="81"/>
      <c r="R109" s="36"/>
      <c r="S109" s="36"/>
      <c r="T109" s="36"/>
    </row>
    <row r="110" ht="22" customHeight="1">
      <c r="A110" s="160"/>
      <c r="B110" t="s" s="161">
        <v>60</v>
      </c>
      <c r="C110" s="160"/>
      <c r="D110" s="160"/>
      <c r="E110" s="160"/>
      <c r="F110" s="160"/>
      <c r="G110" s="160"/>
      <c r="H110" s="160"/>
      <c r="I110" s="160"/>
      <c r="J110" s="160"/>
      <c r="K110" s="160"/>
      <c r="L110" s="160"/>
      <c r="M110" s="160"/>
      <c r="N110" s="160"/>
      <c r="O110" s="160"/>
      <c r="P110" s="162">
        <f>P108/P109</f>
        <v>99.8648669880906</v>
      </c>
      <c r="Q110" s="81"/>
      <c r="R110" s="36"/>
      <c r="S110" s="36"/>
      <c r="T110" s="36"/>
    </row>
    <row r="111" ht="22" customHeight="1">
      <c r="A111" s="160"/>
      <c r="B111" s="160"/>
      <c r="C111" s="160"/>
      <c r="D111" s="160"/>
      <c r="E111" s="160"/>
      <c r="F111" s="160"/>
      <c r="G111" s="160"/>
      <c r="H111" s="160"/>
      <c r="I111" s="160"/>
      <c r="J111" s="160"/>
      <c r="K111" s="160"/>
      <c r="L111" s="160"/>
      <c r="M111" s="160"/>
      <c r="N111" s="160"/>
      <c r="O111" s="160"/>
      <c r="P111" s="160"/>
      <c r="Q111" s="81"/>
      <c r="R111" s="36"/>
      <c r="S111" s="36"/>
      <c r="T111" s="36"/>
    </row>
    <row r="112" ht="22" customHeight="1">
      <c r="A112" s="160"/>
      <c r="B112" s="160"/>
      <c r="C112" s="160"/>
      <c r="D112" s="160"/>
      <c r="E112" s="160"/>
      <c r="F112" s="160"/>
      <c r="G112" s="160"/>
      <c r="H112" s="160"/>
      <c r="I112" s="160"/>
      <c r="J112" s="160"/>
      <c r="K112" s="160"/>
      <c r="L112" s="160"/>
      <c r="M112" s="160"/>
      <c r="N112" s="160"/>
      <c r="O112" s="160"/>
      <c r="P112" s="160"/>
      <c r="Q112" s="81"/>
      <c r="R112" s="36"/>
      <c r="S112" s="36"/>
      <c r="T112" s="36"/>
    </row>
  </sheetData>
  <mergeCells count="2">
    <mergeCell ref="A1:T1"/>
    <mergeCell ref="K19:L19"/>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1"/>
  <sheetViews>
    <sheetView workbookViewId="0" showGridLines="0" defaultGridColor="1"/>
  </sheetViews>
  <sheetFormatPr defaultColWidth="16.3333" defaultRowHeight="19.9" customHeight="1" outlineLevelRow="0" outlineLevelCol="0"/>
  <cols>
    <col min="1" max="1" width="21.1875" style="164" customWidth="1"/>
    <col min="2" max="5" width="16.3516" style="164" customWidth="1"/>
    <col min="6" max="256" width="16.3516" style="164" customWidth="1"/>
  </cols>
  <sheetData>
    <row r="1" ht="28.65" customHeight="1">
      <c r="A1" t="s" s="165">
        <v>24</v>
      </c>
      <c r="B1" s="165"/>
      <c r="C1" s="165"/>
      <c r="D1" s="165"/>
      <c r="E1" s="165"/>
    </row>
    <row r="2" ht="19.7" customHeight="1">
      <c r="A2" s="36"/>
      <c r="B2" s="36"/>
      <c r="C2" s="36"/>
      <c r="D2" s="36"/>
      <c r="E2" s="36"/>
    </row>
    <row r="3" ht="22" customHeight="1">
      <c r="A3" t="s" s="166">
        <v>62</v>
      </c>
      <c r="B3" s="36"/>
      <c r="C3" s="36"/>
      <c r="D3" s="36"/>
      <c r="E3" s="36"/>
    </row>
    <row r="4" ht="22" customHeight="1">
      <c r="A4" t="s" s="166">
        <v>63</v>
      </c>
      <c r="B4" s="36"/>
      <c r="C4" s="36"/>
      <c r="D4" s="36"/>
      <c r="E4" s="36"/>
    </row>
    <row r="5" ht="19.7" customHeight="1">
      <c r="A5" s="36"/>
      <c r="B5" s="36"/>
      <c r="C5" s="36"/>
      <c r="D5" s="36"/>
      <c r="E5" s="36"/>
    </row>
    <row r="6" ht="22" customHeight="1">
      <c r="A6" t="s" s="167">
        <v>24</v>
      </c>
      <c r="B6" s="36"/>
      <c r="C6" s="36"/>
      <c r="D6" s="36"/>
      <c r="E6" s="36"/>
    </row>
    <row r="7" ht="19.7" customHeight="1">
      <c r="A7" t="s" s="168">
        <v>64</v>
      </c>
      <c r="B7" s="169">
        <v>100420</v>
      </c>
      <c r="C7" s="36"/>
      <c r="D7" s="36"/>
      <c r="E7" s="36"/>
    </row>
    <row r="8" ht="19.7" customHeight="1">
      <c r="A8" t="s" s="168">
        <v>65</v>
      </c>
      <c r="B8" s="170">
        <f>B7/B19</f>
        <v>0.747283821997321</v>
      </c>
      <c r="C8" s="36"/>
      <c r="D8" s="36"/>
      <c r="E8" s="36"/>
    </row>
    <row r="9" ht="19.7" customHeight="1">
      <c r="A9" t="s" s="168">
        <v>66</v>
      </c>
      <c r="B9" s="171">
        <f>B10+B11*B12</f>
        <v>0.0433576</v>
      </c>
      <c r="C9" s="36"/>
      <c r="D9" s="36"/>
      <c r="E9" s="36"/>
    </row>
    <row r="10" ht="19.7" customHeight="1">
      <c r="A10" t="s" s="168">
        <v>67</v>
      </c>
      <c r="B10" s="171">
        <v>0.03708</v>
      </c>
      <c r="C10" s="36"/>
      <c r="D10" s="36"/>
      <c r="E10" s="36"/>
    </row>
    <row r="11" ht="19.7" customHeight="1">
      <c r="A11" t="s" s="168">
        <v>68</v>
      </c>
      <c r="B11" s="172">
        <v>0.133</v>
      </c>
      <c r="C11" s="36"/>
      <c r="D11" s="36"/>
      <c r="E11" s="36"/>
    </row>
    <row r="12" ht="19.7" customHeight="1">
      <c r="A12" t="s" s="173">
        <v>69</v>
      </c>
      <c r="B12" s="171">
        <v>0.0472</v>
      </c>
      <c r="C12" s="36"/>
      <c r="D12" s="36"/>
      <c r="E12" s="36"/>
    </row>
    <row r="13" ht="19.7" customHeight="1">
      <c r="A13" s="174"/>
      <c r="B13" s="36"/>
      <c r="C13" s="36"/>
      <c r="D13" s="36"/>
      <c r="E13" s="36"/>
    </row>
    <row r="14" ht="19.7" customHeight="1">
      <c r="A14" t="s" s="168">
        <v>70</v>
      </c>
      <c r="B14" s="169">
        <v>33960</v>
      </c>
      <c r="C14" s="36"/>
      <c r="D14" s="36"/>
      <c r="E14" s="36"/>
    </row>
    <row r="15" ht="19.7" customHeight="1">
      <c r="A15" t="s" s="168">
        <v>71</v>
      </c>
      <c r="B15" s="175">
        <f>B14/B7</f>
        <v>0.338179645488946</v>
      </c>
      <c r="C15" s="36"/>
      <c r="D15" s="36"/>
      <c r="E15" s="36"/>
    </row>
    <row r="16" ht="19.7" customHeight="1">
      <c r="A16" t="s" s="168">
        <v>72</v>
      </c>
      <c r="B16" s="175">
        <v>0.05</v>
      </c>
      <c r="C16" s="36"/>
      <c r="D16" s="36"/>
      <c r="E16" s="36"/>
    </row>
    <row r="17" ht="19.7" customHeight="1">
      <c r="A17" t="s" s="168">
        <v>73</v>
      </c>
      <c r="B17" s="175">
        <v>0.23</v>
      </c>
      <c r="C17" s="36"/>
      <c r="D17" s="36"/>
      <c r="E17" s="36"/>
    </row>
    <row r="18" ht="19.7" customHeight="1">
      <c r="A18" s="174"/>
      <c r="B18" s="169"/>
      <c r="C18" s="36"/>
      <c r="D18" s="36"/>
      <c r="E18" s="36"/>
    </row>
    <row r="19" ht="19.7" customHeight="1">
      <c r="A19" t="s" s="168">
        <v>74</v>
      </c>
      <c r="B19" s="169">
        <f>B7+B14</f>
        <v>134380</v>
      </c>
      <c r="C19" s="36"/>
      <c r="D19" s="36"/>
      <c r="E19" s="36"/>
    </row>
    <row r="20" ht="19.7" customHeight="1">
      <c r="A20" s="174"/>
      <c r="B20" s="36"/>
      <c r="C20" s="36"/>
      <c r="D20" s="36"/>
      <c r="E20" s="36"/>
    </row>
    <row r="21" ht="19.7" customHeight="1">
      <c r="A21" t="s" s="168">
        <v>24</v>
      </c>
      <c r="B21" s="171">
        <f>(B8*B9)+(B15*B16*(1-B17))</f>
        <v>0.0454203493919555</v>
      </c>
      <c r="C21" s="36"/>
      <c r="D21" s="36"/>
      <c r="E21"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