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halilgunputh/Library/Mobile Documents/com~apple~Numbers/Documents/Stock Market Analysis/Company/Lululemon/"/>
    </mc:Choice>
  </mc:AlternateContent>
  <xr:revisionPtr revIDLastSave="0" documentId="13_ncr:1_{8CAC9974-44B6-244E-9709-BB6056066864}" xr6:coauthVersionLast="47" xr6:coauthVersionMax="47" xr10:uidLastSave="{00000000-0000-0000-0000-000000000000}"/>
  <bookViews>
    <workbookView xWindow="28800" yWindow="500" windowWidth="38400" windowHeight="19540" xr2:uid="{8745CD8E-2C27-E941-B988-01BA4BF0E7E4}"/>
  </bookViews>
  <sheets>
    <sheet name="LULU_DCF" sheetId="1" r:id="rId1"/>
    <sheet name="LULU_WACC"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8" i="1" l="1"/>
  <c r="F16" i="1"/>
  <c r="J16" i="1"/>
  <c r="C19" i="1" s="1"/>
  <c r="D21" i="2"/>
  <c r="D10" i="2" s="1"/>
  <c r="D17" i="2"/>
  <c r="D11" i="2"/>
  <c r="G97" i="1"/>
  <c r="F97" i="1"/>
  <c r="E97" i="1"/>
  <c r="D97" i="1"/>
  <c r="C97" i="1"/>
  <c r="G96" i="1"/>
  <c r="F96" i="1"/>
  <c r="E96" i="1"/>
  <c r="D96" i="1"/>
  <c r="C96" i="1"/>
  <c r="G94" i="1"/>
  <c r="F94" i="1"/>
  <c r="E94" i="1"/>
  <c r="D94" i="1"/>
  <c r="C94" i="1"/>
  <c r="G93" i="1"/>
  <c r="F93" i="1"/>
  <c r="E93" i="1"/>
  <c r="E91" i="1" s="1"/>
  <c r="D93" i="1"/>
  <c r="C93" i="1"/>
  <c r="G91" i="1"/>
  <c r="F91" i="1"/>
  <c r="D91" i="1"/>
  <c r="C91" i="1"/>
  <c r="G90" i="1"/>
  <c r="F90" i="1"/>
  <c r="E90" i="1"/>
  <c r="D90" i="1"/>
  <c r="C90" i="1"/>
  <c r="G89" i="1"/>
  <c r="F89" i="1"/>
  <c r="E89" i="1"/>
  <c r="D89" i="1"/>
  <c r="C89" i="1"/>
  <c r="G84" i="1"/>
  <c r="F84" i="1"/>
  <c r="E84" i="1"/>
  <c r="D84" i="1"/>
  <c r="C84" i="1"/>
  <c r="G83" i="1"/>
  <c r="F83" i="1"/>
  <c r="E83" i="1"/>
  <c r="D83" i="1"/>
  <c r="C83" i="1"/>
  <c r="L78" i="1"/>
  <c r="K78" i="1"/>
  <c r="J78" i="1"/>
  <c r="I78" i="1"/>
  <c r="H78" i="1"/>
  <c r="K81" i="1"/>
  <c r="J81" i="1"/>
  <c r="I81" i="1"/>
  <c r="H81" i="1"/>
  <c r="L81" i="1"/>
  <c r="K79" i="1"/>
  <c r="J79" i="1"/>
  <c r="I79" i="1"/>
  <c r="H79" i="1"/>
  <c r="L79" i="1"/>
  <c r="J80" i="1"/>
  <c r="K80" i="1" s="1"/>
  <c r="I80" i="1"/>
  <c r="H80" i="1"/>
  <c r="L80" i="1"/>
  <c r="G75" i="1"/>
  <c r="F75" i="1"/>
  <c r="E75" i="1"/>
  <c r="D75" i="1"/>
  <c r="G78" i="1"/>
  <c r="F78" i="1"/>
  <c r="E78" i="1"/>
  <c r="D78" i="1"/>
  <c r="C78" i="1"/>
  <c r="G77" i="1"/>
  <c r="F77" i="1"/>
  <c r="E77" i="1"/>
  <c r="D77" i="1"/>
  <c r="C77" i="1"/>
  <c r="G74" i="1"/>
  <c r="F74" i="1"/>
  <c r="E74" i="1"/>
  <c r="D74" i="1"/>
  <c r="C74" i="1"/>
  <c r="G68" i="1"/>
  <c r="C68" i="1"/>
  <c r="D68" i="1"/>
  <c r="E68" i="1"/>
  <c r="E69" i="1" s="1"/>
  <c r="F68" i="1"/>
  <c r="F63" i="1"/>
  <c r="E63" i="1"/>
  <c r="D63" i="1"/>
  <c r="C63" i="1"/>
  <c r="G65" i="1"/>
  <c r="G61" i="1"/>
  <c r="G56" i="1"/>
  <c r="G57" i="1" s="1"/>
  <c r="E57" i="1"/>
  <c r="H57" i="1" s="1"/>
  <c r="D57" i="1"/>
  <c r="C57" i="1"/>
  <c r="F57" i="1"/>
  <c r="G53" i="1"/>
  <c r="E50" i="1"/>
  <c r="E54" i="1" s="1"/>
  <c r="D50" i="1"/>
  <c r="D69" i="1" s="1"/>
  <c r="L40" i="1"/>
  <c r="L39" i="1" s="1"/>
  <c r="L38" i="1" s="1"/>
  <c r="L32" i="1"/>
  <c r="L31" i="1" s="1"/>
  <c r="L33" i="1"/>
  <c r="L34" i="1" s="1"/>
  <c r="L26" i="1"/>
  <c r="L27" i="1" s="1"/>
  <c r="G37" i="1"/>
  <c r="G45" i="1" s="1"/>
  <c r="G30" i="1"/>
  <c r="G23" i="1"/>
  <c r="E42" i="1"/>
  <c r="E35" i="1"/>
  <c r="F45" i="1"/>
  <c r="F42" i="1" s="1"/>
  <c r="E45" i="1"/>
  <c r="E28" i="1" s="1"/>
  <c r="D45" i="1"/>
  <c r="D42" i="1" s="1"/>
  <c r="C45" i="1"/>
  <c r="C50" i="1" s="1"/>
  <c r="G38" i="1"/>
  <c r="F38" i="1"/>
  <c r="E38" i="1"/>
  <c r="D38" i="1"/>
  <c r="H40" i="1" s="1"/>
  <c r="G31" i="1"/>
  <c r="H33" i="1" s="1"/>
  <c r="F31" i="1"/>
  <c r="E31" i="1"/>
  <c r="D31" i="1"/>
  <c r="G24" i="1"/>
  <c r="F24" i="1"/>
  <c r="E24" i="1"/>
  <c r="H26" i="1" s="1"/>
  <c r="D24" i="1"/>
  <c r="B37" i="1"/>
  <c r="B30" i="1"/>
  <c r="B23" i="1"/>
  <c r="J2" i="1" a="1"/>
  <c r="J2" i="1" s="1"/>
  <c r="D23" i="2" l="1"/>
  <c r="H15" i="1" s="1"/>
  <c r="H34" i="1"/>
  <c r="I33" i="1"/>
  <c r="H32" i="1"/>
  <c r="H31" i="1" s="1"/>
  <c r="H30" i="1" s="1"/>
  <c r="H39" i="1"/>
  <c r="H38" i="1" s="1"/>
  <c r="H37" i="1" s="1"/>
  <c r="H41" i="1"/>
  <c r="I40" i="1"/>
  <c r="C69" i="1"/>
  <c r="C62" i="1"/>
  <c r="C66" i="1"/>
  <c r="C54" i="1"/>
  <c r="G50" i="1"/>
  <c r="G28" i="1"/>
  <c r="G35" i="1"/>
  <c r="I57" i="1"/>
  <c r="H25" i="1"/>
  <c r="H24" i="1" s="1"/>
  <c r="H23" i="1" s="1"/>
  <c r="H27" i="1"/>
  <c r="I26" i="1"/>
  <c r="G62" i="1"/>
  <c r="L41" i="1"/>
  <c r="D62" i="1"/>
  <c r="D46" i="1"/>
  <c r="D28" i="1"/>
  <c r="C35" i="1"/>
  <c r="C42" i="1"/>
  <c r="L25" i="1"/>
  <c r="L24" i="1" s="1"/>
  <c r="F50" i="1"/>
  <c r="D54" i="1"/>
  <c r="G63" i="1"/>
  <c r="E66" i="1"/>
  <c r="E62" i="1"/>
  <c r="F46" i="1"/>
  <c r="F28" i="1"/>
  <c r="D51" i="1"/>
  <c r="C28" i="1"/>
  <c r="F35" i="1"/>
  <c r="E51" i="1"/>
  <c r="D66" i="1"/>
  <c r="E46" i="1"/>
  <c r="D35" i="1"/>
  <c r="G66" i="1"/>
  <c r="J57" i="1"/>
  <c r="K57" i="1"/>
  <c r="G46" i="1"/>
  <c r="G42" i="1"/>
  <c r="J15" i="1" l="1"/>
  <c r="F15" i="1"/>
  <c r="C18" i="1" s="1"/>
  <c r="H45" i="1"/>
  <c r="H42" i="1" s="1"/>
  <c r="F62" i="1"/>
  <c r="H62" i="1" s="1"/>
  <c r="I62" i="1" s="1"/>
  <c r="F66" i="1"/>
  <c r="H66" i="1" s="1"/>
  <c r="F54" i="1"/>
  <c r="F51" i="1"/>
  <c r="G51" i="1"/>
  <c r="G69" i="1"/>
  <c r="F69" i="1"/>
  <c r="I32" i="1"/>
  <c r="I31" i="1" s="1"/>
  <c r="I30" i="1" s="1"/>
  <c r="I34" i="1"/>
  <c r="J33" i="1"/>
  <c r="L57" i="1"/>
  <c r="I27" i="1"/>
  <c r="J26" i="1"/>
  <c r="I25" i="1"/>
  <c r="I24" i="1" s="1"/>
  <c r="I23" i="1" s="1"/>
  <c r="I41" i="1"/>
  <c r="J40" i="1"/>
  <c r="I39" i="1"/>
  <c r="I38" i="1" s="1"/>
  <c r="I37" i="1" s="1"/>
  <c r="G54" i="1"/>
  <c r="I66" i="1"/>
  <c r="J66" i="1" s="1"/>
  <c r="H28" i="1" l="1"/>
  <c r="H46" i="1"/>
  <c r="H35" i="1"/>
  <c r="H50" i="1"/>
  <c r="H74" i="1" s="1"/>
  <c r="I45" i="1"/>
  <c r="I28" i="1" s="1"/>
  <c r="K33" i="1"/>
  <c r="J32" i="1"/>
  <c r="J31" i="1" s="1"/>
  <c r="J30" i="1" s="1"/>
  <c r="J34" i="1"/>
  <c r="K26" i="1"/>
  <c r="J27" i="1"/>
  <c r="J25" i="1"/>
  <c r="J24" i="1" s="1"/>
  <c r="J23" i="1" s="1"/>
  <c r="K66" i="1"/>
  <c r="L66" i="1" s="1"/>
  <c r="K40" i="1"/>
  <c r="J39" i="1"/>
  <c r="J38" i="1" s="1"/>
  <c r="J37" i="1" s="1"/>
  <c r="J41" i="1"/>
  <c r="J62" i="1"/>
  <c r="K62" i="1" s="1"/>
  <c r="H69" i="1"/>
  <c r="H54" i="1"/>
  <c r="I54" i="1" s="1"/>
  <c r="H61" i="1" l="1"/>
  <c r="H89" i="1" s="1"/>
  <c r="H68" i="1"/>
  <c r="H96" i="1" s="1"/>
  <c r="H97" i="1" s="1"/>
  <c r="H75" i="1"/>
  <c r="H77" i="1"/>
  <c r="H51" i="1"/>
  <c r="H65" i="1"/>
  <c r="H93" i="1" s="1"/>
  <c r="H94" i="1" s="1"/>
  <c r="H53" i="1"/>
  <c r="H56" i="1" s="1"/>
  <c r="H83" i="1" s="1"/>
  <c r="I50" i="1"/>
  <c r="I74" i="1" s="1"/>
  <c r="I42" i="1"/>
  <c r="I46" i="1"/>
  <c r="I35" i="1"/>
  <c r="K32" i="1"/>
  <c r="K31" i="1" s="1"/>
  <c r="K30" i="1" s="1"/>
  <c r="K34" i="1"/>
  <c r="I69" i="1"/>
  <c r="J69" i="1" s="1"/>
  <c r="K39" i="1"/>
  <c r="K38" i="1" s="1"/>
  <c r="K37" i="1" s="1"/>
  <c r="K41" i="1"/>
  <c r="L62" i="1"/>
  <c r="K27" i="1"/>
  <c r="K25" i="1"/>
  <c r="K24" i="1" s="1"/>
  <c r="K23" i="1" s="1"/>
  <c r="J45" i="1"/>
  <c r="J42" i="1" s="1"/>
  <c r="J54" i="1"/>
  <c r="H90" i="1" l="1"/>
  <c r="H91" i="1"/>
  <c r="H63" i="1"/>
  <c r="H87" i="1"/>
  <c r="H100" i="1" s="1"/>
  <c r="H101" i="1" s="1"/>
  <c r="H84" i="1"/>
  <c r="I75" i="1"/>
  <c r="I77" i="1"/>
  <c r="I65" i="1"/>
  <c r="I93" i="1" s="1"/>
  <c r="I94" i="1" s="1"/>
  <c r="I61" i="1"/>
  <c r="I89" i="1" s="1"/>
  <c r="I53" i="1"/>
  <c r="I56" i="1" s="1"/>
  <c r="I83" i="1" s="1"/>
  <c r="I68" i="1"/>
  <c r="I96" i="1" s="1"/>
  <c r="I97" i="1" s="1"/>
  <c r="I51" i="1"/>
  <c r="J35" i="1"/>
  <c r="L69" i="1"/>
  <c r="L30" i="1"/>
  <c r="K45" i="1"/>
  <c r="K28" i="1" s="1"/>
  <c r="L23" i="1"/>
  <c r="L37" i="1"/>
  <c r="K54" i="1"/>
  <c r="L54" i="1" s="1"/>
  <c r="K69" i="1"/>
  <c r="J50" i="1"/>
  <c r="J74" i="1" s="1"/>
  <c r="J46" i="1"/>
  <c r="J28" i="1"/>
  <c r="I90" i="1" l="1"/>
  <c r="I91" i="1"/>
  <c r="I87" i="1"/>
  <c r="I100" i="1" s="1"/>
  <c r="I101" i="1" s="1"/>
  <c r="I84" i="1"/>
  <c r="J75" i="1"/>
  <c r="J77" i="1"/>
  <c r="I63" i="1"/>
  <c r="K42" i="1"/>
  <c r="J68" i="1"/>
  <c r="J96" i="1" s="1"/>
  <c r="J97" i="1" s="1"/>
  <c r="J61" i="1"/>
  <c r="J89" i="1" s="1"/>
  <c r="J65" i="1"/>
  <c r="J93" i="1" s="1"/>
  <c r="J94" i="1" s="1"/>
  <c r="J53" i="1"/>
  <c r="J56" i="1" s="1"/>
  <c r="J83" i="1" s="1"/>
  <c r="J51" i="1"/>
  <c r="K50" i="1"/>
  <c r="K74" i="1" s="1"/>
  <c r="K46" i="1"/>
  <c r="K35" i="1"/>
  <c r="L45" i="1"/>
  <c r="J90" i="1" l="1"/>
  <c r="J91" i="1"/>
  <c r="J87" i="1"/>
  <c r="J100" i="1" s="1"/>
  <c r="J101" i="1" s="1"/>
  <c r="J84" i="1"/>
  <c r="K75" i="1"/>
  <c r="K77" i="1"/>
  <c r="K68" i="1"/>
  <c r="K96" i="1" s="1"/>
  <c r="K97" i="1" s="1"/>
  <c r="K61" i="1"/>
  <c r="K89" i="1" s="1"/>
  <c r="K65" i="1"/>
  <c r="K93" i="1" s="1"/>
  <c r="K94" i="1" s="1"/>
  <c r="K51" i="1"/>
  <c r="K53" i="1"/>
  <c r="K56" i="1" s="1"/>
  <c r="K83" i="1" s="1"/>
  <c r="J63" i="1"/>
  <c r="L50" i="1"/>
  <c r="L74" i="1" s="1"/>
  <c r="L42" i="1"/>
  <c r="L28" i="1"/>
  <c r="L46" i="1"/>
  <c r="L35" i="1"/>
  <c r="K90" i="1" l="1"/>
  <c r="K91" i="1"/>
  <c r="K87" i="1"/>
  <c r="K100" i="1" s="1"/>
  <c r="K101" i="1" s="1"/>
  <c r="K84" i="1"/>
  <c r="L75" i="1"/>
  <c r="L77" i="1"/>
  <c r="L68" i="1"/>
  <c r="L96" i="1" s="1"/>
  <c r="L97" i="1" s="1"/>
  <c r="L65" i="1"/>
  <c r="L93" i="1" s="1"/>
  <c r="L94" i="1" s="1"/>
  <c r="L51" i="1"/>
  <c r="L61" i="1"/>
  <c r="L89" i="1" s="1"/>
  <c r="L53" i="1"/>
  <c r="L56" i="1" s="1"/>
  <c r="L83" i="1" s="1"/>
  <c r="K63" i="1"/>
  <c r="L90" i="1" l="1"/>
  <c r="L91" i="1"/>
  <c r="L87" i="1"/>
  <c r="L100" i="1" s="1"/>
  <c r="L84" i="1"/>
  <c r="L63" i="1"/>
  <c r="L101" i="1" l="1"/>
  <c r="L103" i="1"/>
  <c r="L104" i="1" s="1"/>
  <c r="L106" i="1" l="1"/>
  <c r="L109" i="1" s="1"/>
  <c r="L111" i="1" s="1"/>
  <c r="J3" i="1" s="1"/>
  <c r="N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<sst xmlns="http://schemas.openxmlformats.org/spreadsheetml/2006/main" count="100" uniqueCount="62">
  <si>
    <t>Ticker</t>
  </si>
  <si>
    <t>Date</t>
  </si>
  <si>
    <t>LULU</t>
  </si>
  <si>
    <t>Current Share Price</t>
  </si>
  <si>
    <t>Implied Share Price</t>
  </si>
  <si>
    <t xml:space="preserve">Upside/Downside </t>
  </si>
  <si>
    <t>X</t>
  </si>
  <si>
    <t>Assumptions</t>
  </si>
  <si>
    <t>Switches</t>
  </si>
  <si>
    <t xml:space="preserve">Company-Operated Stores </t>
  </si>
  <si>
    <t xml:space="preserve">Direct to Consumer </t>
  </si>
  <si>
    <t xml:space="preserve">Other </t>
  </si>
  <si>
    <t xml:space="preserve">Conservative </t>
  </si>
  <si>
    <t>Base</t>
  </si>
  <si>
    <t>Optimistic</t>
  </si>
  <si>
    <t>EBIT</t>
  </si>
  <si>
    <t>WACC</t>
  </si>
  <si>
    <t>TGV</t>
  </si>
  <si>
    <t xml:space="preserve">Revenue Build </t>
  </si>
  <si>
    <t xml:space="preserve">% Growth </t>
  </si>
  <si>
    <t xml:space="preserve"> Conservative </t>
  </si>
  <si>
    <t xml:space="preserve"> Base </t>
  </si>
  <si>
    <t xml:space="preserve"> Optimistic</t>
  </si>
  <si>
    <t xml:space="preserve">% of Revenue </t>
  </si>
  <si>
    <t xml:space="preserve">Total Revenue </t>
  </si>
  <si>
    <t xml:space="preserve">Income Statement </t>
  </si>
  <si>
    <t xml:space="preserve">Revenue </t>
  </si>
  <si>
    <t>Taxes</t>
  </si>
  <si>
    <t xml:space="preserve">% of EBIT </t>
  </si>
  <si>
    <t xml:space="preserve">Cash Flow Items </t>
  </si>
  <si>
    <t>D&amp;A</t>
  </si>
  <si>
    <t>% of CapEx</t>
  </si>
  <si>
    <t>Capital Expenditures</t>
  </si>
  <si>
    <t>Change in Net Working Capital</t>
  </si>
  <si>
    <t>DCF</t>
  </si>
  <si>
    <t>% of EBIT</t>
  </si>
  <si>
    <t>EBIAT</t>
  </si>
  <si>
    <t xml:space="preserve">Capital Expenditures </t>
  </si>
  <si>
    <t xml:space="preserve">Change in Net Working Capital </t>
  </si>
  <si>
    <t xml:space="preserve">Unlevered Free Cash Flow </t>
  </si>
  <si>
    <t xml:space="preserve">Present Value of Terminal Value </t>
  </si>
  <si>
    <t xml:space="preserve">Present Value of Free Cash Flow </t>
  </si>
  <si>
    <t>WACC = % of equity * cost of equity + % of debt * cost of debt * (1-Tax Rate)</t>
  </si>
  <si>
    <t xml:space="preserve">Cost of equity = Risk Free Rate + Beta * Market Risk Premium </t>
  </si>
  <si>
    <t xml:space="preserve">Market Cap </t>
  </si>
  <si>
    <t xml:space="preserve">% of equity </t>
  </si>
  <si>
    <t xml:space="preserve">Cost of Equity </t>
  </si>
  <si>
    <t xml:space="preserve">Risk Free Rate </t>
  </si>
  <si>
    <t xml:space="preserve">Beta </t>
  </si>
  <si>
    <t xml:space="preserve">Market Risk Premium </t>
  </si>
  <si>
    <t xml:space="preserve">Debt </t>
  </si>
  <si>
    <t xml:space="preserve">% of Debt </t>
  </si>
  <si>
    <t xml:space="preserve">Cost of Debt </t>
  </si>
  <si>
    <t xml:space="preserve">Tax Rate </t>
  </si>
  <si>
    <t xml:space="preserve">Total </t>
  </si>
  <si>
    <t xml:space="preserve">Terminal Value </t>
  </si>
  <si>
    <t xml:space="preserve">Enterprise Value </t>
  </si>
  <si>
    <t xml:space="preserve">(+) Cash </t>
  </si>
  <si>
    <t xml:space="preserve">(-) Debt </t>
  </si>
  <si>
    <t xml:space="preserve">Equity Value </t>
  </si>
  <si>
    <t xml:space="preserve">Shares </t>
  </si>
  <si>
    <t xml:space="preserve">Implied Share Price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</si>
</sst>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9" formatCode="[$$-409]#,##0_);\([$$-409]#,##0\)"/>
  </numFmts>
  <fonts count="8" x14ac:knownFonts="1">
    <font>
      <sz val="12"/>
      <color theme="1"/>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sz val="18"/>
      <color theme="1"/>
      <name val="Calibri"/>
      <family val="2"/>
      <scheme val="minor"/>
    </font>
    <font>
      <sz val="14"/>
      <color theme="1"/>
      <name val="Calibri"/>
      <family val="2"/>
      <scheme val="minor"/>
    </font>
    <font>
      <b/>
      <sz val="14"/>
      <color theme="0"/>
      <name val="Calibri"/>
      <family val="2"/>
      <scheme val="minor"/>
    </font>
    <font>
      <b/>
      <sz val="14"/>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499984740745262"/>
        <bgColor indexed="64"/>
      </patternFill>
    </fill>
  </fills>
  <borders count="3">
    <border>
      <left/>
      <right/>
      <top/>
      <bottom/>
      <diagonal/>
    </border>
    <border>
      <left style="hair">
        <color auto="1"/>
      </left>
      <right style="hair">
        <color auto="1"/>
      </right>
      <top style="hair">
        <color auto="1"/>
      </top>
      <bottom style="hair">
        <color auto="1"/>
      </bottom>
      <diagonal/>
    </border>
    <border>
      <left/>
      <right/>
      <top style="thin">
        <color auto="1"/>
      </top>
      <bottom/>
      <diagonal/>
    </border>
  </borders>
  <cellStyleXfs count="1">
    <xf numFmtId="0" fontId="0" fillId="0" borderId="0"/>
  </cellStyleXfs>
  <cellXfs count="27">
    <xf numFmtId="0" fontId="0" fillId="0" borderId="0" xfId="0"/>
    <xf numFmtId="0" fontId="0" fillId="2" borderId="1" xfId="0" applyFill="1" applyBorder="1"/>
    <xf numFmtId="14" fontId="0" fillId="2" borderId="1" xfId="0" applyNumberFormat="1" applyFill="1" applyBorder="1"/>
    <xf numFmtId="164" fontId="0" fillId="2" borderId="1" xfId="0" applyNumberFormat="1" applyFill="1" applyBorder="1"/>
    <xf numFmtId="0" fontId="0" fillId="0" borderId="0" xfId="0" applyAlignment="1">
      <alignment horizontal="center"/>
    </xf>
    <xf numFmtId="0" fontId="2" fillId="3" borderId="0" xfId="0" applyFont="1" applyFill="1"/>
    <xf numFmtId="0" fontId="1" fillId="0" borderId="0" xfId="0" applyFont="1"/>
    <xf numFmtId="10" fontId="0" fillId="2" borderId="1" xfId="0" applyNumberFormat="1" applyFill="1" applyBorder="1"/>
    <xf numFmtId="10" fontId="0" fillId="0" borderId="0" xfId="0" applyNumberFormat="1"/>
    <xf numFmtId="0" fontId="1" fillId="0" borderId="0" xfId="0" applyFont="1" applyFill="1" applyBorder="1"/>
    <xf numFmtId="0" fontId="3" fillId="0" borderId="0" xfId="0" applyFont="1"/>
    <xf numFmtId="37" fontId="0" fillId="0" borderId="0" xfId="0" applyNumberFormat="1"/>
    <xf numFmtId="9" fontId="0" fillId="0" borderId="0" xfId="0" applyNumberFormat="1"/>
    <xf numFmtId="0" fontId="0" fillId="0" borderId="2" xfId="0" applyBorder="1"/>
    <xf numFmtId="37" fontId="1" fillId="0" borderId="0" xfId="0" applyNumberFormat="1" applyFont="1"/>
    <xf numFmtId="0" fontId="3" fillId="0" borderId="0" xfId="0" applyFont="1" applyFill="1" applyBorder="1"/>
    <xf numFmtId="9" fontId="3" fillId="0" borderId="0" xfId="0" applyNumberFormat="1" applyFont="1"/>
    <xf numFmtId="9" fontId="0" fillId="2" borderId="1" xfId="0" applyNumberFormat="1" applyFill="1" applyBorder="1"/>
    <xf numFmtId="10" fontId="0" fillId="2" borderId="1" xfId="0" applyNumberFormat="1" applyFont="1" applyFill="1" applyBorder="1"/>
    <xf numFmtId="9" fontId="0" fillId="2" borderId="1" xfId="0" applyNumberFormat="1" applyFont="1" applyFill="1" applyBorder="1"/>
    <xf numFmtId="0" fontId="4" fillId="0" borderId="0" xfId="0" applyFont="1"/>
    <xf numFmtId="0" fontId="5" fillId="0" borderId="0" xfId="0" applyFont="1"/>
    <xf numFmtId="0" fontId="6" fillId="3" borderId="0" xfId="0" applyFont="1" applyFill="1"/>
    <xf numFmtId="0" fontId="7" fillId="0" borderId="0" xfId="0" applyFont="1"/>
    <xf numFmtId="3" fontId="0" fillId="0" borderId="0" xfId="0" applyNumberFormat="1"/>
    <xf numFmtId="2" fontId="0" fillId="0" borderId="0" xfId="0" applyNumberFormat="1"/>
    <xf numFmtId="169"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https://www.bing.com/financeapi/forcetrigger?t=a1x6m7&amp;q=XNAS%3aLULU&amp;form=skydnc</v>
    <v>Learn more on Bing</v>
  </rv>
  <rv s="1">
    <v>0</v>
    <v>LULULEMON ATHLETICA INC. (XNAS:LULU)</v>
    <v>2</v>
    <v>3</v>
    <v>Finance</v>
    <v>4</v>
    <v>en-GB</v>
    <v>a1x6m7</v>
    <v>268435456</v>
    <v>1</v>
    <v>Powered by Refinitiv</v>
    <v>410.7</v>
    <v>251.51</v>
    <v>1.3714999999999999</v>
    <v>-4.45</v>
    <v>-1.4298999999999999E-2</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v>29000</v>
    <v>Nasdaq Stock Market</v>
    <v>XNAS</v>
    <v>XNAS</v>
    <v>1818 Cornwall Ave, 400 - 1818 CORNWALL AVENUE, VANCOUVER, BC, V6J 1C7 CA</v>
    <v>309.08</v>
    <v>Textiles &amp; Apparel</v>
    <v>Stock</v>
    <v>44951.631433957809</v>
    <v>0</v>
    <v>304.22000000000003</v>
    <v>39143128168</v>
    <v>LULULEMON ATHLETICA INC.</v>
    <v>LULULEMON ATHLETICA INC.</v>
    <v>305.41000000000003</v>
    <v>34.209299999999999</v>
    <v>311.20999999999998</v>
    <v>306.76</v>
    <v>127601800</v>
    <v>LULU</v>
    <v>LULULEMON ATHLETICA INC. (XNAS:LULU)</v>
    <v>251163</v>
    <v>1983418</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99643-908E-8442-A565-A38127A87F59}">
  <dimension ref="A2:N111"/>
  <sheetViews>
    <sheetView showGridLines="0" tabSelected="1" zoomScale="110" zoomScaleNormal="110" workbookViewId="0">
      <pane xSplit="2" topLeftCell="C1" activePane="topRight" state="frozen"/>
      <selection pane="topRight" activeCell="L104" sqref="L104"/>
    </sheetView>
  </sheetViews>
  <sheetFormatPr baseColWidth="10" defaultRowHeight="16" x14ac:dyDescent="0.2"/>
  <cols>
    <col min="1" max="1" width="3.5" customWidth="1"/>
    <col min="2" max="2" width="27.6640625" customWidth="1"/>
    <col min="9" max="9" width="10.83203125" customWidth="1"/>
  </cols>
  <sheetData>
    <row r="2" spans="1:14" x14ac:dyDescent="0.2">
      <c r="C2" t="s">
        <v>0</v>
      </c>
      <c r="D2" s="1" t="e" vm="1">
        <v>#VALUE!</v>
      </c>
      <c r="H2" t="s">
        <v>3</v>
      </c>
      <c r="J2" s="3" cm="1">
        <f t="array" ref="J2">_FV(D2,"Price")</f>
        <v>306.76</v>
      </c>
    </row>
    <row r="3" spans="1:14" x14ac:dyDescent="0.2">
      <c r="C3" t="s">
        <v>1</v>
      </c>
      <c r="D3" s="2">
        <v>44950</v>
      </c>
      <c r="H3" t="s">
        <v>4</v>
      </c>
      <c r="J3" s="26">
        <f ca="1">L111</f>
        <v>210.02403802655709</v>
      </c>
      <c r="L3" t="s">
        <v>5</v>
      </c>
      <c r="N3" s="17">
        <f ca="1">J3/J2-1</f>
        <v>-0.31534737897197451</v>
      </c>
    </row>
    <row r="6" spans="1:14" x14ac:dyDescent="0.2">
      <c r="A6" s="4" t="s">
        <v>6</v>
      </c>
      <c r="B6" s="5" t="s">
        <v>7</v>
      </c>
      <c r="C6" s="5"/>
      <c r="D6" s="5"/>
      <c r="E6" s="5"/>
      <c r="F6" s="5"/>
      <c r="G6" s="5"/>
      <c r="H6" s="5"/>
      <c r="I6" s="5"/>
      <c r="J6" s="5"/>
      <c r="K6" s="5"/>
      <c r="L6" s="5"/>
    </row>
    <row r="8" spans="1:14" x14ac:dyDescent="0.2">
      <c r="C8" s="6" t="s">
        <v>8</v>
      </c>
      <c r="D8" s="6"/>
      <c r="E8" s="6"/>
      <c r="F8" s="6" t="s">
        <v>12</v>
      </c>
      <c r="G8" s="6"/>
      <c r="H8" s="6" t="s">
        <v>13</v>
      </c>
      <c r="I8" s="6"/>
      <c r="J8" s="6" t="s">
        <v>14</v>
      </c>
    </row>
    <row r="10" spans="1:14" x14ac:dyDescent="0.2">
      <c r="B10" s="6" t="s">
        <v>9</v>
      </c>
      <c r="C10" s="1">
        <v>2</v>
      </c>
      <c r="F10" s="7">
        <v>0.8</v>
      </c>
      <c r="G10" s="8"/>
      <c r="H10" s="7">
        <v>0.1</v>
      </c>
      <c r="I10" s="8"/>
      <c r="J10" s="7">
        <v>1.2</v>
      </c>
    </row>
    <row r="11" spans="1:14" x14ac:dyDescent="0.2">
      <c r="B11" s="6" t="s">
        <v>10</v>
      </c>
      <c r="C11" s="1">
        <v>2</v>
      </c>
      <c r="F11" s="7">
        <v>0.8</v>
      </c>
      <c r="G11" s="8"/>
      <c r="H11" s="7">
        <v>0.1</v>
      </c>
      <c r="I11" s="8"/>
      <c r="J11" s="7">
        <v>1.2</v>
      </c>
    </row>
    <row r="12" spans="1:14" x14ac:dyDescent="0.2">
      <c r="B12" s="6" t="s">
        <v>11</v>
      </c>
      <c r="C12" s="1">
        <v>2</v>
      </c>
      <c r="F12" s="7">
        <v>0.8</v>
      </c>
      <c r="G12" s="8"/>
      <c r="H12" s="7">
        <v>0.1</v>
      </c>
      <c r="I12" s="8"/>
      <c r="J12" s="7">
        <v>1.2</v>
      </c>
    </row>
    <row r="14" spans="1:14" x14ac:dyDescent="0.2">
      <c r="B14" s="9" t="s">
        <v>15</v>
      </c>
      <c r="C14" s="1">
        <v>2</v>
      </c>
      <c r="F14" s="7">
        <v>0.8</v>
      </c>
      <c r="H14" s="7">
        <v>0.2</v>
      </c>
      <c r="J14" s="7">
        <v>1.2</v>
      </c>
    </row>
    <row r="15" spans="1:14" x14ac:dyDescent="0.2">
      <c r="B15" s="9" t="s">
        <v>16</v>
      </c>
      <c r="C15" s="1">
        <v>2</v>
      </c>
      <c r="F15" s="7">
        <f>H15+0.005</f>
        <v>0.1089811717948718</v>
      </c>
      <c r="H15" s="7">
        <f>LULU_WACC!D23</f>
        <v>0.10398117179487179</v>
      </c>
      <c r="J15" s="7">
        <f>H15-0.005</f>
        <v>9.8981171794871786E-2</v>
      </c>
    </row>
    <row r="16" spans="1:14" x14ac:dyDescent="0.2">
      <c r="B16" s="9" t="s">
        <v>17</v>
      </c>
      <c r="C16" s="1">
        <v>2</v>
      </c>
      <c r="F16" s="7">
        <f>H16-0.005</f>
        <v>1.4999999999999999E-2</v>
      </c>
      <c r="H16" s="7">
        <v>0.02</v>
      </c>
      <c r="J16" s="7">
        <f>H16+0.005</f>
        <v>2.5000000000000001E-2</v>
      </c>
    </row>
    <row r="18" spans="1:12" x14ac:dyDescent="0.2">
      <c r="B18" s="9" t="s">
        <v>16</v>
      </c>
      <c r="C18" s="7">
        <f>CHOOSE(C15,F15,H15,J15)</f>
        <v>0.10398117179487179</v>
      </c>
    </row>
    <row r="19" spans="1:12" x14ac:dyDescent="0.2">
      <c r="B19" s="9" t="s">
        <v>17</v>
      </c>
      <c r="C19" s="7">
        <f>CHOOSE(C16,F16,H16,J16)</f>
        <v>0.02</v>
      </c>
    </row>
    <row r="21" spans="1:12" x14ac:dyDescent="0.2">
      <c r="A21" s="4" t="s">
        <v>6</v>
      </c>
      <c r="B21" s="5" t="s">
        <v>18</v>
      </c>
      <c r="C21" s="5">
        <v>2018</v>
      </c>
      <c r="D21" s="5">
        <v>2019</v>
      </c>
      <c r="E21" s="5">
        <v>2020</v>
      </c>
      <c r="F21" s="5">
        <v>2021</v>
      </c>
      <c r="G21" s="5">
        <v>2022</v>
      </c>
      <c r="H21" s="5">
        <v>2023</v>
      </c>
      <c r="I21" s="5">
        <v>2024</v>
      </c>
      <c r="J21" s="5">
        <v>2025</v>
      </c>
      <c r="K21" s="5">
        <v>2026</v>
      </c>
      <c r="L21" s="5">
        <v>2027</v>
      </c>
    </row>
    <row r="23" spans="1:12" x14ac:dyDescent="0.2">
      <c r="B23" s="6" t="str">
        <f>B10</f>
        <v xml:space="preserve">Company-Operated Stores </v>
      </c>
      <c r="C23" s="11">
        <v>2126.3629999999998</v>
      </c>
      <c r="D23" s="11">
        <v>2501.067</v>
      </c>
      <c r="E23" s="11">
        <v>1658.807</v>
      </c>
      <c r="F23" s="11">
        <v>2821.4969999999998</v>
      </c>
      <c r="G23" s="11">
        <f>(2537.741/3)*4</f>
        <v>3383.6546666666668</v>
      </c>
      <c r="H23" s="11">
        <f ca="1">G23*(1+H24)</f>
        <v>4019.1050672289252</v>
      </c>
      <c r="I23" s="11">
        <f t="shared" ref="I23:L23" ca="1" si="0">H23*(1+I24)</f>
        <v>4685.6736908792909</v>
      </c>
      <c r="J23" s="11">
        <f t="shared" ca="1" si="0"/>
        <v>5359.9421724986778</v>
      </c>
      <c r="K23" s="11">
        <f t="shared" ca="1" si="0"/>
        <v>6013.5871418840788</v>
      </c>
      <c r="L23" s="11">
        <f t="shared" ca="1" si="0"/>
        <v>6614.945856072487</v>
      </c>
    </row>
    <row r="24" spans="1:12" x14ac:dyDescent="0.2">
      <c r="B24" s="10" t="s">
        <v>19</v>
      </c>
      <c r="D24" s="16">
        <f>D23/C23-1</f>
        <v>0.17621826564890397</v>
      </c>
      <c r="E24" s="16">
        <f t="shared" ref="E24:G24" si="1">E23/D23-1</f>
        <v>-0.3367602707164582</v>
      </c>
      <c r="F24" s="16">
        <f t="shared" si="1"/>
        <v>0.70091939568617678</v>
      </c>
      <c r="G24" s="16">
        <f t="shared" si="1"/>
        <v>0.19924092305136853</v>
      </c>
      <c r="H24" s="16">
        <f ca="1">OFFSET(H24,$C$10,0)</f>
        <v>0.18780001600702903</v>
      </c>
      <c r="I24" s="16">
        <f t="shared" ref="I24:L24" ca="1" si="2">OFFSET(I24,$C$10,0)</f>
        <v>0.16585001200527177</v>
      </c>
      <c r="J24" s="16">
        <f t="shared" ca="1" si="2"/>
        <v>0.14390000800351452</v>
      </c>
      <c r="K24" s="16">
        <f t="shared" ca="1" si="2"/>
        <v>0.12195000400175726</v>
      </c>
      <c r="L24" s="16">
        <f t="shared" ca="1" si="2"/>
        <v>0.1</v>
      </c>
    </row>
    <row r="25" spans="1:12" x14ac:dyDescent="0.2">
      <c r="B25" t="s">
        <v>20</v>
      </c>
      <c r="H25" s="7">
        <f t="shared" ref="H25:K25" si="3">H26*$F$10</f>
        <v>0.15024001280562324</v>
      </c>
      <c r="I25" s="7">
        <f t="shared" si="3"/>
        <v>0.13268000960421741</v>
      </c>
      <c r="J25" s="7">
        <f t="shared" si="3"/>
        <v>0.11512000640281161</v>
      </c>
      <c r="K25" s="7">
        <f t="shared" si="3"/>
        <v>9.7560003201405815E-2</v>
      </c>
      <c r="L25" s="7">
        <f>L26*$F$10</f>
        <v>8.0000000000000016E-2</v>
      </c>
    </row>
    <row r="26" spans="1:12" x14ac:dyDescent="0.2">
      <c r="B26" t="s">
        <v>21</v>
      </c>
      <c r="H26" s="17">
        <f>AVERAGE(E24:G24)</f>
        <v>0.18780001600702903</v>
      </c>
      <c r="I26" s="17">
        <f>H26-(H26-$L$26)/($L$21-H21)</f>
        <v>0.16585001200527177</v>
      </c>
      <c r="J26" s="17">
        <f t="shared" ref="J26:K26" si="4">I26-(I26-$L$26)/($L$21-I21)</f>
        <v>0.14390000800351452</v>
      </c>
      <c r="K26" s="17">
        <f t="shared" si="4"/>
        <v>0.12195000400175726</v>
      </c>
      <c r="L26" s="7">
        <f>H10</f>
        <v>0.1</v>
      </c>
    </row>
    <row r="27" spans="1:12" x14ac:dyDescent="0.2">
      <c r="B27" t="s">
        <v>22</v>
      </c>
      <c r="H27" s="7">
        <f t="shared" ref="H27:K27" si="5">H26*$J$10</f>
        <v>0.22536001920843482</v>
      </c>
      <c r="I27" s="7">
        <f t="shared" si="5"/>
        <v>0.19902001440632613</v>
      </c>
      <c r="J27" s="7">
        <f t="shared" si="5"/>
        <v>0.17268000960421742</v>
      </c>
      <c r="K27" s="7">
        <f t="shared" si="5"/>
        <v>0.14634000480210871</v>
      </c>
      <c r="L27" s="7">
        <f>L26*$J$10</f>
        <v>0.12</v>
      </c>
    </row>
    <row r="28" spans="1:12" x14ac:dyDescent="0.2">
      <c r="B28" s="10" t="s">
        <v>23</v>
      </c>
      <c r="C28" s="16">
        <f>C23/C45</f>
        <v>0.64664133862925099</v>
      </c>
      <c r="D28" s="16">
        <f t="shared" ref="D28:L28" si="6">D23/D45</f>
        <v>0.62851996936141463</v>
      </c>
      <c r="E28" s="16">
        <f t="shared" si="6"/>
        <v>0.37684066281694706</v>
      </c>
      <c r="F28" s="16">
        <f t="shared" si="6"/>
        <v>0.45096207742938393</v>
      </c>
      <c r="G28" s="16">
        <f t="shared" si="6"/>
        <v>0.47534989922602588</v>
      </c>
      <c r="H28" s="16">
        <f t="shared" ca="1" si="6"/>
        <v>0.47912061834081221</v>
      </c>
      <c r="I28" s="16">
        <f t="shared" ca="1" si="6"/>
        <v>0.48179728744032091</v>
      </c>
      <c r="J28" s="16">
        <f t="shared" ca="1" si="6"/>
        <v>0.48350473527148319</v>
      </c>
      <c r="K28" s="16">
        <f t="shared" ca="1" si="6"/>
        <v>0.48433511119673117</v>
      </c>
      <c r="L28" s="16">
        <f t="shared" ca="1" si="6"/>
        <v>0.48433511119673112</v>
      </c>
    </row>
    <row r="30" spans="1:12" x14ac:dyDescent="0.2">
      <c r="B30" s="6" t="str">
        <f>B11</f>
        <v xml:space="preserve">Direct to Consumer </v>
      </c>
      <c r="C30" s="11">
        <v>858.85599999999999</v>
      </c>
      <c r="D30" s="11">
        <v>1137.8219999999999</v>
      </c>
      <c r="E30" s="11">
        <v>2284.0680000000002</v>
      </c>
      <c r="F30" s="11">
        <v>2777.944</v>
      </c>
      <c r="G30" s="11">
        <f>(2264.029/3)*4</f>
        <v>3018.7053333333333</v>
      </c>
      <c r="H30" s="11">
        <f ca="1">G30*(1+H31)</f>
        <v>3475.8812841565255</v>
      </c>
      <c r="I30" s="11">
        <f t="shared" ref="I30:L30" ca="1" si="7">H30*(1+I31)</f>
        <v>3957.588960782196</v>
      </c>
      <c r="J30" s="11">
        <f t="shared" ca="1" si="7"/>
        <v>4455.1522627129134</v>
      </c>
      <c r="K30" s="11">
        <f t="shared" ca="1" si="7"/>
        <v>4957.9693125922659</v>
      </c>
      <c r="L30" s="11">
        <f t="shared" ca="1" si="7"/>
        <v>5453.7662438514926</v>
      </c>
    </row>
    <row r="31" spans="1:12" x14ac:dyDescent="0.2">
      <c r="B31" s="10" t="s">
        <v>19</v>
      </c>
      <c r="D31" s="16">
        <f t="shared" ref="D31:G31" si="8">D30/C30-1</f>
        <v>0.3248111441266055</v>
      </c>
      <c r="E31" s="16">
        <f t="shared" si="8"/>
        <v>1.0074036184921722</v>
      </c>
      <c r="F31" s="16">
        <f t="shared" si="8"/>
        <v>0.21622648712735337</v>
      </c>
      <c r="G31" s="16">
        <f t="shared" si="8"/>
        <v>8.6668893733399033E-2</v>
      </c>
      <c r="H31" s="16">
        <f ca="1">OFFSET(H31,$C$11,0)</f>
        <v>0.1514476904303762</v>
      </c>
      <c r="I31" s="16">
        <f t="shared" ref="I31:L31" ca="1" si="9">OFFSET(I31,$C$11,0)</f>
        <v>0.13858576782278215</v>
      </c>
      <c r="J31" s="16">
        <f t="shared" ca="1" si="9"/>
        <v>0.12572384521518809</v>
      </c>
      <c r="K31" s="16">
        <f t="shared" ca="1" si="9"/>
        <v>0.11286192260759405</v>
      </c>
      <c r="L31" s="16">
        <f t="shared" ca="1" si="9"/>
        <v>0.1</v>
      </c>
    </row>
    <row r="32" spans="1:12" x14ac:dyDescent="0.2">
      <c r="B32" t="s">
        <v>20</v>
      </c>
      <c r="H32" s="7">
        <f t="shared" ref="H32:K32" si="10">H33*$F$11</f>
        <v>0.12115815234430097</v>
      </c>
      <c r="I32" s="7">
        <f t="shared" si="10"/>
        <v>0.11086861425822572</v>
      </c>
      <c r="J32" s="7">
        <f t="shared" si="10"/>
        <v>0.10057907617215048</v>
      </c>
      <c r="K32" s="7">
        <f t="shared" si="10"/>
        <v>9.0289538086075247E-2</v>
      </c>
      <c r="L32" s="7">
        <f>L33*$F$11</f>
        <v>8.0000000000000016E-2</v>
      </c>
    </row>
    <row r="33" spans="1:12" x14ac:dyDescent="0.2">
      <c r="B33" t="s">
        <v>21</v>
      </c>
      <c r="H33" s="17">
        <f>AVERAGE(F31:G31)</f>
        <v>0.1514476904303762</v>
      </c>
      <c r="I33" s="17">
        <f>H33-(H33-$L$33)/($L$21-H21)</f>
        <v>0.13858576782278215</v>
      </c>
      <c r="J33" s="17">
        <f t="shared" ref="J33:K33" si="11">I33-(I33-$L$33)/($L$21-I21)</f>
        <v>0.12572384521518809</v>
      </c>
      <c r="K33" s="17">
        <f t="shared" si="11"/>
        <v>0.11286192260759405</v>
      </c>
      <c r="L33" s="7">
        <f>H11</f>
        <v>0.1</v>
      </c>
    </row>
    <row r="34" spans="1:12" x14ac:dyDescent="0.2">
      <c r="B34" t="s">
        <v>22</v>
      </c>
      <c r="H34" s="7">
        <f t="shared" ref="H34:K34" si="12">H33*$J$11</f>
        <v>0.18173722851645144</v>
      </c>
      <c r="I34" s="7">
        <f t="shared" si="12"/>
        <v>0.16630292138733857</v>
      </c>
      <c r="J34" s="7">
        <f t="shared" si="12"/>
        <v>0.1508686142582257</v>
      </c>
      <c r="K34" s="7">
        <f t="shared" si="12"/>
        <v>0.13543430712911286</v>
      </c>
      <c r="L34" s="7">
        <f>L33*$J$11</f>
        <v>0.12</v>
      </c>
    </row>
    <row r="35" spans="1:12" x14ac:dyDescent="0.2">
      <c r="B35" s="10" t="s">
        <v>23</v>
      </c>
      <c r="C35" s="16">
        <f>C30/C45</f>
        <v>0.26118390581935635</v>
      </c>
      <c r="D35" s="16">
        <f t="shared" ref="D35:L35" si="13">D30/D45</f>
        <v>0.28593550215917585</v>
      </c>
      <c r="E35" s="16">
        <f t="shared" si="13"/>
        <v>0.51888477625123275</v>
      </c>
      <c r="F35" s="16">
        <f t="shared" si="13"/>
        <v>0.44400096729590444</v>
      </c>
      <c r="G35" s="16">
        <f t="shared" si="13"/>
        <v>0.42408029700225519</v>
      </c>
      <c r="H35" s="16">
        <f t="shared" ca="1" si="13"/>
        <v>0.41436249172071543</v>
      </c>
      <c r="I35" s="16">
        <f t="shared" ca="1" si="13"/>
        <v>0.40693307983015092</v>
      </c>
      <c r="J35" s="16">
        <f t="shared" ca="1" si="13"/>
        <v>0.40188627900307594</v>
      </c>
      <c r="K35" s="16">
        <f t="shared" ca="1" si="13"/>
        <v>0.39931551030488832</v>
      </c>
      <c r="L35" s="16">
        <f t="shared" ca="1" si="13"/>
        <v>0.39931551030488832</v>
      </c>
    </row>
    <row r="37" spans="1:12" x14ac:dyDescent="0.2">
      <c r="B37" s="6" t="str">
        <f>B12</f>
        <v xml:space="preserve">Other </v>
      </c>
      <c r="C37" s="11">
        <v>303.10000000000002</v>
      </c>
      <c r="D37" s="11">
        <v>340.40699999999998</v>
      </c>
      <c r="E37" s="11">
        <v>459.00400000000002</v>
      </c>
      <c r="F37" s="11">
        <v>657.17600000000004</v>
      </c>
      <c r="G37" s="11">
        <f>(536.91/3)*4</f>
        <v>715.88</v>
      </c>
      <c r="H37" s="11">
        <f ca="1">G37*(1+H38)</f>
        <v>893.51732258923266</v>
      </c>
      <c r="I37" s="11">
        <f t="shared" ref="I37:L37" ca="1" si="14">H37*(1+I38)</f>
        <v>1082.1422292443533</v>
      </c>
      <c r="J37" s="11">
        <f t="shared" ca="1" si="14"/>
        <v>1270.5098650009434</v>
      </c>
      <c r="K37" s="11">
        <f t="shared" ca="1" si="14"/>
        <v>1444.6136782758767</v>
      </c>
      <c r="L37" s="11">
        <f t="shared" ca="1" si="14"/>
        <v>1589.0750461034645</v>
      </c>
    </row>
    <row r="38" spans="1:12" x14ac:dyDescent="0.2">
      <c r="B38" s="10" t="s">
        <v>19</v>
      </c>
      <c r="D38" s="16">
        <f t="shared" ref="D38:G38" si="15">D37/C37-1</f>
        <v>0.12308479049818533</v>
      </c>
      <c r="E38" s="16">
        <f t="shared" si="15"/>
        <v>0.34839765339725703</v>
      </c>
      <c r="F38" s="16">
        <f t="shared" si="15"/>
        <v>0.43174351421774104</v>
      </c>
      <c r="G38" s="16">
        <f t="shared" si="15"/>
        <v>8.932766869149189E-2</v>
      </c>
      <c r="H38" s="16">
        <f ca="1">OFFSET(H38,$C$12,0)</f>
        <v>0.24813840670116882</v>
      </c>
      <c r="I38" s="16">
        <f t="shared" ref="I38:L38" ca="1" si="16">OFFSET(I38,$C$12,0)</f>
        <v>0.21110380502587661</v>
      </c>
      <c r="J38" s="16">
        <f t="shared" ca="1" si="16"/>
        <v>0.1740692033505844</v>
      </c>
      <c r="K38" s="16">
        <f t="shared" ca="1" si="16"/>
        <v>0.13703460167529219</v>
      </c>
      <c r="L38" s="16">
        <f t="shared" ca="1" si="16"/>
        <v>0.1</v>
      </c>
    </row>
    <row r="39" spans="1:12" x14ac:dyDescent="0.2">
      <c r="B39" t="s">
        <v>20</v>
      </c>
      <c r="H39" s="7">
        <f t="shared" ref="H39:K39" si="17">H40*$F$12</f>
        <v>0.19851072536093506</v>
      </c>
      <c r="I39" s="7">
        <f t="shared" si="17"/>
        <v>0.16888304402070131</v>
      </c>
      <c r="J39" s="7">
        <f t="shared" si="17"/>
        <v>0.13925536268046754</v>
      </c>
      <c r="K39" s="7">
        <f t="shared" si="17"/>
        <v>0.10962768134023376</v>
      </c>
      <c r="L39" s="7">
        <f>L40*$F$12</f>
        <v>8.0000000000000016E-2</v>
      </c>
    </row>
    <row r="40" spans="1:12" x14ac:dyDescent="0.2">
      <c r="B40" t="s">
        <v>21</v>
      </c>
      <c r="H40" s="17">
        <f>AVERAGE(D38:G38)</f>
        <v>0.24813840670116882</v>
      </c>
      <c r="I40" s="17">
        <f>H40-(H40-$L$40)/($L$21-H21)</f>
        <v>0.21110380502587661</v>
      </c>
      <c r="J40" s="17">
        <f t="shared" ref="J40:K40" si="18">I40-(I40-$L$40)/($L$21-I21)</f>
        <v>0.1740692033505844</v>
      </c>
      <c r="K40" s="17">
        <f t="shared" si="18"/>
        <v>0.13703460167529219</v>
      </c>
      <c r="L40" s="7">
        <f>H12</f>
        <v>0.1</v>
      </c>
    </row>
    <row r="41" spans="1:12" x14ac:dyDescent="0.2">
      <c r="B41" t="s">
        <v>22</v>
      </c>
      <c r="H41" s="7">
        <f t="shared" ref="H41:K41" si="19">H40*$J$12</f>
        <v>0.29776608804140259</v>
      </c>
      <c r="I41" s="7">
        <f t="shared" si="19"/>
        <v>0.25332456603105191</v>
      </c>
      <c r="J41" s="7">
        <f t="shared" si="19"/>
        <v>0.20888304402070126</v>
      </c>
      <c r="K41" s="7">
        <f t="shared" si="19"/>
        <v>0.16444152201035062</v>
      </c>
      <c r="L41" s="7">
        <f>L40*$J$12</f>
        <v>0.12</v>
      </c>
    </row>
    <row r="42" spans="1:12" x14ac:dyDescent="0.2">
      <c r="B42" s="10" t="s">
        <v>23</v>
      </c>
      <c r="C42" s="16">
        <f>C37/C45</f>
        <v>9.2174755551392679E-2</v>
      </c>
      <c r="D42" s="16">
        <f t="shared" ref="D42:L42" si="20">D37/D45</f>
        <v>8.554452847940941E-2</v>
      </c>
      <c r="E42" s="16">
        <f t="shared" si="20"/>
        <v>0.10427456093182026</v>
      </c>
      <c r="F42" s="16">
        <f t="shared" si="20"/>
        <v>0.10503695527471156</v>
      </c>
      <c r="G42" s="16">
        <f t="shared" si="20"/>
        <v>0.10056980377171884</v>
      </c>
      <c r="H42" s="16">
        <f t="shared" ca="1" si="20"/>
        <v>0.1065168899384724</v>
      </c>
      <c r="I42" s="16">
        <f t="shared" ca="1" si="20"/>
        <v>0.11126963272952815</v>
      </c>
      <c r="J42" s="16">
        <f t="shared" ca="1" si="20"/>
        <v>0.11460898572544077</v>
      </c>
      <c r="K42" s="16">
        <f t="shared" ca="1" si="20"/>
        <v>0.1163493784983806</v>
      </c>
      <c r="L42" s="16">
        <f t="shared" ca="1" si="20"/>
        <v>0.1163493784983806</v>
      </c>
    </row>
    <row r="44" spans="1:12" x14ac:dyDescent="0.2">
      <c r="B44" s="13"/>
      <c r="C44" s="13"/>
      <c r="D44" s="13"/>
      <c r="E44" s="13"/>
      <c r="F44" s="13"/>
      <c r="G44" s="13"/>
      <c r="H44" s="13"/>
      <c r="I44" s="13"/>
      <c r="J44" s="13"/>
      <c r="K44" s="13"/>
      <c r="L44" s="13"/>
    </row>
    <row r="45" spans="1:12" x14ac:dyDescent="0.2">
      <c r="B45" s="9" t="s">
        <v>24</v>
      </c>
      <c r="C45" s="14">
        <f>SUM(C23,C30,C37)</f>
        <v>3288.319</v>
      </c>
      <c r="D45" s="14">
        <f t="shared" ref="D45:L45" si="21">SUM(D23,D30,D37)</f>
        <v>3979.2960000000003</v>
      </c>
      <c r="E45" s="14">
        <f t="shared" si="21"/>
        <v>4401.8789999999999</v>
      </c>
      <c r="F45" s="14">
        <f t="shared" si="21"/>
        <v>6256.6170000000002</v>
      </c>
      <c r="G45" s="14">
        <f t="shared" si="21"/>
        <v>7118.2400000000007</v>
      </c>
      <c r="H45" s="14">
        <f t="shared" ca="1" si="21"/>
        <v>8388.5036739746829</v>
      </c>
      <c r="I45" s="14">
        <f t="shared" ca="1" si="21"/>
        <v>9725.4048809058404</v>
      </c>
      <c r="J45" s="14">
        <f t="shared" ca="1" si="21"/>
        <v>11085.604300212535</v>
      </c>
      <c r="K45" s="14">
        <f t="shared" ca="1" si="21"/>
        <v>12416.170132752221</v>
      </c>
      <c r="L45" s="14">
        <f t="shared" ca="1" si="21"/>
        <v>13657.787146027444</v>
      </c>
    </row>
    <row r="46" spans="1:12" x14ac:dyDescent="0.2">
      <c r="B46" s="15" t="s">
        <v>19</v>
      </c>
      <c r="D46" s="16">
        <f>D45/C45-1</f>
        <v>0.21013076894303762</v>
      </c>
      <c r="E46" s="16">
        <f t="shared" ref="E46:L46" si="22">E45/D45-1</f>
        <v>0.10619541748088102</v>
      </c>
      <c r="F46" s="16">
        <f t="shared" si="22"/>
        <v>0.42135142742451581</v>
      </c>
      <c r="G46" s="16">
        <f t="shared" si="22"/>
        <v>0.13771387956143077</v>
      </c>
      <c r="H46" s="16">
        <f t="shared" ca="1" si="22"/>
        <v>0.17845193109177027</v>
      </c>
      <c r="I46" s="16">
        <f t="shared" ca="1" si="22"/>
        <v>0.15937302514140761</v>
      </c>
      <c r="J46" s="16">
        <f t="shared" ca="1" si="22"/>
        <v>0.13986044138658049</v>
      </c>
      <c r="K46" s="16">
        <f t="shared" ca="1" si="22"/>
        <v>0.12002645922641997</v>
      </c>
      <c r="L46" s="16">
        <f t="shared" ca="1" si="22"/>
        <v>0.10000000000000009</v>
      </c>
    </row>
    <row r="48" spans="1:12" x14ac:dyDescent="0.2">
      <c r="A48" s="4" t="s">
        <v>6</v>
      </c>
      <c r="B48" s="5" t="s">
        <v>25</v>
      </c>
      <c r="C48" s="5">
        <v>2018</v>
      </c>
      <c r="D48" s="5">
        <v>2019</v>
      </c>
      <c r="E48" s="5">
        <v>2020</v>
      </c>
      <c r="F48" s="5">
        <v>2021</v>
      </c>
      <c r="G48" s="5">
        <v>2022</v>
      </c>
      <c r="H48" s="5">
        <v>2023</v>
      </c>
      <c r="I48" s="5">
        <v>2024</v>
      </c>
      <c r="J48" s="5">
        <v>2025</v>
      </c>
      <c r="K48" s="5">
        <v>2026</v>
      </c>
      <c r="L48" s="5">
        <v>2027</v>
      </c>
    </row>
    <row r="50" spans="1:12" x14ac:dyDescent="0.2">
      <c r="B50" s="6" t="s">
        <v>26</v>
      </c>
      <c r="C50" s="11">
        <f>C45</f>
        <v>3288.319</v>
      </c>
      <c r="D50" s="11">
        <f t="shared" ref="D50:L50" si="23">D45</f>
        <v>3979.2960000000003</v>
      </c>
      <c r="E50" s="11">
        <f t="shared" si="23"/>
        <v>4401.8789999999999</v>
      </c>
      <c r="F50" s="11">
        <f t="shared" si="23"/>
        <v>6256.6170000000002</v>
      </c>
      <c r="G50" s="11">
        <f t="shared" si="23"/>
        <v>7118.2400000000007</v>
      </c>
      <c r="H50" s="11">
        <f t="shared" ca="1" si="23"/>
        <v>8388.5036739746829</v>
      </c>
      <c r="I50" s="11">
        <f t="shared" ca="1" si="23"/>
        <v>9725.4048809058404</v>
      </c>
      <c r="J50" s="11">
        <f t="shared" ca="1" si="23"/>
        <v>11085.604300212535</v>
      </c>
      <c r="K50" s="11">
        <f t="shared" ca="1" si="23"/>
        <v>12416.170132752221</v>
      </c>
      <c r="L50" s="11">
        <f t="shared" ca="1" si="23"/>
        <v>13657.787146027444</v>
      </c>
    </row>
    <row r="51" spans="1:12" x14ac:dyDescent="0.2">
      <c r="B51" s="10" t="s">
        <v>19</v>
      </c>
      <c r="D51" s="16">
        <f>D50/C50-1</f>
        <v>0.21013076894303762</v>
      </c>
      <c r="E51" s="16">
        <f t="shared" ref="E51:L51" si="24">E50/D50-1</f>
        <v>0.10619541748088102</v>
      </c>
      <c r="F51" s="16">
        <f t="shared" si="24"/>
        <v>0.42135142742451581</v>
      </c>
      <c r="G51" s="16">
        <f t="shared" si="24"/>
        <v>0.13771387956143077</v>
      </c>
      <c r="H51" s="16">
        <f t="shared" ca="1" si="24"/>
        <v>0.17845193109177027</v>
      </c>
      <c r="I51" s="16">
        <f t="shared" ca="1" si="24"/>
        <v>0.15937302514140761</v>
      </c>
      <c r="J51" s="16">
        <f t="shared" ca="1" si="24"/>
        <v>0.13986044138658049</v>
      </c>
      <c r="K51" s="16">
        <f t="shared" ca="1" si="24"/>
        <v>0.12002645922641997</v>
      </c>
      <c r="L51" s="16">
        <f t="shared" ca="1" si="24"/>
        <v>0.10000000000000009</v>
      </c>
    </row>
    <row r="53" spans="1:12" x14ac:dyDescent="0.2">
      <c r="B53" s="6" t="s">
        <v>15</v>
      </c>
      <c r="C53" s="11">
        <v>705.83600000000001</v>
      </c>
      <c r="D53" s="11">
        <v>889.11</v>
      </c>
      <c r="E53" s="11">
        <v>819.98599999999999</v>
      </c>
      <c r="F53" s="11">
        <v>1333.355</v>
      </c>
      <c r="G53" s="11">
        <f>(1667.582/3)*4</f>
        <v>2223.4426666666668</v>
      </c>
      <c r="H53" s="11">
        <f ca="1">H50*H54</f>
        <v>1990.174075610473</v>
      </c>
      <c r="I53" s="11">
        <f t="shared" ref="I53:L53" ca="1" si="25">I50*I54</f>
        <v>2472.5864467094757</v>
      </c>
      <c r="J53" s="11">
        <f t="shared" ca="1" si="25"/>
        <v>2970.3825855824784</v>
      </c>
      <c r="K53" s="11">
        <f t="shared" ca="1" si="25"/>
        <v>3143.1107532223459</v>
      </c>
      <c r="L53" s="11">
        <f t="shared" ca="1" si="25"/>
        <v>3529.7915809970573</v>
      </c>
    </row>
    <row r="54" spans="1:12" x14ac:dyDescent="0.2">
      <c r="B54" s="10" t="s">
        <v>23</v>
      </c>
      <c r="C54" s="16">
        <f>C53/C50</f>
        <v>0.21464949112297196</v>
      </c>
      <c r="D54" s="16">
        <f t="shared" ref="D54:G54" si="26">D53/D50</f>
        <v>0.22343399435478034</v>
      </c>
      <c r="E54" s="16">
        <f t="shared" si="26"/>
        <v>0.18628090413207632</v>
      </c>
      <c r="F54" s="16">
        <f t="shared" si="26"/>
        <v>0.21311117493687085</v>
      </c>
      <c r="G54" s="16">
        <f t="shared" si="26"/>
        <v>0.31235848561816776</v>
      </c>
      <c r="H54" s="16">
        <f>AVERAGE(E54:G54)</f>
        <v>0.23725018822903832</v>
      </c>
      <c r="I54" s="16">
        <f t="shared" ref="I54:L54" si="27">AVERAGE(F54:H54)</f>
        <v>0.25423994959469232</v>
      </c>
      <c r="J54" s="16">
        <f t="shared" si="27"/>
        <v>0.26794954114729946</v>
      </c>
      <c r="K54" s="16">
        <f t="shared" si="27"/>
        <v>0.25314655965701</v>
      </c>
      <c r="L54" s="16">
        <f t="shared" si="27"/>
        <v>0.25844535013300057</v>
      </c>
    </row>
    <row r="56" spans="1:12" x14ac:dyDescent="0.2">
      <c r="B56" s="6" t="s">
        <v>27</v>
      </c>
      <c r="C56" s="11">
        <v>231.44900000000001</v>
      </c>
      <c r="D56" s="11">
        <v>251.797</v>
      </c>
      <c r="E56" s="11">
        <v>230.43700000000001</v>
      </c>
      <c r="F56" s="11">
        <v>358.54700000000003</v>
      </c>
      <c r="G56" s="11">
        <f>(279.447/3)*4</f>
        <v>372.596</v>
      </c>
      <c r="H56" s="11">
        <f ca="1">H53*H57</f>
        <v>475.98832636772994</v>
      </c>
      <c r="I56" s="11">
        <f t="shared" ref="I56:L56" ca="1" si="28">I53*I57</f>
        <v>556.8686994375438</v>
      </c>
      <c r="J56" s="11">
        <f t="shared" ca="1" si="28"/>
        <v>625.72340834176953</v>
      </c>
      <c r="K56" s="11">
        <f t="shared" ca="1" si="28"/>
        <v>707.24226642552685</v>
      </c>
      <c r="L56" s="11">
        <f t="shared" ca="1" si="28"/>
        <v>777.59508263399641</v>
      </c>
    </row>
    <row r="57" spans="1:12" x14ac:dyDescent="0.2">
      <c r="B57" s="10" t="s">
        <v>28</v>
      </c>
      <c r="C57" s="16">
        <f t="shared" ref="C57:E57" si="29">C56/C53</f>
        <v>0.32790761593344631</v>
      </c>
      <c r="D57" s="16">
        <f t="shared" si="29"/>
        <v>0.28320117870679667</v>
      </c>
      <c r="E57" s="16">
        <f t="shared" si="29"/>
        <v>0.28102552970416572</v>
      </c>
      <c r="F57" s="16">
        <f>F56/F53</f>
        <v>0.26890588027944545</v>
      </c>
      <c r="G57" s="16">
        <f t="shared" ref="G57" si="30">G56/G53</f>
        <v>0.16757616716899079</v>
      </c>
      <c r="H57" s="16">
        <f>AVERAGE(E57:G57)</f>
        <v>0.23916919238420067</v>
      </c>
      <c r="I57" s="16">
        <f t="shared" ref="I57:L57" si="31">AVERAGE(F57:H57)</f>
        <v>0.22521707994421228</v>
      </c>
      <c r="J57" s="16">
        <f t="shared" si="31"/>
        <v>0.21065414649913458</v>
      </c>
      <c r="K57" s="16">
        <f t="shared" si="31"/>
        <v>0.22501347294251584</v>
      </c>
      <c r="L57" s="16">
        <f t="shared" si="31"/>
        <v>0.22029489979528757</v>
      </c>
    </row>
    <row r="59" spans="1:12" x14ac:dyDescent="0.2">
      <c r="A59" s="4" t="s">
        <v>6</v>
      </c>
      <c r="B59" s="5" t="s">
        <v>29</v>
      </c>
      <c r="C59" s="5">
        <v>2018</v>
      </c>
      <c r="D59" s="5">
        <v>2019</v>
      </c>
      <c r="E59" s="5">
        <v>2020</v>
      </c>
      <c r="F59" s="5">
        <v>2021</v>
      </c>
      <c r="G59" s="5">
        <v>2022</v>
      </c>
      <c r="H59" s="5">
        <v>2023</v>
      </c>
      <c r="I59" s="5">
        <v>2024</v>
      </c>
      <c r="J59" s="5">
        <v>2025</v>
      </c>
      <c r="K59" s="5">
        <v>2026</v>
      </c>
      <c r="L59" s="5">
        <v>2027</v>
      </c>
    </row>
    <row r="61" spans="1:12" x14ac:dyDescent="0.2">
      <c r="B61" s="6" t="s">
        <v>30</v>
      </c>
      <c r="C61" s="11">
        <v>122.48399999999999</v>
      </c>
      <c r="D61" s="11">
        <v>161.93299999999999</v>
      </c>
      <c r="E61" s="11">
        <v>185.47800000000001</v>
      </c>
      <c r="F61" s="11">
        <v>224.20599999999999</v>
      </c>
      <c r="G61" s="11">
        <f>(211.629/3)*4</f>
        <v>282.17199999999997</v>
      </c>
      <c r="H61" s="11">
        <f ca="1">H50*H62</f>
        <v>328.86238166012788</v>
      </c>
      <c r="I61" s="11">
        <f t="shared" ref="I61:L61" ca="1" si="32">I50*I62</f>
        <v>371.76869828621108</v>
      </c>
      <c r="J61" s="11">
        <f t="shared" ca="1" si="32"/>
        <v>432.60162333320721</v>
      </c>
      <c r="K61" s="11">
        <f t="shared" ca="1" si="32"/>
        <v>481.97180363962696</v>
      </c>
      <c r="L61" s="11">
        <f t="shared" ca="1" si="32"/>
        <v>528.41229649306717</v>
      </c>
    </row>
    <row r="62" spans="1:12" x14ac:dyDescent="0.2">
      <c r="B62" s="10" t="s">
        <v>23</v>
      </c>
      <c r="C62" s="16">
        <f t="shared" ref="C62:F62" si="33">C61/C50</f>
        <v>3.7248211016023686E-2</v>
      </c>
      <c r="D62" s="16">
        <f t="shared" si="33"/>
        <v>4.0693881530803437E-2</v>
      </c>
      <c r="E62" s="16">
        <f t="shared" si="33"/>
        <v>4.2136096880445832E-2</v>
      </c>
      <c r="F62" s="16">
        <f t="shared" si="33"/>
        <v>3.5835020746834909E-2</v>
      </c>
      <c r="G62" s="16">
        <f>G61/G50</f>
        <v>3.9640697700555186E-2</v>
      </c>
      <c r="H62" s="12">
        <f>AVERAGE(E62:G62)</f>
        <v>3.9203938442611976E-2</v>
      </c>
      <c r="I62" s="12">
        <f t="shared" ref="I62:L62" si="34">AVERAGE(F62:H62)</f>
        <v>3.8226552296667354E-2</v>
      </c>
      <c r="J62" s="12">
        <f t="shared" si="34"/>
        <v>3.9023729479944841E-2</v>
      </c>
      <c r="K62" s="12">
        <f t="shared" si="34"/>
        <v>3.8818073406408055E-2</v>
      </c>
      <c r="L62" s="12">
        <f t="shared" si="34"/>
        <v>3.8689451727673414E-2</v>
      </c>
    </row>
    <row r="63" spans="1:12" x14ac:dyDescent="0.2">
      <c r="B63" s="10" t="s">
        <v>31</v>
      </c>
      <c r="C63" s="16">
        <f t="shared" ref="C63:G63" si="35">C61/C65</f>
        <v>0.54242782553242375</v>
      </c>
      <c r="D63" s="16">
        <f t="shared" si="35"/>
        <v>0.57210437805601877</v>
      </c>
      <c r="E63" s="16">
        <f t="shared" si="35"/>
        <v>0.80914904940975285</v>
      </c>
      <c r="F63" s="16">
        <f t="shared" si="35"/>
        <v>0.56832664980152192</v>
      </c>
      <c r="G63" s="16">
        <f>G61/G65</f>
        <v>0.49024849598194936</v>
      </c>
      <c r="H63" s="16">
        <f t="shared" ref="H63:L63" ca="1" si="36">H61/H65</f>
        <v>0.60010155189007119</v>
      </c>
      <c r="I63" s="16">
        <f t="shared" ca="1" si="36"/>
        <v>0.54807507519420284</v>
      </c>
      <c r="J63" s="16">
        <f t="shared" ca="1" si="36"/>
        <v>0.5421615409630719</v>
      </c>
      <c r="K63" s="16">
        <f t="shared" ca="1" si="36"/>
        <v>0.56243455332732362</v>
      </c>
      <c r="L63" s="16">
        <f t="shared" ca="1" si="36"/>
        <v>0.55075804525141969</v>
      </c>
    </row>
    <row r="65" spans="1:12" x14ac:dyDescent="0.2">
      <c r="B65" s="6" t="s">
        <v>32</v>
      </c>
      <c r="C65" s="11">
        <v>225.80699999999999</v>
      </c>
      <c r="D65" s="11">
        <v>283.048</v>
      </c>
      <c r="E65" s="11">
        <v>229.226</v>
      </c>
      <c r="F65" s="11">
        <v>394.50200000000001</v>
      </c>
      <c r="G65" s="11">
        <f>(431.677/3)*4</f>
        <v>575.56933333333336</v>
      </c>
      <c r="H65" s="11">
        <f ca="1">H50*H66</f>
        <v>548.01121680880124</v>
      </c>
      <c r="I65" s="11">
        <f t="shared" ref="I65:L65" ca="1" si="37">I50*I66</f>
        <v>678.31710492304353</v>
      </c>
      <c r="J65" s="11">
        <f t="shared" ca="1" si="37"/>
        <v>797.9201596718807</v>
      </c>
      <c r="K65" s="11">
        <f t="shared" ca="1" si="37"/>
        <v>856.93846650835258</v>
      </c>
      <c r="L65" s="11">
        <f t="shared" ca="1" si="37"/>
        <v>959.42728580904929</v>
      </c>
    </row>
    <row r="66" spans="1:12" x14ac:dyDescent="0.2">
      <c r="B66" s="10" t="s">
        <v>23</v>
      </c>
      <c r="C66" s="16">
        <f t="shared" ref="C66:F66" si="38">C65/C50</f>
        <v>6.8669432618915616E-2</v>
      </c>
      <c r="D66" s="16">
        <f t="shared" si="38"/>
        <v>7.1130169758670869E-2</v>
      </c>
      <c r="E66" s="16">
        <f t="shared" si="38"/>
        <v>5.2074579969144996E-2</v>
      </c>
      <c r="F66" s="16">
        <f t="shared" si="38"/>
        <v>6.3053563930795184E-2</v>
      </c>
      <c r="G66" s="16">
        <f>G65/G50</f>
        <v>8.0858376977080468E-2</v>
      </c>
      <c r="H66" s="12">
        <f>AVERAGE(E66:G66)</f>
        <v>6.5328840292340221E-2</v>
      </c>
      <c r="I66" s="12">
        <f t="shared" ref="I66:L66" si="39">AVERAGE(F66:H66)</f>
        <v>6.9746927066738629E-2</v>
      </c>
      <c r="J66" s="12">
        <f t="shared" si="39"/>
        <v>7.1978048112053106E-2</v>
      </c>
      <c r="K66" s="12">
        <f t="shared" si="39"/>
        <v>6.9017938490377309E-2</v>
      </c>
      <c r="L66" s="12">
        <f t="shared" si="39"/>
        <v>7.0247637889723005E-2</v>
      </c>
    </row>
    <row r="68" spans="1:12" x14ac:dyDescent="0.2">
      <c r="B68" s="6" t="s">
        <v>33</v>
      </c>
      <c r="C68" s="11">
        <f>-85.942-437-28.546-2.107+71.962+4.312+9.416+41.6+46.428+24.885+31.304</f>
        <v>-323.68800000000005</v>
      </c>
      <c r="D68" s="11">
        <f>-117.591-35.775-53.754-27.852-14.81+4.678+25.326-34.137+33.289+17.422+9.133</f>
        <v>-194.07099999999997</v>
      </c>
      <c r="E68" s="11">
        <f>-96.548-53.966-70.999-49.056+82.663+99.161-6.692-24.125+47.962+13.267+10.784</f>
        <v>-47.549000000000014</v>
      </c>
      <c r="F68" s="11">
        <f>-323.609+20.108-82.404-17.556+117.655+103.878+75.273+120.778+71.441+13.494+30.073</f>
        <v>129.13100000000006</v>
      </c>
      <c r="G68" s="11">
        <f>-832.024-77.458-90.512-25.725+26.537+31.767-13.694-54.354-33.481+15.285-2.865</f>
        <v>-1056.5239999999997</v>
      </c>
      <c r="H68" s="11">
        <f ca="1">H50*H69</f>
        <v>-387.51464620056157</v>
      </c>
      <c r="I68" s="11">
        <f t="shared" ref="I68:L68" ca="1" si="40">I50*I69</f>
        <v>-564.01416710056742</v>
      </c>
      <c r="J68" s="11">
        <f t="shared" ca="1" si="40"/>
        <v>-933.46224830201663</v>
      </c>
      <c r="K68" s="11">
        <f t="shared" ca="1" si="40"/>
        <v>-779.71365392524638</v>
      </c>
      <c r="L68" s="11">
        <f t="shared" ca="1" si="40"/>
        <v>-933.26867745321158</v>
      </c>
    </row>
    <row r="69" spans="1:12" x14ac:dyDescent="0.2">
      <c r="B69" s="10" t="s">
        <v>23</v>
      </c>
      <c r="C69" s="16">
        <f>C68/C50</f>
        <v>-9.8435705295015496E-2</v>
      </c>
      <c r="D69" s="16">
        <f t="shared" ref="D69:G69" si="41">D68/D50</f>
        <v>-4.8770184474841771E-2</v>
      </c>
      <c r="E69" s="16">
        <f t="shared" si="41"/>
        <v>-1.080197797349723E-2</v>
      </c>
      <c r="F69" s="16">
        <f t="shared" si="41"/>
        <v>2.0639108962559168E-2</v>
      </c>
      <c r="G69" s="16">
        <f t="shared" si="41"/>
        <v>-0.14842489154622485</v>
      </c>
      <c r="H69" s="16">
        <f>AVERAGE(E69:G69)</f>
        <v>-4.6195920185720968E-2</v>
      </c>
      <c r="I69" s="16">
        <f t="shared" ref="I69:L69" si="42">AVERAGE(F69:H69)</f>
        <v>-5.7993900923128887E-2</v>
      </c>
      <c r="J69" s="16">
        <f t="shared" si="42"/>
        <v>-8.4204904218358231E-2</v>
      </c>
      <c r="K69" s="16">
        <f t="shared" si="42"/>
        <v>-6.2798241775736022E-2</v>
      </c>
      <c r="L69" s="16">
        <f t="shared" si="42"/>
        <v>-6.8332348972407711E-2</v>
      </c>
    </row>
    <row r="70" spans="1:12" x14ac:dyDescent="0.2">
      <c r="B70" s="10"/>
      <c r="C70" s="16"/>
      <c r="D70" s="16"/>
      <c r="E70" s="16"/>
      <c r="F70" s="16"/>
      <c r="G70" s="16"/>
      <c r="H70" s="16"/>
      <c r="I70" s="16"/>
      <c r="J70" s="16"/>
      <c r="K70" s="16"/>
      <c r="L70" s="16"/>
    </row>
    <row r="71" spans="1:12" x14ac:dyDescent="0.2">
      <c r="H71">
        <v>1</v>
      </c>
      <c r="I71">
        <v>2</v>
      </c>
      <c r="J71">
        <v>3</v>
      </c>
      <c r="K71">
        <v>4</v>
      </c>
      <c r="L71">
        <v>5</v>
      </c>
    </row>
    <row r="72" spans="1:12" x14ac:dyDescent="0.2">
      <c r="A72" s="4" t="s">
        <v>6</v>
      </c>
      <c r="B72" s="5" t="s">
        <v>34</v>
      </c>
      <c r="C72" s="5">
        <v>2018</v>
      </c>
      <c r="D72" s="5">
        <v>2019</v>
      </c>
      <c r="E72" s="5">
        <v>2020</v>
      </c>
      <c r="F72" s="5">
        <v>2021</v>
      </c>
      <c r="G72" s="5">
        <v>2022</v>
      </c>
      <c r="H72" s="5">
        <v>2023</v>
      </c>
      <c r="I72" s="5">
        <v>2024</v>
      </c>
      <c r="J72" s="5">
        <v>2025</v>
      </c>
      <c r="K72" s="5">
        <v>2026</v>
      </c>
      <c r="L72" s="5">
        <v>2027</v>
      </c>
    </row>
    <row r="74" spans="1:12" x14ac:dyDescent="0.2">
      <c r="B74" s="6" t="s">
        <v>26</v>
      </c>
      <c r="C74" s="11">
        <f>C50</f>
        <v>3288.319</v>
      </c>
      <c r="D74" s="11">
        <f t="shared" ref="D74:L74" si="43">D50</f>
        <v>3979.2960000000003</v>
      </c>
      <c r="E74" s="11">
        <f t="shared" si="43"/>
        <v>4401.8789999999999</v>
      </c>
      <c r="F74" s="11">
        <f t="shared" si="43"/>
        <v>6256.6170000000002</v>
      </c>
      <c r="G74" s="11">
        <f t="shared" si="43"/>
        <v>7118.2400000000007</v>
      </c>
      <c r="H74" s="11">
        <f t="shared" ca="1" si="43"/>
        <v>8388.5036739746829</v>
      </c>
      <c r="I74" s="11">
        <f t="shared" ca="1" si="43"/>
        <v>9725.4048809058404</v>
      </c>
      <c r="J74" s="11">
        <f t="shared" ca="1" si="43"/>
        <v>11085.604300212535</v>
      </c>
      <c r="K74" s="11">
        <f t="shared" ca="1" si="43"/>
        <v>12416.170132752221</v>
      </c>
      <c r="L74" s="11">
        <f t="shared" ca="1" si="43"/>
        <v>13657.787146027444</v>
      </c>
    </row>
    <row r="75" spans="1:12" x14ac:dyDescent="0.2">
      <c r="B75" s="10" t="s">
        <v>19</v>
      </c>
      <c r="C75" s="16"/>
      <c r="D75" s="16">
        <f>D74/C74-1</f>
        <v>0.21013076894303762</v>
      </c>
      <c r="E75" s="16">
        <f t="shared" ref="E75:L75" si="44">E74/D74-1</f>
        <v>0.10619541748088102</v>
      </c>
      <c r="F75" s="16">
        <f t="shared" si="44"/>
        <v>0.42135142742451581</v>
      </c>
      <c r="G75" s="16">
        <f t="shared" si="44"/>
        <v>0.13771387956143077</v>
      </c>
      <c r="H75" s="16">
        <f t="shared" ca="1" si="44"/>
        <v>0.17845193109177027</v>
      </c>
      <c r="I75" s="16">
        <f t="shared" ca="1" si="44"/>
        <v>0.15937302514140761</v>
      </c>
      <c r="J75" s="16">
        <f t="shared" ca="1" si="44"/>
        <v>0.13986044138658049</v>
      </c>
      <c r="K75" s="16">
        <f t="shared" ca="1" si="44"/>
        <v>0.12002645922641997</v>
      </c>
      <c r="L75" s="16">
        <f t="shared" ca="1" si="44"/>
        <v>0.10000000000000009</v>
      </c>
    </row>
    <row r="77" spans="1:12" x14ac:dyDescent="0.2">
      <c r="B77" s="6" t="s">
        <v>15</v>
      </c>
      <c r="C77" s="11">
        <f>C53</f>
        <v>705.83600000000001</v>
      </c>
      <c r="D77" s="11">
        <f t="shared" ref="D77:G77" si="45">D53</f>
        <v>889.11</v>
      </c>
      <c r="E77" s="11">
        <f t="shared" si="45"/>
        <v>819.98599999999999</v>
      </c>
      <c r="F77" s="11">
        <f t="shared" si="45"/>
        <v>1333.355</v>
      </c>
      <c r="G77" s="11">
        <f t="shared" si="45"/>
        <v>2223.4426666666668</v>
      </c>
      <c r="H77" s="11">
        <f ca="1">H74*H78</f>
        <v>1990.174075610473</v>
      </c>
      <c r="I77" s="11">
        <f t="shared" ref="I77:L77" ca="1" si="46">I74*I78</f>
        <v>2216.785847994181</v>
      </c>
      <c r="J77" s="11">
        <f t="shared" ca="1" si="46"/>
        <v>2423.5912834502838</v>
      </c>
      <c r="K77" s="11">
        <f t="shared" ca="1" si="46"/>
        <v>2598.8601951826404</v>
      </c>
      <c r="L77" s="11">
        <f t="shared" ca="1" si="46"/>
        <v>2731.5574292054889</v>
      </c>
    </row>
    <row r="78" spans="1:12" x14ac:dyDescent="0.2">
      <c r="B78" s="10" t="s">
        <v>23</v>
      </c>
      <c r="C78" s="16">
        <f>C77/C74</f>
        <v>0.21464949112297196</v>
      </c>
      <c r="D78" s="16">
        <f t="shared" ref="D78:G78" si="47">D77/D74</f>
        <v>0.22343399435478034</v>
      </c>
      <c r="E78" s="16">
        <f t="shared" si="47"/>
        <v>0.18628090413207632</v>
      </c>
      <c r="F78" s="16">
        <f t="shared" si="47"/>
        <v>0.21311117493687085</v>
      </c>
      <c r="G78" s="16">
        <f t="shared" si="47"/>
        <v>0.31235848561816776</v>
      </c>
      <c r="H78" s="16">
        <f ca="1">OFFSET(H78,$C$14,0)</f>
        <v>0.23725018822903832</v>
      </c>
      <c r="I78" s="16">
        <f t="shared" ref="I78:L78" ca="1" si="48">OFFSET(I78,$C$14,0)</f>
        <v>0.22793764117177873</v>
      </c>
      <c r="J78" s="16">
        <f t="shared" ca="1" si="48"/>
        <v>0.21862509411451916</v>
      </c>
      <c r="K78" s="16">
        <f t="shared" ca="1" si="48"/>
        <v>0.2093125470572596</v>
      </c>
      <c r="L78" s="16">
        <f t="shared" ca="1" si="48"/>
        <v>0.2</v>
      </c>
    </row>
    <row r="79" spans="1:12" x14ac:dyDescent="0.2">
      <c r="B79" t="s">
        <v>20</v>
      </c>
      <c r="C79" s="16"/>
      <c r="H79" s="18">
        <f t="shared" ref="H79:K79" si="49">H80*$F$14</f>
        <v>0.18980015058323066</v>
      </c>
      <c r="I79" s="18">
        <f t="shared" si="49"/>
        <v>0.18235011293742298</v>
      </c>
      <c r="J79" s="18">
        <f t="shared" si="49"/>
        <v>0.17490007529161533</v>
      </c>
      <c r="K79" s="18">
        <f t="shared" si="49"/>
        <v>0.16745003764580768</v>
      </c>
      <c r="L79" s="18">
        <f>L80*$F$14</f>
        <v>0.16000000000000003</v>
      </c>
    </row>
    <row r="80" spans="1:12" x14ac:dyDescent="0.2">
      <c r="B80" t="s">
        <v>21</v>
      </c>
      <c r="H80" s="19">
        <f>AVERAGE(E78:G78)</f>
        <v>0.23725018822903832</v>
      </c>
      <c r="I80" s="19">
        <f>H80-(H80-$L$80)/($L$72-H72)</f>
        <v>0.22793764117177873</v>
      </c>
      <c r="J80" s="19">
        <f t="shared" ref="J80:K80" si="50">I80-(I80-$L$80)/($L$72-I72)</f>
        <v>0.21862509411451916</v>
      </c>
      <c r="K80" s="19">
        <f t="shared" si="50"/>
        <v>0.2093125470572596</v>
      </c>
      <c r="L80" s="18">
        <f>H14</f>
        <v>0.2</v>
      </c>
    </row>
    <row r="81" spans="2:12" x14ac:dyDescent="0.2">
      <c r="B81" t="s">
        <v>22</v>
      </c>
      <c r="H81" s="18">
        <f t="shared" ref="H81:K81" si="51">H80*$J$14</f>
        <v>0.28470022587484595</v>
      </c>
      <c r="I81" s="18">
        <f t="shared" si="51"/>
        <v>0.27352516940613447</v>
      </c>
      <c r="J81" s="18">
        <f t="shared" si="51"/>
        <v>0.262350112937423</v>
      </c>
      <c r="K81" s="18">
        <f t="shared" si="51"/>
        <v>0.25117505646871152</v>
      </c>
      <c r="L81" s="18">
        <f>L80*$J$14</f>
        <v>0.24</v>
      </c>
    </row>
    <row r="83" spans="2:12" x14ac:dyDescent="0.2">
      <c r="B83" s="6" t="s">
        <v>27</v>
      </c>
      <c r="C83" s="11">
        <f>C56</f>
        <v>231.44900000000001</v>
      </c>
      <c r="D83" s="11">
        <f t="shared" ref="D83:L83" si="52">D56</f>
        <v>251.797</v>
      </c>
      <c r="E83" s="11">
        <f t="shared" si="52"/>
        <v>230.43700000000001</v>
      </c>
      <c r="F83" s="11">
        <f t="shared" si="52"/>
        <v>358.54700000000003</v>
      </c>
      <c r="G83" s="11">
        <f t="shared" si="52"/>
        <v>372.596</v>
      </c>
      <c r="H83" s="11">
        <f t="shared" ca="1" si="52"/>
        <v>475.98832636772994</v>
      </c>
      <c r="I83" s="11">
        <f t="shared" ca="1" si="52"/>
        <v>556.8686994375438</v>
      </c>
      <c r="J83" s="11">
        <f t="shared" ca="1" si="52"/>
        <v>625.72340834176953</v>
      </c>
      <c r="K83" s="11">
        <f t="shared" ca="1" si="52"/>
        <v>707.24226642552685</v>
      </c>
      <c r="L83" s="11">
        <f t="shared" ca="1" si="52"/>
        <v>777.59508263399641</v>
      </c>
    </row>
    <row r="84" spans="2:12" x14ac:dyDescent="0.2">
      <c r="B84" s="10" t="s">
        <v>35</v>
      </c>
      <c r="C84" s="16">
        <f>C83/C77</f>
        <v>0.32790761593344631</v>
      </c>
      <c r="D84" s="16">
        <f t="shared" ref="D84:L84" si="53">D83/D77</f>
        <v>0.28320117870679667</v>
      </c>
      <c r="E84" s="16">
        <f t="shared" si="53"/>
        <v>0.28102552970416572</v>
      </c>
      <c r="F84" s="16">
        <f t="shared" si="53"/>
        <v>0.26890588027944545</v>
      </c>
      <c r="G84" s="16">
        <f t="shared" si="53"/>
        <v>0.16757616716899079</v>
      </c>
      <c r="H84" s="16">
        <f t="shared" ca="1" si="53"/>
        <v>0.23916919238420067</v>
      </c>
      <c r="I84" s="16">
        <f t="shared" ca="1" si="53"/>
        <v>0.2512054558366188</v>
      </c>
      <c r="J84" s="16">
        <f t="shared" ca="1" si="53"/>
        <v>0.25818025201467731</v>
      </c>
      <c r="K84" s="16">
        <f t="shared" ca="1" si="53"/>
        <v>0.27213555686315938</v>
      </c>
      <c r="L84" s="16">
        <f t="shared" ca="1" si="53"/>
        <v>0.28467096255053681</v>
      </c>
    </row>
    <row r="86" spans="2:12" x14ac:dyDescent="0.2">
      <c r="B86" s="13"/>
      <c r="C86" s="13"/>
      <c r="D86" s="13"/>
      <c r="E86" s="13"/>
      <c r="F86" s="13"/>
      <c r="G86" s="13"/>
      <c r="H86" s="13"/>
      <c r="I86" s="13"/>
      <c r="J86" s="13"/>
      <c r="K86" s="13"/>
      <c r="L86" s="13"/>
    </row>
    <row r="87" spans="2:12" x14ac:dyDescent="0.2">
      <c r="B87" s="6" t="s">
        <v>36</v>
      </c>
      <c r="H87" s="14">
        <f ca="1">H77-H83</f>
        <v>1514.185749242743</v>
      </c>
      <c r="I87" s="14">
        <f t="shared" ref="I87:L87" ca="1" si="54">I77-I83</f>
        <v>1659.9171485566371</v>
      </c>
      <c r="J87" s="14">
        <f t="shared" ca="1" si="54"/>
        <v>1797.8678751085142</v>
      </c>
      <c r="K87" s="14">
        <f t="shared" ca="1" si="54"/>
        <v>1891.6179287571135</v>
      </c>
      <c r="L87" s="14">
        <f t="shared" ca="1" si="54"/>
        <v>1953.9623465714926</v>
      </c>
    </row>
    <row r="89" spans="2:12" x14ac:dyDescent="0.2">
      <c r="B89" s="6" t="s">
        <v>30</v>
      </c>
      <c r="C89" s="11">
        <f>C61</f>
        <v>122.48399999999999</v>
      </c>
      <c r="D89" s="11">
        <f t="shared" ref="D89:L89" si="55">D61</f>
        <v>161.93299999999999</v>
      </c>
      <c r="E89" s="11">
        <f t="shared" si="55"/>
        <v>185.47800000000001</v>
      </c>
      <c r="F89" s="11">
        <f t="shared" si="55"/>
        <v>224.20599999999999</v>
      </c>
      <c r="G89" s="11">
        <f t="shared" si="55"/>
        <v>282.17199999999997</v>
      </c>
      <c r="H89" s="11">
        <f t="shared" ca="1" si="55"/>
        <v>328.86238166012788</v>
      </c>
      <c r="I89" s="11">
        <f t="shared" ca="1" si="55"/>
        <v>371.76869828621108</v>
      </c>
      <c r="J89" s="11">
        <f t="shared" ca="1" si="55"/>
        <v>432.60162333320721</v>
      </c>
      <c r="K89" s="11">
        <f t="shared" ca="1" si="55"/>
        <v>481.97180363962696</v>
      </c>
      <c r="L89" s="11">
        <f t="shared" ca="1" si="55"/>
        <v>528.41229649306717</v>
      </c>
    </row>
    <row r="90" spans="2:12" x14ac:dyDescent="0.2">
      <c r="B90" s="10" t="s">
        <v>23</v>
      </c>
      <c r="C90" s="16">
        <f>C89/C74</f>
        <v>3.7248211016023686E-2</v>
      </c>
      <c r="D90" s="16">
        <f t="shared" ref="D90:L90" si="56">D89/D74</f>
        <v>4.0693881530803437E-2</v>
      </c>
      <c r="E90" s="16">
        <f t="shared" si="56"/>
        <v>4.2136096880445832E-2</v>
      </c>
      <c r="F90" s="16">
        <f t="shared" si="56"/>
        <v>3.5835020746834909E-2</v>
      </c>
      <c r="G90" s="16">
        <f t="shared" si="56"/>
        <v>3.9640697700555186E-2</v>
      </c>
      <c r="H90" s="16">
        <f t="shared" ca="1" si="56"/>
        <v>3.9203938442611976E-2</v>
      </c>
      <c r="I90" s="16">
        <f t="shared" ca="1" si="56"/>
        <v>3.8226552296667354E-2</v>
      </c>
      <c r="J90" s="16">
        <f t="shared" ca="1" si="56"/>
        <v>3.9023729479944841E-2</v>
      </c>
      <c r="K90" s="16">
        <f t="shared" ca="1" si="56"/>
        <v>3.8818073406408055E-2</v>
      </c>
      <c r="L90" s="16">
        <f t="shared" ca="1" si="56"/>
        <v>3.8689451727673407E-2</v>
      </c>
    </row>
    <row r="91" spans="2:12" x14ac:dyDescent="0.2">
      <c r="B91" s="10" t="s">
        <v>31</v>
      </c>
      <c r="C91" s="16">
        <f>C89/C93</f>
        <v>0.54242782553242375</v>
      </c>
      <c r="D91" s="16">
        <f t="shared" ref="D91:L91" si="57">D89/D93</f>
        <v>0.57210437805601877</v>
      </c>
      <c r="E91" s="16">
        <f t="shared" si="57"/>
        <v>0.80914904940975285</v>
      </c>
      <c r="F91" s="16">
        <f t="shared" si="57"/>
        <v>0.56832664980152192</v>
      </c>
      <c r="G91" s="16">
        <f t="shared" si="57"/>
        <v>0.49024849598194936</v>
      </c>
      <c r="H91" s="16">
        <f t="shared" ca="1" si="57"/>
        <v>0.60010155189007119</v>
      </c>
      <c r="I91" s="16">
        <f t="shared" ca="1" si="57"/>
        <v>0.54807507519420284</v>
      </c>
      <c r="J91" s="16">
        <f t="shared" ca="1" si="57"/>
        <v>0.5421615409630719</v>
      </c>
      <c r="K91" s="16">
        <f t="shared" ca="1" si="57"/>
        <v>0.56243455332732362</v>
      </c>
      <c r="L91" s="16">
        <f t="shared" ca="1" si="57"/>
        <v>0.55075804525141969</v>
      </c>
    </row>
    <row r="93" spans="2:12" x14ac:dyDescent="0.2">
      <c r="B93" s="6" t="s">
        <v>37</v>
      </c>
      <c r="C93" s="11">
        <f>C65</f>
        <v>225.80699999999999</v>
      </c>
      <c r="D93" s="11">
        <f t="shared" ref="D93:L93" si="58">D65</f>
        <v>283.048</v>
      </c>
      <c r="E93" s="11">
        <f t="shared" si="58"/>
        <v>229.226</v>
      </c>
      <c r="F93" s="11">
        <f t="shared" si="58"/>
        <v>394.50200000000001</v>
      </c>
      <c r="G93" s="11">
        <f t="shared" si="58"/>
        <v>575.56933333333336</v>
      </c>
      <c r="H93" s="11">
        <f t="shared" ca="1" si="58"/>
        <v>548.01121680880124</v>
      </c>
      <c r="I93" s="11">
        <f t="shared" ca="1" si="58"/>
        <v>678.31710492304353</v>
      </c>
      <c r="J93" s="11">
        <f t="shared" ca="1" si="58"/>
        <v>797.9201596718807</v>
      </c>
      <c r="K93" s="11">
        <f t="shared" ca="1" si="58"/>
        <v>856.93846650835258</v>
      </c>
      <c r="L93" s="11">
        <f t="shared" ca="1" si="58"/>
        <v>959.42728580904929</v>
      </c>
    </row>
    <row r="94" spans="2:12" x14ac:dyDescent="0.2">
      <c r="B94" s="10" t="s">
        <v>23</v>
      </c>
      <c r="C94" s="16">
        <f>C93/C74</f>
        <v>6.8669432618915616E-2</v>
      </c>
      <c r="D94" s="16">
        <f t="shared" ref="D94:L94" si="59">D93/D74</f>
        <v>7.1130169758670869E-2</v>
      </c>
      <c r="E94" s="16">
        <f t="shared" si="59"/>
        <v>5.2074579969144996E-2</v>
      </c>
      <c r="F94" s="16">
        <f t="shared" si="59"/>
        <v>6.3053563930795184E-2</v>
      </c>
      <c r="G94" s="16">
        <f t="shared" si="59"/>
        <v>8.0858376977080468E-2</v>
      </c>
      <c r="H94" s="16">
        <f t="shared" ca="1" si="59"/>
        <v>6.5328840292340221E-2</v>
      </c>
      <c r="I94" s="16">
        <f t="shared" ca="1" si="59"/>
        <v>6.9746927066738629E-2</v>
      </c>
      <c r="J94" s="16">
        <f t="shared" ca="1" si="59"/>
        <v>7.1978048112053106E-2</v>
      </c>
      <c r="K94" s="16">
        <f t="shared" ca="1" si="59"/>
        <v>6.9017938490377309E-2</v>
      </c>
      <c r="L94" s="16">
        <f t="shared" ca="1" si="59"/>
        <v>7.0247637889723005E-2</v>
      </c>
    </row>
    <row r="96" spans="2:12" x14ac:dyDescent="0.2">
      <c r="B96" s="6" t="s">
        <v>38</v>
      </c>
      <c r="C96" s="11">
        <f>C68</f>
        <v>-323.68800000000005</v>
      </c>
      <c r="D96" s="11">
        <f t="shared" ref="D96:L96" si="60">D68</f>
        <v>-194.07099999999997</v>
      </c>
      <c r="E96" s="11">
        <f t="shared" si="60"/>
        <v>-47.549000000000014</v>
      </c>
      <c r="F96" s="11">
        <f t="shared" si="60"/>
        <v>129.13100000000006</v>
      </c>
      <c r="G96" s="11">
        <f t="shared" si="60"/>
        <v>-1056.5239999999997</v>
      </c>
      <c r="H96" s="11">
        <f t="shared" ca="1" si="60"/>
        <v>-387.51464620056157</v>
      </c>
      <c r="I96" s="11">
        <f t="shared" ca="1" si="60"/>
        <v>-564.01416710056742</v>
      </c>
      <c r="J96" s="11">
        <f t="shared" ca="1" si="60"/>
        <v>-933.46224830201663</v>
      </c>
      <c r="K96" s="11">
        <f t="shared" ca="1" si="60"/>
        <v>-779.71365392524638</v>
      </c>
      <c r="L96" s="11">
        <f t="shared" ca="1" si="60"/>
        <v>-933.26867745321158</v>
      </c>
    </row>
    <row r="97" spans="2:12" x14ac:dyDescent="0.2">
      <c r="B97" s="10" t="s">
        <v>23</v>
      </c>
      <c r="C97" s="16">
        <f>C96/C74</f>
        <v>-9.8435705295015496E-2</v>
      </c>
      <c r="D97" s="16">
        <f t="shared" ref="D97:L97" si="61">D96/D74</f>
        <v>-4.8770184474841771E-2</v>
      </c>
      <c r="E97" s="16">
        <f t="shared" si="61"/>
        <v>-1.080197797349723E-2</v>
      </c>
      <c r="F97" s="16">
        <f t="shared" si="61"/>
        <v>2.0639108962559168E-2</v>
      </c>
      <c r="G97" s="16">
        <f t="shared" si="61"/>
        <v>-0.14842489154622485</v>
      </c>
      <c r="H97" s="16">
        <f t="shared" ca="1" si="61"/>
        <v>-4.6195920185720968E-2</v>
      </c>
      <c r="I97" s="16">
        <f t="shared" ca="1" si="61"/>
        <v>-5.7993900923128887E-2</v>
      </c>
      <c r="J97" s="16">
        <f t="shared" ca="1" si="61"/>
        <v>-8.4204904218358231E-2</v>
      </c>
      <c r="K97" s="16">
        <f t="shared" ca="1" si="61"/>
        <v>-6.2798241775736022E-2</v>
      </c>
      <c r="L97" s="16">
        <f t="shared" ca="1" si="61"/>
        <v>-6.8332348972407711E-2</v>
      </c>
    </row>
    <row r="98" spans="2:12" x14ac:dyDescent="0.2">
      <c r="C98" s="16"/>
    </row>
    <row r="99" spans="2:12" x14ac:dyDescent="0.2">
      <c r="B99" s="13"/>
      <c r="C99" s="13"/>
      <c r="D99" s="13"/>
      <c r="E99" s="13"/>
      <c r="F99" s="13"/>
      <c r="G99" s="13"/>
      <c r="H99" s="13"/>
      <c r="I99" s="13"/>
      <c r="J99" s="13"/>
      <c r="K99" s="13"/>
      <c r="L99" s="13"/>
    </row>
    <row r="100" spans="2:12" x14ac:dyDescent="0.2">
      <c r="B100" s="6" t="s">
        <v>39</v>
      </c>
      <c r="H100" s="14">
        <f ca="1">H87+H89-H93-H96</f>
        <v>1682.5515602946314</v>
      </c>
      <c r="I100" s="14">
        <f t="shared" ref="I100:L100" ca="1" si="62">I87+I89-I93-I96</f>
        <v>1917.3829090203719</v>
      </c>
      <c r="J100" s="14">
        <f t="shared" ca="1" si="62"/>
        <v>2366.0115870718573</v>
      </c>
      <c r="K100" s="14">
        <f t="shared" ca="1" si="62"/>
        <v>2296.3649198136345</v>
      </c>
      <c r="L100" s="14">
        <f t="shared" ca="1" si="62"/>
        <v>2456.216034708722</v>
      </c>
    </row>
    <row r="101" spans="2:12" x14ac:dyDescent="0.2">
      <c r="B101" s="6" t="s">
        <v>41</v>
      </c>
      <c r="H101" s="11">
        <f t="shared" ref="H101:K101" ca="1" si="63">H100/(1+$C$18)^H71</f>
        <v>1524.0763187646669</v>
      </c>
      <c r="I101" s="11">
        <f t="shared" ca="1" si="63"/>
        <v>1573.2057265707642</v>
      </c>
      <c r="J101" s="11">
        <f t="shared" ca="1" si="63"/>
        <v>1758.4574631207404</v>
      </c>
      <c r="K101" s="11">
        <f t="shared" ca="1" si="63"/>
        <v>1545.9457056816975</v>
      </c>
      <c r="L101" s="11">
        <f ca="1">L100/(1+$C$18)^L71</f>
        <v>1497.8151843525955</v>
      </c>
    </row>
    <row r="103" spans="2:12" x14ac:dyDescent="0.2">
      <c r="B103" s="6" t="s">
        <v>55</v>
      </c>
      <c r="L103" s="14">
        <f ca="1">L100*(1+C18)/(C18-C19)</f>
        <v>32288.383196204344</v>
      </c>
    </row>
    <row r="104" spans="2:12" x14ac:dyDescent="0.2">
      <c r="B104" s="6" t="s">
        <v>40</v>
      </c>
      <c r="L104" s="14">
        <f ca="1">L103/(1+C18)^L71</f>
        <v>19689.64860829321</v>
      </c>
    </row>
    <row r="106" spans="2:12" x14ac:dyDescent="0.2">
      <c r="B106" s="6" t="s">
        <v>56</v>
      </c>
      <c r="L106" s="14">
        <f ca="1">SUM(L104,H101:L101)</f>
        <v>27589.149006783671</v>
      </c>
    </row>
    <row r="107" spans="2:12" x14ac:dyDescent="0.2">
      <c r="B107" s="6" t="s">
        <v>57</v>
      </c>
      <c r="L107" s="14">
        <v>352.62</v>
      </c>
    </row>
    <row r="108" spans="2:12" x14ac:dyDescent="0.2">
      <c r="B108" s="6" t="s">
        <v>58</v>
      </c>
      <c r="L108" s="14">
        <f>LULU_WACC!D16</f>
        <v>1040</v>
      </c>
    </row>
    <row r="109" spans="2:12" x14ac:dyDescent="0.2">
      <c r="B109" s="6" t="s">
        <v>59</v>
      </c>
      <c r="L109" s="14">
        <f ca="1">L106+L107-L108</f>
        <v>26901.76900678367</v>
      </c>
    </row>
    <row r="110" spans="2:12" x14ac:dyDescent="0.2">
      <c r="B110" s="6" t="s">
        <v>60</v>
      </c>
      <c r="L110" s="14">
        <v>128.089</v>
      </c>
    </row>
    <row r="111" spans="2:12" x14ac:dyDescent="0.2">
      <c r="B111" s="6" t="s">
        <v>61</v>
      </c>
      <c r="L111" s="14">
        <f ca="1">L109/L110</f>
        <v>210.02403802655709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49C6C-265D-364A-862B-E8119F233FF6}">
  <dimension ref="A1:D23"/>
  <sheetViews>
    <sheetView showGridLines="0" workbookViewId="0">
      <selection sqref="A1:D23"/>
    </sheetView>
  </sheetViews>
  <sheetFormatPr baseColWidth="10" defaultRowHeight="16" x14ac:dyDescent="0.2"/>
  <sheetData>
    <row r="1" spans="1:4" ht="24" x14ac:dyDescent="0.3">
      <c r="A1" s="20" t="s">
        <v>2</v>
      </c>
    </row>
    <row r="3" spans="1:4" ht="19" x14ac:dyDescent="0.25">
      <c r="A3" s="21" t="s">
        <v>42</v>
      </c>
    </row>
    <row r="4" spans="1:4" ht="19" x14ac:dyDescent="0.25">
      <c r="A4" s="21"/>
    </row>
    <row r="5" spans="1:4" ht="19" x14ac:dyDescent="0.25">
      <c r="A5" s="21" t="s">
        <v>43</v>
      </c>
    </row>
    <row r="7" spans="1:4" ht="19" x14ac:dyDescent="0.25">
      <c r="A7" s="22" t="s">
        <v>16</v>
      </c>
    </row>
    <row r="8" spans="1:4" ht="19" x14ac:dyDescent="0.25">
      <c r="A8" s="23"/>
    </row>
    <row r="9" spans="1:4" ht="19" x14ac:dyDescent="0.25">
      <c r="A9" s="23" t="s">
        <v>44</v>
      </c>
      <c r="D9" s="24">
        <v>40560</v>
      </c>
    </row>
    <row r="10" spans="1:4" ht="19" x14ac:dyDescent="0.25">
      <c r="A10" s="23" t="s">
        <v>45</v>
      </c>
      <c r="D10" s="8">
        <f>D9/D21</f>
        <v>0.97499999999999998</v>
      </c>
    </row>
    <row r="11" spans="1:4" ht="19" x14ac:dyDescent="0.25">
      <c r="A11" s="23" t="s">
        <v>46</v>
      </c>
      <c r="D11" s="8">
        <f>D12+D13*D14</f>
        <v>0.105668</v>
      </c>
    </row>
    <row r="12" spans="1:4" ht="19" x14ac:dyDescent="0.25">
      <c r="A12" s="23" t="s">
        <v>47</v>
      </c>
      <c r="D12" s="8">
        <v>3.5150000000000001E-2</v>
      </c>
    </row>
    <row r="13" spans="1:4" ht="19" x14ac:dyDescent="0.25">
      <c r="A13" s="23" t="s">
        <v>48</v>
      </c>
      <c r="D13" s="25">
        <v>1.38</v>
      </c>
    </row>
    <row r="14" spans="1:4" ht="19" x14ac:dyDescent="0.25">
      <c r="A14" s="23" t="s">
        <v>49</v>
      </c>
      <c r="D14" s="8">
        <v>5.11E-2</v>
      </c>
    </row>
    <row r="15" spans="1:4" ht="19" x14ac:dyDescent="0.25">
      <c r="A15" s="23"/>
    </row>
    <row r="16" spans="1:4" ht="19" x14ac:dyDescent="0.25">
      <c r="A16" s="23" t="s">
        <v>50</v>
      </c>
      <c r="D16" s="24">
        <v>1040</v>
      </c>
    </row>
    <row r="17" spans="1:4" ht="19" x14ac:dyDescent="0.25">
      <c r="A17" s="23" t="s">
        <v>51</v>
      </c>
      <c r="D17" s="8">
        <f>D16/D9</f>
        <v>2.564102564102564E-2</v>
      </c>
    </row>
    <row r="18" spans="1:4" ht="19" x14ac:dyDescent="0.25">
      <c r="A18" s="23" t="s">
        <v>52</v>
      </c>
      <c r="D18" s="8">
        <v>4.9000000000000002E-2</v>
      </c>
    </row>
    <row r="19" spans="1:4" ht="19" x14ac:dyDescent="0.25">
      <c r="A19" s="23" t="s">
        <v>53</v>
      </c>
      <c r="D19" s="12">
        <v>0.24</v>
      </c>
    </row>
    <row r="20" spans="1:4" ht="19" x14ac:dyDescent="0.25">
      <c r="A20" s="23"/>
    </row>
    <row r="21" spans="1:4" ht="19" x14ac:dyDescent="0.25">
      <c r="A21" s="23" t="s">
        <v>54</v>
      </c>
      <c r="D21" s="24">
        <f>D9+D16</f>
        <v>41600</v>
      </c>
    </row>
    <row r="22" spans="1:4" ht="19" x14ac:dyDescent="0.25">
      <c r="A22" s="23"/>
    </row>
    <row r="23" spans="1:4" ht="19" x14ac:dyDescent="0.25">
      <c r="A23" s="23" t="s">
        <v>16</v>
      </c>
      <c r="D23" s="8">
        <f>(D10*D11)+(D17*D18*(1-D19))</f>
        <v>0.10398117179487179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LULU_DCF</vt:lpstr>
      <vt:lpstr>LULU_WACC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Shalil Gunputh</dc:creator>
  <cp:lastModifiedBy>Shalil Gunputh</cp:lastModifiedBy>
  <dcterms:created xsi:type="dcterms:W3CDTF">2023-01-24T12:45:05Z</dcterms:created>
  <dcterms:modified xsi:type="dcterms:W3CDTF">2023-01-25T15:09:25Z</dcterms:modified>
</cp:coreProperties>
</file>