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shalilgunputh/Library/Mobile Documents/com~apple~Numbers/Documents/Stock Market Analysis/Company/Chipotle/"/>
    </mc:Choice>
  </mc:AlternateContent>
  <xr:revisionPtr revIDLastSave="0" documentId="13_ncr:1_{65D11F8F-D4F3-E24F-ACF7-C167FE3F8BAB}" xr6:coauthVersionLast="47" xr6:coauthVersionMax="47" xr10:uidLastSave="{00000000-0000-0000-0000-000000000000}"/>
  <bookViews>
    <workbookView xWindow="28840" yWindow="500" windowWidth="38360" windowHeight="21100" xr2:uid="{28EE8487-DA6E-4B42-B624-F0BE50CFF054}"/>
  </bookViews>
  <sheets>
    <sheet name="Sheet1" sheetId="1" r:id="rId1"/>
    <sheet name="CMG_WACC"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 i="1" l="1"/>
  <c r="C17" i="1"/>
  <c r="D111" i="1"/>
  <c r="D112" i="1" s="1"/>
  <c r="D113" i="1" s="1"/>
  <c r="D114" i="1" s="1"/>
  <c r="D115" i="1" s="1"/>
  <c r="D116" i="1" s="1"/>
  <c r="F107" i="1"/>
  <c r="E107" i="1" s="1"/>
  <c r="G107" i="1"/>
  <c r="J107" i="1"/>
  <c r="K107" i="1" s="1"/>
  <c r="I107" i="1"/>
  <c r="H107" i="1"/>
  <c r="J3" i="1" a="1"/>
  <c r="J3" i="1" s="1"/>
  <c r="L99" i="1"/>
  <c r="E15" i="1"/>
  <c r="I15" i="1"/>
  <c r="I14" i="1"/>
  <c r="D5" i="2"/>
  <c r="D17" i="2" s="1"/>
  <c r="G14" i="1" s="1"/>
  <c r="E14" i="1" s="1"/>
  <c r="D11" i="2"/>
  <c r="D15" i="2"/>
  <c r="D4" i="2" s="1"/>
  <c r="D110" i="1" l="1"/>
  <c r="D109" i="1" s="1"/>
  <c r="D108" i="1" s="1"/>
  <c r="F84" i="1" l="1"/>
  <c r="E84" i="1"/>
  <c r="D84" i="1"/>
  <c r="C84" i="1"/>
  <c r="F81" i="1"/>
  <c r="E81" i="1"/>
  <c r="D81" i="1"/>
  <c r="D82" i="1" s="1"/>
  <c r="C81" i="1"/>
  <c r="F75" i="1"/>
  <c r="F76" i="1" s="1"/>
  <c r="E75" i="1"/>
  <c r="D75" i="1"/>
  <c r="C75" i="1"/>
  <c r="L72" i="1"/>
  <c r="L73" i="1" s="1"/>
  <c r="F69" i="1"/>
  <c r="E69" i="1"/>
  <c r="D69" i="1"/>
  <c r="D76" i="1" s="1"/>
  <c r="C69" i="1"/>
  <c r="C60" i="1"/>
  <c r="C87" i="1" s="1"/>
  <c r="F55" i="1"/>
  <c r="E55" i="1"/>
  <c r="D55" i="1"/>
  <c r="C55" i="1"/>
  <c r="D60" i="1"/>
  <c r="D87" i="1" s="1"/>
  <c r="E60" i="1"/>
  <c r="E87" i="1" s="1"/>
  <c r="F60" i="1"/>
  <c r="G60" i="1"/>
  <c r="G87" i="1" s="1"/>
  <c r="G57" i="1"/>
  <c r="G84" i="1" s="1"/>
  <c r="G53" i="1"/>
  <c r="G81" i="1" s="1"/>
  <c r="F49" i="1"/>
  <c r="E49" i="1"/>
  <c r="D49" i="1"/>
  <c r="C49" i="1"/>
  <c r="G48" i="1"/>
  <c r="G49" i="1" s="1"/>
  <c r="G45" i="1"/>
  <c r="G69" i="1" s="1"/>
  <c r="L32" i="1"/>
  <c r="L31" i="1" s="1"/>
  <c r="L30" i="1" s="1"/>
  <c r="L25" i="1"/>
  <c r="L26" i="1" s="1"/>
  <c r="G29" i="1"/>
  <c r="G30" i="1" s="1"/>
  <c r="G22" i="1"/>
  <c r="E30" i="1"/>
  <c r="D30" i="1"/>
  <c r="F30" i="1"/>
  <c r="H32" i="1" s="1"/>
  <c r="E23" i="1"/>
  <c r="D23" i="1"/>
  <c r="F23" i="1"/>
  <c r="E37" i="1"/>
  <c r="E42" i="1" s="1"/>
  <c r="D37" i="1"/>
  <c r="D42" i="1" s="1"/>
  <c r="D66" i="1" s="1"/>
  <c r="D85" i="1" s="1"/>
  <c r="C37" i="1"/>
  <c r="C42" i="1" s="1"/>
  <c r="F37" i="1"/>
  <c r="F42" i="1" s="1"/>
  <c r="B29" i="1"/>
  <c r="B22" i="1"/>
  <c r="C76" i="1" l="1"/>
  <c r="E76" i="1"/>
  <c r="G75" i="1"/>
  <c r="G76" i="1" s="1"/>
  <c r="D88" i="1"/>
  <c r="F61" i="1"/>
  <c r="F87" i="1"/>
  <c r="L71" i="1"/>
  <c r="L70" i="1" s="1"/>
  <c r="D27" i="1"/>
  <c r="D34" i="1"/>
  <c r="D70" i="1"/>
  <c r="D61" i="1"/>
  <c r="F54" i="1"/>
  <c r="F58" i="1"/>
  <c r="F46" i="1"/>
  <c r="F66" i="1"/>
  <c r="H49" i="1"/>
  <c r="I49" i="1" s="1"/>
  <c r="J49" i="1" s="1"/>
  <c r="E58" i="1"/>
  <c r="E46" i="1"/>
  <c r="E54" i="1"/>
  <c r="E66" i="1"/>
  <c r="E67" i="1" s="1"/>
  <c r="E61" i="1"/>
  <c r="H31" i="1"/>
  <c r="H30" i="1" s="1"/>
  <c r="H29" i="1" s="1"/>
  <c r="I32" i="1"/>
  <c r="H33" i="1"/>
  <c r="C66" i="1"/>
  <c r="C70" i="1" s="1"/>
  <c r="C61" i="1"/>
  <c r="C54" i="1"/>
  <c r="C58" i="1"/>
  <c r="C46" i="1"/>
  <c r="E38" i="1"/>
  <c r="E43" i="1" s="1"/>
  <c r="F38" i="1"/>
  <c r="F43" i="1" s="1"/>
  <c r="E27" i="1"/>
  <c r="E34" i="1"/>
  <c r="L24" i="1"/>
  <c r="L23" i="1" s="1"/>
  <c r="D54" i="1"/>
  <c r="L33" i="1"/>
  <c r="F27" i="1"/>
  <c r="F34" i="1"/>
  <c r="G37" i="1"/>
  <c r="D46" i="1"/>
  <c r="D58" i="1"/>
  <c r="G55" i="1"/>
  <c r="C27" i="1"/>
  <c r="C34" i="1"/>
  <c r="G23" i="1"/>
  <c r="H25" i="1" s="1"/>
  <c r="D38" i="1"/>
  <c r="D43" i="1" s="1"/>
  <c r="F88" i="1" l="1"/>
  <c r="E82" i="1"/>
  <c r="C82" i="1"/>
  <c r="C85" i="1"/>
  <c r="F70" i="1"/>
  <c r="F85" i="1"/>
  <c r="F82" i="1"/>
  <c r="E88" i="1"/>
  <c r="E85" i="1"/>
  <c r="C88" i="1"/>
  <c r="H26" i="1"/>
  <c r="H24" i="1"/>
  <c r="H23" i="1" s="1"/>
  <c r="H22" i="1" s="1"/>
  <c r="I25" i="1"/>
  <c r="G34" i="1"/>
  <c r="G42" i="1"/>
  <c r="G38" i="1"/>
  <c r="G43" i="1" s="1"/>
  <c r="G27" i="1"/>
  <c r="I33" i="1"/>
  <c r="J32" i="1"/>
  <c r="I31" i="1"/>
  <c r="I30" i="1" s="1"/>
  <c r="I29" i="1" s="1"/>
  <c r="F67" i="1"/>
  <c r="D67" i="1"/>
  <c r="E70" i="1"/>
  <c r="K49" i="1"/>
  <c r="L49" i="1" s="1"/>
  <c r="K32" i="1" l="1"/>
  <c r="J33" i="1"/>
  <c r="J31" i="1"/>
  <c r="J30" i="1" s="1"/>
  <c r="J29" i="1" s="1"/>
  <c r="I24" i="1"/>
  <c r="I23" i="1" s="1"/>
  <c r="I22" i="1" s="1"/>
  <c r="J25" i="1"/>
  <c r="I26" i="1"/>
  <c r="H37" i="1"/>
  <c r="G66" i="1"/>
  <c r="G58" i="1"/>
  <c r="G61" i="1"/>
  <c r="G54" i="1"/>
  <c r="G46" i="1"/>
  <c r="G88" i="1" l="1"/>
  <c r="G85" i="1"/>
  <c r="G82" i="1"/>
  <c r="I37" i="1"/>
  <c r="H54" i="1"/>
  <c r="I54" i="1" s="1"/>
  <c r="H61" i="1"/>
  <c r="I61" i="1" s="1"/>
  <c r="H27" i="1"/>
  <c r="H38" i="1"/>
  <c r="H43" i="1" s="1"/>
  <c r="H34" i="1"/>
  <c r="H42" i="1"/>
  <c r="H58" i="1"/>
  <c r="H46" i="1"/>
  <c r="I46" i="1" s="1"/>
  <c r="G67" i="1"/>
  <c r="G70" i="1"/>
  <c r="H72" i="1" s="1"/>
  <c r="K25" i="1"/>
  <c r="J24" i="1"/>
  <c r="J23" i="1" s="1"/>
  <c r="J22" i="1" s="1"/>
  <c r="J26" i="1"/>
  <c r="K31" i="1"/>
  <c r="K30" i="1" s="1"/>
  <c r="K29" i="1" s="1"/>
  <c r="L29" i="1" s="1"/>
  <c r="K33" i="1"/>
  <c r="H71" i="1" l="1"/>
  <c r="H70" i="1" s="1"/>
  <c r="I72" i="1"/>
  <c r="H73" i="1"/>
  <c r="J46" i="1"/>
  <c r="K46" i="1" s="1"/>
  <c r="J37" i="1"/>
  <c r="J61" i="1"/>
  <c r="K61" i="1" s="1"/>
  <c r="H66" i="1"/>
  <c r="H53" i="1"/>
  <c r="H81" i="1" s="1"/>
  <c r="H60" i="1"/>
  <c r="H87" i="1" s="1"/>
  <c r="H45" i="1"/>
  <c r="H48" i="1" s="1"/>
  <c r="H75" i="1" s="1"/>
  <c r="H57" i="1"/>
  <c r="H84" i="1" s="1"/>
  <c r="J54" i="1"/>
  <c r="K54" i="1" s="1"/>
  <c r="I58" i="1"/>
  <c r="I27" i="1"/>
  <c r="I42" i="1"/>
  <c r="I34" i="1"/>
  <c r="I38" i="1"/>
  <c r="I43" i="1" s="1"/>
  <c r="K26" i="1"/>
  <c r="K24" i="1"/>
  <c r="K23" i="1" s="1"/>
  <c r="K22" i="1" s="1"/>
  <c r="L46" i="1" l="1"/>
  <c r="I73" i="1"/>
  <c r="J72" i="1"/>
  <c r="I71" i="1"/>
  <c r="I70" i="1" s="1"/>
  <c r="H85" i="1"/>
  <c r="H88" i="1"/>
  <c r="H82" i="1"/>
  <c r="H67" i="1"/>
  <c r="H69" i="1"/>
  <c r="L61" i="1"/>
  <c r="H55" i="1"/>
  <c r="L22" i="1"/>
  <c r="L37" i="1" s="1"/>
  <c r="L42" i="1" s="1"/>
  <c r="L66" i="1" s="1"/>
  <c r="L69" i="1" s="1"/>
  <c r="K37" i="1"/>
  <c r="I66" i="1"/>
  <c r="I45" i="1"/>
  <c r="I48" i="1" s="1"/>
  <c r="I75" i="1" s="1"/>
  <c r="I53" i="1"/>
  <c r="I81" i="1" s="1"/>
  <c r="I60" i="1"/>
  <c r="I87" i="1" s="1"/>
  <c r="I57" i="1"/>
  <c r="I84" i="1" s="1"/>
  <c r="L54" i="1"/>
  <c r="J27" i="1"/>
  <c r="J38" i="1"/>
  <c r="J43" i="1" s="1"/>
  <c r="J42" i="1"/>
  <c r="J34" i="1"/>
  <c r="J58" i="1"/>
  <c r="K72" i="1" l="1"/>
  <c r="J73" i="1"/>
  <c r="J71" i="1"/>
  <c r="J70" i="1" s="1"/>
  <c r="I88" i="1"/>
  <c r="I85" i="1"/>
  <c r="I82" i="1"/>
  <c r="H76" i="1"/>
  <c r="H79" i="1"/>
  <c r="H91" i="1" s="1"/>
  <c r="H92" i="1" s="1"/>
  <c r="I67" i="1"/>
  <c r="I69" i="1"/>
  <c r="L60" i="1"/>
  <c r="L87" i="1" s="1"/>
  <c r="L88" i="1" s="1"/>
  <c r="L38" i="1"/>
  <c r="L43" i="1" s="1"/>
  <c r="L27" i="1"/>
  <c r="L34" i="1"/>
  <c r="L53" i="1"/>
  <c r="L81" i="1" s="1"/>
  <c r="L82" i="1" s="1"/>
  <c r="L45" i="1"/>
  <c r="L48" i="1" s="1"/>
  <c r="L75" i="1" s="1"/>
  <c r="L76" i="1" s="1"/>
  <c r="I55" i="1"/>
  <c r="J66" i="1"/>
  <c r="J45" i="1"/>
  <c r="J48" i="1" s="1"/>
  <c r="J75" i="1" s="1"/>
  <c r="J53" i="1"/>
  <c r="J81" i="1" s="1"/>
  <c r="J57" i="1"/>
  <c r="J84" i="1" s="1"/>
  <c r="J60" i="1"/>
  <c r="J87" i="1" s="1"/>
  <c r="K27" i="1"/>
  <c r="K38" i="1"/>
  <c r="K43" i="1" s="1"/>
  <c r="K42" i="1"/>
  <c r="K34" i="1"/>
  <c r="K58" i="1"/>
  <c r="L58" i="1" s="1"/>
  <c r="L57" i="1" s="1"/>
  <c r="K71" i="1" l="1"/>
  <c r="K70" i="1" s="1"/>
  <c r="K73" i="1"/>
  <c r="J88" i="1"/>
  <c r="J85" i="1"/>
  <c r="J82" i="1"/>
  <c r="L55" i="1"/>
  <c r="L84" i="1"/>
  <c r="L85" i="1" s="1"/>
  <c r="I76" i="1"/>
  <c r="I79" i="1"/>
  <c r="I91" i="1" s="1"/>
  <c r="I92" i="1" s="1"/>
  <c r="L79" i="1"/>
  <c r="J67" i="1"/>
  <c r="J69" i="1"/>
  <c r="K66" i="1"/>
  <c r="K60" i="1"/>
  <c r="K87" i="1" s="1"/>
  <c r="K45" i="1"/>
  <c r="K48" i="1" s="1"/>
  <c r="K75" i="1" s="1"/>
  <c r="K53" i="1"/>
  <c r="K81" i="1" s="1"/>
  <c r="K57" i="1"/>
  <c r="K84" i="1" s="1"/>
  <c r="J55" i="1"/>
  <c r="K69" i="1" l="1"/>
  <c r="K79" i="1" s="1"/>
  <c r="K91" i="1" s="1"/>
  <c r="K92" i="1" s="1"/>
  <c r="K85" i="1"/>
  <c r="L91" i="1"/>
  <c r="K88" i="1"/>
  <c r="K82" i="1"/>
  <c r="J76" i="1"/>
  <c r="J79" i="1"/>
  <c r="J91" i="1" s="1"/>
  <c r="J92" i="1" s="1"/>
  <c r="K55" i="1"/>
  <c r="K67" i="1"/>
  <c r="L67" i="1"/>
  <c r="L92" i="1" l="1"/>
  <c r="L94" i="1"/>
  <c r="L95" i="1" s="1"/>
  <c r="K76" i="1"/>
  <c r="L97" i="1" l="1" a="1"/>
  <c r="L97" i="1" s="1"/>
  <c r="L100" i="1" s="1"/>
  <c r="L102" i="1" s="1"/>
  <c r="J4" i="1" s="1"/>
  <c r="N4" i="1" l="1"/>
  <c r="D10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<sst xmlns="http://schemas.openxmlformats.org/spreadsheetml/2006/main" count="90" uniqueCount="59">
  <si>
    <t xml:space="preserve">Ticker </t>
  </si>
  <si>
    <t>Date</t>
  </si>
  <si>
    <t>Current Share Price</t>
  </si>
  <si>
    <t xml:space="preserve">Implied Share Price </t>
  </si>
  <si>
    <t>X</t>
  </si>
  <si>
    <t>Assumptions</t>
  </si>
  <si>
    <t>Segments</t>
  </si>
  <si>
    <t>Switches</t>
  </si>
  <si>
    <t>Conservative</t>
  </si>
  <si>
    <t>Base</t>
  </si>
  <si>
    <t>Optimistic</t>
  </si>
  <si>
    <t>Food &amp; Beverage</t>
  </si>
  <si>
    <t xml:space="preserve">Delivery Service </t>
  </si>
  <si>
    <t>EBIT</t>
  </si>
  <si>
    <t>WACC</t>
  </si>
  <si>
    <t>TGV</t>
  </si>
  <si>
    <t xml:space="preserve">Revenue Build </t>
  </si>
  <si>
    <t xml:space="preserve">% Growth </t>
  </si>
  <si>
    <t xml:space="preserve"> Conservative </t>
  </si>
  <si>
    <t xml:space="preserve"> Base</t>
  </si>
  <si>
    <t xml:space="preserve"> Optimistic</t>
  </si>
  <si>
    <t xml:space="preserve">% of Revenue </t>
  </si>
  <si>
    <t>Total Revenue</t>
  </si>
  <si>
    <t xml:space="preserve">Income Statement </t>
  </si>
  <si>
    <t xml:space="preserve">Revenue </t>
  </si>
  <si>
    <t>Taxes</t>
  </si>
  <si>
    <t>% of EBIT</t>
  </si>
  <si>
    <t>Cash Flow Items</t>
  </si>
  <si>
    <t>D&amp;A</t>
  </si>
  <si>
    <t>% of CapEx</t>
  </si>
  <si>
    <t>CapEx</t>
  </si>
  <si>
    <t>% of Revenue</t>
  </si>
  <si>
    <t xml:space="preserve">Change in Net Working Capital </t>
  </si>
  <si>
    <t>DCF</t>
  </si>
  <si>
    <t>Revenue</t>
  </si>
  <si>
    <t>EBIAT</t>
  </si>
  <si>
    <t xml:space="preserve">D&amp;A </t>
  </si>
  <si>
    <t xml:space="preserve">Unlevered Free Cash Flow </t>
  </si>
  <si>
    <t xml:space="preserve">Present Value of Free Cash Flow </t>
  </si>
  <si>
    <t xml:space="preserve">Terminal Value </t>
  </si>
  <si>
    <t xml:space="preserve">Present Value of Terminal Value </t>
  </si>
  <si>
    <t xml:space="preserve">Market Cap </t>
  </si>
  <si>
    <t xml:space="preserve">% of equity </t>
  </si>
  <si>
    <t xml:space="preserve">Cost of Equity </t>
  </si>
  <si>
    <t xml:space="preserve">Risk Free Rate </t>
  </si>
  <si>
    <t xml:space="preserve">Beta </t>
  </si>
  <si>
    <t xml:space="preserve">Market Risk Premium </t>
  </si>
  <si>
    <t xml:space="preserve">Debt </t>
  </si>
  <si>
    <t xml:space="preserve">% of Debt </t>
  </si>
  <si>
    <t xml:space="preserve">Cost of Debt </t>
  </si>
  <si>
    <t xml:space="preserve">Tax Rate </t>
  </si>
  <si>
    <t xml:space="preserve">Total </t>
  </si>
  <si>
    <t>Enterprise Value</t>
  </si>
  <si>
    <t>(+) Cash</t>
  </si>
  <si>
    <t>(-) Debt</t>
  </si>
  <si>
    <t>Equity Value</t>
  </si>
  <si>
    <t xml:space="preserve">Shares Outstanding </t>
  </si>
  <si>
    <t xml:space="preserve">Upside/(Downside) </t>
  </si>
  <si>
    <t>Terminal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</si>
</sst>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name val="Calibri"/>
      <family val="2"/>
      <scheme val="minor"/>
    </font>
    <font>
      <i/>
      <sz val="12"/>
      <color theme="1"/>
      <name val="Calibri"/>
      <family val="2"/>
      <scheme val="minor"/>
    </font>
    <font>
      <b/>
      <sz val="14"/>
      <color rgb="FFFFFFFF"/>
      <name val="Calibri"/>
      <family val="2"/>
      <scheme val="minor"/>
    </font>
    <font>
      <b/>
      <sz val="14"/>
      <color rgb="FF000000"/>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8" tint="-0.499984740745262"/>
        <bgColor indexed="64"/>
      </patternFill>
    </fill>
    <fill>
      <patternFill patternType="solid">
        <fgColor rgb="FF1F4E78"/>
        <bgColor rgb="FF000000"/>
      </patternFill>
    </fill>
  </fills>
  <borders count="3">
    <border>
      <left/>
      <right/>
      <top/>
      <bottom/>
      <diagonal/>
    </border>
    <border>
      <left style="hair">
        <color auto="1"/>
      </left>
      <right style="hair">
        <color auto="1"/>
      </right>
      <top style="hair">
        <color auto="1"/>
      </top>
      <bottom style="hair">
        <color auto="1"/>
      </bottom>
      <diagonal/>
    </border>
    <border>
      <left/>
      <right/>
      <top style="thin">
        <color auto="1"/>
      </top>
      <bottom/>
      <diagonal/>
    </border>
  </borders>
  <cellStyleXfs count="1">
    <xf numFmtId="0" fontId="0" fillId="0" borderId="0"/>
  </cellStyleXfs>
  <cellXfs count="30">
    <xf numFmtId="0" fontId="0" fillId="0" borderId="0" xfId="0"/>
    <xf numFmtId="0" fontId="4" fillId="2" borderId="1" xfId="0" applyFont="1" applyFill="1" applyBorder="1"/>
    <xf numFmtId="14" fontId="4" fillId="2" borderId="1" xfId="0" applyNumberFormat="1" applyFont="1" applyFill="1" applyBorder="1"/>
    <xf numFmtId="164" fontId="3" fillId="2" borderId="1" xfId="0" applyNumberFormat="1" applyFont="1" applyFill="1" applyBorder="1"/>
    <xf numFmtId="0" fontId="0" fillId="2" borderId="1" xfId="0" applyFill="1" applyBorder="1"/>
    <xf numFmtId="10" fontId="0" fillId="2" borderId="1" xfId="0" applyNumberFormat="1" applyFill="1" applyBorder="1"/>
    <xf numFmtId="0" fontId="0" fillId="0" borderId="0" xfId="0" applyAlignment="1">
      <alignment horizontal="center" vertical="center"/>
    </xf>
    <xf numFmtId="0" fontId="2" fillId="3" borderId="0" xfId="0" applyFont="1" applyFill="1"/>
    <xf numFmtId="0" fontId="1" fillId="0" borderId="0" xfId="0" applyFont="1"/>
    <xf numFmtId="0" fontId="1" fillId="0" borderId="0" xfId="0" applyFont="1" applyFill="1" applyBorder="1"/>
    <xf numFmtId="0" fontId="5" fillId="0" borderId="0" xfId="0" applyFont="1"/>
    <xf numFmtId="37" fontId="0" fillId="0" borderId="0" xfId="0" applyNumberFormat="1"/>
    <xf numFmtId="0" fontId="0" fillId="0" borderId="2" xfId="0" applyBorder="1"/>
    <xf numFmtId="0" fontId="5" fillId="0" borderId="0" xfId="0" applyFont="1" applyFill="1" applyBorder="1"/>
    <xf numFmtId="9" fontId="5" fillId="0" borderId="0" xfId="0" applyNumberFormat="1" applyFont="1"/>
    <xf numFmtId="37" fontId="0" fillId="0" borderId="0" xfId="0" applyNumberFormat="1" applyFont="1"/>
    <xf numFmtId="37" fontId="1" fillId="0" borderId="0" xfId="0" applyNumberFormat="1" applyFont="1"/>
    <xf numFmtId="9" fontId="0" fillId="0" borderId="0" xfId="0" applyNumberFormat="1"/>
    <xf numFmtId="0" fontId="6" fillId="4" borderId="0" xfId="0" applyFont="1" applyFill="1"/>
    <xf numFmtId="0" fontId="3" fillId="0" borderId="0" xfId="0" applyFont="1"/>
    <xf numFmtId="0" fontId="7" fillId="0" borderId="0" xfId="0" applyFont="1"/>
    <xf numFmtId="3" fontId="3" fillId="0" borderId="0" xfId="0" applyNumberFormat="1" applyFont="1"/>
    <xf numFmtId="10" fontId="3" fillId="0" borderId="0" xfId="0" applyNumberFormat="1" applyFont="1"/>
    <xf numFmtId="2" fontId="3" fillId="0" borderId="0" xfId="0" applyNumberFormat="1" applyFont="1"/>
    <xf numFmtId="9" fontId="3" fillId="0" borderId="0" xfId="0" applyNumberFormat="1" applyFont="1"/>
    <xf numFmtId="0" fontId="0" fillId="3" borderId="0" xfId="0" applyFill="1"/>
    <xf numFmtId="0" fontId="2" fillId="3" borderId="0" xfId="0" applyFont="1" applyFill="1" applyAlignment="1">
      <alignment horizontal="center"/>
    </xf>
    <xf numFmtId="10" fontId="2" fillId="3" borderId="0" xfId="0" applyNumberFormat="1" applyFont="1" applyFill="1" applyAlignment="1">
      <alignment horizontal="center"/>
    </xf>
    <xf numFmtId="164" fontId="2" fillId="3" borderId="0" xfId="0" applyNumberFormat="1" applyFont="1" applyFill="1" applyAlignment="1">
      <alignment horizontal="center"/>
    </xf>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en-GB</v>
    <v>a1pxbh</v>
    <v>268435456</v>
    <v>1</v>
    <v>Powered by Refinitiv</v>
    <v>1754.56</v>
    <v>1196.28</v>
    <v>1.2851999999999999</v>
    <v>7.94</v>
    <v>4.6899999999999997E-3</v>
    <v>USD</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New York Stock Exchange</v>
    <v>XNYS</v>
    <v>XNYS</v>
    <v>610 Newport Center Dr, Suite 1100, NEWPORT BEACH, CA, 92660 US</v>
    <v>1700.89</v>
    <v>Hotels &amp; Entertainment Services</v>
    <v>Stock</v>
    <v>44964.039030960157</v>
    <v>0</v>
    <v>1677.9449999999999</v>
    <v>47151113210</v>
    <v>CHIPOTLE MEXICAN GRILL, INC.</v>
    <v>CHIPOTLE MEXICAN GRILL, INC.</v>
    <v>1689.68</v>
    <v>59.180599999999998</v>
    <v>1692.97</v>
    <v>1700.91</v>
    <v>27721110</v>
    <v>CMG</v>
    <v>CHIPOTLE MEXICAN GRILL, INC. (XNYS:CMG)</v>
    <v>36</v>
    <v>280528</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92855-A548-644D-8F9E-FEB02D661AB9}">
  <dimension ref="A3:N116"/>
  <sheetViews>
    <sheetView showGridLines="0" tabSelected="1" topLeftCell="A15" zoomScale="170" zoomScaleNormal="170" workbookViewId="0">
      <pane xSplit="2" topLeftCell="C1" activePane="topRight" state="frozen"/>
      <selection pane="topRight" activeCell="D16" sqref="D16"/>
    </sheetView>
  </sheetViews>
  <sheetFormatPr baseColWidth="10" defaultRowHeight="16" x14ac:dyDescent="0.2"/>
  <cols>
    <col min="1" max="1" width="4.5" customWidth="1"/>
    <col min="2" max="2" width="28.33203125" customWidth="1"/>
    <col min="4" max="4" width="10.83203125" customWidth="1"/>
  </cols>
  <sheetData>
    <row r="3" spans="1:14" x14ac:dyDescent="0.2">
      <c r="C3" t="s">
        <v>0</v>
      </c>
      <c r="D3" s="1" t="e" vm="1">
        <v>#VALUE!</v>
      </c>
      <c r="H3" t="s">
        <v>2</v>
      </c>
      <c r="J3" s="3" cm="1">
        <f t="array" ref="J3">_FV(D3,"Price")</f>
        <v>1700.91</v>
      </c>
    </row>
    <row r="4" spans="1:14" x14ac:dyDescent="0.2">
      <c r="C4" t="s">
        <v>1</v>
      </c>
      <c r="D4" s="2">
        <v>44964</v>
      </c>
      <c r="H4" t="s">
        <v>3</v>
      </c>
      <c r="J4" s="3">
        <f ca="1">L102</f>
        <v>1567.1575131781863</v>
      </c>
      <c r="L4" t="s">
        <v>57</v>
      </c>
      <c r="N4" s="5">
        <f ca="1">J4/J3-1</f>
        <v>-7.8635840121942802E-2</v>
      </c>
    </row>
    <row r="6" spans="1:14" x14ac:dyDescent="0.2">
      <c r="A6" s="6" t="s">
        <v>4</v>
      </c>
      <c r="B6" s="7" t="s">
        <v>5</v>
      </c>
      <c r="C6" s="7">
        <v>2018</v>
      </c>
      <c r="D6" s="7">
        <v>2019</v>
      </c>
      <c r="E6" s="7">
        <v>2020</v>
      </c>
      <c r="F6" s="7">
        <v>2021</v>
      </c>
      <c r="G6" s="7">
        <v>2022</v>
      </c>
      <c r="H6" s="7">
        <v>2023</v>
      </c>
      <c r="I6" s="7">
        <v>2024</v>
      </c>
      <c r="J6" s="7">
        <v>2025</v>
      </c>
      <c r="K6" s="7">
        <v>2026</v>
      </c>
      <c r="L6" s="7">
        <v>2027</v>
      </c>
    </row>
    <row r="8" spans="1:14" x14ac:dyDescent="0.2">
      <c r="B8" s="8" t="s">
        <v>6</v>
      </c>
      <c r="C8" s="8" t="s">
        <v>7</v>
      </c>
      <c r="D8" s="8"/>
      <c r="E8" s="8" t="s">
        <v>8</v>
      </c>
      <c r="F8" s="8"/>
      <c r="G8" s="8" t="s">
        <v>9</v>
      </c>
      <c r="H8" s="8"/>
      <c r="I8" s="8" t="s">
        <v>10</v>
      </c>
    </row>
    <row r="10" spans="1:14" x14ac:dyDescent="0.2">
      <c r="B10" s="8" t="s">
        <v>11</v>
      </c>
      <c r="C10" s="4">
        <v>2</v>
      </c>
      <c r="E10" s="5">
        <v>0.8</v>
      </c>
      <c r="G10" s="5">
        <v>0.125</v>
      </c>
      <c r="I10" s="5">
        <v>1.2</v>
      </c>
    </row>
    <row r="11" spans="1:14" x14ac:dyDescent="0.2">
      <c r="B11" s="8" t="s">
        <v>12</v>
      </c>
      <c r="C11" s="4">
        <v>2</v>
      </c>
      <c r="E11" s="5">
        <v>0.8</v>
      </c>
      <c r="G11" s="5">
        <v>0.15</v>
      </c>
      <c r="I11" s="5">
        <v>1.2</v>
      </c>
    </row>
    <row r="13" spans="1:14" x14ac:dyDescent="0.2">
      <c r="B13" s="9" t="s">
        <v>13</v>
      </c>
      <c r="C13" s="4">
        <v>2</v>
      </c>
      <c r="E13" s="5">
        <v>0.8</v>
      </c>
      <c r="G13" s="5">
        <v>0.105</v>
      </c>
      <c r="I13" s="5">
        <v>1.2</v>
      </c>
    </row>
    <row r="14" spans="1:14" x14ac:dyDescent="0.2">
      <c r="B14" s="9" t="s">
        <v>14</v>
      </c>
      <c r="C14" s="4">
        <v>2</v>
      </c>
      <c r="E14" s="5">
        <f>G14+0.005</f>
        <v>0.10140317731557934</v>
      </c>
      <c r="G14" s="5">
        <f>CMG_WACC!D17</f>
        <v>9.6403177315579333E-2</v>
      </c>
      <c r="I14" s="5">
        <f>G14-0.005</f>
        <v>9.1403177315579329E-2</v>
      </c>
    </row>
    <row r="15" spans="1:14" x14ac:dyDescent="0.2">
      <c r="B15" s="9" t="s">
        <v>15</v>
      </c>
      <c r="C15" s="4">
        <v>2</v>
      </c>
      <c r="E15" s="5">
        <f>G15-0.005</f>
        <v>0.02</v>
      </c>
      <c r="G15" s="5">
        <v>2.5000000000000001E-2</v>
      </c>
      <c r="I15" s="5">
        <f>G15+0.005</f>
        <v>3.0000000000000002E-2</v>
      </c>
    </row>
    <row r="17" spans="1:12" x14ac:dyDescent="0.2">
      <c r="B17" s="9" t="s">
        <v>14</v>
      </c>
      <c r="C17" s="5">
        <f>CHOOSE(C14,E14,G14,I14)</f>
        <v>9.6403177315579333E-2</v>
      </c>
    </row>
    <row r="18" spans="1:12" x14ac:dyDescent="0.2">
      <c r="B18" s="9" t="s">
        <v>15</v>
      </c>
      <c r="C18" s="5">
        <f>CHOOSE(C15,E15,G15,I15)</f>
        <v>2.5000000000000001E-2</v>
      </c>
    </row>
    <row r="20" spans="1:12" x14ac:dyDescent="0.2">
      <c r="A20" s="6" t="s">
        <v>4</v>
      </c>
      <c r="B20" s="7" t="s">
        <v>16</v>
      </c>
      <c r="C20" s="7">
        <v>2018</v>
      </c>
      <c r="D20" s="7">
        <v>2019</v>
      </c>
      <c r="E20" s="7">
        <v>2020</v>
      </c>
      <c r="F20" s="7">
        <v>2021</v>
      </c>
      <c r="G20" s="7">
        <v>2022</v>
      </c>
      <c r="H20" s="7">
        <v>2023</v>
      </c>
      <c r="I20" s="7">
        <v>2024</v>
      </c>
      <c r="J20" s="7">
        <v>2025</v>
      </c>
      <c r="K20" s="7">
        <v>2026</v>
      </c>
      <c r="L20" s="7">
        <v>2027</v>
      </c>
    </row>
    <row r="22" spans="1:12" x14ac:dyDescent="0.2">
      <c r="B22" s="8" t="str">
        <f>B10</f>
        <v>Food &amp; Beverage</v>
      </c>
      <c r="C22" s="11">
        <v>4860.6260000000002</v>
      </c>
      <c r="D22" s="11">
        <v>5561.0360000000001</v>
      </c>
      <c r="E22" s="11">
        <v>5920.5</v>
      </c>
      <c r="F22" s="11">
        <v>7457.2</v>
      </c>
      <c r="G22" s="11">
        <f>(6394.094/3)*4</f>
        <v>8525.4586666666673</v>
      </c>
      <c r="H22" s="11">
        <f ca="1">G22*(1+H23)</f>
        <v>9828.8867108257382</v>
      </c>
      <c r="I22" s="11">
        <f t="shared" ref="I22:L22" ca="1" si="0">H22*(1+I23)</f>
        <v>11263.067925630754</v>
      </c>
      <c r="J22" s="11">
        <f t="shared" ca="1" si="0"/>
        <v>12827.995523564117</v>
      </c>
      <c r="K22" s="11">
        <f t="shared" ca="1" si="0"/>
        <v>14520.927129288417</v>
      </c>
      <c r="L22" s="11">
        <f t="shared" ca="1" si="0"/>
        <v>16336.04302044947</v>
      </c>
    </row>
    <row r="23" spans="1:12" s="10" customFormat="1" x14ac:dyDescent="0.2">
      <c r="B23" s="10" t="s">
        <v>17</v>
      </c>
      <c r="C23" s="14"/>
      <c r="D23" s="14">
        <f t="shared" ref="C23:E23" si="1">D22/C22-1</f>
        <v>0.14409872308628557</v>
      </c>
      <c r="E23" s="14">
        <f t="shared" si="1"/>
        <v>6.4639754175301212E-2</v>
      </c>
      <c r="F23" s="14">
        <f>F22/E22-1</f>
        <v>0.25955578076175989</v>
      </c>
      <c r="G23" s="14">
        <f t="shared" ref="G23" si="2">G22/F22-1</f>
        <v>0.14325198018916852</v>
      </c>
      <c r="H23" s="14">
        <f ca="1">OFFSET(H23,$C$10,0)</f>
        <v>0.1528865595531288</v>
      </c>
      <c r="I23" s="14">
        <f t="shared" ref="I23:L23" ca="1" si="3">OFFSET(I23,$C$10,0)</f>
        <v>0.1459149196648466</v>
      </c>
      <c r="J23" s="14">
        <f t="shared" ca="1" si="3"/>
        <v>0.1389432797765644</v>
      </c>
      <c r="K23" s="14">
        <f t="shared" ca="1" si="3"/>
        <v>0.1319716398882822</v>
      </c>
      <c r="L23" s="14">
        <f t="shared" ca="1" si="3"/>
        <v>0.125</v>
      </c>
    </row>
    <row r="24" spans="1:12" x14ac:dyDescent="0.2">
      <c r="B24" t="s">
        <v>18</v>
      </c>
      <c r="H24" s="5">
        <f t="shared" ref="H24:K24" si="4">H25*$E$10</f>
        <v>0.12230924764250305</v>
      </c>
      <c r="I24" s="5">
        <f t="shared" si="4"/>
        <v>0.11673193573187729</v>
      </c>
      <c r="J24" s="5">
        <f t="shared" si="4"/>
        <v>0.11115462382125152</v>
      </c>
      <c r="K24" s="5">
        <f t="shared" si="4"/>
        <v>0.10557731191062576</v>
      </c>
      <c r="L24" s="5">
        <f>L25*$E$10</f>
        <v>0.1</v>
      </c>
    </row>
    <row r="25" spans="1:12" x14ac:dyDescent="0.2">
      <c r="B25" t="s">
        <v>19</v>
      </c>
      <c r="H25" s="5">
        <f>AVERAGE(D23:G23)</f>
        <v>0.1528865595531288</v>
      </c>
      <c r="I25" s="5">
        <f>H25-(H25-$L$25)/($L$20-H20)</f>
        <v>0.1459149196648466</v>
      </c>
      <c r="J25" s="5">
        <f t="shared" ref="J25:K25" si="5">I25-(I25-$L$25)/($L$20-I20)</f>
        <v>0.1389432797765644</v>
      </c>
      <c r="K25" s="5">
        <f t="shared" si="5"/>
        <v>0.1319716398882822</v>
      </c>
      <c r="L25" s="5">
        <f>G10</f>
        <v>0.125</v>
      </c>
    </row>
    <row r="26" spans="1:12" x14ac:dyDescent="0.2">
      <c r="B26" t="s">
        <v>20</v>
      </c>
      <c r="H26" s="5">
        <f t="shared" ref="H26:K26" si="6">H25*$I$10</f>
        <v>0.18346387146375456</v>
      </c>
      <c r="I26" s="5">
        <f t="shared" si="6"/>
        <v>0.17509790359781591</v>
      </c>
      <c r="J26" s="5">
        <f t="shared" si="6"/>
        <v>0.16673193573187728</v>
      </c>
      <c r="K26" s="5">
        <f t="shared" si="6"/>
        <v>0.15836596786593862</v>
      </c>
      <c r="L26" s="5">
        <f>L25*$I$10</f>
        <v>0.15</v>
      </c>
    </row>
    <row r="27" spans="1:12" s="10" customFormat="1" x14ac:dyDescent="0.2">
      <c r="B27" s="10" t="s">
        <v>21</v>
      </c>
      <c r="C27" s="14">
        <f t="shared" ref="C27:F27" si="7">C22/C37</f>
        <v>0.99910400545942069</v>
      </c>
      <c r="D27" s="14">
        <f t="shared" si="7"/>
        <v>0.9954652118397479</v>
      </c>
      <c r="E27" s="14">
        <f t="shared" si="7"/>
        <v>0.98928917555057971</v>
      </c>
      <c r="F27" s="14">
        <f>F22/F37</f>
        <v>0.98808813981529331</v>
      </c>
      <c r="G27" s="14">
        <f>G22/G37</f>
        <v>0.99070986866702215</v>
      </c>
      <c r="H27" s="14">
        <f t="shared" ref="H27:L27" ca="1" si="8">H22/H37</f>
        <v>0.99076578461448028</v>
      </c>
      <c r="I27" s="14">
        <f t="shared" ca="1" si="8"/>
        <v>0.99075782305004201</v>
      </c>
      <c r="J27" s="14">
        <f t="shared" ca="1" si="8"/>
        <v>0.99068548605196705</v>
      </c>
      <c r="K27" s="14">
        <f t="shared" ca="1" si="8"/>
        <v>0.99054693022195428</v>
      </c>
      <c r="L27" s="14">
        <f t="shared" ca="1" si="8"/>
        <v>0.99033889149650467</v>
      </c>
    </row>
    <row r="29" spans="1:12" x14ac:dyDescent="0.2">
      <c r="B29" s="8" t="str">
        <f>B11</f>
        <v xml:space="preserve">Delivery Service </v>
      </c>
      <c r="C29" s="11">
        <v>4.359</v>
      </c>
      <c r="D29" s="11">
        <v>25.332999999999998</v>
      </c>
      <c r="E29" s="11">
        <v>64.099999999999994</v>
      </c>
      <c r="F29" s="11">
        <v>89.9</v>
      </c>
      <c r="G29" s="11">
        <f>(59.959/3)*4</f>
        <v>79.945333333333338</v>
      </c>
      <c r="H29" s="11">
        <f ca="1">G29*(1+H30)</f>
        <v>91.607984749851113</v>
      </c>
      <c r="I29" s="11">
        <f t="shared" ref="I29:L29" ca="1" si="9">H29*(1+I30)</f>
        <v>105.06630817975164</v>
      </c>
      <c r="J29" s="11">
        <f t="shared" ca="1" si="9"/>
        <v>120.60996644425835</v>
      </c>
      <c r="K29" s="11">
        <f t="shared" ca="1" si="9"/>
        <v>138.57731845609999</v>
      </c>
      <c r="L29" s="11">
        <f t="shared" ca="1" si="9"/>
        <v>159.36391622451498</v>
      </c>
    </row>
    <row r="30" spans="1:12" x14ac:dyDescent="0.2">
      <c r="B30" s="10" t="s">
        <v>17</v>
      </c>
      <c r="C30" s="14"/>
      <c r="D30" s="14">
        <f t="shared" ref="C30:E30" si="10">D29/C29-1</f>
        <v>4.8116540490938284</v>
      </c>
      <c r="E30" s="14">
        <f t="shared" si="10"/>
        <v>1.5302964512690957</v>
      </c>
      <c r="F30" s="14">
        <f>F29/E29-1</f>
        <v>0.40249609984399393</v>
      </c>
      <c r="G30" s="14">
        <f>G29/F29-1</f>
        <v>-0.1107304412309974</v>
      </c>
      <c r="H30" s="14">
        <f ca="1">OFFSET(H30,$C$11,0)</f>
        <v>0.14588282930649826</v>
      </c>
      <c r="I30" s="14">
        <f t="shared" ref="I30:L30" ca="1" si="11">OFFSET(I30,$C$11,0)</f>
        <v>0.14691212197987369</v>
      </c>
      <c r="J30" s="14">
        <f t="shared" ca="1" si="11"/>
        <v>0.14794141465324911</v>
      </c>
      <c r="K30" s="14">
        <f t="shared" ca="1" si="11"/>
        <v>0.14897070732662454</v>
      </c>
      <c r="L30" s="14">
        <f t="shared" ca="1" si="11"/>
        <v>0.15</v>
      </c>
    </row>
    <row r="31" spans="1:12" x14ac:dyDescent="0.2">
      <c r="B31" t="s">
        <v>18</v>
      </c>
      <c r="H31" s="5">
        <f t="shared" ref="H31:K31" si="12">H32*$E$11</f>
        <v>0.11670626344519862</v>
      </c>
      <c r="I31" s="5">
        <f t="shared" si="12"/>
        <v>0.11752969758389896</v>
      </c>
      <c r="J31" s="5">
        <f t="shared" si="12"/>
        <v>0.1183531317225993</v>
      </c>
      <c r="K31" s="5">
        <f t="shared" si="12"/>
        <v>0.11917656586129964</v>
      </c>
      <c r="L31" s="5">
        <f>L32*$E$11</f>
        <v>0.12</v>
      </c>
    </row>
    <row r="32" spans="1:12" x14ac:dyDescent="0.2">
      <c r="B32" t="s">
        <v>19</v>
      </c>
      <c r="H32" s="5">
        <f>AVERAGE(F30:G30)</f>
        <v>0.14588282930649826</v>
      </c>
      <c r="I32" s="5">
        <f>H32-(H32-$L$32)/($L$20-H20)</f>
        <v>0.14691212197987369</v>
      </c>
      <c r="J32" s="5">
        <f t="shared" ref="J32:K32" si="13">I32-(I32-$L$32)/($L$20-I20)</f>
        <v>0.14794141465324911</v>
      </c>
      <c r="K32" s="5">
        <f t="shared" si="13"/>
        <v>0.14897070732662454</v>
      </c>
      <c r="L32" s="5">
        <f>G11</f>
        <v>0.15</v>
      </c>
    </row>
    <row r="33" spans="1:12" x14ac:dyDescent="0.2">
      <c r="B33" t="s">
        <v>20</v>
      </c>
      <c r="H33" s="5">
        <f t="shared" ref="H33:K33" si="14">H32*$I$11</f>
        <v>0.17505939516779792</v>
      </c>
      <c r="I33" s="5">
        <f t="shared" si="14"/>
        <v>0.17629454637584843</v>
      </c>
      <c r="J33" s="5">
        <f t="shared" si="14"/>
        <v>0.17752969758389894</v>
      </c>
      <c r="K33" s="5">
        <f t="shared" si="14"/>
        <v>0.17876484879194945</v>
      </c>
      <c r="L33" s="5">
        <f>L32*$I$11</f>
        <v>0.18</v>
      </c>
    </row>
    <row r="34" spans="1:12" x14ac:dyDescent="0.2">
      <c r="B34" s="10" t="s">
        <v>21</v>
      </c>
      <c r="C34" s="14">
        <f t="shared" ref="C34:F34" si="15">C29/C37</f>
        <v>8.9599454057926169E-4</v>
      </c>
      <c r="D34" s="14">
        <f t="shared" si="15"/>
        <v>4.5347881602522139E-3</v>
      </c>
      <c r="E34" s="14">
        <f t="shared" si="15"/>
        <v>1.0710824449420177E-2</v>
      </c>
      <c r="F34" s="14">
        <f>F29/F37</f>
        <v>1.191186018470671E-2</v>
      </c>
      <c r="G34" s="14">
        <f>G29/G37</f>
        <v>9.2901313329778971E-3</v>
      </c>
      <c r="H34" s="14">
        <f t="shared" ref="H34:L34" ca="1" si="16">H29/H37</f>
        <v>9.2342153855197433E-3</v>
      </c>
      <c r="I34" s="14">
        <f t="shared" ca="1" si="16"/>
        <v>9.2421769499579764E-3</v>
      </c>
      <c r="J34" s="14">
        <f t="shared" ca="1" si="16"/>
        <v>9.3145139480328952E-3</v>
      </c>
      <c r="K34" s="14">
        <f t="shared" ca="1" si="16"/>
        <v>9.4530697780456849E-3</v>
      </c>
      <c r="L34" s="14">
        <f t="shared" ca="1" si="16"/>
        <v>9.6611085034952141E-3</v>
      </c>
    </row>
    <row r="36" spans="1:12" x14ac:dyDescent="0.2">
      <c r="B36" s="12"/>
      <c r="C36" s="12"/>
      <c r="D36" s="12"/>
      <c r="E36" s="12"/>
      <c r="F36" s="12"/>
      <c r="G36" s="12"/>
      <c r="H36" s="12"/>
      <c r="I36" s="12"/>
      <c r="J36" s="12"/>
      <c r="K36" s="12"/>
      <c r="L36" s="12"/>
    </row>
    <row r="37" spans="1:12" x14ac:dyDescent="0.2">
      <c r="B37" s="9" t="s">
        <v>22</v>
      </c>
      <c r="C37" s="16">
        <f t="shared" ref="C37:F37" si="17">SUM(C22,C29)</f>
        <v>4864.9850000000006</v>
      </c>
      <c r="D37" s="16">
        <f t="shared" si="17"/>
        <v>5586.3689999999997</v>
      </c>
      <c r="E37" s="16">
        <f t="shared" si="17"/>
        <v>5984.6</v>
      </c>
      <c r="F37" s="16">
        <f>SUM(F22,F29)</f>
        <v>7547.0999999999995</v>
      </c>
      <c r="G37" s="16">
        <f>SUM(G22,G29)</f>
        <v>8605.4040000000005</v>
      </c>
      <c r="H37" s="16">
        <f t="shared" ref="H37:L37" ca="1" si="18">SUM(H22,H29)</f>
        <v>9920.4946955755895</v>
      </c>
      <c r="I37" s="16">
        <f t="shared" ca="1" si="18"/>
        <v>11368.134233810506</v>
      </c>
      <c r="J37" s="16">
        <f t="shared" ca="1" si="18"/>
        <v>12948.605490008376</v>
      </c>
      <c r="K37" s="16">
        <f t="shared" ca="1" si="18"/>
        <v>14659.504447744517</v>
      </c>
      <c r="L37" s="16">
        <f t="shared" ca="1" si="18"/>
        <v>16495.406936673986</v>
      </c>
    </row>
    <row r="38" spans="1:12" x14ac:dyDescent="0.2">
      <c r="B38" s="13" t="s">
        <v>17</v>
      </c>
      <c r="C38" s="14"/>
      <c r="D38" s="14">
        <f t="shared" ref="C38:E38" si="19">D37/C37-1</f>
        <v>0.14828082717623992</v>
      </c>
      <c r="E38" s="14">
        <f t="shared" si="19"/>
        <v>7.1286196812276659E-2</v>
      </c>
      <c r="F38" s="14">
        <f>F37/E37-1</f>
        <v>0.26108678942619368</v>
      </c>
      <c r="G38" s="14">
        <f>G37/F37-1</f>
        <v>0.14022657709583819</v>
      </c>
      <c r="H38" s="14">
        <f t="shared" ref="H38:L38" ca="1" si="20">H37/G37-1</f>
        <v>0.15282149397931688</v>
      </c>
      <c r="I38" s="14">
        <f t="shared" ca="1" si="20"/>
        <v>0.14592412804580657</v>
      </c>
      <c r="J38" s="14">
        <f t="shared" ca="1" si="20"/>
        <v>0.13902644213131432</v>
      </c>
      <c r="K38" s="14">
        <f t="shared" ca="1" si="20"/>
        <v>0.13212997793904013</v>
      </c>
      <c r="L38" s="14">
        <f t="shared" ca="1" si="20"/>
        <v>0.12523632674445118</v>
      </c>
    </row>
    <row r="40" spans="1:12" x14ac:dyDescent="0.2">
      <c r="A40" s="6" t="s">
        <v>4</v>
      </c>
      <c r="B40" s="7" t="s">
        <v>23</v>
      </c>
      <c r="C40" s="7">
        <v>2018</v>
      </c>
      <c r="D40" s="7">
        <v>2019</v>
      </c>
      <c r="E40" s="7">
        <v>2020</v>
      </c>
      <c r="F40" s="7">
        <v>2021</v>
      </c>
      <c r="G40" s="7">
        <v>2022</v>
      </c>
      <c r="H40" s="7">
        <v>2023</v>
      </c>
      <c r="I40" s="7">
        <v>2024</v>
      </c>
      <c r="J40" s="7">
        <v>2025</v>
      </c>
      <c r="K40" s="7">
        <v>2026</v>
      </c>
      <c r="L40" s="7">
        <v>2027</v>
      </c>
    </row>
    <row r="42" spans="1:12" x14ac:dyDescent="0.2">
      <c r="B42" s="8" t="s">
        <v>24</v>
      </c>
      <c r="C42" s="11">
        <f>C37</f>
        <v>4864.9850000000006</v>
      </c>
      <c r="D42" s="11">
        <f t="shared" ref="D42:L42" si="21">D37</f>
        <v>5586.3689999999997</v>
      </c>
      <c r="E42" s="11">
        <f t="shared" si="21"/>
        <v>5984.6</v>
      </c>
      <c r="F42" s="11">
        <f t="shared" si="21"/>
        <v>7547.0999999999995</v>
      </c>
      <c r="G42" s="11">
        <f t="shared" si="21"/>
        <v>8605.4040000000005</v>
      </c>
      <c r="H42" s="11">
        <f t="shared" ca="1" si="21"/>
        <v>9920.4946955755895</v>
      </c>
      <c r="I42" s="11">
        <f t="shared" ca="1" si="21"/>
        <v>11368.134233810506</v>
      </c>
      <c r="J42" s="11">
        <f t="shared" ca="1" si="21"/>
        <v>12948.605490008376</v>
      </c>
      <c r="K42" s="11">
        <f t="shared" ca="1" si="21"/>
        <v>14659.504447744517</v>
      </c>
      <c r="L42" s="11">
        <f t="shared" ca="1" si="21"/>
        <v>16495.406936673986</v>
      </c>
    </row>
    <row r="43" spans="1:12" s="10" customFormat="1" x14ac:dyDescent="0.2">
      <c r="B43" s="10" t="s">
        <v>17</v>
      </c>
      <c r="D43" s="14">
        <f>D38</f>
        <v>0.14828082717623992</v>
      </c>
      <c r="E43" s="14">
        <f t="shared" ref="E43:L43" si="22">E38</f>
        <v>7.1286196812276659E-2</v>
      </c>
      <c r="F43" s="14">
        <f t="shared" si="22"/>
        <v>0.26108678942619368</v>
      </c>
      <c r="G43" s="14">
        <f t="shared" si="22"/>
        <v>0.14022657709583819</v>
      </c>
      <c r="H43" s="14">
        <f t="shared" ca="1" si="22"/>
        <v>0.15282149397931688</v>
      </c>
      <c r="I43" s="14">
        <f t="shared" ca="1" si="22"/>
        <v>0.14592412804580657</v>
      </c>
      <c r="J43" s="14">
        <f t="shared" ca="1" si="22"/>
        <v>0.13902644213131432</v>
      </c>
      <c r="K43" s="14">
        <f t="shared" ca="1" si="22"/>
        <v>0.13212997793904013</v>
      </c>
      <c r="L43" s="14">
        <f t="shared" ca="1" si="22"/>
        <v>0.12523632674445118</v>
      </c>
    </row>
    <row r="45" spans="1:12" x14ac:dyDescent="0.2">
      <c r="B45" s="8" t="s">
        <v>13</v>
      </c>
      <c r="C45" s="11">
        <v>258.36799999999999</v>
      </c>
      <c r="D45" s="11">
        <v>443.94799999999998</v>
      </c>
      <c r="E45" s="11">
        <v>290.16399999999999</v>
      </c>
      <c r="F45" s="11">
        <v>804.94299999999998</v>
      </c>
      <c r="G45" s="11">
        <f>(878.143/3)*4</f>
        <v>1170.8573333333334</v>
      </c>
      <c r="H45" s="11">
        <f ca="1">H42*H46</f>
        <v>962.95514090456777</v>
      </c>
      <c r="I45" s="11">
        <f t="shared" ref="I45:L45" ca="1" si="23">I42*I46</f>
        <v>1287.5696205393874</v>
      </c>
      <c r="J45" s="11">
        <f t="shared" ca="1" si="23"/>
        <v>1495.0859207034669</v>
      </c>
      <c r="K45" s="11">
        <f t="shared" ca="1" si="23"/>
        <v>1591.9812848350871</v>
      </c>
      <c r="L45" s="11">
        <f t="shared" ca="1" si="23"/>
        <v>1854.7523000668252</v>
      </c>
    </row>
    <row r="46" spans="1:12" s="10" customFormat="1" x14ac:dyDescent="0.2">
      <c r="B46" s="10" t="s">
        <v>21</v>
      </c>
      <c r="C46" s="14">
        <f>C45/C42</f>
        <v>5.3107666313462421E-2</v>
      </c>
      <c r="D46" s="14">
        <f t="shared" ref="D46:G46" si="24">D45/D42</f>
        <v>7.946986674170646E-2</v>
      </c>
      <c r="E46" s="14">
        <f t="shared" si="24"/>
        <v>4.8485111786919756E-2</v>
      </c>
      <c r="F46" s="14">
        <f t="shared" si="24"/>
        <v>0.10665593406739013</v>
      </c>
      <c r="G46" s="14">
        <f t="shared" si="24"/>
        <v>0.13606070480053387</v>
      </c>
      <c r="H46" s="14">
        <f>AVERAGE(E46:G46)</f>
        <v>9.7067250218281262E-2</v>
      </c>
      <c r="I46" s="14">
        <f t="shared" ref="I46:L46" si="25">AVERAGE(F46:H46)</f>
        <v>0.11326129636206843</v>
      </c>
      <c r="J46" s="14">
        <f t="shared" si="25"/>
        <v>0.11546308379362785</v>
      </c>
      <c r="K46" s="14">
        <f t="shared" si="25"/>
        <v>0.10859721012465917</v>
      </c>
      <c r="L46" s="14">
        <f t="shared" si="25"/>
        <v>0.11244053009345183</v>
      </c>
    </row>
    <row r="48" spans="1:12" x14ac:dyDescent="0.2">
      <c r="B48" s="8" t="s">
        <v>25</v>
      </c>
      <c r="C48" s="11">
        <v>91.882999999999996</v>
      </c>
      <c r="D48" s="11">
        <v>108.127</v>
      </c>
      <c r="E48" s="11">
        <v>-61.984999999999999</v>
      </c>
      <c r="F48" s="11">
        <v>159.779</v>
      </c>
      <c r="G48" s="11">
        <f>(202.769/3)*4</f>
        <v>270.35866666666669</v>
      </c>
      <c r="H48" s="11">
        <f ca="1">H45*H49</f>
        <v>206.7483313254663</v>
      </c>
      <c r="I48" s="11">
        <f t="shared" ref="I48:L48" ca="1" si="26">I45*I49</f>
        <v>286.87599507245051</v>
      </c>
      <c r="J48" s="11">
        <f t="shared" ca="1" si="26"/>
        <v>327.05467477380864</v>
      </c>
      <c r="K48" s="11">
        <f t="shared" ca="1" si="26"/>
        <v>351.47552302637854</v>
      </c>
      <c r="L48" s="11">
        <f t="shared" ca="1" si="26"/>
        <v>407.61128465027844</v>
      </c>
    </row>
    <row r="49" spans="1:12" s="10" customFormat="1" x14ac:dyDescent="0.2">
      <c r="B49" s="10" t="s">
        <v>26</v>
      </c>
      <c r="C49" s="14">
        <f>C48/C45</f>
        <v>0.35562840599455042</v>
      </c>
      <c r="D49" s="14">
        <f t="shared" ref="D49:G49" si="27">D48/D45</f>
        <v>0.243557804067143</v>
      </c>
      <c r="E49" s="14">
        <f t="shared" si="27"/>
        <v>-0.2136205731930908</v>
      </c>
      <c r="F49" s="14">
        <f t="shared" si="27"/>
        <v>0.19849728490091845</v>
      </c>
      <c r="G49" s="14">
        <f t="shared" si="27"/>
        <v>0.23090658355188165</v>
      </c>
      <c r="H49" s="14">
        <f>AVERAGE(F49:G49)</f>
        <v>0.21470193422640005</v>
      </c>
      <c r="I49" s="14">
        <f t="shared" ref="I49:L49" si="28">AVERAGE(G49:H49)</f>
        <v>0.22280425888914085</v>
      </c>
      <c r="J49" s="14">
        <f t="shared" si="28"/>
        <v>0.21875309655777045</v>
      </c>
      <c r="K49" s="14">
        <f t="shared" si="28"/>
        <v>0.22077867772345566</v>
      </c>
      <c r="L49" s="14">
        <f t="shared" si="28"/>
        <v>0.21976588714061307</v>
      </c>
    </row>
    <row r="51" spans="1:12" x14ac:dyDescent="0.2">
      <c r="A51" s="6" t="s">
        <v>4</v>
      </c>
      <c r="B51" s="7" t="s">
        <v>27</v>
      </c>
      <c r="C51" s="7">
        <v>2018</v>
      </c>
      <c r="D51" s="7">
        <v>2019</v>
      </c>
      <c r="E51" s="7">
        <v>2020</v>
      </c>
      <c r="F51" s="7">
        <v>2021</v>
      </c>
      <c r="G51" s="7">
        <v>2022</v>
      </c>
      <c r="H51" s="7">
        <v>2023</v>
      </c>
      <c r="I51" s="7">
        <v>2024</v>
      </c>
      <c r="J51" s="7">
        <v>2025</v>
      </c>
      <c r="K51" s="7">
        <v>2026</v>
      </c>
      <c r="L51" s="7">
        <v>2027</v>
      </c>
    </row>
    <row r="53" spans="1:12" x14ac:dyDescent="0.2">
      <c r="B53" s="8" t="s">
        <v>28</v>
      </c>
      <c r="C53" s="11">
        <v>201.97900000000001</v>
      </c>
      <c r="D53" s="11">
        <v>212.77799999999999</v>
      </c>
      <c r="E53" s="11">
        <v>238.53399999999999</v>
      </c>
      <c r="F53" s="11">
        <v>254.65700000000001</v>
      </c>
      <c r="G53" s="11">
        <f>(212.814/3)*4</f>
        <v>283.75200000000001</v>
      </c>
      <c r="H53" s="11">
        <f ca="1">H42*H54</f>
        <v>352.42237389363009</v>
      </c>
      <c r="I53" s="11">
        <f t="shared" ref="I53:L53" ca="1" si="29">I42*I54</f>
        <v>387.42882219300373</v>
      </c>
      <c r="J53" s="11">
        <f t="shared" ca="1" si="29"/>
        <v>442.75004132086264</v>
      </c>
      <c r="K53" s="11">
        <f t="shared" ca="1" si="29"/>
        <v>507.20809768858197</v>
      </c>
      <c r="L53" s="11">
        <f t="shared" ca="1" si="29"/>
        <v>565.64063221268657</v>
      </c>
    </row>
    <row r="54" spans="1:12" s="10" customFormat="1" x14ac:dyDescent="0.2">
      <c r="B54" s="10" t="s">
        <v>21</v>
      </c>
      <c r="C54" s="14">
        <f t="shared" ref="C54:F54" si="30">C53/C42</f>
        <v>4.1516880319261006E-2</v>
      </c>
      <c r="D54" s="14">
        <f t="shared" si="30"/>
        <v>3.8088783608816387E-2</v>
      </c>
      <c r="E54" s="14">
        <f t="shared" si="30"/>
        <v>3.9857968786552143E-2</v>
      </c>
      <c r="F54" s="14">
        <f t="shared" si="30"/>
        <v>3.374236461687271E-2</v>
      </c>
      <c r="G54" s="14">
        <f>G53/G42</f>
        <v>3.2973698852488506E-2</v>
      </c>
      <c r="H54" s="14">
        <f>AVERAGE(E54:G54)</f>
        <v>3.5524677418637789E-2</v>
      </c>
      <c r="I54" s="14">
        <f t="shared" ref="I54:L54" si="31">AVERAGE(F54:H54)</f>
        <v>3.4080246962666337E-2</v>
      </c>
      <c r="J54" s="14">
        <f t="shared" si="31"/>
        <v>3.4192874411264208E-2</v>
      </c>
      <c r="K54" s="14">
        <f t="shared" si="31"/>
        <v>3.4599266264189445E-2</v>
      </c>
      <c r="L54" s="14">
        <f t="shared" si="31"/>
        <v>3.429079587937333E-2</v>
      </c>
    </row>
    <row r="55" spans="1:12" x14ac:dyDescent="0.2">
      <c r="B55" s="10" t="s">
        <v>29</v>
      </c>
      <c r="C55" s="14">
        <f t="shared" ref="C55:G55" si="32">C53/C57</f>
        <v>0.70280455130658692</v>
      </c>
      <c r="D55" s="14">
        <f t="shared" si="32"/>
        <v>0.63722777258678931</v>
      </c>
      <c r="E55" s="14">
        <f t="shared" si="32"/>
        <v>0.63889841222224608</v>
      </c>
      <c r="F55" s="14">
        <f t="shared" si="32"/>
        <v>0.57552856093564608</v>
      </c>
      <c r="G55" s="14">
        <f>G53/G57</f>
        <v>0.6342848967864616</v>
      </c>
      <c r="H55" s="14">
        <f t="shared" ref="H55:L55" ca="1" si="33">H53/H57</f>
        <v>0.61603642082630772</v>
      </c>
      <c r="I55" s="14">
        <f t="shared" ca="1" si="33"/>
        <v>0.60756096073771226</v>
      </c>
      <c r="J55" s="14">
        <f t="shared" ca="1" si="33"/>
        <v>0.61889163771610389</v>
      </c>
      <c r="K55" s="14">
        <f t="shared" ca="1" si="33"/>
        <v>0.61415680110104587</v>
      </c>
      <c r="L55" s="14">
        <f t="shared" ca="1" si="33"/>
        <v>0.613510378039409</v>
      </c>
    </row>
    <row r="57" spans="1:12" x14ac:dyDescent="0.2">
      <c r="B57" s="8" t="s">
        <v>30</v>
      </c>
      <c r="C57" s="11">
        <v>287.39</v>
      </c>
      <c r="D57" s="11">
        <v>333.91199999999998</v>
      </c>
      <c r="E57" s="11">
        <v>373.35199999999998</v>
      </c>
      <c r="F57" s="11">
        <v>442.47500000000002</v>
      </c>
      <c r="G57" s="11">
        <f>(335.518/3)*4</f>
        <v>447.35733333333332</v>
      </c>
      <c r="H57" s="11">
        <f ca="1">H42*H58</f>
        <v>572.08041924033591</v>
      </c>
      <c r="I57" s="11">
        <f t="shared" ref="I57:L57" ca="1" si="34">I42*I58</f>
        <v>637.67892809073862</v>
      </c>
      <c r="J57" s="11">
        <f t="shared" ca="1" si="34"/>
        <v>715.39186238602827</v>
      </c>
      <c r="K57" s="11">
        <f t="shared" ca="1" si="34"/>
        <v>825.86091496385154</v>
      </c>
      <c r="L57" s="11">
        <f t="shared" ca="1" si="34"/>
        <v>921.97402433566083</v>
      </c>
    </row>
    <row r="58" spans="1:12" s="10" customFormat="1" x14ac:dyDescent="0.2">
      <c r="B58" s="10" t="s">
        <v>31</v>
      </c>
      <c r="C58" s="14">
        <f t="shared" ref="C58:F58" si="35">C57/C42</f>
        <v>5.9073152332432668E-2</v>
      </c>
      <c r="D58" s="14">
        <f t="shared" si="35"/>
        <v>5.9772635857029854E-2</v>
      </c>
      <c r="E58" s="14">
        <f t="shared" si="35"/>
        <v>6.2385456003742935E-2</v>
      </c>
      <c r="F58" s="14">
        <f t="shared" si="35"/>
        <v>5.8628479813438279E-2</v>
      </c>
      <c r="G58" s="14">
        <f>G57/G42</f>
        <v>5.1985628255609297E-2</v>
      </c>
      <c r="H58" s="14">
        <f>AVERAGE(E58:G58)</f>
        <v>5.7666521357596839E-2</v>
      </c>
      <c r="I58" s="14">
        <f t="shared" ref="I58:L58" si="36">AVERAGE(F58:H58)</f>
        <v>5.6093543142214798E-2</v>
      </c>
      <c r="J58" s="14">
        <f t="shared" si="36"/>
        <v>5.5248564251806971E-2</v>
      </c>
      <c r="K58" s="14">
        <f t="shared" si="36"/>
        <v>5.6336209583872865E-2</v>
      </c>
      <c r="L58" s="14">
        <f t="shared" si="36"/>
        <v>5.589277232596488E-2</v>
      </c>
    </row>
    <row r="60" spans="1:12" x14ac:dyDescent="0.2">
      <c r="B60" s="8" t="s">
        <v>32</v>
      </c>
      <c r="C60" s="11">
        <f>-8.298-1.722-3.811-2.005+32.08+29.568+14.831+6.829+14.439+21.297+0.869</f>
        <v>104.077</v>
      </c>
      <c r="D60" s="11">
        <f>-2.63-4.53--23.066+163.952+2.818-0.973+11.759+36.543+30.4-32.083-151.557+1.862</f>
        <v>78.626999999999981</v>
      </c>
      <c r="E60" s="11">
        <f>3.01-0.394-11.442+184.538-26.577-3.857+76.683+5.596+36.958-255.251-165.154+1.782</f>
        <v>-154.108</v>
      </c>
      <c r="F60" s="11">
        <f>-1.687-6.392-26.826+223.837+3.993+21.44-44.555+10.997+34.387+193.379-207.164-3.984</f>
        <v>197.42499999999998</v>
      </c>
      <c r="G60" s="11">
        <f>((21.882-1.996-19.343+151.628+1.901+28.712-13.193-7.407-2.978-35.85-141.54+0.474)/3)*4</f>
        <v>-23.613333333333369</v>
      </c>
      <c r="H60" s="11">
        <f ca="1">H42*H61</f>
        <v>-7.7238259665095672</v>
      </c>
      <c r="I60" s="11">
        <f t="shared" ref="I60:L60" ca="1" si="37">I42*I61</f>
        <v>85.778141798698712</v>
      </c>
      <c r="J60" s="11">
        <f t="shared" ca="1" si="37"/>
        <v>17.363670107507613</v>
      </c>
      <c r="K60" s="11">
        <f t="shared" ca="1" si="37"/>
        <v>39.619194828053693</v>
      </c>
      <c r="L60" s="11">
        <f t="shared" ca="1" si="37"/>
        <v>63.722233974015332</v>
      </c>
    </row>
    <row r="61" spans="1:12" s="10" customFormat="1" x14ac:dyDescent="0.2">
      <c r="B61" s="10" t="s">
        <v>31</v>
      </c>
      <c r="C61" s="14">
        <f t="shared" ref="C61:F61" si="38">C60/C42</f>
        <v>2.1393077265397527E-2</v>
      </c>
      <c r="D61" s="14">
        <f t="shared" si="38"/>
        <v>1.4074795273996398E-2</v>
      </c>
      <c r="E61" s="14">
        <f t="shared" si="38"/>
        <v>-2.5750760284730809E-2</v>
      </c>
      <c r="F61" s="14">
        <f t="shared" si="38"/>
        <v>2.615905447125386E-2</v>
      </c>
      <c r="G61" s="14">
        <f>G60/G42</f>
        <v>-2.7440121734358279E-3</v>
      </c>
      <c r="H61" s="14">
        <f>AVERAGE(E61:G61)</f>
        <v>-7.7857266230425912E-4</v>
      </c>
      <c r="I61" s="14">
        <f t="shared" ref="I61:L61" si="39">AVERAGE(F61:H61)</f>
        <v>7.545489878504591E-3</v>
      </c>
      <c r="J61" s="14">
        <f t="shared" si="39"/>
        <v>1.340968347588168E-3</v>
      </c>
      <c r="K61" s="14">
        <f t="shared" si="39"/>
        <v>2.7026285212628336E-3</v>
      </c>
      <c r="L61" s="14">
        <f t="shared" si="39"/>
        <v>3.8630289157851974E-3</v>
      </c>
    </row>
    <row r="62" spans="1:12" x14ac:dyDescent="0.2">
      <c r="B62" s="10"/>
      <c r="C62" s="14"/>
      <c r="D62" s="14"/>
      <c r="E62" s="14"/>
      <c r="F62" s="14"/>
      <c r="G62" s="14"/>
      <c r="H62" s="17"/>
      <c r="I62" s="17"/>
      <c r="J62" s="17"/>
      <c r="K62" s="17"/>
      <c r="L62" s="17"/>
    </row>
    <row r="63" spans="1:12" x14ac:dyDescent="0.2">
      <c r="H63">
        <v>1</v>
      </c>
      <c r="I63">
        <v>2</v>
      </c>
      <c r="J63">
        <v>3</v>
      </c>
      <c r="K63">
        <v>4</v>
      </c>
      <c r="L63">
        <v>5</v>
      </c>
    </row>
    <row r="64" spans="1:12" x14ac:dyDescent="0.2">
      <c r="A64" s="6" t="s">
        <v>4</v>
      </c>
      <c r="B64" s="7" t="s">
        <v>33</v>
      </c>
      <c r="C64" s="7">
        <v>2018</v>
      </c>
      <c r="D64" s="7">
        <v>2019</v>
      </c>
      <c r="E64" s="7">
        <v>2020</v>
      </c>
      <c r="F64" s="7">
        <v>2021</v>
      </c>
      <c r="G64" s="7">
        <v>2022</v>
      </c>
      <c r="H64" s="7">
        <v>2023</v>
      </c>
      <c r="I64" s="7">
        <v>2024</v>
      </c>
      <c r="J64" s="7">
        <v>2025</v>
      </c>
      <c r="K64" s="7">
        <v>2026</v>
      </c>
      <c r="L64" s="7">
        <v>2027</v>
      </c>
    </row>
    <row r="66" spans="2:12" x14ac:dyDescent="0.2">
      <c r="B66" s="8" t="s">
        <v>34</v>
      </c>
      <c r="C66" s="11">
        <f>C42</f>
        <v>4864.9850000000006</v>
      </c>
      <c r="D66" s="11">
        <f t="shared" ref="D66:L66" si="40">D42</f>
        <v>5586.3689999999997</v>
      </c>
      <c r="E66" s="11">
        <f t="shared" si="40"/>
        <v>5984.6</v>
      </c>
      <c r="F66" s="11">
        <f t="shared" si="40"/>
        <v>7547.0999999999995</v>
      </c>
      <c r="G66" s="11">
        <f t="shared" si="40"/>
        <v>8605.4040000000005</v>
      </c>
      <c r="H66" s="11">
        <f t="shared" ca="1" si="40"/>
        <v>9920.4946955755895</v>
      </c>
      <c r="I66" s="11">
        <f t="shared" ca="1" si="40"/>
        <v>11368.134233810506</v>
      </c>
      <c r="J66" s="11">
        <f t="shared" ca="1" si="40"/>
        <v>12948.605490008376</v>
      </c>
      <c r="K66" s="11">
        <f t="shared" ca="1" si="40"/>
        <v>14659.504447744517</v>
      </c>
      <c r="L66" s="11">
        <f t="shared" ca="1" si="40"/>
        <v>16495.406936673986</v>
      </c>
    </row>
    <row r="67" spans="2:12" s="10" customFormat="1" x14ac:dyDescent="0.2">
      <c r="B67" s="10" t="s">
        <v>17</v>
      </c>
      <c r="D67" s="14">
        <f>D66/C66-1</f>
        <v>0.14828082717623992</v>
      </c>
      <c r="E67" s="14">
        <f t="shared" ref="E67:L67" si="41">E66/D66-1</f>
        <v>7.1286196812276659E-2</v>
      </c>
      <c r="F67" s="14">
        <f t="shared" si="41"/>
        <v>0.26108678942619368</v>
      </c>
      <c r="G67" s="14">
        <f t="shared" si="41"/>
        <v>0.14022657709583819</v>
      </c>
      <c r="H67" s="14">
        <f t="shared" ca="1" si="41"/>
        <v>0.15282149397931688</v>
      </c>
      <c r="I67" s="14">
        <f t="shared" ca="1" si="41"/>
        <v>0.14592412804580657</v>
      </c>
      <c r="J67" s="14">
        <f t="shared" ca="1" si="41"/>
        <v>0.13902644213131432</v>
      </c>
      <c r="K67" s="14">
        <f t="shared" ca="1" si="41"/>
        <v>0.13212997793904013</v>
      </c>
      <c r="L67" s="14">
        <f t="shared" ca="1" si="41"/>
        <v>0.12523632674445118</v>
      </c>
    </row>
    <row r="69" spans="2:12" x14ac:dyDescent="0.2">
      <c r="B69" s="8" t="s">
        <v>13</v>
      </c>
      <c r="C69" s="11">
        <f>C45</f>
        <v>258.36799999999999</v>
      </c>
      <c r="D69" s="11">
        <f t="shared" ref="D69:G69" si="42">D45</f>
        <v>443.94799999999998</v>
      </c>
      <c r="E69" s="11">
        <f t="shared" si="42"/>
        <v>290.16399999999999</v>
      </c>
      <c r="F69" s="11">
        <f t="shared" si="42"/>
        <v>804.94299999999998</v>
      </c>
      <c r="G69" s="11">
        <f t="shared" si="42"/>
        <v>1170.8573333333334</v>
      </c>
      <c r="H69" s="11">
        <f ca="1">H66*H70</f>
        <v>962.95514090456777</v>
      </c>
      <c r="I69" s="11">
        <f t="shared" ref="I69:L69" ca="1" si="43">I66*I70</f>
        <v>1126.0186712787458</v>
      </c>
      <c r="J69" s="11">
        <f t="shared" ca="1" si="43"/>
        <v>1308.2445527636664</v>
      </c>
      <c r="K69" s="11">
        <f t="shared" ca="1" si="43"/>
        <v>1510.1754218361868</v>
      </c>
      <c r="L69" s="11">
        <f t="shared" ca="1" si="43"/>
        <v>1732.0177283507685</v>
      </c>
    </row>
    <row r="70" spans="2:12" s="10" customFormat="1" x14ac:dyDescent="0.2">
      <c r="B70" s="10" t="s">
        <v>31</v>
      </c>
      <c r="C70" s="14">
        <f>C69/C66</f>
        <v>5.3107666313462421E-2</v>
      </c>
      <c r="D70" s="14">
        <f t="shared" ref="D70:G70" si="44">D69/D66</f>
        <v>7.946986674170646E-2</v>
      </c>
      <c r="E70" s="14">
        <f t="shared" si="44"/>
        <v>4.8485111786919756E-2</v>
      </c>
      <c r="F70" s="14">
        <f t="shared" si="44"/>
        <v>0.10665593406739013</v>
      </c>
      <c r="G70" s="14">
        <f t="shared" si="44"/>
        <v>0.13606070480053387</v>
      </c>
      <c r="H70" s="14">
        <f ca="1">OFFSET(H70,$C$13,0)</f>
        <v>9.7067250218281262E-2</v>
      </c>
      <c r="I70" s="14">
        <f t="shared" ref="I70:L70" ca="1" si="45">OFFSET(I70,$C$13,0)</f>
        <v>9.9050437663710938E-2</v>
      </c>
      <c r="J70" s="14">
        <f t="shared" ca="1" si="45"/>
        <v>0.10103362510914063</v>
      </c>
      <c r="K70" s="14">
        <f t="shared" ca="1" si="45"/>
        <v>0.10301681255457032</v>
      </c>
      <c r="L70" s="14">
        <f t="shared" ca="1" si="45"/>
        <v>0.105</v>
      </c>
    </row>
    <row r="71" spans="2:12" x14ac:dyDescent="0.2">
      <c r="H71" s="5">
        <f t="shared" ref="H71:K71" si="46">H72*$E$13</f>
        <v>7.7653800174625018E-2</v>
      </c>
      <c r="I71" s="5">
        <f t="shared" si="46"/>
        <v>7.9240350130968751E-2</v>
      </c>
      <c r="J71" s="5">
        <f t="shared" si="46"/>
        <v>8.0826900087312512E-2</v>
      </c>
      <c r="K71" s="5">
        <f t="shared" si="46"/>
        <v>8.2413450043656258E-2</v>
      </c>
      <c r="L71" s="5">
        <f>L72*$E$13</f>
        <v>8.4000000000000005E-2</v>
      </c>
    </row>
    <row r="72" spans="2:12" x14ac:dyDescent="0.2">
      <c r="H72" s="5">
        <f>AVERAGE(E70:G70)</f>
        <v>9.7067250218281262E-2</v>
      </c>
      <c r="I72" s="5">
        <f>H72-(H72-$L$72)/($L$64-H64)</f>
        <v>9.9050437663710938E-2</v>
      </c>
      <c r="J72" s="5">
        <f t="shared" ref="J72:K72" si="47">I72-(I72-$L$72)/($L$64-I64)</f>
        <v>0.10103362510914063</v>
      </c>
      <c r="K72" s="5">
        <f t="shared" si="47"/>
        <v>0.10301681255457032</v>
      </c>
      <c r="L72" s="5">
        <f>G13</f>
        <v>0.105</v>
      </c>
    </row>
    <row r="73" spans="2:12" s="10" customFormat="1" x14ac:dyDescent="0.2">
      <c r="H73" s="5">
        <f t="shared" ref="H73:K73" si="48">H72*$I$13</f>
        <v>0.11648070026193751</v>
      </c>
      <c r="I73" s="5">
        <f t="shared" si="48"/>
        <v>0.11886052519645313</v>
      </c>
      <c r="J73" s="5">
        <f t="shared" si="48"/>
        <v>0.12124035013096875</v>
      </c>
      <c r="K73" s="5">
        <f t="shared" si="48"/>
        <v>0.12362017506548438</v>
      </c>
      <c r="L73" s="5">
        <f>L72*$I$13</f>
        <v>0.126</v>
      </c>
    </row>
    <row r="74" spans="2:12" s="10" customFormat="1" x14ac:dyDescent="0.2"/>
    <row r="75" spans="2:12" s="10" customFormat="1" x14ac:dyDescent="0.2">
      <c r="B75" s="8" t="s">
        <v>25</v>
      </c>
      <c r="C75" s="15">
        <f>C48</f>
        <v>91.882999999999996</v>
      </c>
      <c r="D75" s="15">
        <f t="shared" ref="D75:L75" si="49">D48</f>
        <v>108.127</v>
      </c>
      <c r="E75" s="15">
        <f t="shared" si="49"/>
        <v>-61.984999999999999</v>
      </c>
      <c r="F75" s="15">
        <f t="shared" si="49"/>
        <v>159.779</v>
      </c>
      <c r="G75" s="15">
        <f t="shared" si="49"/>
        <v>270.35866666666669</v>
      </c>
      <c r="H75" s="15">
        <f t="shared" ca="1" si="49"/>
        <v>206.7483313254663</v>
      </c>
      <c r="I75" s="15">
        <f t="shared" ca="1" si="49"/>
        <v>286.87599507245051</v>
      </c>
      <c r="J75" s="15">
        <f t="shared" ca="1" si="49"/>
        <v>327.05467477380864</v>
      </c>
      <c r="K75" s="15">
        <f t="shared" ca="1" si="49"/>
        <v>351.47552302637854</v>
      </c>
      <c r="L75" s="15">
        <f t="shared" ca="1" si="49"/>
        <v>407.61128465027844</v>
      </c>
    </row>
    <row r="76" spans="2:12" s="10" customFormat="1" x14ac:dyDescent="0.2">
      <c r="B76" s="10" t="s">
        <v>26</v>
      </c>
      <c r="C76" s="14">
        <f>C75/C69</f>
        <v>0.35562840599455042</v>
      </c>
      <c r="D76" s="14">
        <f t="shared" ref="D76:L76" si="50">D75/D69</f>
        <v>0.243557804067143</v>
      </c>
      <c r="E76" s="14">
        <f t="shared" si="50"/>
        <v>-0.2136205731930908</v>
      </c>
      <c r="F76" s="14">
        <f t="shared" si="50"/>
        <v>0.19849728490091845</v>
      </c>
      <c r="G76" s="14">
        <f t="shared" si="50"/>
        <v>0.23090658355188165</v>
      </c>
      <c r="H76" s="14">
        <f t="shared" ca="1" si="50"/>
        <v>0.21470193422640005</v>
      </c>
      <c r="I76" s="14">
        <f t="shared" ca="1" si="50"/>
        <v>0.25477019377188853</v>
      </c>
      <c r="J76" s="14">
        <f t="shared" ca="1" si="50"/>
        <v>0.24999505947332681</v>
      </c>
      <c r="K76" s="14">
        <f t="shared" ca="1" si="50"/>
        <v>0.23273820904794471</v>
      </c>
      <c r="L76" s="14">
        <f t="shared" ca="1" si="50"/>
        <v>0.23533897949093563</v>
      </c>
    </row>
    <row r="78" spans="2:12" x14ac:dyDescent="0.2">
      <c r="B78" s="12"/>
      <c r="C78" s="12"/>
      <c r="D78" s="12"/>
      <c r="E78" s="12"/>
      <c r="F78" s="12"/>
      <c r="G78" s="12"/>
      <c r="H78" s="12"/>
      <c r="I78" s="12"/>
      <c r="J78" s="12"/>
      <c r="K78" s="12"/>
      <c r="L78" s="12"/>
    </row>
    <row r="79" spans="2:12" x14ac:dyDescent="0.2">
      <c r="B79" s="8" t="s">
        <v>35</v>
      </c>
      <c r="H79" s="16">
        <f ca="1">H69-H75</f>
        <v>756.20680957910145</v>
      </c>
      <c r="I79" s="16">
        <f t="shared" ref="I79:L79" ca="1" si="51">I69-I75</f>
        <v>839.14267620629539</v>
      </c>
      <c r="J79" s="16">
        <f t="shared" ca="1" si="51"/>
        <v>981.18987798985779</v>
      </c>
      <c r="K79" s="16">
        <f t="shared" ca="1" si="51"/>
        <v>1158.6998988098082</v>
      </c>
      <c r="L79" s="16">
        <f t="shared" ca="1" si="51"/>
        <v>1324.4064437004899</v>
      </c>
    </row>
    <row r="81" spans="2:14" x14ac:dyDescent="0.2">
      <c r="B81" s="8" t="s">
        <v>36</v>
      </c>
      <c r="C81" s="11">
        <f>C53</f>
        <v>201.97900000000001</v>
      </c>
      <c r="D81" s="11">
        <f t="shared" ref="D81:L81" si="52">D53</f>
        <v>212.77799999999999</v>
      </c>
      <c r="E81" s="11">
        <f t="shared" si="52"/>
        <v>238.53399999999999</v>
      </c>
      <c r="F81" s="11">
        <f t="shared" si="52"/>
        <v>254.65700000000001</v>
      </c>
      <c r="G81" s="11">
        <f t="shared" si="52"/>
        <v>283.75200000000001</v>
      </c>
      <c r="H81" s="11">
        <f t="shared" ca="1" si="52"/>
        <v>352.42237389363009</v>
      </c>
      <c r="I81" s="11">
        <f t="shared" ca="1" si="52"/>
        <v>387.42882219300373</v>
      </c>
      <c r="J81" s="11">
        <f t="shared" ca="1" si="52"/>
        <v>442.75004132086264</v>
      </c>
      <c r="K81" s="11">
        <f t="shared" ca="1" si="52"/>
        <v>507.20809768858197</v>
      </c>
      <c r="L81" s="11">
        <f t="shared" ca="1" si="52"/>
        <v>565.64063221268657</v>
      </c>
    </row>
    <row r="82" spans="2:14" x14ac:dyDescent="0.2">
      <c r="B82" s="10" t="s">
        <v>31</v>
      </c>
      <c r="C82" s="14">
        <f>C81/C66</f>
        <v>4.1516880319261006E-2</v>
      </c>
      <c r="D82" s="14">
        <f t="shared" ref="D82:L82" si="53">D81/D66</f>
        <v>3.8088783608816387E-2</v>
      </c>
      <c r="E82" s="14">
        <f t="shared" si="53"/>
        <v>3.9857968786552143E-2</v>
      </c>
      <c r="F82" s="14">
        <f t="shared" si="53"/>
        <v>3.374236461687271E-2</v>
      </c>
      <c r="G82" s="14">
        <f t="shared" si="53"/>
        <v>3.2973698852488506E-2</v>
      </c>
      <c r="H82" s="14">
        <f t="shared" ca="1" si="53"/>
        <v>3.5524677418637789E-2</v>
      </c>
      <c r="I82" s="14">
        <f t="shared" ca="1" si="53"/>
        <v>3.4080246962666337E-2</v>
      </c>
      <c r="J82" s="14">
        <f t="shared" ca="1" si="53"/>
        <v>3.4192874411264208E-2</v>
      </c>
      <c r="K82" s="14">
        <f t="shared" ca="1" si="53"/>
        <v>3.4599266264189445E-2</v>
      </c>
      <c r="L82" s="14">
        <f t="shared" ca="1" si="53"/>
        <v>3.429079587937333E-2</v>
      </c>
    </row>
    <row r="84" spans="2:14" x14ac:dyDescent="0.2">
      <c r="B84" s="8" t="s">
        <v>30</v>
      </c>
      <c r="C84" s="11">
        <f>C57</f>
        <v>287.39</v>
      </c>
      <c r="D84" s="11">
        <f t="shared" ref="D84:L84" si="54">D57</f>
        <v>333.91199999999998</v>
      </c>
      <c r="E84" s="11">
        <f t="shared" si="54"/>
        <v>373.35199999999998</v>
      </c>
      <c r="F84" s="11">
        <f t="shared" si="54"/>
        <v>442.47500000000002</v>
      </c>
      <c r="G84" s="11">
        <f t="shared" si="54"/>
        <v>447.35733333333332</v>
      </c>
      <c r="H84" s="11">
        <f t="shared" ca="1" si="54"/>
        <v>572.08041924033591</v>
      </c>
      <c r="I84" s="11">
        <f t="shared" ca="1" si="54"/>
        <v>637.67892809073862</v>
      </c>
      <c r="J84" s="11">
        <f t="shared" ca="1" si="54"/>
        <v>715.39186238602827</v>
      </c>
      <c r="K84" s="11">
        <f t="shared" ca="1" si="54"/>
        <v>825.86091496385154</v>
      </c>
      <c r="L84" s="11">
        <f t="shared" ca="1" si="54"/>
        <v>921.97402433566083</v>
      </c>
    </row>
    <row r="85" spans="2:14" x14ac:dyDescent="0.2">
      <c r="B85" s="10" t="s">
        <v>31</v>
      </c>
      <c r="C85" s="14">
        <f>C84/C66</f>
        <v>5.9073152332432668E-2</v>
      </c>
      <c r="D85" s="14">
        <f t="shared" ref="D85:L85" si="55">D84/D66</f>
        <v>5.9772635857029854E-2</v>
      </c>
      <c r="E85" s="14">
        <f t="shared" si="55"/>
        <v>6.2385456003742935E-2</v>
      </c>
      <c r="F85" s="14">
        <f t="shared" si="55"/>
        <v>5.8628479813438279E-2</v>
      </c>
      <c r="G85" s="14">
        <f t="shared" si="55"/>
        <v>5.1985628255609297E-2</v>
      </c>
      <c r="H85" s="14">
        <f t="shared" ca="1" si="55"/>
        <v>5.7666521357596839E-2</v>
      </c>
      <c r="I85" s="14">
        <f t="shared" ca="1" si="55"/>
        <v>5.6093543142214798E-2</v>
      </c>
      <c r="J85" s="14">
        <f t="shared" ca="1" si="55"/>
        <v>5.5248564251806971E-2</v>
      </c>
      <c r="K85" s="14">
        <f t="shared" ca="1" si="55"/>
        <v>5.6336209583872865E-2</v>
      </c>
      <c r="L85" s="14">
        <f t="shared" ca="1" si="55"/>
        <v>5.589277232596488E-2</v>
      </c>
    </row>
    <row r="87" spans="2:14" x14ac:dyDescent="0.2">
      <c r="B87" s="8" t="s">
        <v>32</v>
      </c>
      <c r="C87" s="11">
        <f>C60</f>
        <v>104.077</v>
      </c>
      <c r="D87" s="11">
        <f t="shared" ref="D87:L87" si="56">D60</f>
        <v>78.626999999999981</v>
      </c>
      <c r="E87" s="11">
        <f t="shared" si="56"/>
        <v>-154.108</v>
      </c>
      <c r="F87" s="11">
        <f t="shared" si="56"/>
        <v>197.42499999999998</v>
      </c>
      <c r="G87" s="11">
        <f t="shared" si="56"/>
        <v>-23.613333333333369</v>
      </c>
      <c r="H87" s="11">
        <f t="shared" ca="1" si="56"/>
        <v>-7.7238259665095672</v>
      </c>
      <c r="I87" s="11">
        <f t="shared" ca="1" si="56"/>
        <v>85.778141798698712</v>
      </c>
      <c r="J87" s="11">
        <f t="shared" ca="1" si="56"/>
        <v>17.363670107507613</v>
      </c>
      <c r="K87" s="11">
        <f t="shared" ca="1" si="56"/>
        <v>39.619194828053693</v>
      </c>
      <c r="L87" s="11">
        <f t="shared" ca="1" si="56"/>
        <v>63.722233974015332</v>
      </c>
    </row>
    <row r="88" spans="2:14" x14ac:dyDescent="0.2">
      <c r="B88" s="10" t="s">
        <v>21</v>
      </c>
      <c r="C88" s="14">
        <f>C87/C66</f>
        <v>2.1393077265397527E-2</v>
      </c>
      <c r="D88" s="14">
        <f t="shared" ref="D88:L88" si="57">D87/D66</f>
        <v>1.4074795273996398E-2</v>
      </c>
      <c r="E88" s="14">
        <f t="shared" si="57"/>
        <v>-2.5750760284730809E-2</v>
      </c>
      <c r="F88" s="14">
        <f t="shared" si="57"/>
        <v>2.615905447125386E-2</v>
      </c>
      <c r="G88" s="14">
        <f t="shared" si="57"/>
        <v>-2.7440121734358279E-3</v>
      </c>
      <c r="H88" s="14">
        <f t="shared" ca="1" si="57"/>
        <v>-7.7857266230425912E-4</v>
      </c>
      <c r="I88" s="14">
        <f t="shared" ca="1" si="57"/>
        <v>7.545489878504591E-3</v>
      </c>
      <c r="J88" s="14">
        <f t="shared" ca="1" si="57"/>
        <v>1.340968347588168E-3</v>
      </c>
      <c r="K88" s="14">
        <f t="shared" ca="1" si="57"/>
        <v>2.7026285212628336E-3</v>
      </c>
      <c r="L88" s="14">
        <f t="shared" ca="1" si="57"/>
        <v>3.8630289157851974E-3</v>
      </c>
    </row>
    <row r="90" spans="2:14" x14ac:dyDescent="0.2">
      <c r="B90" s="12"/>
      <c r="C90" s="12"/>
      <c r="D90" s="12"/>
      <c r="E90" s="12"/>
      <c r="F90" s="12"/>
      <c r="G90" s="12"/>
      <c r="H90" s="12"/>
      <c r="I90" s="12"/>
      <c r="J90" s="12"/>
      <c r="K90" s="12"/>
      <c r="L90" s="12"/>
    </row>
    <row r="91" spans="2:14" x14ac:dyDescent="0.2">
      <c r="B91" s="8" t="s">
        <v>37</v>
      </c>
      <c r="H91" s="16">
        <f ca="1">H79+H81-H84-H87</f>
        <v>544.27259019890516</v>
      </c>
      <c r="I91" s="16">
        <f t="shared" ref="I91:L91" ca="1" si="58">I79+I81-I84-I87</f>
        <v>503.1144285098618</v>
      </c>
      <c r="J91" s="16">
        <f t="shared" ca="1" si="58"/>
        <v>691.18438681718453</v>
      </c>
      <c r="K91" s="16">
        <f t="shared" ca="1" si="58"/>
        <v>800.42788670648508</v>
      </c>
      <c r="L91" s="16">
        <f t="shared" ca="1" si="58"/>
        <v>904.35081760350033</v>
      </c>
    </row>
    <row r="92" spans="2:14" x14ac:dyDescent="0.2">
      <c r="B92" s="8" t="s">
        <v>38</v>
      </c>
      <c r="H92" s="11">
        <f t="shared" ref="H92:K92" ca="1" si="59">H91/(1+$C$17)^H63</f>
        <v>496.41646563948837</v>
      </c>
      <c r="I92" s="11">
        <f t="shared" ca="1" si="59"/>
        <v>418.52962230032938</v>
      </c>
      <c r="J92" s="11">
        <f t="shared" ca="1" si="59"/>
        <v>524.42460890885184</v>
      </c>
      <c r="K92" s="11">
        <f t="shared" ca="1" si="59"/>
        <v>553.91237672656109</v>
      </c>
      <c r="L92" s="11">
        <f ca="1">L91/(1+$C$17)^L63</f>
        <v>570.80202925639446</v>
      </c>
      <c r="M92" s="11"/>
      <c r="N92" s="11"/>
    </row>
    <row r="93" spans="2:14" x14ac:dyDescent="0.2">
      <c r="H93" s="11"/>
      <c r="I93" s="11"/>
      <c r="J93" s="11"/>
      <c r="K93" s="11"/>
      <c r="L93" s="11"/>
      <c r="M93" s="11"/>
      <c r="N93" s="11"/>
    </row>
    <row r="94" spans="2:14" x14ac:dyDescent="0.2">
      <c r="B94" s="8" t="s">
        <v>39</v>
      </c>
      <c r="L94" s="16">
        <f ca="1">L91*(1+C17)/(C17-C18)</f>
        <v>13886.400397088197</v>
      </c>
    </row>
    <row r="95" spans="2:14" x14ac:dyDescent="0.2">
      <c r="B95" s="8" t="s">
        <v>40</v>
      </c>
      <c r="L95" s="11">
        <f ca="1">L94/(1+C17)^L63</f>
        <v>8764.7242324935396</v>
      </c>
    </row>
    <row r="97" spans="2:12" x14ac:dyDescent="0.2">
      <c r="B97" s="8" t="s">
        <v>52</v>
      </c>
      <c r="L97" s="16" cm="1">
        <f t="array" aca="1" ref="L97" ca="1">SUM(L95+H92:L92)</f>
        <v>46387.706265299319</v>
      </c>
    </row>
    <row r="98" spans="2:12" x14ac:dyDescent="0.2">
      <c r="B98" s="8" t="s">
        <v>53</v>
      </c>
      <c r="L98" s="16">
        <v>783.9</v>
      </c>
    </row>
    <row r="99" spans="2:12" x14ac:dyDescent="0.2">
      <c r="B99" s="8" t="s">
        <v>54</v>
      </c>
      <c r="L99" s="16">
        <f>CMG_WACC!D10</f>
        <v>3730</v>
      </c>
    </row>
    <row r="100" spans="2:12" x14ac:dyDescent="0.2">
      <c r="B100" s="8" t="s">
        <v>55</v>
      </c>
      <c r="L100" s="16">
        <f ca="1">L97+L98-L99</f>
        <v>43441.606265299321</v>
      </c>
    </row>
    <row r="101" spans="2:12" x14ac:dyDescent="0.2">
      <c r="B101" s="8" t="s">
        <v>56</v>
      </c>
      <c r="L101" s="16">
        <v>27.72</v>
      </c>
    </row>
    <row r="102" spans="2:12" x14ac:dyDescent="0.2">
      <c r="B102" s="8" t="s">
        <v>3</v>
      </c>
      <c r="L102" s="16">
        <f ca="1">L100/L101</f>
        <v>1567.1575131781863</v>
      </c>
    </row>
    <row r="106" spans="2:12" x14ac:dyDescent="0.2">
      <c r="C106" s="25"/>
      <c r="D106" s="25"/>
      <c r="E106" s="25"/>
      <c r="F106" s="25"/>
      <c r="G106" s="26" t="s">
        <v>58</v>
      </c>
      <c r="H106" s="25"/>
      <c r="I106" s="25"/>
      <c r="J106" s="25"/>
      <c r="K106" s="25"/>
    </row>
    <row r="107" spans="2:12" x14ac:dyDescent="0.2">
      <c r="C107" s="25"/>
      <c r="D107" s="28">
        <f ca="1">J4</f>
        <v>1567.1575131781863</v>
      </c>
      <c r="E107" s="27">
        <f t="shared" ref="E107:G107" si="60">F107-0.001</f>
        <v>2.1999999999999999E-2</v>
      </c>
      <c r="F107" s="27">
        <f t="shared" si="60"/>
        <v>2.3E-2</v>
      </c>
      <c r="G107" s="27">
        <f>H107-0.001</f>
        <v>2.4E-2</v>
      </c>
      <c r="H107" s="27">
        <f>G15</f>
        <v>2.5000000000000001E-2</v>
      </c>
      <c r="I107" s="27">
        <f>H107+0.001</f>
        <v>2.6000000000000002E-2</v>
      </c>
      <c r="J107" s="27">
        <f t="shared" ref="J107:K107" si="61">I107+0.001</f>
        <v>2.7000000000000003E-2</v>
      </c>
      <c r="K107" s="27">
        <f t="shared" si="61"/>
        <v>2.8000000000000004E-2</v>
      </c>
    </row>
    <row r="108" spans="2:12" x14ac:dyDescent="0.2">
      <c r="C108" s="25"/>
      <c r="D108" s="27">
        <f t="shared" ref="D108:D110" si="62">D109-0.0025</f>
        <v>8.8903177315579326E-2</v>
      </c>
      <c r="E108" s="29">
        <f t="dataTable" ref="E108:K116" dt2D="1" dtr="1" r1="C18" r2="C17" ca="1"/>
        <v>1722.4625250831009</v>
      </c>
      <c r="F108" s="29">
        <v>1748.7775361564461</v>
      </c>
      <c r="G108" s="29">
        <v>1775.9034477792482</v>
      </c>
      <c r="H108" s="29">
        <v>1803.878328506946</v>
      </c>
      <c r="I108" s="29">
        <v>1832.7426676665243</v>
      </c>
      <c r="J108" s="29">
        <v>1862.5395708853725</v>
      </c>
      <c r="K108" s="29">
        <v>1893.3149748830706</v>
      </c>
    </row>
    <row r="109" spans="2:12" x14ac:dyDescent="0.2">
      <c r="C109" s="25"/>
      <c r="D109" s="27">
        <f t="shared" si="62"/>
        <v>9.1403177315579329E-2</v>
      </c>
      <c r="E109" s="29">
        <v>1898.7351610220624</v>
      </c>
      <c r="F109" s="29">
        <v>1930.0823690103621</v>
      </c>
      <c r="G109" s="29">
        <v>1962.4761728352455</v>
      </c>
      <c r="H109" s="29">
        <v>1995.9698767097082</v>
      </c>
      <c r="I109" s="29">
        <v>2030.6204671464366</v>
      </c>
      <c r="J109" s="29">
        <v>2066.4889365161662</v>
      </c>
      <c r="K109" s="29">
        <v>2103.6406413330424</v>
      </c>
    </row>
    <row r="110" spans="2:12" x14ac:dyDescent="0.2">
      <c r="C110" s="25"/>
      <c r="D110" s="27">
        <f>D111-0.0025</f>
        <v>9.3903177315579331E-2</v>
      </c>
      <c r="E110" s="29">
        <v>1998.2401405400337</v>
      </c>
      <c r="F110" s="29">
        <v>2032.621021395553</v>
      </c>
      <c r="G110" s="29">
        <v>2068.1997760435461</v>
      </c>
      <c r="H110" s="29">
        <v>2105.0401175857992</v>
      </c>
      <c r="I110" s="29">
        <v>2143.2103590842376</v>
      </c>
      <c r="J110" s="29">
        <v>2182.7838363266856</v>
      </c>
      <c r="K110" s="29">
        <v>2223.8393780915708</v>
      </c>
    </row>
    <row r="111" spans="2:12" x14ac:dyDescent="0.2">
      <c r="C111" s="26" t="s">
        <v>14</v>
      </c>
      <c r="D111" s="27">
        <f>C17</f>
        <v>9.6403177315579333E-2</v>
      </c>
      <c r="E111" s="29">
        <v>1998.2401405400337</v>
      </c>
      <c r="F111" s="29">
        <v>2032.621021395553</v>
      </c>
      <c r="G111" s="29">
        <v>2068.1997760435461</v>
      </c>
      <c r="H111" s="29">
        <v>2105.0401175857992</v>
      </c>
      <c r="I111" s="29">
        <v>2143.2103590842376</v>
      </c>
      <c r="J111" s="29">
        <v>2182.7838363266856</v>
      </c>
      <c r="K111" s="29">
        <v>2223.8393780915708</v>
      </c>
    </row>
    <row r="112" spans="2:12" x14ac:dyDescent="0.2">
      <c r="C112" s="25"/>
      <c r="D112" s="27">
        <f>D111+0.0025</f>
        <v>9.8903177315579335E-2</v>
      </c>
      <c r="E112" s="29">
        <v>1898.7351610220624</v>
      </c>
      <c r="F112" s="29">
        <v>1930.0823690103621</v>
      </c>
      <c r="G112" s="29">
        <v>1962.4761728352455</v>
      </c>
      <c r="H112" s="29">
        <v>1995.9698767097082</v>
      </c>
      <c r="I112" s="29">
        <v>2030.6204671464366</v>
      </c>
      <c r="J112" s="29">
        <v>2066.4889365161662</v>
      </c>
      <c r="K112" s="29">
        <v>2103.6406413330424</v>
      </c>
    </row>
    <row r="113" spans="3:11" x14ac:dyDescent="0.2">
      <c r="C113" s="25"/>
      <c r="D113" s="27">
        <f t="shared" ref="D113:D116" si="63">D112+0.0025</f>
        <v>0.10140317731557934</v>
      </c>
      <c r="E113" s="29">
        <v>1722.4625250831009</v>
      </c>
      <c r="F113" s="29">
        <v>1748.7775361564461</v>
      </c>
      <c r="G113" s="29">
        <v>1775.9034477792482</v>
      </c>
      <c r="H113" s="29">
        <v>1803.878328506946</v>
      </c>
      <c r="I113" s="29">
        <v>1832.7426676665243</v>
      </c>
      <c r="J113" s="29">
        <v>1862.5395708853725</v>
      </c>
      <c r="K113" s="29">
        <v>1893.3149748830706</v>
      </c>
    </row>
    <row r="114" spans="3:11" x14ac:dyDescent="0.2">
      <c r="C114" s="25"/>
      <c r="D114" s="27">
        <f t="shared" si="63"/>
        <v>0.10390317731557934</v>
      </c>
      <c r="E114" s="29">
        <v>1503.4127066491901</v>
      </c>
      <c r="F114" s="29">
        <v>1524.0820286503742</v>
      </c>
      <c r="G114" s="29">
        <v>1545.322301340949</v>
      </c>
      <c r="H114" s="29">
        <v>1567.1575131781863</v>
      </c>
      <c r="I114" s="29">
        <v>1589.6130155383746</v>
      </c>
      <c r="J114" s="29">
        <v>1612.7156209053339</v>
      </c>
      <c r="K114" s="29">
        <v>1636.4937096715619</v>
      </c>
    </row>
    <row r="115" spans="3:11" x14ac:dyDescent="0.2">
      <c r="C115" s="25"/>
      <c r="D115" s="27">
        <f t="shared" si="63"/>
        <v>0.10640317731557934</v>
      </c>
      <c r="E115" s="29">
        <v>1273.3876001168812</v>
      </c>
      <c r="F115" s="29">
        <v>1288.8514870385163</v>
      </c>
      <c r="G115" s="29">
        <v>1304.6906965490464</v>
      </c>
      <c r="H115" s="29">
        <v>1320.9190606364086</v>
      </c>
      <c r="I115" s="29">
        <v>1337.5510994199508</v>
      </c>
      <c r="J115" s="29">
        <v>1354.6020644819068</v>
      </c>
      <c r="K115" s="29">
        <v>1372.0879855149283</v>
      </c>
    </row>
    <row r="116" spans="3:11" x14ac:dyDescent="0.2">
      <c r="C116" s="25"/>
      <c r="D116" s="27">
        <f t="shared" si="63"/>
        <v>0.10890317731557934</v>
      </c>
      <c r="E116" s="29">
        <v>1054.5942317445597</v>
      </c>
      <c r="F116" s="29">
        <v>1065.7930622744066</v>
      </c>
      <c r="G116" s="29">
        <v>1077.2278981909349</v>
      </c>
      <c r="H116" s="29">
        <v>1088.9062793472183</v>
      </c>
      <c r="I116" s="29">
        <v>1100.8360702290618</v>
      </c>
      <c r="J116" s="29">
        <v>1113.0254776166732</v>
      </c>
      <c r="K116" s="29">
        <v>1125.4830694120819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518C1-320D-4348-87AF-5E04DB7778DE}">
  <dimension ref="A1:D17"/>
  <sheetViews>
    <sheetView showGridLines="0" zoomScale="200" zoomScaleNormal="200" workbookViewId="0">
      <selection activeCell="D7" sqref="D7"/>
    </sheetView>
  </sheetViews>
  <sheetFormatPr baseColWidth="10" defaultRowHeight="16" x14ac:dyDescent="0.2"/>
  <sheetData>
    <row r="1" spans="1:4" ht="19" x14ac:dyDescent="0.25">
      <c r="A1" s="18" t="s">
        <v>14</v>
      </c>
      <c r="B1" s="19"/>
      <c r="C1" s="19"/>
      <c r="D1" s="19"/>
    </row>
    <row r="2" spans="1:4" ht="19" x14ac:dyDescent="0.25">
      <c r="A2" s="20"/>
      <c r="B2" s="19"/>
      <c r="C2" s="19"/>
      <c r="D2" s="19"/>
    </row>
    <row r="3" spans="1:4" ht="19" x14ac:dyDescent="0.25">
      <c r="A3" s="20" t="s">
        <v>41</v>
      </c>
      <c r="B3" s="20"/>
      <c r="C3" s="19"/>
      <c r="D3" s="21">
        <v>46840</v>
      </c>
    </row>
    <row r="4" spans="1:4" ht="19" x14ac:dyDescent="0.25">
      <c r="A4" s="20" t="s">
        <v>42</v>
      </c>
      <c r="B4" s="20"/>
      <c r="C4" s="19"/>
      <c r="D4" s="22">
        <f>D3/D15</f>
        <v>0.92624085426141978</v>
      </c>
    </row>
    <row r="5" spans="1:4" ht="19" x14ac:dyDescent="0.25">
      <c r="A5" s="20" t="s">
        <v>43</v>
      </c>
      <c r="B5" s="20"/>
      <c r="C5" s="19"/>
      <c r="D5" s="22">
        <f>D6+(D7*D8)</f>
        <v>0.100856</v>
      </c>
    </row>
    <row r="6" spans="1:4" ht="19" x14ac:dyDescent="0.25">
      <c r="A6" s="20" t="s">
        <v>44</v>
      </c>
      <c r="B6" s="20"/>
      <c r="C6" s="19"/>
      <c r="D6" s="22">
        <v>3.6470000000000002E-2</v>
      </c>
    </row>
    <row r="7" spans="1:4" ht="19" x14ac:dyDescent="0.25">
      <c r="A7" s="20" t="s">
        <v>45</v>
      </c>
      <c r="B7" s="19"/>
      <c r="C7" s="19"/>
      <c r="D7" s="23">
        <v>1.26</v>
      </c>
    </row>
    <row r="8" spans="1:4" ht="19" x14ac:dyDescent="0.25">
      <c r="A8" s="20" t="s">
        <v>46</v>
      </c>
      <c r="B8" s="20"/>
      <c r="C8" s="20"/>
      <c r="D8" s="22">
        <v>5.11E-2</v>
      </c>
    </row>
    <row r="9" spans="1:4" ht="19" x14ac:dyDescent="0.25">
      <c r="A9" s="20"/>
      <c r="B9" s="19"/>
      <c r="C9" s="19"/>
      <c r="D9" s="19"/>
    </row>
    <row r="10" spans="1:4" ht="19" x14ac:dyDescent="0.25">
      <c r="A10" s="20" t="s">
        <v>47</v>
      </c>
      <c r="B10" s="19"/>
      <c r="C10" s="19"/>
      <c r="D10" s="21">
        <v>3730</v>
      </c>
    </row>
    <row r="11" spans="1:4" ht="19" x14ac:dyDescent="0.25">
      <c r="A11" s="20" t="s">
        <v>48</v>
      </c>
      <c r="B11" s="19"/>
      <c r="C11" s="19"/>
      <c r="D11" s="22">
        <f>D10/D3</f>
        <v>7.9632792485055504E-2</v>
      </c>
    </row>
    <row r="12" spans="1:4" ht="19" x14ac:dyDescent="0.25">
      <c r="A12" s="20" t="s">
        <v>49</v>
      </c>
      <c r="B12" s="20"/>
      <c r="C12" s="19"/>
      <c r="D12" s="22">
        <v>0.05</v>
      </c>
    </row>
    <row r="13" spans="1:4" ht="19" x14ac:dyDescent="0.25">
      <c r="A13" s="20" t="s">
        <v>50</v>
      </c>
      <c r="B13" s="19"/>
      <c r="C13" s="19"/>
      <c r="D13" s="24">
        <v>0.25</v>
      </c>
    </row>
    <row r="14" spans="1:4" ht="19" x14ac:dyDescent="0.25">
      <c r="A14" s="20"/>
      <c r="B14" s="19"/>
      <c r="C14" s="19"/>
      <c r="D14" s="19"/>
    </row>
    <row r="15" spans="1:4" ht="19" x14ac:dyDescent="0.25">
      <c r="A15" s="20" t="s">
        <v>51</v>
      </c>
      <c r="B15" s="19"/>
      <c r="C15" s="19"/>
      <c r="D15" s="21">
        <f>D3+D10</f>
        <v>50570</v>
      </c>
    </row>
    <row r="16" spans="1:4" ht="19" x14ac:dyDescent="0.25">
      <c r="A16" s="20"/>
      <c r="B16" s="19"/>
      <c r="C16" s="19"/>
      <c r="D16" s="19"/>
    </row>
    <row r="17" spans="1:4" ht="19" x14ac:dyDescent="0.25">
      <c r="A17" s="20" t="s">
        <v>14</v>
      </c>
      <c r="B17" s="19"/>
      <c r="C17" s="19"/>
      <c r="D17" s="22">
        <f>(D4*D5)+(D11*D12*(1-D13))</f>
        <v>9.6403177315579333E-2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CMG_WACC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Shalil Gunputh</dc:creator>
  <cp:lastModifiedBy>Shalil Gunputh</cp:lastModifiedBy>
  <dcterms:created xsi:type="dcterms:W3CDTF">2023-02-07T10:50:32Z</dcterms:created>
  <dcterms:modified xsi:type="dcterms:W3CDTF">2023-02-07T12:31:19Z</dcterms:modified>
</cp:coreProperties>
</file>