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omments1.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7"/>
  <workbookPr defaultThemeVersion="166925"/>
  <mc:AlternateContent xmlns:mc="http://schemas.openxmlformats.org/markup-compatibility/2006">
    <mc:Choice Requires="x15">
      <x15ac:absPath xmlns:x15ac="http://schemas.microsoft.com/office/spreadsheetml/2010/11/ac" url="/Users/shalilgunputh/Library/Mobile Documents/com~apple~Numbers/Documents/Stock Market Analysis/Company/Coinbase/"/>
    </mc:Choice>
  </mc:AlternateContent>
  <xr:revisionPtr revIDLastSave="0" documentId="13_ncr:1_{3EE162EE-6598-344A-A86D-BD4130A26E7D}" xr6:coauthVersionLast="47" xr6:coauthVersionMax="47" xr10:uidLastSave="{00000000-0000-0000-0000-000000000000}"/>
  <bookViews>
    <workbookView xWindow="29260" yWindow="600" windowWidth="24180" windowHeight="19500" xr2:uid="{6796B1D8-3525-A04C-BBCB-4C08AA25A4EF}"/>
  </bookViews>
  <sheets>
    <sheet name="COIN_DCF" sheetId="1" r:id="rId1"/>
    <sheet name="COIN_WACC"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87" i="1" l="1"/>
  <c r="H87" i="1" s="1"/>
  <c r="F58" i="1"/>
  <c r="F86" i="1" s="1"/>
  <c r="P104" i="1"/>
  <c r="P102" i="1"/>
  <c r="F16" i="1"/>
  <c r="C19" i="1" s="1"/>
  <c r="L16" i="1"/>
  <c r="I15" i="1"/>
  <c r="F15" i="1" s="1"/>
  <c r="C18" i="1" s="1"/>
  <c r="D23" i="2"/>
  <c r="D17" i="2"/>
  <c r="D21" i="2"/>
  <c r="D10" i="2" s="1"/>
  <c r="D11" i="2"/>
  <c r="E86" i="1"/>
  <c r="D86" i="1"/>
  <c r="C86" i="1"/>
  <c r="E82" i="1"/>
  <c r="D82" i="1"/>
  <c r="C82" i="1"/>
  <c r="E76" i="1"/>
  <c r="C76" i="1"/>
  <c r="G74" i="1"/>
  <c r="G72" i="1"/>
  <c r="G71" i="1" s="1"/>
  <c r="P73" i="1"/>
  <c r="P72" i="1" s="1"/>
  <c r="P71" i="1" s="1"/>
  <c r="E70" i="1"/>
  <c r="D70" i="1"/>
  <c r="C70" i="1"/>
  <c r="F61" i="1"/>
  <c r="F89" i="1" s="1"/>
  <c r="E61" i="1"/>
  <c r="E89" i="1" s="1"/>
  <c r="D61" i="1"/>
  <c r="D89" i="1" s="1"/>
  <c r="C61" i="1"/>
  <c r="C89" i="1" s="1"/>
  <c r="F54" i="1"/>
  <c r="F82" i="1" s="1"/>
  <c r="E56" i="1"/>
  <c r="D56" i="1"/>
  <c r="C56" i="1"/>
  <c r="F49" i="1"/>
  <c r="F76" i="1" s="1"/>
  <c r="E50" i="1"/>
  <c r="C50" i="1"/>
  <c r="D49" i="1"/>
  <c r="D76" i="1" s="1"/>
  <c r="F46" i="1"/>
  <c r="F30" i="1"/>
  <c r="F31" i="1" s="1"/>
  <c r="F23" i="1"/>
  <c r="F24" i="1" s="1"/>
  <c r="P33" i="1"/>
  <c r="P32" i="1" s="1"/>
  <c r="P31" i="1" s="1"/>
  <c r="P26" i="1"/>
  <c r="P27" i="1" s="1"/>
  <c r="E38" i="1"/>
  <c r="E43" i="1" s="1"/>
  <c r="D38" i="1"/>
  <c r="D43" i="1" s="1"/>
  <c r="C38" i="1"/>
  <c r="C43" i="1" s="1"/>
  <c r="E31" i="1"/>
  <c r="D31" i="1"/>
  <c r="E24" i="1"/>
  <c r="D24" i="1"/>
  <c r="B30" i="1"/>
  <c r="B23" i="1"/>
  <c r="J3" i="1" a="1"/>
  <c r="J3" i="1" s="1"/>
  <c r="L87" i="1" l="1"/>
  <c r="L15" i="1"/>
  <c r="C84" i="1"/>
  <c r="D77" i="1"/>
  <c r="H73" i="1"/>
  <c r="I73" i="1" s="1"/>
  <c r="D84" i="1"/>
  <c r="P74" i="1"/>
  <c r="C77" i="1"/>
  <c r="E84" i="1"/>
  <c r="E77" i="1"/>
  <c r="F84" i="1"/>
  <c r="D50" i="1"/>
  <c r="I72" i="1"/>
  <c r="I71" i="1" s="1"/>
  <c r="F50" i="1"/>
  <c r="F70" i="1"/>
  <c r="P25" i="1"/>
  <c r="P24" i="1" s="1"/>
  <c r="G33" i="1"/>
  <c r="G32" i="1" s="1"/>
  <c r="G31" i="1" s="1"/>
  <c r="G30" i="1" s="1"/>
  <c r="F38" i="1"/>
  <c r="F43" i="1" s="1"/>
  <c r="P34" i="1"/>
  <c r="F56" i="1"/>
  <c r="C67" i="1"/>
  <c r="C87" i="1" s="1"/>
  <c r="C47" i="1"/>
  <c r="C59" i="1"/>
  <c r="C55" i="1"/>
  <c r="C62" i="1"/>
  <c r="D67" i="1"/>
  <c r="D87" i="1" s="1"/>
  <c r="D47" i="1"/>
  <c r="D44" i="1"/>
  <c r="D59" i="1"/>
  <c r="D55" i="1"/>
  <c r="D62" i="1"/>
  <c r="E67" i="1"/>
  <c r="E71" i="1" s="1"/>
  <c r="E47" i="1"/>
  <c r="E44" i="1"/>
  <c r="E59" i="1"/>
  <c r="E55" i="1"/>
  <c r="E62" i="1"/>
  <c r="E39" i="1"/>
  <c r="D39" i="1"/>
  <c r="J47" i="1"/>
  <c r="G25" i="1"/>
  <c r="G24" i="1" s="1"/>
  <c r="G23" i="1" s="1"/>
  <c r="M87" i="1" l="1"/>
  <c r="N87" i="1" s="1"/>
  <c r="D83" i="1"/>
  <c r="H74" i="1"/>
  <c r="H72" i="1"/>
  <c r="H71" i="1" s="1"/>
  <c r="D71" i="1"/>
  <c r="J73" i="1"/>
  <c r="I74" i="1"/>
  <c r="D90" i="1"/>
  <c r="C71" i="1"/>
  <c r="E83" i="1"/>
  <c r="C83" i="1"/>
  <c r="E90" i="1"/>
  <c r="C90" i="1"/>
  <c r="E87" i="1"/>
  <c r="F77" i="1"/>
  <c r="H33" i="1"/>
  <c r="H32" i="1" s="1"/>
  <c r="H31" i="1" s="1"/>
  <c r="H30" i="1" s="1"/>
  <c r="G38" i="1"/>
  <c r="G43" i="1" s="1"/>
  <c r="G34" i="1"/>
  <c r="D68" i="1"/>
  <c r="F62" i="1"/>
  <c r="G62" i="1" s="1"/>
  <c r="F55" i="1"/>
  <c r="G55" i="1" s="1"/>
  <c r="F47" i="1"/>
  <c r="F39" i="1"/>
  <c r="H26" i="1"/>
  <c r="H27" i="1" s="1"/>
  <c r="F44" i="1"/>
  <c r="F67" i="1"/>
  <c r="F59" i="1"/>
  <c r="G59" i="1" s="1"/>
  <c r="G27" i="1"/>
  <c r="E68" i="1"/>
  <c r="K47" i="1"/>
  <c r="O87" i="1" l="1"/>
  <c r="P87" i="1" s="1"/>
  <c r="K73" i="1"/>
  <c r="J74" i="1"/>
  <c r="J72" i="1"/>
  <c r="J71" i="1" s="1"/>
  <c r="F68" i="1"/>
  <c r="F90" i="1"/>
  <c r="F83" i="1"/>
  <c r="F87" i="1"/>
  <c r="F71" i="1"/>
  <c r="G39" i="1"/>
  <c r="I26" i="1"/>
  <c r="I25" i="1" s="1"/>
  <c r="I24" i="1" s="1"/>
  <c r="H34" i="1"/>
  <c r="I33" i="1"/>
  <c r="H59" i="1"/>
  <c r="I59" i="1" s="1"/>
  <c r="H25" i="1"/>
  <c r="H24" i="1" s="1"/>
  <c r="H23" i="1" s="1"/>
  <c r="H55" i="1"/>
  <c r="I55" i="1" s="1"/>
  <c r="H62" i="1"/>
  <c r="G61" i="1"/>
  <c r="G89" i="1" s="1"/>
  <c r="G67" i="1"/>
  <c r="G86" i="1" s="1"/>
  <c r="G54" i="1"/>
  <c r="G82" i="1" s="1"/>
  <c r="G58" i="1"/>
  <c r="G44" i="1"/>
  <c r="G46" i="1"/>
  <c r="G49" i="1" s="1"/>
  <c r="L47" i="1"/>
  <c r="M47" i="1" s="1"/>
  <c r="L73" i="1" l="1"/>
  <c r="K72" i="1"/>
  <c r="K71" i="1" s="1"/>
  <c r="K74" i="1"/>
  <c r="G90" i="1"/>
  <c r="G84" i="1"/>
  <c r="G83" i="1"/>
  <c r="G68" i="1"/>
  <c r="G70" i="1"/>
  <c r="I23" i="1"/>
  <c r="H38" i="1"/>
  <c r="H39" i="1" s="1"/>
  <c r="J26" i="1"/>
  <c r="J25" i="1" s="1"/>
  <c r="J24" i="1" s="1"/>
  <c r="I27" i="1"/>
  <c r="I34" i="1"/>
  <c r="I32" i="1"/>
  <c r="I31" i="1" s="1"/>
  <c r="I30" i="1" s="1"/>
  <c r="J33" i="1"/>
  <c r="I62" i="1"/>
  <c r="J55" i="1"/>
  <c r="J59" i="1"/>
  <c r="G56" i="1"/>
  <c r="N47" i="1"/>
  <c r="M73" i="1" l="1"/>
  <c r="L74" i="1"/>
  <c r="L72" i="1"/>
  <c r="L71" i="1" s="1"/>
  <c r="K26" i="1"/>
  <c r="L26" i="1" s="1"/>
  <c r="L27" i="1" s="1"/>
  <c r="J27" i="1"/>
  <c r="G76" i="1"/>
  <c r="G80" i="1" s="1"/>
  <c r="G93" i="1" s="1"/>
  <c r="G94" i="1" s="1"/>
  <c r="I38" i="1"/>
  <c r="I43" i="1" s="1"/>
  <c r="J23" i="1"/>
  <c r="H43" i="1"/>
  <c r="H61" i="1" s="1"/>
  <c r="K33" i="1"/>
  <c r="J32" i="1"/>
  <c r="J31" i="1" s="1"/>
  <c r="J30" i="1" s="1"/>
  <c r="J34" i="1"/>
  <c r="K59" i="1"/>
  <c r="J62" i="1"/>
  <c r="K55" i="1"/>
  <c r="O47" i="1"/>
  <c r="P47" i="1" s="1"/>
  <c r="K25" i="1" l="1"/>
  <c r="K24" i="1" s="1"/>
  <c r="K23" i="1" s="1"/>
  <c r="K27" i="1"/>
  <c r="L25" i="1"/>
  <c r="L24" i="1" s="1"/>
  <c r="M26" i="1"/>
  <c r="N26" i="1" s="1"/>
  <c r="N73" i="1"/>
  <c r="M72" i="1"/>
  <c r="M71" i="1" s="1"/>
  <c r="M74" i="1"/>
  <c r="I39" i="1"/>
  <c r="J38" i="1"/>
  <c r="J39" i="1" s="1"/>
  <c r="H46" i="1"/>
  <c r="H49" i="1" s="1"/>
  <c r="H58" i="1"/>
  <c r="I44" i="1"/>
  <c r="H54" i="1"/>
  <c r="H82" i="1" s="1"/>
  <c r="H67" i="1"/>
  <c r="H44" i="1"/>
  <c r="K34" i="1"/>
  <c r="K32" i="1"/>
  <c r="K31" i="1" s="1"/>
  <c r="K30" i="1" s="1"/>
  <c r="L33" i="1"/>
  <c r="I67" i="1"/>
  <c r="I89" i="1" s="1"/>
  <c r="I46" i="1"/>
  <c r="I49" i="1" s="1"/>
  <c r="I58" i="1"/>
  <c r="I54" i="1"/>
  <c r="I82" i="1" s="1"/>
  <c r="I61" i="1"/>
  <c r="L59" i="1"/>
  <c r="L55" i="1"/>
  <c r="K62" i="1"/>
  <c r="J43" i="1" l="1"/>
  <c r="J54" i="1" s="1"/>
  <c r="J82" i="1" s="1"/>
  <c r="L23" i="1"/>
  <c r="O26" i="1"/>
  <c r="O25" i="1" s="1"/>
  <c r="O24" i="1" s="1"/>
  <c r="N25" i="1"/>
  <c r="N24" i="1" s="1"/>
  <c r="N27" i="1"/>
  <c r="O73" i="1"/>
  <c r="N72" i="1"/>
  <c r="N71" i="1" s="1"/>
  <c r="N74" i="1"/>
  <c r="M25" i="1"/>
  <c r="M24" i="1" s="1"/>
  <c r="M27" i="1"/>
  <c r="H86" i="1"/>
  <c r="H84" i="1" s="1"/>
  <c r="H89" i="1"/>
  <c r="I70" i="1"/>
  <c r="I76" i="1" s="1"/>
  <c r="I80" i="1" s="1"/>
  <c r="I86" i="1"/>
  <c r="I84" i="1" s="1"/>
  <c r="I83" i="1"/>
  <c r="H83" i="1"/>
  <c r="H68" i="1"/>
  <c r="H70" i="1"/>
  <c r="K38" i="1"/>
  <c r="K43" i="1" s="1"/>
  <c r="K67" i="1" s="1"/>
  <c r="K89" i="1" s="1"/>
  <c r="I68" i="1"/>
  <c r="H56" i="1"/>
  <c r="I56" i="1"/>
  <c r="M33" i="1"/>
  <c r="L34" i="1"/>
  <c r="L32" i="1"/>
  <c r="L31" i="1" s="1"/>
  <c r="L30" i="1" s="1"/>
  <c r="M55" i="1"/>
  <c r="N55" i="1" s="1"/>
  <c r="M59" i="1"/>
  <c r="L62" i="1"/>
  <c r="O27" i="1" l="1"/>
  <c r="L38" i="1"/>
  <c r="L39" i="1" s="1"/>
  <c r="J67" i="1"/>
  <c r="J89" i="1" s="1"/>
  <c r="J44" i="1"/>
  <c r="J61" i="1"/>
  <c r="J46" i="1"/>
  <c r="J49" i="1" s="1"/>
  <c r="J58" i="1"/>
  <c r="J56" i="1" s="1"/>
  <c r="M23" i="1"/>
  <c r="N23" i="1" s="1"/>
  <c r="O23" i="1" s="1"/>
  <c r="O74" i="1"/>
  <c r="O72" i="1"/>
  <c r="O71" i="1" s="1"/>
  <c r="I93" i="1"/>
  <c r="I94" i="1" s="1"/>
  <c r="K70" i="1"/>
  <c r="K76" i="1" s="1"/>
  <c r="K80" i="1" s="1"/>
  <c r="K86" i="1"/>
  <c r="K39" i="1"/>
  <c r="H76" i="1"/>
  <c r="H80" i="1" s="1"/>
  <c r="H93" i="1" s="1"/>
  <c r="H94" i="1" s="1"/>
  <c r="K46" i="1"/>
  <c r="K49" i="1" s="1"/>
  <c r="K58" i="1"/>
  <c r="K61" i="1"/>
  <c r="K54" i="1"/>
  <c r="K82" i="1" s="1"/>
  <c r="K44" i="1"/>
  <c r="N33" i="1"/>
  <c r="M34" i="1"/>
  <c r="M32" i="1"/>
  <c r="M31" i="1" s="1"/>
  <c r="M30" i="1" s="1"/>
  <c r="N59" i="1"/>
  <c r="O59" i="1" s="1"/>
  <c r="P59" i="1" s="1"/>
  <c r="O55" i="1"/>
  <c r="P55" i="1" s="1"/>
  <c r="M62" i="1"/>
  <c r="L43" i="1" l="1"/>
  <c r="L58" i="1" s="1"/>
  <c r="J70" i="1"/>
  <c r="J76" i="1" s="1"/>
  <c r="J80" i="1" s="1"/>
  <c r="J83" i="1"/>
  <c r="K68" i="1"/>
  <c r="J86" i="1"/>
  <c r="J84" i="1" s="1"/>
  <c r="J68" i="1"/>
  <c r="M38" i="1"/>
  <c r="M43" i="1" s="1"/>
  <c r="M54" i="1" s="1"/>
  <c r="M82" i="1" s="1"/>
  <c r="K93" i="1"/>
  <c r="K94" i="1" s="1"/>
  <c r="K83" i="1"/>
  <c r="K84" i="1"/>
  <c r="K56" i="1"/>
  <c r="O33" i="1"/>
  <c r="N34" i="1"/>
  <c r="N32" i="1"/>
  <c r="N31" i="1" s="1"/>
  <c r="N30" i="1" s="1"/>
  <c r="N38" i="1" s="1"/>
  <c r="N62" i="1"/>
  <c r="O62" i="1" s="1"/>
  <c r="P62" i="1" s="1"/>
  <c r="P23" i="1"/>
  <c r="L44" i="1" l="1"/>
  <c r="L54" i="1"/>
  <c r="L82" i="1" s="1"/>
  <c r="L67" i="1"/>
  <c r="L86" i="1" s="1"/>
  <c r="L61" i="1"/>
  <c r="L46" i="1"/>
  <c r="L49" i="1" s="1"/>
  <c r="M61" i="1"/>
  <c r="J93" i="1"/>
  <c r="J94" i="1" s="1"/>
  <c r="M46" i="1"/>
  <c r="M49" i="1" s="1"/>
  <c r="M39" i="1"/>
  <c r="M67" i="1"/>
  <c r="M89" i="1" s="1"/>
  <c r="M44" i="1"/>
  <c r="M58" i="1"/>
  <c r="M56" i="1" s="1"/>
  <c r="N39" i="1"/>
  <c r="N43" i="1"/>
  <c r="N61" i="1" s="1"/>
  <c r="O32" i="1"/>
  <c r="O31" i="1" s="1"/>
  <c r="O30" i="1" s="1"/>
  <c r="O34" i="1"/>
  <c r="L70" i="1" l="1"/>
  <c r="L76" i="1" s="1"/>
  <c r="L80" i="1" s="1"/>
  <c r="L56" i="1"/>
  <c r="L89" i="1"/>
  <c r="L68" i="1"/>
  <c r="M86" i="1"/>
  <c r="M84" i="1" s="1"/>
  <c r="M68" i="1"/>
  <c r="M83" i="1"/>
  <c r="M70" i="1"/>
  <c r="M76" i="1" s="1"/>
  <c r="M80" i="1" s="1"/>
  <c r="L83" i="1"/>
  <c r="L84" i="1"/>
  <c r="N54" i="1"/>
  <c r="N82" i="1" s="1"/>
  <c r="N46" i="1"/>
  <c r="N49" i="1" s="1"/>
  <c r="N67" i="1"/>
  <c r="N44" i="1"/>
  <c r="N58" i="1"/>
  <c r="P30" i="1"/>
  <c r="P38" i="1" s="1"/>
  <c r="O38" i="1"/>
  <c r="L93" i="1" l="1"/>
  <c r="L94" i="1" s="1"/>
  <c r="M93" i="1"/>
  <c r="M94" i="1" s="1"/>
  <c r="N86" i="1"/>
  <c r="N84" i="1" s="1"/>
  <c r="N89" i="1"/>
  <c r="N83" i="1"/>
  <c r="N68" i="1"/>
  <c r="N70" i="1"/>
  <c r="N56" i="1"/>
  <c r="O39" i="1"/>
  <c r="O43" i="1"/>
  <c r="P43" i="1"/>
  <c r="P39" i="1"/>
  <c r="N76" i="1" l="1"/>
  <c r="N80" i="1" s="1"/>
  <c r="N93" i="1" s="1"/>
  <c r="N94" i="1" s="1"/>
  <c r="P67" i="1"/>
  <c r="P89" i="1" s="1"/>
  <c r="P46" i="1"/>
  <c r="P49" i="1" s="1"/>
  <c r="P54" i="1"/>
  <c r="P82" i="1" s="1"/>
  <c r="P58" i="1"/>
  <c r="P61" i="1"/>
  <c r="P44" i="1"/>
  <c r="O44" i="1"/>
  <c r="O58" i="1"/>
  <c r="O46" i="1"/>
  <c r="O49" i="1" s="1"/>
  <c r="O61" i="1"/>
  <c r="O54" i="1"/>
  <c r="O82" i="1" s="1"/>
  <c r="O67" i="1"/>
  <c r="O86" i="1" l="1"/>
  <c r="O84" i="1" s="1"/>
  <c r="O89" i="1"/>
  <c r="P70" i="1"/>
  <c r="P76" i="1" s="1"/>
  <c r="P80" i="1" s="1"/>
  <c r="P86" i="1"/>
  <c r="P84" i="1" s="1"/>
  <c r="O83" i="1"/>
  <c r="P83" i="1"/>
  <c r="O68" i="1"/>
  <c r="O70" i="1"/>
  <c r="O56" i="1"/>
  <c r="P56" i="1"/>
  <c r="P68" i="1"/>
  <c r="P93" i="1" l="1"/>
  <c r="O76" i="1"/>
  <c r="O80" i="1" s="1"/>
  <c r="O93" i="1" s="1"/>
  <c r="O94" i="1" s="1"/>
  <c r="P94" i="1" l="1"/>
  <c r="P96" i="1"/>
  <c r="P97" i="1" s="1"/>
  <c r="P100" i="1" l="1"/>
  <c r="P103" i="1" s="1"/>
  <c r="P105" i="1" s="1"/>
  <c r="J4" i="1" s="1"/>
  <c r="N4"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Shalil Gunputh</author>
  </authors>
  <commentList>
    <comment ref="B58" authorId="0" shapeId="0" xr:uid="{07F8FE0E-D31B-964A-84E3-898182371304}">
      <text>
        <r>
          <rPr>
            <b/>
            <sz val="10"/>
            <color rgb="FF000000"/>
            <rFont val="Tahoma"/>
            <family val="2"/>
          </rPr>
          <t>Shalil Gunputh:</t>
        </r>
        <r>
          <rPr>
            <sz val="10"/>
            <color rgb="FF000000"/>
            <rFont val="Tahoma"/>
            <family val="2"/>
          </rPr>
          <t xml:space="preserve">
</t>
        </r>
        <r>
          <rPr>
            <sz val="10"/>
            <color rgb="FF000000"/>
            <rFont val="Tahoma"/>
            <family val="2"/>
          </rPr>
          <t xml:space="preserve">With Capitalized R&amp;D
</t>
        </r>
      </text>
    </comment>
    <comment ref="B86" authorId="0" shapeId="0" xr:uid="{17A0D24D-2F0A-BE49-8CF5-E8F91952C468}">
      <text>
        <r>
          <rPr>
            <b/>
            <sz val="10"/>
            <color rgb="FF000000"/>
            <rFont val="Tahoma"/>
            <family val="2"/>
          </rPr>
          <t>Shalil Gunputh:</t>
        </r>
        <r>
          <rPr>
            <sz val="10"/>
            <color rgb="FF000000"/>
            <rFont val="Tahoma"/>
            <family val="2"/>
          </rPr>
          <t xml:space="preserve">
</t>
        </r>
        <r>
          <rPr>
            <sz val="10"/>
            <color rgb="FF000000"/>
            <rFont val="Tahoma"/>
            <family val="2"/>
          </rPr>
          <t xml:space="preserve">With Capitalized R&amp;D with high % of revenue for next two years then 5% after 
</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<sst xmlns="http://schemas.openxmlformats.org/spreadsheetml/2006/main" count="93" uniqueCount="58">
  <si>
    <t xml:space="preserve">Ticker </t>
  </si>
  <si>
    <t>Date</t>
  </si>
  <si>
    <t>COIN</t>
  </si>
  <si>
    <t xml:space="preserve">Current Share Price </t>
  </si>
  <si>
    <t xml:space="preserve">Implied Share Price </t>
  </si>
  <si>
    <t xml:space="preserve">Upside/Downside </t>
  </si>
  <si>
    <t>Assumptions</t>
  </si>
  <si>
    <t xml:space="preserve">Switches </t>
  </si>
  <si>
    <t xml:space="preserve">Net Revenue </t>
  </si>
  <si>
    <t xml:space="preserve">Other Revenue </t>
  </si>
  <si>
    <t xml:space="preserve">Revenue Build </t>
  </si>
  <si>
    <t xml:space="preserve">% Growth </t>
  </si>
  <si>
    <t xml:space="preserve"> Conservative </t>
  </si>
  <si>
    <t xml:space="preserve"> Base</t>
  </si>
  <si>
    <t xml:space="preserve"> Optimistic</t>
  </si>
  <si>
    <t xml:space="preserve">% of Revenue </t>
  </si>
  <si>
    <t>Total Revenue</t>
  </si>
  <si>
    <t>Base</t>
  </si>
  <si>
    <t xml:space="preserve">Conservative </t>
  </si>
  <si>
    <t>Optimistic</t>
  </si>
  <si>
    <t>X</t>
  </si>
  <si>
    <t>Income Statement</t>
  </si>
  <si>
    <t xml:space="preserve">Revenue </t>
  </si>
  <si>
    <t>EBIT</t>
  </si>
  <si>
    <t>% of Revenue</t>
  </si>
  <si>
    <t>Taxes</t>
  </si>
  <si>
    <t>% of EBIT</t>
  </si>
  <si>
    <t>D&amp;A</t>
  </si>
  <si>
    <t>% of CapEx</t>
  </si>
  <si>
    <t xml:space="preserve">Capital Expenditures </t>
  </si>
  <si>
    <t xml:space="preserve">Change in Net Working Capital </t>
  </si>
  <si>
    <t xml:space="preserve">Cash Flow Items </t>
  </si>
  <si>
    <t>DCF</t>
  </si>
  <si>
    <t>EBIAT</t>
  </si>
  <si>
    <t xml:space="preserve">Unlevered Free Cash Flow </t>
  </si>
  <si>
    <t xml:space="preserve">Present Value of Free Cash Flow </t>
  </si>
  <si>
    <t>WACC</t>
  </si>
  <si>
    <t>TGV</t>
  </si>
  <si>
    <t>WACC = % of equity * cost of equity + % of debt * cost of debt * (1-Tax Rate)</t>
  </si>
  <si>
    <t xml:space="preserve">Cost of equity = Risk Free Rate + Beta * Market Risk Premium </t>
  </si>
  <si>
    <t xml:space="preserve">Market Cap </t>
  </si>
  <si>
    <t xml:space="preserve">% of equity </t>
  </si>
  <si>
    <t xml:space="preserve">Cost of Equity </t>
  </si>
  <si>
    <t xml:space="preserve">Risk Free Rate </t>
  </si>
  <si>
    <t xml:space="preserve">Beta </t>
  </si>
  <si>
    <t xml:space="preserve">Market Risk Premium </t>
  </si>
  <si>
    <t xml:space="preserve">Debt </t>
  </si>
  <si>
    <t xml:space="preserve">% of Debt </t>
  </si>
  <si>
    <t xml:space="preserve">Cost of Debt </t>
  </si>
  <si>
    <t xml:space="preserve">Tax Rate </t>
  </si>
  <si>
    <t xml:space="preserve">Total </t>
  </si>
  <si>
    <t xml:space="preserve">Terminal Value </t>
  </si>
  <si>
    <t xml:space="preserve">Enterprise Value </t>
  </si>
  <si>
    <t xml:space="preserve">(+) Cash </t>
  </si>
  <si>
    <t xml:space="preserve">(-) Debt </t>
  </si>
  <si>
    <t xml:space="preserve">Equity Value </t>
  </si>
  <si>
    <t xml:space="preserve">Shares </t>
  </si>
  <si>
    <t>Present Value of Terminal Valu 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</si>
</sst>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409]* #,##0.00_);_([$$-409]* \(#,##0.00\);_([$$-409]* &quot;-&quot;??_);_(@_)"/>
    <numFmt numFmtId="170" formatCode="[$$-409]#,##0_);\([$$-409]#,##0\)"/>
  </numFmts>
  <fonts count="11" x14ac:knownFonts="1">
    <font>
      <sz val="12"/>
      <color theme="1"/>
      <name val="Calibri"/>
      <family val="2"/>
      <scheme val="minor"/>
    </font>
    <font>
      <b/>
      <sz val="12"/>
      <color theme="1"/>
      <name val="Calibri"/>
      <family val="2"/>
      <scheme val="minor"/>
    </font>
    <font>
      <sz val="12"/>
      <color theme="0"/>
      <name val="Calibri"/>
      <family val="2"/>
      <scheme val="minor"/>
    </font>
    <font>
      <i/>
      <sz val="12"/>
      <color theme="1"/>
      <name val="Calibri"/>
      <family val="2"/>
      <scheme val="minor"/>
    </font>
    <font>
      <sz val="12"/>
      <color rgb="FF000000"/>
      <name val="Calibri"/>
      <family val="2"/>
      <scheme val="minor"/>
    </font>
    <font>
      <b/>
      <sz val="18"/>
      <color rgb="FF000000"/>
      <name val="Calibri"/>
      <family val="2"/>
      <scheme val="minor"/>
    </font>
    <font>
      <sz val="14"/>
      <color rgb="FF000000"/>
      <name val="Calibri"/>
      <family val="2"/>
      <scheme val="minor"/>
    </font>
    <font>
      <b/>
      <sz val="14"/>
      <color rgb="FFFFFFFF"/>
      <name val="Calibri"/>
      <family val="2"/>
      <scheme val="minor"/>
    </font>
    <font>
      <b/>
      <sz val="14"/>
      <color rgb="FF000000"/>
      <name val="Calibri"/>
      <family val="2"/>
      <scheme val="minor"/>
    </font>
    <font>
      <sz val="10"/>
      <color rgb="FF000000"/>
      <name val="Tahoma"/>
      <family val="2"/>
    </font>
    <font>
      <b/>
      <sz val="10"/>
      <color rgb="FF000000"/>
      <name val="Tahoma"/>
      <family val="2"/>
    </font>
  </fonts>
  <fills count="6">
    <fill>
      <patternFill patternType="none"/>
    </fill>
    <fill>
      <patternFill patternType="gray125"/>
    </fill>
    <fill>
      <patternFill patternType="solid">
        <fgColor theme="7" tint="0.79998168889431442"/>
        <bgColor indexed="64"/>
      </patternFill>
    </fill>
    <fill>
      <patternFill patternType="solid">
        <fgColor theme="8" tint="-0.499984740745262"/>
        <bgColor indexed="64"/>
      </patternFill>
    </fill>
    <fill>
      <patternFill patternType="solid">
        <fgColor rgb="FFFFF2CC"/>
        <bgColor rgb="FF000000"/>
      </patternFill>
    </fill>
    <fill>
      <patternFill patternType="solid">
        <fgColor rgb="FF1F4E78"/>
        <bgColor rgb="FF000000"/>
      </patternFill>
    </fill>
  </fills>
  <borders count="4">
    <border>
      <left/>
      <right/>
      <top/>
      <bottom/>
      <diagonal/>
    </border>
    <border>
      <left style="hair">
        <color auto="1"/>
      </left>
      <right style="hair">
        <color auto="1"/>
      </right>
      <top style="hair">
        <color auto="1"/>
      </top>
      <bottom style="hair">
        <color auto="1"/>
      </bottom>
      <diagonal/>
    </border>
    <border>
      <left/>
      <right/>
      <top style="thin">
        <color auto="1"/>
      </top>
      <bottom/>
      <diagonal/>
    </border>
    <border>
      <left style="hair">
        <color indexed="64"/>
      </left>
      <right style="hair">
        <color indexed="64"/>
      </right>
      <top/>
      <bottom style="hair">
        <color indexed="64"/>
      </bottom>
      <diagonal/>
    </border>
  </borders>
  <cellStyleXfs count="1">
    <xf numFmtId="0" fontId="0" fillId="0" borderId="0"/>
  </cellStyleXfs>
  <cellXfs count="29">
    <xf numFmtId="0" fontId="0" fillId="0" borderId="0" xfId="0"/>
    <xf numFmtId="0" fontId="0" fillId="2" borderId="1" xfId="0" applyFill="1" applyBorder="1"/>
    <xf numFmtId="14" fontId="0" fillId="2" borderId="1" xfId="0" applyNumberFormat="1" applyFill="1" applyBorder="1"/>
    <xf numFmtId="164" fontId="0" fillId="2" borderId="1" xfId="0" applyNumberFormat="1" applyFill="1" applyBorder="1"/>
    <xf numFmtId="10" fontId="0" fillId="2" borderId="1" xfId="0" applyNumberFormat="1" applyFill="1" applyBorder="1"/>
    <xf numFmtId="0" fontId="2" fillId="3" borderId="0" xfId="0" applyFont="1" applyFill="1"/>
    <xf numFmtId="0" fontId="1" fillId="0" borderId="0" xfId="0" applyFont="1"/>
    <xf numFmtId="0" fontId="3" fillId="0" borderId="0" xfId="0" applyFont="1"/>
    <xf numFmtId="0" fontId="0" fillId="0" borderId="2" xfId="0" applyBorder="1"/>
    <xf numFmtId="0" fontId="1" fillId="0" borderId="0" xfId="0" applyFont="1" applyFill="1" applyBorder="1"/>
    <xf numFmtId="37" fontId="0" fillId="0" borderId="0" xfId="0" applyNumberFormat="1"/>
    <xf numFmtId="10" fontId="0" fillId="0" borderId="0" xfId="0" applyNumberFormat="1"/>
    <xf numFmtId="37" fontId="1" fillId="0" borderId="0" xfId="0" applyNumberFormat="1" applyFont="1"/>
    <xf numFmtId="0" fontId="3" fillId="0" borderId="0" xfId="0" applyFont="1" applyFill="1" applyBorder="1"/>
    <xf numFmtId="10" fontId="3" fillId="0" borderId="0" xfId="0" applyNumberFormat="1" applyFont="1"/>
    <xf numFmtId="0" fontId="0" fillId="0" borderId="0" xfId="0" applyAlignment="1">
      <alignment horizontal="center" vertical="center"/>
    </xf>
    <xf numFmtId="9" fontId="0" fillId="0" borderId="0" xfId="0" applyNumberFormat="1"/>
    <xf numFmtId="10" fontId="4" fillId="4" borderId="1" xfId="0" applyNumberFormat="1" applyFont="1" applyFill="1" applyBorder="1"/>
    <xf numFmtId="0" fontId="4" fillId="0" borderId="0" xfId="0" applyFont="1"/>
    <xf numFmtId="10" fontId="4" fillId="4" borderId="3" xfId="0" applyNumberFormat="1" applyFont="1" applyFill="1" applyBorder="1"/>
    <xf numFmtId="0" fontId="5" fillId="0" borderId="0" xfId="0" applyFont="1"/>
    <xf numFmtId="0" fontId="6" fillId="0" borderId="0" xfId="0" applyFont="1"/>
    <xf numFmtId="0" fontId="7" fillId="5" borderId="0" xfId="0" applyFont="1" applyFill="1"/>
    <xf numFmtId="0" fontId="8" fillId="0" borderId="0" xfId="0" applyFont="1"/>
    <xf numFmtId="3" fontId="4" fillId="0" borderId="0" xfId="0" applyNumberFormat="1" applyFont="1"/>
    <xf numFmtId="10" fontId="4" fillId="0" borderId="0" xfId="0" applyNumberFormat="1" applyFont="1"/>
    <xf numFmtId="2" fontId="4" fillId="0" borderId="0" xfId="0" applyNumberFormat="1" applyFont="1"/>
    <xf numFmtId="9" fontId="4" fillId="0" borderId="0" xfId="0" applyNumberFormat="1" applyFont="1"/>
    <xf numFmtId="170" fontId="0" fillId="2" borderId="1" xfId="0" applyNumberForma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microsoft.com/office/2017/10/relationships/person" Target="persons/perso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 Id="rId14" Type="http://schemas.openxmlformats.org/officeDocument/2006/relationships/calcChain" Target="calcChain.xml"/></Relationships>
</file>

<file path=xl/persons/person.xml><?xml version="1.0" encoding="utf-8"?>
<personList xmlns="http://schemas.microsoft.com/office/spreadsheetml/2018/threadedcomments" xmlns:x="http://schemas.openxmlformats.org/spreadsheetml/2006/mai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https://www.bing.com/financeapi/forcetrigger?t=bzu86h&amp;q=XNAS%3aCOIN&amp;form=skydnc</v>
    <v>Learn more on Bing</v>
  </rv>
  <rv s="1">
    <v>0</v>
    <v>COINBASE GLOBAL, INC. (XNAS:COIN)</v>
    <v>2</v>
    <v>3</v>
    <v>Finance</v>
    <v>4</v>
    <v>en-GB</v>
    <v>bzu86h</v>
    <v>268435456</v>
    <v>1</v>
    <v>Powered by Refinitiv</v>
    <v>217.49</v>
    <v>31.55</v>
    <v>2.7669999999999999</v>
    <v>0.8</v>
    <v>1.4502999999999999E-2</v>
    <v>USD</v>
    <v>Coinbase Global, Inc. is a financial technology company that provides end-to-end financial infrastructure and technology for the cryptoeconomy. The Company offers retail users the primary financial account for the crypto economy, institutions a marketplace with a liquidity for transacting in crypto assets, and ecosystem partners technology and services that enable them to build crypto-based applications and accept crypto assets as payment. The Company is engaged in building technology and financial infrastructure products and services that enable any person or business with an Internet connection to discover, transact, and engage with crypto assets and decentralized applications. It offers Coinbase Prime, a one-stop shop for institutions to participate in the cryptoeconomy. Its Coinbase Prime combines advanced trading, custody, real-time market data and analytics, and financing products to help customers access and transact in crypto markets.</v>
    <v>3730</v>
    <v>Nasdaq Stock Market</v>
    <v>XNAS</v>
    <v>XNAS</v>
    <v>C/O The Corporation Trust Company, 1209 Orange Street, WILMINGTON, DE, 19801 US</v>
    <v>56.69</v>
    <v>Financial Technology (Fintech) &amp; Infrastructure</v>
    <v>Stock</v>
    <v>44949.966140520315</v>
    <v>0</v>
    <v>53.21</v>
    <v>12700994976</v>
    <v>COINBASE GLOBAL, INC.</v>
    <v>COINBASE GLOBAL, INC.</v>
    <v>55</v>
    <v>8.2423000000000002</v>
    <v>55.16</v>
    <v>55.96</v>
    <v>226965600</v>
    <v>COIN</v>
    <v>COINBASE GLOBAL, INC. (XNAS:COIN)</v>
    <v>25115</v>
    <v>14677802</v>
    <v>2014</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415F43-A376-D443-886B-4DE05022EEE1}">
  <dimension ref="A3:P105"/>
  <sheetViews>
    <sheetView showGridLines="0" tabSelected="1" zoomScaleNormal="100" workbookViewId="0">
      <pane xSplit="2" topLeftCell="C1" activePane="topRight" state="frozen"/>
      <selection pane="topRight" activeCell="C94" sqref="C94"/>
    </sheetView>
  </sheetViews>
  <sheetFormatPr baseColWidth="10" defaultRowHeight="16" x14ac:dyDescent="0.2"/>
  <cols>
    <col min="1" max="1" width="3.83203125" customWidth="1"/>
    <col min="2" max="2" width="29.5" customWidth="1"/>
    <col min="8" max="8" width="10.83203125" customWidth="1"/>
    <col min="10" max="10" width="10.83203125" customWidth="1"/>
  </cols>
  <sheetData>
    <row r="3" spans="2:16" x14ac:dyDescent="0.2">
      <c r="C3" t="s">
        <v>0</v>
      </c>
      <c r="D3" s="1" t="e" vm="1">
        <v>#VALUE!</v>
      </c>
      <c r="H3" t="s">
        <v>3</v>
      </c>
      <c r="J3" s="3" cm="1">
        <f t="array" ref="J3">_FV(D3,"Price")</f>
        <v>55.96</v>
      </c>
    </row>
    <row r="4" spans="2:16" x14ac:dyDescent="0.2">
      <c r="C4" t="s">
        <v>1</v>
      </c>
      <c r="D4" s="2">
        <v>44949</v>
      </c>
      <c r="H4" t="s">
        <v>4</v>
      </c>
      <c r="J4" s="28">
        <f ca="1">P105</f>
        <v>341.31584977021777</v>
      </c>
      <c r="L4" t="s">
        <v>5</v>
      </c>
      <c r="N4" s="4">
        <f ca="1">J4/J3-1</f>
        <v>5.0992825191246922</v>
      </c>
    </row>
    <row r="7" spans="2:16" x14ac:dyDescent="0.2">
      <c r="B7" s="5" t="s">
        <v>6</v>
      </c>
      <c r="C7" s="5"/>
      <c r="D7" s="5"/>
      <c r="E7" s="5"/>
      <c r="F7" s="5"/>
      <c r="G7" s="5"/>
      <c r="H7" s="5"/>
      <c r="I7" s="5"/>
      <c r="J7" s="5"/>
      <c r="K7" s="5"/>
      <c r="L7" s="5"/>
      <c r="M7" s="5"/>
      <c r="N7" s="5"/>
      <c r="O7" s="5"/>
      <c r="P7" s="5"/>
    </row>
    <row r="9" spans="2:16" x14ac:dyDescent="0.2">
      <c r="B9" s="6" t="s">
        <v>7</v>
      </c>
      <c r="F9" s="6" t="s">
        <v>18</v>
      </c>
      <c r="I9" s="6" t="s">
        <v>17</v>
      </c>
      <c r="L9" s="6" t="s">
        <v>19</v>
      </c>
    </row>
    <row r="11" spans="2:16" x14ac:dyDescent="0.2">
      <c r="B11" s="6" t="s">
        <v>8</v>
      </c>
      <c r="C11" s="1">
        <v>3</v>
      </c>
      <c r="F11" s="4">
        <v>0.8</v>
      </c>
      <c r="I11" s="4">
        <v>0.15</v>
      </c>
      <c r="L11" s="4">
        <v>1.2</v>
      </c>
    </row>
    <row r="12" spans="2:16" x14ac:dyDescent="0.2">
      <c r="B12" s="6" t="s">
        <v>9</v>
      </c>
      <c r="C12" s="1">
        <v>3</v>
      </c>
      <c r="F12" s="4">
        <v>0.8</v>
      </c>
      <c r="I12" s="4">
        <v>0.1</v>
      </c>
      <c r="L12" s="4">
        <v>1.2</v>
      </c>
    </row>
    <row r="13" spans="2:16" x14ac:dyDescent="0.2">
      <c r="B13" s="6"/>
    </row>
    <row r="14" spans="2:16" x14ac:dyDescent="0.2">
      <c r="B14" s="6" t="s">
        <v>23</v>
      </c>
      <c r="C14" s="1">
        <v>3</v>
      </c>
      <c r="F14" s="4">
        <v>0.8</v>
      </c>
      <c r="I14" s="4">
        <v>0.3</v>
      </c>
      <c r="L14" s="17">
        <v>1.2</v>
      </c>
    </row>
    <row r="15" spans="2:16" x14ac:dyDescent="0.2">
      <c r="B15" s="6" t="s">
        <v>36</v>
      </c>
      <c r="C15" s="1">
        <v>3</v>
      </c>
      <c r="F15" s="4">
        <f>I15+0.005</f>
        <v>8.5792372366189418E-2</v>
      </c>
      <c r="I15" s="4">
        <f>COIN_WACC!D23</f>
        <v>8.0792372366189413E-2</v>
      </c>
      <c r="L15" s="19">
        <f>I15-0.005</f>
        <v>7.5792372366189409E-2</v>
      </c>
    </row>
    <row r="16" spans="2:16" x14ac:dyDescent="0.2">
      <c r="B16" s="6" t="s">
        <v>37</v>
      </c>
      <c r="C16" s="1">
        <v>3</v>
      </c>
      <c r="F16" s="4">
        <f>I16-0.005</f>
        <v>0.02</v>
      </c>
      <c r="I16" s="4">
        <v>2.5000000000000001E-2</v>
      </c>
      <c r="L16" s="19">
        <f>I16+0.005</f>
        <v>3.0000000000000002E-2</v>
      </c>
    </row>
    <row r="17" spans="1:16" x14ac:dyDescent="0.2">
      <c r="B17" s="6"/>
    </row>
    <row r="18" spans="1:16" x14ac:dyDescent="0.2">
      <c r="B18" s="6" t="s">
        <v>36</v>
      </c>
      <c r="C18" s="4">
        <f>CHOOSE(C15,F15,I15,L15)</f>
        <v>7.5792372366189409E-2</v>
      </c>
    </row>
    <row r="19" spans="1:16" x14ac:dyDescent="0.2">
      <c r="B19" s="6" t="s">
        <v>37</v>
      </c>
      <c r="C19" s="4">
        <f>CHOOSE(C16,F16,I16,L16)</f>
        <v>3.0000000000000002E-2</v>
      </c>
    </row>
    <row r="21" spans="1:16" x14ac:dyDescent="0.2">
      <c r="A21" s="15" t="s">
        <v>20</v>
      </c>
      <c r="B21" s="5" t="s">
        <v>10</v>
      </c>
      <c r="C21" s="5">
        <v>2019</v>
      </c>
      <c r="D21" s="5">
        <v>2020</v>
      </c>
      <c r="E21" s="5">
        <v>2021</v>
      </c>
      <c r="F21" s="5">
        <v>2022</v>
      </c>
      <c r="G21" s="5">
        <v>2023</v>
      </c>
      <c r="H21" s="5">
        <v>2024</v>
      </c>
      <c r="I21" s="5">
        <v>2025</v>
      </c>
      <c r="J21" s="5">
        <v>2026</v>
      </c>
      <c r="K21" s="5">
        <v>2027</v>
      </c>
      <c r="L21" s="5">
        <v>2028</v>
      </c>
      <c r="M21" s="5">
        <v>2029</v>
      </c>
      <c r="N21" s="5">
        <v>2030</v>
      </c>
      <c r="O21" s="5">
        <v>2031</v>
      </c>
      <c r="P21" s="5">
        <v>2032</v>
      </c>
    </row>
    <row r="23" spans="1:16" x14ac:dyDescent="0.2">
      <c r="B23" s="6" t="str">
        <f>B11</f>
        <v xml:space="preserve">Net Revenue </v>
      </c>
      <c r="C23" s="10">
        <v>482.94900000000001</v>
      </c>
      <c r="D23" s="10">
        <v>1141.1669999999999</v>
      </c>
      <c r="E23" s="10">
        <v>7354.7529999999997</v>
      </c>
      <c r="F23" s="10">
        <f>(2542869/3)*4/1000</f>
        <v>3390.4920000000002</v>
      </c>
      <c r="G23" s="10">
        <f ca="1">F23*(1+G24)</f>
        <v>4611.0691200000001</v>
      </c>
      <c r="H23" s="10">
        <f ca="1">G23*(1+H24)</f>
        <v>6178.8326207999999</v>
      </c>
      <c r="I23" s="10">
        <f t="shared" ref="I23" ca="1" si="0">H23*(1+I24)</f>
        <v>8156.0590594559999</v>
      </c>
      <c r="J23" s="10">
        <f ca="1">I23*(1+J24)</f>
        <v>10602.8767772928</v>
      </c>
      <c r="K23" s="10">
        <f t="shared" ref="K23" ca="1" si="1">J23*(1+K24)</f>
        <v>13571.682274934785</v>
      </c>
      <c r="L23" s="10">
        <f t="shared" ref="H23:P23" ca="1" si="2">K23*(1+L24)</f>
        <v>17100.319666417829</v>
      </c>
      <c r="M23" s="10">
        <f t="shared" ca="1" si="2"/>
        <v>21204.396386358108</v>
      </c>
      <c r="N23" s="10">
        <f t="shared" ca="1" si="2"/>
        <v>25869.363591356891</v>
      </c>
      <c r="O23" s="10">
        <f t="shared" ca="1" si="2"/>
        <v>31043.236309628268</v>
      </c>
      <c r="P23" s="10">
        <f t="shared" ca="1" si="2"/>
        <v>36631.018845361352</v>
      </c>
    </row>
    <row r="24" spans="1:16" s="7" customFormat="1" x14ac:dyDescent="0.2">
      <c r="B24" s="7" t="s">
        <v>11</v>
      </c>
      <c r="D24" s="14">
        <f>D23/C23-1</f>
        <v>1.3629140965195079</v>
      </c>
      <c r="E24" s="14">
        <f t="shared" ref="E24:P24" si="3">E23/D23-1</f>
        <v>5.444940135843396</v>
      </c>
      <c r="F24" s="14">
        <f t="shared" si="3"/>
        <v>-0.5390066804418856</v>
      </c>
      <c r="G24" s="14">
        <f ca="1">OFFSET(G24,$C$11,0)</f>
        <v>0.36</v>
      </c>
      <c r="H24" s="14">
        <f t="shared" ref="H24:P24" ca="1" si="4">OFFSET(H24,$C$11,0)</f>
        <v>0.33999999999999997</v>
      </c>
      <c r="I24" s="14">
        <f t="shared" ca="1" si="4"/>
        <v>0.32</v>
      </c>
      <c r="J24" s="14">
        <f t="shared" ca="1" si="4"/>
        <v>0.3</v>
      </c>
      <c r="K24" s="14">
        <f t="shared" ca="1" si="4"/>
        <v>0.27999999999999997</v>
      </c>
      <c r="L24" s="14">
        <f t="shared" ca="1" si="4"/>
        <v>0.26</v>
      </c>
      <c r="M24" s="14">
        <f t="shared" ca="1" si="4"/>
        <v>0.24</v>
      </c>
      <c r="N24" s="14">
        <f t="shared" ca="1" si="4"/>
        <v>0.22</v>
      </c>
      <c r="O24" s="14">
        <f t="shared" ca="1" si="4"/>
        <v>0.2</v>
      </c>
      <c r="P24" s="14">
        <f t="shared" ca="1" si="4"/>
        <v>0.18</v>
      </c>
    </row>
    <row r="25" spans="1:16" x14ac:dyDescent="0.2">
      <c r="B25" t="s">
        <v>12</v>
      </c>
      <c r="G25" s="4">
        <f t="shared" ref="G25:O25" si="5">G26*$F$11</f>
        <v>0.24</v>
      </c>
      <c r="H25" s="4">
        <f t="shared" si="5"/>
        <v>0.22666666666666668</v>
      </c>
      <c r="I25" s="4">
        <f t="shared" si="5"/>
        <v>0.21333333333333335</v>
      </c>
      <c r="J25" s="4">
        <f t="shared" si="5"/>
        <v>0.2</v>
      </c>
      <c r="K25" s="4">
        <f t="shared" si="5"/>
        <v>0.18666666666666668</v>
      </c>
      <c r="L25" s="4">
        <f t="shared" si="5"/>
        <v>0.17333333333333334</v>
      </c>
      <c r="M25" s="4">
        <f t="shared" si="5"/>
        <v>0.16000000000000003</v>
      </c>
      <c r="N25" s="4">
        <f t="shared" si="5"/>
        <v>0.1466666666666667</v>
      </c>
      <c r="O25" s="4">
        <f t="shared" si="5"/>
        <v>0.13333333333333336</v>
      </c>
      <c r="P25" s="4">
        <f>P26*$F$11</f>
        <v>0.12</v>
      </c>
    </row>
    <row r="26" spans="1:16" x14ac:dyDescent="0.2">
      <c r="B26" t="s">
        <v>13</v>
      </c>
      <c r="G26" s="4">
        <v>0.3</v>
      </c>
      <c r="H26" s="4">
        <f>G26-(G26-$P$26)/($P$21-G21)</f>
        <v>0.28333333333333333</v>
      </c>
      <c r="I26" s="4">
        <f t="shared" ref="I26:O26" si="6">H26-(H26-$P$26)/($P$21-H21)</f>
        <v>0.26666666666666666</v>
      </c>
      <c r="J26" s="4">
        <f t="shared" si="6"/>
        <v>0.25</v>
      </c>
      <c r="K26" s="4">
        <f t="shared" si="6"/>
        <v>0.23333333333333334</v>
      </c>
      <c r="L26" s="4">
        <f t="shared" si="6"/>
        <v>0.21666666666666667</v>
      </c>
      <c r="M26" s="4">
        <f t="shared" si="6"/>
        <v>0.2</v>
      </c>
      <c r="N26" s="4">
        <f t="shared" si="6"/>
        <v>0.18333333333333335</v>
      </c>
      <c r="O26" s="4">
        <f t="shared" si="6"/>
        <v>0.16666666666666669</v>
      </c>
      <c r="P26" s="4">
        <f>I11</f>
        <v>0.15</v>
      </c>
    </row>
    <row r="27" spans="1:16" x14ac:dyDescent="0.2">
      <c r="B27" t="s">
        <v>14</v>
      </c>
      <c r="G27" s="4">
        <f t="shared" ref="G27:O27" si="7">G26*$L$12</f>
        <v>0.36</v>
      </c>
      <c r="H27" s="4">
        <f t="shared" si="7"/>
        <v>0.33999999999999997</v>
      </c>
      <c r="I27" s="4">
        <f t="shared" si="7"/>
        <v>0.32</v>
      </c>
      <c r="J27" s="4">
        <f t="shared" si="7"/>
        <v>0.3</v>
      </c>
      <c r="K27" s="4">
        <f t="shared" si="7"/>
        <v>0.27999999999999997</v>
      </c>
      <c r="L27" s="4">
        <f t="shared" si="7"/>
        <v>0.26</v>
      </c>
      <c r="M27" s="4">
        <f t="shared" si="7"/>
        <v>0.24</v>
      </c>
      <c r="N27" s="4">
        <f t="shared" si="7"/>
        <v>0.22</v>
      </c>
      <c r="O27" s="4">
        <f t="shared" si="7"/>
        <v>0.2</v>
      </c>
      <c r="P27" s="4">
        <f>P26*$L$12</f>
        <v>0.18</v>
      </c>
    </row>
    <row r="28" spans="1:16" x14ac:dyDescent="0.2">
      <c r="B28" s="7" t="s">
        <v>15</v>
      </c>
    </row>
    <row r="30" spans="1:16" x14ac:dyDescent="0.2">
      <c r="B30" s="6" t="str">
        <f>B12</f>
        <v xml:space="preserve">Other Revenue </v>
      </c>
      <c r="C30" s="10">
        <v>50.786000000000001</v>
      </c>
      <c r="D30" s="10">
        <v>136.31399999999999</v>
      </c>
      <c r="E30" s="10">
        <v>484.69099999999997</v>
      </c>
      <c r="F30" s="10">
        <f>(21231/3)*4/1000</f>
        <v>28.308</v>
      </c>
      <c r="G30" s="10">
        <f ca="1">F30*(1+G31)</f>
        <v>65.654012077975736</v>
      </c>
      <c r="H30" s="10">
        <f t="shared" ref="H30:P30" ca="1" si="8">G30*(1+H31)</f>
        <v>143.52107862030212</v>
      </c>
      <c r="I30" s="10">
        <f t="shared" ca="1" si="8"/>
        <v>294.61558773294166</v>
      </c>
      <c r="J30" s="10">
        <f t="shared" ca="1" si="8"/>
        <v>565.51936007732036</v>
      </c>
      <c r="K30" s="10">
        <f t="shared" ca="1" si="8"/>
        <v>1010.166538105191</v>
      </c>
      <c r="L30" s="10">
        <f t="shared" ca="1" si="8"/>
        <v>1669.8161210569388</v>
      </c>
      <c r="M30" s="10">
        <f t="shared" ca="1" si="8"/>
        <v>2537.7164809806609</v>
      </c>
      <c r="N30" s="10">
        <f t="shared" ca="1" si="8"/>
        <v>3518.5575087976431</v>
      </c>
      <c r="O30" s="10">
        <f t="shared" ca="1" si="8"/>
        <v>4409.6416316262539</v>
      </c>
      <c r="P30" s="10">
        <f t="shared" ca="1" si="8"/>
        <v>4938.7986274214045</v>
      </c>
    </row>
    <row r="31" spans="1:16" s="7" customFormat="1" x14ac:dyDescent="0.2">
      <c r="B31" s="7" t="s">
        <v>11</v>
      </c>
      <c r="D31" s="14">
        <f>D30/C30-1</f>
        <v>1.684086165478675</v>
      </c>
      <c r="E31" s="14">
        <f t="shared" ref="E31:P31" si="9">E30/D30-1</f>
        <v>2.55569493962469</v>
      </c>
      <c r="F31" s="14">
        <f t="shared" si="9"/>
        <v>-0.94159577957915452</v>
      </c>
      <c r="G31" s="14">
        <f ca="1">OFFSET(G31,$C$12,0)</f>
        <v>1.3192741302096842</v>
      </c>
      <c r="H31" s="14">
        <f t="shared" ref="H31:P31" ca="1" si="10">OFFSET(H31,$C$12,0)</f>
        <v>1.186021449075275</v>
      </c>
      <c r="I31" s="14">
        <f t="shared" ca="1" si="10"/>
        <v>1.0527687679408655</v>
      </c>
      <c r="J31" s="14">
        <f t="shared" ca="1" si="10"/>
        <v>0.91951608680645625</v>
      </c>
      <c r="K31" s="14">
        <f t="shared" ca="1" si="10"/>
        <v>0.78626340567204689</v>
      </c>
      <c r="L31" s="14">
        <f t="shared" ca="1" si="10"/>
        <v>0.65301072453763753</v>
      </c>
      <c r="M31" s="14">
        <f t="shared" ca="1" si="10"/>
        <v>0.51975804340322818</v>
      </c>
      <c r="N31" s="14">
        <f t="shared" ca="1" si="10"/>
        <v>0.38650536226881876</v>
      </c>
      <c r="O31" s="14">
        <f t="shared" ca="1" si="10"/>
        <v>0.25325268113440935</v>
      </c>
      <c r="P31" s="14">
        <f t="shared" ca="1" si="10"/>
        <v>0.12</v>
      </c>
    </row>
    <row r="32" spans="1:16" x14ac:dyDescent="0.2">
      <c r="B32" t="s">
        <v>12</v>
      </c>
      <c r="G32" s="4">
        <f t="shared" ref="G32:O32" si="11">G33*$F$12</f>
        <v>0.87951608680645621</v>
      </c>
      <c r="H32" s="4">
        <f t="shared" si="11"/>
        <v>0.79068096605018334</v>
      </c>
      <c r="I32" s="4">
        <f t="shared" si="11"/>
        <v>0.70184584529391048</v>
      </c>
      <c r="J32" s="4">
        <f t="shared" si="11"/>
        <v>0.6130107245376375</v>
      </c>
      <c r="K32" s="4">
        <f t="shared" si="11"/>
        <v>0.52417560378136463</v>
      </c>
      <c r="L32" s="4">
        <f t="shared" si="11"/>
        <v>0.43534048302509176</v>
      </c>
      <c r="M32" s="4">
        <f t="shared" si="11"/>
        <v>0.34650536226881878</v>
      </c>
      <c r="N32" s="4">
        <f t="shared" si="11"/>
        <v>0.25767024151254586</v>
      </c>
      <c r="O32" s="4">
        <f t="shared" si="11"/>
        <v>0.16883512075627294</v>
      </c>
      <c r="P32" s="4">
        <f>P33*$F$12</f>
        <v>8.0000000000000016E-2</v>
      </c>
    </row>
    <row r="33" spans="1:16" x14ac:dyDescent="0.2">
      <c r="B33" t="s">
        <v>13</v>
      </c>
      <c r="G33" s="4">
        <f>AVERAGE(D31:F31)</f>
        <v>1.0993951085080702</v>
      </c>
      <c r="H33" s="4">
        <f>G33-(G33-$P$33)/($P$21-G21)</f>
        <v>0.98835120756272909</v>
      </c>
      <c r="I33" s="4">
        <f t="shared" ref="I33:O33" si="12">H33-(H33-$P$33)/($P$21-H21)</f>
        <v>0.87730730661738798</v>
      </c>
      <c r="J33" s="4">
        <f t="shared" si="12"/>
        <v>0.76626340567204687</v>
      </c>
      <c r="K33" s="4">
        <f t="shared" si="12"/>
        <v>0.65521950472670576</v>
      </c>
      <c r="L33" s="4">
        <f t="shared" si="12"/>
        <v>0.54417560378136465</v>
      </c>
      <c r="M33" s="4">
        <f t="shared" si="12"/>
        <v>0.43313170283602348</v>
      </c>
      <c r="N33" s="4">
        <f t="shared" si="12"/>
        <v>0.32208780189068231</v>
      </c>
      <c r="O33" s="4">
        <f t="shared" si="12"/>
        <v>0.21104390094534115</v>
      </c>
      <c r="P33" s="4">
        <f>I12</f>
        <v>0.1</v>
      </c>
    </row>
    <row r="34" spans="1:16" x14ac:dyDescent="0.2">
      <c r="B34" t="s">
        <v>14</v>
      </c>
      <c r="G34" s="4">
        <f t="shared" ref="G34:O34" si="13">G33*$L$12</f>
        <v>1.3192741302096842</v>
      </c>
      <c r="H34" s="4">
        <f t="shared" si="13"/>
        <v>1.186021449075275</v>
      </c>
      <c r="I34" s="4">
        <f t="shared" si="13"/>
        <v>1.0527687679408655</v>
      </c>
      <c r="J34" s="4">
        <f t="shared" si="13"/>
        <v>0.91951608680645625</v>
      </c>
      <c r="K34" s="4">
        <f t="shared" si="13"/>
        <v>0.78626340567204689</v>
      </c>
      <c r="L34" s="4">
        <f t="shared" si="13"/>
        <v>0.65301072453763753</v>
      </c>
      <c r="M34" s="4">
        <f t="shared" si="13"/>
        <v>0.51975804340322818</v>
      </c>
      <c r="N34" s="4">
        <f t="shared" si="13"/>
        <v>0.38650536226881876</v>
      </c>
      <c r="O34" s="4">
        <f t="shared" si="13"/>
        <v>0.25325268113440935</v>
      </c>
      <c r="P34" s="4">
        <f>P33*$L$12</f>
        <v>0.12</v>
      </c>
    </row>
    <row r="35" spans="1:16" x14ac:dyDescent="0.2">
      <c r="B35" s="7" t="s">
        <v>15</v>
      </c>
    </row>
    <row r="37" spans="1:16" x14ac:dyDescent="0.2">
      <c r="B37" s="8"/>
      <c r="C37" s="8"/>
      <c r="D37" s="8"/>
      <c r="E37" s="8"/>
      <c r="F37" s="8"/>
      <c r="G37" s="8"/>
      <c r="H37" s="8"/>
      <c r="I37" s="8"/>
      <c r="J37" s="8"/>
      <c r="K37" s="8"/>
      <c r="L37" s="8"/>
      <c r="M37" s="8"/>
      <c r="N37" s="8"/>
      <c r="O37" s="8"/>
      <c r="P37" s="8"/>
    </row>
    <row r="38" spans="1:16" x14ac:dyDescent="0.2">
      <c r="B38" s="9" t="s">
        <v>16</v>
      </c>
      <c r="C38" s="12">
        <f>C23+C30</f>
        <v>533.73500000000001</v>
      </c>
      <c r="D38" s="12">
        <f t="shared" ref="D38:P38" si="14">D23+D30</f>
        <v>1277.481</v>
      </c>
      <c r="E38" s="12">
        <f t="shared" si="14"/>
        <v>7839.4439999999995</v>
      </c>
      <c r="F38" s="12">
        <f t="shared" si="14"/>
        <v>3418.8</v>
      </c>
      <c r="G38" s="12">
        <f t="shared" ca="1" si="14"/>
        <v>4676.7231320779756</v>
      </c>
      <c r="H38" s="12">
        <f t="shared" ca="1" si="14"/>
        <v>6322.3536994203023</v>
      </c>
      <c r="I38" s="12">
        <f t="shared" ca="1" si="14"/>
        <v>8450.6746471889419</v>
      </c>
      <c r="J38" s="12">
        <f t="shared" ca="1" si="14"/>
        <v>11168.39613737012</v>
      </c>
      <c r="K38" s="12">
        <f t="shared" ca="1" si="14"/>
        <v>14581.848813039976</v>
      </c>
      <c r="L38" s="12">
        <f t="shared" ca="1" si="14"/>
        <v>18770.135787474766</v>
      </c>
      <c r="M38" s="12">
        <f t="shared" ca="1" si="14"/>
        <v>23742.112867338768</v>
      </c>
      <c r="N38" s="12">
        <f t="shared" ca="1" si="14"/>
        <v>29387.921100154534</v>
      </c>
      <c r="O38" s="12">
        <f t="shared" ca="1" si="14"/>
        <v>35452.877941254519</v>
      </c>
      <c r="P38" s="12">
        <f t="shared" ca="1" si="14"/>
        <v>41569.817472782757</v>
      </c>
    </row>
    <row r="39" spans="1:16" x14ac:dyDescent="0.2">
      <c r="B39" s="13" t="s">
        <v>11</v>
      </c>
      <c r="D39" s="14">
        <f>D38/C38-1</f>
        <v>1.3934742896755878</v>
      </c>
      <c r="E39" s="14">
        <f t="shared" ref="E39:P39" si="15">E38/D38-1</f>
        <v>5.1366423453656056</v>
      </c>
      <c r="F39" s="14">
        <f t="shared" si="15"/>
        <v>-0.56389764376147078</v>
      </c>
      <c r="G39" s="14">
        <f t="shared" ca="1" si="15"/>
        <v>0.36794288407569198</v>
      </c>
      <c r="H39" s="14">
        <f t="shared" ca="1" si="15"/>
        <v>0.35187684215360759</v>
      </c>
      <c r="I39" s="14">
        <f t="shared" ca="1" si="15"/>
        <v>0.33663427403053792</v>
      </c>
      <c r="J39" s="14">
        <f t="shared" ca="1" si="15"/>
        <v>0.32159816862494051</v>
      </c>
      <c r="K39" s="14">
        <f t="shared" ca="1" si="15"/>
        <v>0.30563499303612973</v>
      </c>
      <c r="L39" s="14">
        <f t="shared" ca="1" si="15"/>
        <v>0.28722605947535063</v>
      </c>
      <c r="M39" s="14">
        <f t="shared" ca="1" si="15"/>
        <v>0.26488764578793189</v>
      </c>
      <c r="N39" s="14">
        <f t="shared" ca="1" si="15"/>
        <v>0.23779721140920507</v>
      </c>
      <c r="O39" s="14">
        <f t="shared" ca="1" si="15"/>
        <v>0.20637583789715874</v>
      </c>
      <c r="P39" s="14">
        <f t="shared" ca="1" si="15"/>
        <v>0.17253717855187989</v>
      </c>
    </row>
    <row r="41" spans="1:16" x14ac:dyDescent="0.2">
      <c r="A41" s="15" t="s">
        <v>20</v>
      </c>
      <c r="B41" s="5" t="s">
        <v>21</v>
      </c>
      <c r="C41" s="5">
        <v>2019</v>
      </c>
      <c r="D41" s="5">
        <v>2020</v>
      </c>
      <c r="E41" s="5">
        <v>2021</v>
      </c>
      <c r="F41" s="5">
        <v>2022</v>
      </c>
      <c r="G41" s="5">
        <v>2023</v>
      </c>
      <c r="H41" s="5">
        <v>2024</v>
      </c>
      <c r="I41" s="5">
        <v>2025</v>
      </c>
      <c r="J41" s="5">
        <v>2026</v>
      </c>
      <c r="K41" s="5">
        <v>2027</v>
      </c>
      <c r="L41" s="5">
        <v>2028</v>
      </c>
      <c r="M41" s="5">
        <v>2029</v>
      </c>
      <c r="N41" s="5">
        <v>2030</v>
      </c>
      <c r="O41" s="5">
        <v>2031</v>
      </c>
      <c r="P41" s="5">
        <v>2032</v>
      </c>
    </row>
    <row r="43" spans="1:16" x14ac:dyDescent="0.2">
      <c r="B43" s="6" t="s">
        <v>22</v>
      </c>
      <c r="C43" s="10">
        <f>C38</f>
        <v>533.73500000000001</v>
      </c>
      <c r="D43" s="10">
        <f t="shared" ref="D43:P43" si="16">D38</f>
        <v>1277.481</v>
      </c>
      <c r="E43" s="10">
        <f t="shared" si="16"/>
        <v>7839.4439999999995</v>
      </c>
      <c r="F43" s="10">
        <f t="shared" si="16"/>
        <v>3418.8</v>
      </c>
      <c r="G43" s="10">
        <f t="shared" ca="1" si="16"/>
        <v>4676.7231320779756</v>
      </c>
      <c r="H43" s="10">
        <f t="shared" ca="1" si="16"/>
        <v>6322.3536994203023</v>
      </c>
      <c r="I43" s="10">
        <f t="shared" ca="1" si="16"/>
        <v>8450.6746471889419</v>
      </c>
      <c r="J43" s="10">
        <f t="shared" ca="1" si="16"/>
        <v>11168.39613737012</v>
      </c>
      <c r="K43" s="10">
        <f t="shared" ca="1" si="16"/>
        <v>14581.848813039976</v>
      </c>
      <c r="L43" s="10">
        <f t="shared" ca="1" si="16"/>
        <v>18770.135787474766</v>
      </c>
      <c r="M43" s="10">
        <f t="shared" ca="1" si="16"/>
        <v>23742.112867338768</v>
      </c>
      <c r="N43" s="10">
        <f t="shared" ca="1" si="16"/>
        <v>29387.921100154534</v>
      </c>
      <c r="O43" s="10">
        <f t="shared" ca="1" si="16"/>
        <v>35452.877941254519</v>
      </c>
      <c r="P43" s="10">
        <f t="shared" ca="1" si="16"/>
        <v>41569.817472782757</v>
      </c>
    </row>
    <row r="44" spans="1:16" x14ac:dyDescent="0.2">
      <c r="B44" s="7" t="s">
        <v>11</v>
      </c>
      <c r="D44" s="14">
        <f>D43/C43-1</f>
        <v>1.3934742896755878</v>
      </c>
      <c r="E44" s="14">
        <f t="shared" ref="E44:P44" si="17">E43/D43-1</f>
        <v>5.1366423453656056</v>
      </c>
      <c r="F44" s="14">
        <f t="shared" si="17"/>
        <v>-0.56389764376147078</v>
      </c>
      <c r="G44" s="14">
        <f t="shared" ca="1" si="17"/>
        <v>0.36794288407569198</v>
      </c>
      <c r="H44" s="14">
        <f t="shared" ca="1" si="17"/>
        <v>0.35187684215360759</v>
      </c>
      <c r="I44" s="14">
        <f t="shared" ca="1" si="17"/>
        <v>0.33663427403053792</v>
      </c>
      <c r="J44" s="14">
        <f t="shared" ca="1" si="17"/>
        <v>0.32159816862494051</v>
      </c>
      <c r="K44" s="14">
        <f t="shared" ca="1" si="17"/>
        <v>0.30563499303612973</v>
      </c>
      <c r="L44" s="14">
        <f t="shared" ca="1" si="17"/>
        <v>0.28722605947535063</v>
      </c>
      <c r="M44" s="14">
        <f t="shared" ca="1" si="17"/>
        <v>0.26488764578793189</v>
      </c>
      <c r="N44" s="14">
        <f t="shared" ca="1" si="17"/>
        <v>0.23779721140920507</v>
      </c>
      <c r="O44" s="14">
        <f t="shared" ca="1" si="17"/>
        <v>0.20637583789715874</v>
      </c>
      <c r="P44" s="14">
        <f t="shared" ca="1" si="17"/>
        <v>0.17253717855187989</v>
      </c>
    </row>
    <row r="46" spans="1:16" x14ac:dyDescent="0.2">
      <c r="B46" s="6" t="s">
        <v>23</v>
      </c>
      <c r="C46" s="10">
        <v>-45.783000000000001</v>
      </c>
      <c r="D46" s="10">
        <v>408.95100000000002</v>
      </c>
      <c r="E46" s="10">
        <v>3076.9470000000001</v>
      </c>
      <c r="F46" s="10">
        <f>(-2155.336/3)*4</f>
        <v>-2873.7813333333329</v>
      </c>
      <c r="G46" s="10">
        <f ca="1">G43*G47</f>
        <v>1169.1807830194939</v>
      </c>
      <c r="H46" s="10">
        <f t="shared" ref="H46:P46" ca="1" si="18">H43*H47</f>
        <v>1580.5884248550756</v>
      </c>
      <c r="I46" s="10">
        <f t="shared" ca="1" si="18"/>
        <v>2112.6686617972355</v>
      </c>
      <c r="J46" s="10">
        <f t="shared" ca="1" si="18"/>
        <v>2792.0990343425301</v>
      </c>
      <c r="K46" s="10">
        <f t="shared" ca="1" si="18"/>
        <v>3645.4622032599941</v>
      </c>
      <c r="L46" s="10">
        <f t="shared" ca="1" si="18"/>
        <v>4692.5339468686916</v>
      </c>
      <c r="M46" s="10">
        <f t="shared" ca="1" si="18"/>
        <v>5935.5282168346921</v>
      </c>
      <c r="N46" s="10">
        <f t="shared" ca="1" si="18"/>
        <v>7346.9802750386334</v>
      </c>
      <c r="O46" s="10">
        <f t="shared" ca="1" si="18"/>
        <v>8863.2194853136298</v>
      </c>
      <c r="P46" s="10">
        <f t="shared" ca="1" si="18"/>
        <v>10392.454368195689</v>
      </c>
    </row>
    <row r="47" spans="1:16" x14ac:dyDescent="0.2">
      <c r="B47" s="7" t="s">
        <v>24</v>
      </c>
      <c r="C47" s="14">
        <f>C46/C43</f>
        <v>-8.5778523049828095E-2</v>
      </c>
      <c r="D47" s="14">
        <f t="shared" ref="D47:E47" si="19">D46/D43</f>
        <v>0.32012296073287982</v>
      </c>
      <c r="E47" s="14">
        <f t="shared" si="19"/>
        <v>0.39249556473647879</v>
      </c>
      <c r="F47" s="14">
        <f>F46/F43</f>
        <v>-0.84058188058188044</v>
      </c>
      <c r="G47" s="14">
        <v>0.25</v>
      </c>
      <c r="H47" s="14">
        <v>0.25</v>
      </c>
      <c r="I47" s="14">
        <v>0.25</v>
      </c>
      <c r="J47" s="14">
        <f t="shared" ref="H47:P47" si="20">AVERAGE(G47:I47)</f>
        <v>0.25</v>
      </c>
      <c r="K47" s="14">
        <f t="shared" si="20"/>
        <v>0.25</v>
      </c>
      <c r="L47" s="14">
        <f t="shared" si="20"/>
        <v>0.25</v>
      </c>
      <c r="M47" s="14">
        <f t="shared" si="20"/>
        <v>0.25</v>
      </c>
      <c r="N47" s="14">
        <f t="shared" si="20"/>
        <v>0.25</v>
      </c>
      <c r="O47" s="14">
        <f t="shared" si="20"/>
        <v>0.25</v>
      </c>
      <c r="P47" s="14">
        <f t="shared" si="20"/>
        <v>0.25</v>
      </c>
    </row>
    <row r="49" spans="1:16" x14ac:dyDescent="0.2">
      <c r="B49" s="6" t="s">
        <v>25</v>
      </c>
      <c r="C49" s="10">
        <v>-15.029</v>
      </c>
      <c r="D49" s="10">
        <f>86.882</f>
        <v>86.882000000000005</v>
      </c>
      <c r="E49" s="10">
        <v>-597.173</v>
      </c>
      <c r="F49" s="10">
        <f>-(425.756/3)*4</f>
        <v>-567.67466666666667</v>
      </c>
      <c r="G49" s="10">
        <f ca="1">G46*G50</f>
        <v>233.83615660389879</v>
      </c>
      <c r="H49" s="10">
        <f t="shared" ref="H49:P49" ca="1" si="21">H46*H50</f>
        <v>316.11768497101514</v>
      </c>
      <c r="I49" s="10">
        <f t="shared" ca="1" si="21"/>
        <v>422.53373235944713</v>
      </c>
      <c r="J49" s="10">
        <f t="shared" ca="1" si="21"/>
        <v>558.41980686850604</v>
      </c>
      <c r="K49" s="10">
        <f t="shared" ca="1" si="21"/>
        <v>729.09244065199891</v>
      </c>
      <c r="L49" s="10">
        <f t="shared" ca="1" si="21"/>
        <v>938.50678937373834</v>
      </c>
      <c r="M49" s="10">
        <f t="shared" ca="1" si="21"/>
        <v>1187.1056433669385</v>
      </c>
      <c r="N49" s="10">
        <f t="shared" ca="1" si="21"/>
        <v>1469.3960550077268</v>
      </c>
      <c r="O49" s="10">
        <f t="shared" ca="1" si="21"/>
        <v>1772.643897062726</v>
      </c>
      <c r="P49" s="10">
        <f t="shared" ca="1" si="21"/>
        <v>2078.490873639138</v>
      </c>
    </row>
    <row r="50" spans="1:16" x14ac:dyDescent="0.2">
      <c r="B50" s="7" t="s">
        <v>26</v>
      </c>
      <c r="C50" s="14">
        <f>C49/C46</f>
        <v>0.32826595024354016</v>
      </c>
      <c r="D50" s="14">
        <f t="shared" ref="D50:F50" si="22">D49/D46</f>
        <v>0.21245088042332699</v>
      </c>
      <c r="E50" s="14">
        <f t="shared" si="22"/>
        <v>-0.19407971603020785</v>
      </c>
      <c r="F50" s="14">
        <f t="shared" si="22"/>
        <v>0.19753579024337739</v>
      </c>
      <c r="G50" s="14">
        <v>0.2</v>
      </c>
      <c r="H50" s="14">
        <v>0.2</v>
      </c>
      <c r="I50" s="14">
        <v>0.2</v>
      </c>
      <c r="J50" s="14">
        <v>0.2</v>
      </c>
      <c r="K50" s="14">
        <v>0.2</v>
      </c>
      <c r="L50" s="14">
        <v>0.2</v>
      </c>
      <c r="M50" s="14">
        <v>0.2</v>
      </c>
      <c r="N50" s="14">
        <v>0.2</v>
      </c>
      <c r="O50" s="14">
        <v>0.2</v>
      </c>
      <c r="P50" s="14">
        <v>0.2</v>
      </c>
    </row>
    <row r="52" spans="1:16" x14ac:dyDescent="0.2">
      <c r="A52" s="15" t="s">
        <v>20</v>
      </c>
      <c r="B52" s="5" t="s">
        <v>31</v>
      </c>
      <c r="C52" s="5">
        <v>2019</v>
      </c>
      <c r="D52" s="5">
        <v>2020</v>
      </c>
      <c r="E52" s="5">
        <v>2021</v>
      </c>
      <c r="F52" s="5">
        <v>2022</v>
      </c>
      <c r="G52" s="5">
        <v>2023</v>
      </c>
      <c r="H52" s="5">
        <v>2024</v>
      </c>
      <c r="I52" s="5">
        <v>2025</v>
      </c>
      <c r="J52" s="5">
        <v>2026</v>
      </c>
      <c r="K52" s="5">
        <v>2027</v>
      </c>
      <c r="L52" s="5">
        <v>2028</v>
      </c>
      <c r="M52" s="5">
        <v>2029</v>
      </c>
      <c r="N52" s="5">
        <v>2030</v>
      </c>
      <c r="O52" s="5">
        <v>2031</v>
      </c>
      <c r="P52" s="5">
        <v>2032</v>
      </c>
    </row>
    <row r="54" spans="1:16" x14ac:dyDescent="0.2">
      <c r="B54" s="6" t="s">
        <v>27</v>
      </c>
      <c r="C54" s="10">
        <v>16.878</v>
      </c>
      <c r="D54" s="10">
        <v>30.962</v>
      </c>
      <c r="E54" s="10">
        <v>63.651000000000003</v>
      </c>
      <c r="F54" s="10">
        <f>(113.721/3)*4</f>
        <v>151.62800000000001</v>
      </c>
      <c r="G54" s="10">
        <f ca="1">G43*G55</f>
        <v>119.57963237485181</v>
      </c>
      <c r="H54" s="10">
        <f t="shared" ref="H54:P54" ca="1" si="23">H43*H55</f>
        <v>164.4647919808686</v>
      </c>
      <c r="I54" s="10">
        <f t="shared" ca="1" si="23"/>
        <v>270.23444352085073</v>
      </c>
      <c r="J54" s="10">
        <f t="shared" ca="1" si="23"/>
        <v>311.07774273674067</v>
      </c>
      <c r="K54" s="10">
        <f t="shared" ca="1" si="23"/>
        <v>417.25703297890715</v>
      </c>
      <c r="L54" s="10">
        <f t="shared" ca="1" si="23"/>
        <v>553.38159711149649</v>
      </c>
      <c r="M54" s="10">
        <f t="shared" ca="1" si="23"/>
        <v>680.21345125018149</v>
      </c>
      <c r="N54" s="10">
        <f t="shared" ca="1" si="23"/>
        <v>849.77063155838709</v>
      </c>
      <c r="O54" s="10">
        <f t="shared" ca="1" si="23"/>
        <v>1028.6977262612936</v>
      </c>
      <c r="P54" s="10">
        <f t="shared" ca="1" si="23"/>
        <v>1199.7276514410521</v>
      </c>
    </row>
    <row r="55" spans="1:16" x14ac:dyDescent="0.2">
      <c r="B55" s="7" t="s">
        <v>15</v>
      </c>
      <c r="C55" s="14">
        <f>C54/C43</f>
        <v>3.1622434354127045E-2</v>
      </c>
      <c r="D55" s="14">
        <f t="shared" ref="D55:F55" si="24">D54/D43</f>
        <v>2.4236759685662645E-2</v>
      </c>
      <c r="E55" s="14">
        <f t="shared" si="24"/>
        <v>8.1193258093303564E-3</v>
      </c>
      <c r="F55" s="14">
        <f t="shared" si="24"/>
        <v>4.435123435123435E-2</v>
      </c>
      <c r="G55" s="11">
        <f>AVERAGE(D55:F55)</f>
        <v>2.5569106615409117E-2</v>
      </c>
      <c r="H55" s="11">
        <f t="shared" ref="H55:P55" si="25">AVERAGE(E55:G55)</f>
        <v>2.6013222258657941E-2</v>
      </c>
      <c r="I55" s="11">
        <f t="shared" si="25"/>
        <v>3.1977854408433808E-2</v>
      </c>
      <c r="J55" s="11">
        <f t="shared" si="25"/>
        <v>2.7853394427500289E-2</v>
      </c>
      <c r="K55" s="11">
        <f t="shared" si="25"/>
        <v>2.8614823698197345E-2</v>
      </c>
      <c r="L55" s="11">
        <f t="shared" si="25"/>
        <v>2.9482024178043815E-2</v>
      </c>
      <c r="M55" s="11">
        <f t="shared" si="25"/>
        <v>2.8650080767913814E-2</v>
      </c>
      <c r="N55" s="11">
        <f t="shared" si="25"/>
        <v>2.8915642881384988E-2</v>
      </c>
      <c r="O55" s="11">
        <f t="shared" si="25"/>
        <v>2.901591594244754E-2</v>
      </c>
      <c r="P55" s="11">
        <f t="shared" si="25"/>
        <v>2.886054653058211E-2</v>
      </c>
    </row>
    <row r="56" spans="1:16" x14ac:dyDescent="0.2">
      <c r="B56" s="7" t="s">
        <v>28</v>
      </c>
      <c r="C56" s="14">
        <f>C54/C58</f>
        <v>0.20569130461275972</v>
      </c>
      <c r="D56" s="14">
        <f t="shared" ref="D56:P56" si="26">D54/D58</f>
        <v>0.22847823841079148</v>
      </c>
      <c r="E56" s="14">
        <f t="shared" si="26"/>
        <v>5.0200958417066011E-2</v>
      </c>
      <c r="F56" s="14">
        <f t="shared" si="26"/>
        <v>6.549801843166686E-2</v>
      </c>
      <c r="G56" s="14">
        <f t="shared" ca="1" si="26"/>
        <v>8.1175708992023296E-2</v>
      </c>
      <c r="H56" s="14">
        <f t="shared" ca="1" si="26"/>
        <v>6.7633581476414475E-2</v>
      </c>
      <c r="I56" s="14">
        <f t="shared" ca="1" si="26"/>
        <v>6.9681524005368048E-2</v>
      </c>
      <c r="J56" s="14">
        <f t="shared" ca="1" si="26"/>
        <v>7.2126725975810782E-2</v>
      </c>
      <c r="K56" s="14">
        <f t="shared" ca="1" si="26"/>
        <v>6.9808864479002489E-2</v>
      </c>
      <c r="L56" s="14">
        <f t="shared" ca="1" si="26"/>
        <v>7.0475528970170426E-2</v>
      </c>
      <c r="M56" s="14">
        <f t="shared" ca="1" si="26"/>
        <v>7.0775577299866457E-2</v>
      </c>
      <c r="N56" s="14">
        <f t="shared" ca="1" si="26"/>
        <v>7.0352412109405835E-2</v>
      </c>
      <c r="O56" s="14">
        <f t="shared" ca="1" si="26"/>
        <v>7.0532943437150858E-2</v>
      </c>
      <c r="P56" s="14">
        <f t="shared" ca="1" si="26"/>
        <v>7.0552515066637594E-2</v>
      </c>
    </row>
    <row r="58" spans="1:16" x14ac:dyDescent="0.2">
      <c r="B58" s="6" t="s">
        <v>29</v>
      </c>
      <c r="C58" s="10">
        <v>82.055000000000007</v>
      </c>
      <c r="D58" s="10">
        <v>135.51400000000001</v>
      </c>
      <c r="E58" s="10">
        <v>1267.924</v>
      </c>
      <c r="F58" s="10">
        <f>(1736.251/3)*4</f>
        <v>2315.0013333333332</v>
      </c>
      <c r="G58" s="10">
        <f ca="1">G43*G59</f>
        <v>1473.096248369106</v>
      </c>
      <c r="H58" s="10">
        <f t="shared" ref="H58:P58" ca="1" si="27">H43*H59</f>
        <v>2431.7031331280541</v>
      </c>
      <c r="I58" s="10">
        <f t="shared" ca="1" si="27"/>
        <v>3878.1362402468794</v>
      </c>
      <c r="J58" s="10">
        <f t="shared" ca="1" si="27"/>
        <v>4312.933084486147</v>
      </c>
      <c r="K58" s="10">
        <f t="shared" ca="1" si="27"/>
        <v>5977.1353694545787</v>
      </c>
      <c r="L58" s="10">
        <f t="shared" ca="1" si="27"/>
        <v>7852.1098769719283</v>
      </c>
      <c r="M58" s="10">
        <f t="shared" ca="1" si="27"/>
        <v>9610.8499174540102</v>
      </c>
      <c r="N58" s="10">
        <f t="shared" ca="1" si="27"/>
        <v>12078.770380138481</v>
      </c>
      <c r="O58" s="10">
        <f t="shared" ca="1" si="27"/>
        <v>14584.641957809768</v>
      </c>
      <c r="P58" s="10">
        <f t="shared" ca="1" si="27"/>
        <v>17004.746752229836</v>
      </c>
    </row>
    <row r="59" spans="1:16" x14ac:dyDescent="0.2">
      <c r="B59" s="7" t="s">
        <v>15</v>
      </c>
      <c r="C59" s="14">
        <f>C58/C43</f>
        <v>0.15373734156463414</v>
      </c>
      <c r="D59" s="14">
        <f t="shared" ref="D59:F59" si="28">D58/D43</f>
        <v>0.10607907280029998</v>
      </c>
      <c r="E59" s="14">
        <f t="shared" si="28"/>
        <v>0.16173647008639899</v>
      </c>
      <c r="F59" s="14">
        <f t="shared" si="28"/>
        <v>0.67713856713856702</v>
      </c>
      <c r="G59" s="11">
        <f>AVERAGE(D59:F59)</f>
        <v>0.31498470334175532</v>
      </c>
      <c r="H59" s="11">
        <f t="shared" ref="H59:P59" si="29">AVERAGE(E59:G59)</f>
        <v>0.38461991352224051</v>
      </c>
      <c r="I59" s="11">
        <f t="shared" si="29"/>
        <v>0.45891439466752093</v>
      </c>
      <c r="J59" s="11">
        <f t="shared" si="29"/>
        <v>0.3861730038438389</v>
      </c>
      <c r="K59" s="11">
        <f t="shared" si="29"/>
        <v>0.40990243734453347</v>
      </c>
      <c r="L59" s="11">
        <f t="shared" si="29"/>
        <v>0.41832994528529777</v>
      </c>
      <c r="M59" s="11">
        <f t="shared" si="29"/>
        <v>0.40480179549122336</v>
      </c>
      <c r="N59" s="11">
        <f t="shared" si="29"/>
        <v>0.4110113927070182</v>
      </c>
      <c r="O59" s="11">
        <f t="shared" si="29"/>
        <v>0.41138104449451313</v>
      </c>
      <c r="P59" s="11">
        <f t="shared" si="29"/>
        <v>0.40906474423091826</v>
      </c>
    </row>
    <row r="61" spans="1:16" x14ac:dyDescent="0.2">
      <c r="B61" s="6" t="s">
        <v>30</v>
      </c>
      <c r="C61" s="10">
        <f>35.303+30.703-1.912-38.594-130.122-2.387-11.025+17.721</f>
        <v>-100.31300000000002</v>
      </c>
      <c r="D61" s="10">
        <f>37.936-157.156+86.791-48.677+2710.522+6.09-24.998+6.398</f>
        <v>2616.9060000000004</v>
      </c>
      <c r="E61" s="10">
        <f>-77.471-8.016-62.145-20.06+6691.859+27.33-20.596+302.396</f>
        <v>6833.2970000000005</v>
      </c>
      <c r="F61" s="10">
        <f>-298.236+32.211+4.785-104.801-3977.293+24.667-7.758-107.553</f>
        <v>-4433.9779999999992</v>
      </c>
      <c r="G61" s="10">
        <f ca="1">G43*G62</f>
        <v>1678.0781839055812</v>
      </c>
      <c r="H61" s="10">
        <f t="shared" ref="H61:P61" ca="1" si="30">H43*H62</f>
        <v>3132.7580061896706</v>
      </c>
      <c r="I61" s="10">
        <f t="shared" ca="1" si="30"/>
        <v>906.41076970909683</v>
      </c>
      <c r="J61" s="10">
        <f t="shared" ca="1" si="30"/>
        <v>-936.36086092970027</v>
      </c>
      <c r="K61" s="10">
        <f t="shared" ca="1" si="30"/>
        <v>3199.7633639289324</v>
      </c>
      <c r="L61" s="10">
        <f t="shared" ca="1" si="30"/>
        <v>3464.772142106598</v>
      </c>
      <c r="M61" s="10">
        <f t="shared" ca="1" si="30"/>
        <v>2537.1003104278666</v>
      </c>
      <c r="N61" s="10">
        <f t="shared" ca="1" si="30"/>
        <v>3137.4899780131136</v>
      </c>
      <c r="O61" s="10">
        <f t="shared" ca="1" si="30"/>
        <v>5474.3344548775485</v>
      </c>
      <c r="P61" s="10">
        <f t="shared" ca="1" si="30"/>
        <v>5743.1109209779379</v>
      </c>
    </row>
    <row r="62" spans="1:16" x14ac:dyDescent="0.2">
      <c r="B62" s="7" t="s">
        <v>24</v>
      </c>
      <c r="C62" s="14">
        <f>C61/C43</f>
        <v>-0.18794532867434216</v>
      </c>
      <c r="D62" s="14">
        <f t="shared" ref="D62:F62" si="31">D61/D43</f>
        <v>2.0484891751814707</v>
      </c>
      <c r="E62" s="14">
        <f t="shared" si="31"/>
        <v>0.87165582150979082</v>
      </c>
      <c r="F62" s="14">
        <f t="shared" si="31"/>
        <v>-1.2969398619398615</v>
      </c>
      <c r="G62" s="11">
        <f>AVERAGE(C62:F62)</f>
        <v>0.3588149515192644</v>
      </c>
      <c r="H62" s="11">
        <f t="shared" ref="H62:P62" si="32">AVERAGE(D62:G62)</f>
        <v>0.49550502156766613</v>
      </c>
      <c r="I62" s="11">
        <f t="shared" si="32"/>
        <v>0.10725898316421495</v>
      </c>
      <c r="J62" s="11">
        <f t="shared" si="32"/>
        <v>-8.3840226422179004E-2</v>
      </c>
      <c r="K62" s="11">
        <f t="shared" si="32"/>
        <v>0.2194346824572416</v>
      </c>
      <c r="L62" s="11">
        <f t="shared" si="32"/>
        <v>0.18458961519173592</v>
      </c>
      <c r="M62" s="11">
        <f t="shared" si="32"/>
        <v>0.10686076359775337</v>
      </c>
      <c r="N62" s="11">
        <f t="shared" si="32"/>
        <v>0.10676120870613796</v>
      </c>
      <c r="O62" s="11">
        <f t="shared" si="32"/>
        <v>0.15441156748821719</v>
      </c>
      <c r="P62" s="11">
        <f t="shared" si="32"/>
        <v>0.13815578874596113</v>
      </c>
    </row>
    <row r="63" spans="1:16" x14ac:dyDescent="0.2">
      <c r="B63" s="7"/>
      <c r="C63" s="14"/>
      <c r="D63" s="14"/>
      <c r="E63" s="14"/>
      <c r="F63" s="14"/>
      <c r="G63" s="11"/>
      <c r="H63" s="11"/>
      <c r="I63" s="11"/>
      <c r="J63" s="11"/>
      <c r="K63" s="11"/>
      <c r="L63" s="11"/>
      <c r="M63" s="11"/>
      <c r="N63" s="11"/>
      <c r="O63" s="11"/>
      <c r="P63" s="11"/>
    </row>
    <row r="64" spans="1:16" x14ac:dyDescent="0.2">
      <c r="G64">
        <v>1</v>
      </c>
      <c r="H64">
        <v>2</v>
      </c>
      <c r="I64">
        <v>3</v>
      </c>
      <c r="J64">
        <v>4</v>
      </c>
      <c r="K64">
        <v>5</v>
      </c>
      <c r="L64">
        <v>6</v>
      </c>
      <c r="M64">
        <v>7</v>
      </c>
      <c r="N64">
        <v>8</v>
      </c>
      <c r="O64">
        <v>9</v>
      </c>
      <c r="P64">
        <v>10</v>
      </c>
    </row>
    <row r="65" spans="1:16" x14ac:dyDescent="0.2">
      <c r="A65" s="15" t="s">
        <v>20</v>
      </c>
      <c r="B65" s="5" t="s">
        <v>32</v>
      </c>
      <c r="C65" s="5">
        <v>2019</v>
      </c>
      <c r="D65" s="5">
        <v>2020</v>
      </c>
      <c r="E65" s="5">
        <v>2021</v>
      </c>
      <c r="F65" s="5">
        <v>2022</v>
      </c>
      <c r="G65" s="5">
        <v>2023</v>
      </c>
      <c r="H65" s="5">
        <v>2024</v>
      </c>
      <c r="I65" s="5">
        <v>2025</v>
      </c>
      <c r="J65" s="5">
        <v>2026</v>
      </c>
      <c r="K65" s="5">
        <v>2027</v>
      </c>
      <c r="L65" s="5">
        <v>2028</v>
      </c>
      <c r="M65" s="5">
        <v>2029</v>
      </c>
      <c r="N65" s="5">
        <v>2030</v>
      </c>
      <c r="O65" s="5">
        <v>2031</v>
      </c>
      <c r="P65" s="5">
        <v>2032</v>
      </c>
    </row>
    <row r="67" spans="1:16" x14ac:dyDescent="0.2">
      <c r="B67" s="6" t="s">
        <v>22</v>
      </c>
      <c r="C67" s="10">
        <f>C43</f>
        <v>533.73500000000001</v>
      </c>
      <c r="D67" s="10">
        <f t="shared" ref="D67:P67" si="33">D43</f>
        <v>1277.481</v>
      </c>
      <c r="E67" s="10">
        <f t="shared" si="33"/>
        <v>7839.4439999999995</v>
      </c>
      <c r="F67" s="10">
        <f t="shared" si="33"/>
        <v>3418.8</v>
      </c>
      <c r="G67" s="10">
        <f t="shared" ca="1" si="33"/>
        <v>4676.7231320779756</v>
      </c>
      <c r="H67" s="10">
        <f t="shared" ca="1" si="33"/>
        <v>6322.3536994203023</v>
      </c>
      <c r="I67" s="10">
        <f t="shared" ca="1" si="33"/>
        <v>8450.6746471889419</v>
      </c>
      <c r="J67" s="10">
        <f t="shared" ca="1" si="33"/>
        <v>11168.39613737012</v>
      </c>
      <c r="K67" s="10">
        <f t="shared" ca="1" si="33"/>
        <v>14581.848813039976</v>
      </c>
      <c r="L67" s="10">
        <f t="shared" ca="1" si="33"/>
        <v>18770.135787474766</v>
      </c>
      <c r="M67" s="10">
        <f t="shared" ca="1" si="33"/>
        <v>23742.112867338768</v>
      </c>
      <c r="N67" s="10">
        <f t="shared" ca="1" si="33"/>
        <v>29387.921100154534</v>
      </c>
      <c r="O67" s="10">
        <f t="shared" ca="1" si="33"/>
        <v>35452.877941254519</v>
      </c>
      <c r="P67" s="10">
        <f t="shared" ca="1" si="33"/>
        <v>41569.817472782757</v>
      </c>
    </row>
    <row r="68" spans="1:16" x14ac:dyDescent="0.2">
      <c r="B68" s="7" t="s">
        <v>11</v>
      </c>
      <c r="D68" s="14">
        <f>D67/C67-1</f>
        <v>1.3934742896755878</v>
      </c>
      <c r="E68" s="14">
        <f t="shared" ref="E68:P68" si="34">E67/D67-1</f>
        <v>5.1366423453656056</v>
      </c>
      <c r="F68" s="14">
        <f t="shared" si="34"/>
        <v>-0.56389764376147078</v>
      </c>
      <c r="G68" s="14">
        <f t="shared" ca="1" si="34"/>
        <v>0.36794288407569198</v>
      </c>
      <c r="H68" s="14">
        <f t="shared" ca="1" si="34"/>
        <v>0.35187684215360759</v>
      </c>
      <c r="I68" s="14">
        <f t="shared" ca="1" si="34"/>
        <v>0.33663427403053792</v>
      </c>
      <c r="J68" s="14">
        <f t="shared" ca="1" si="34"/>
        <v>0.32159816862494051</v>
      </c>
      <c r="K68" s="14">
        <f t="shared" ca="1" si="34"/>
        <v>0.30563499303612973</v>
      </c>
      <c r="L68" s="14">
        <f t="shared" ca="1" si="34"/>
        <v>0.28722605947535063</v>
      </c>
      <c r="M68" s="14">
        <f t="shared" ca="1" si="34"/>
        <v>0.26488764578793189</v>
      </c>
      <c r="N68" s="14">
        <f t="shared" ca="1" si="34"/>
        <v>0.23779721140920507</v>
      </c>
      <c r="O68" s="14">
        <f t="shared" ca="1" si="34"/>
        <v>0.20637583789715874</v>
      </c>
      <c r="P68" s="14">
        <f t="shared" ca="1" si="34"/>
        <v>0.17253717855187989</v>
      </c>
    </row>
    <row r="70" spans="1:16" x14ac:dyDescent="0.2">
      <c r="B70" s="6" t="s">
        <v>23</v>
      </c>
      <c r="C70" s="10">
        <f>C46</f>
        <v>-45.783000000000001</v>
      </c>
      <c r="D70" s="10">
        <f t="shared" ref="D70:F70" si="35">D46</f>
        <v>408.95100000000002</v>
      </c>
      <c r="E70" s="10">
        <f t="shared" si="35"/>
        <v>3076.9470000000001</v>
      </c>
      <c r="F70" s="10">
        <f t="shared" si="35"/>
        <v>-2873.7813333333329</v>
      </c>
      <c r="G70" s="10">
        <f ca="1">G67*G71</f>
        <v>841.81016377403557</v>
      </c>
      <c r="H70" s="10">
        <f t="shared" ref="H70:P70" ca="1" si="36">H67*H71</f>
        <v>1264.4707398840603</v>
      </c>
      <c r="I70" s="10">
        <f t="shared" ca="1" si="36"/>
        <v>1859.1484223815669</v>
      </c>
      <c r="J70" s="10">
        <f t="shared" ca="1" si="36"/>
        <v>2680.4150729688286</v>
      </c>
      <c r="K70" s="10">
        <f t="shared" ca="1" si="36"/>
        <v>3791.2806913903933</v>
      </c>
      <c r="L70" s="10">
        <f t="shared" ca="1" si="36"/>
        <v>5255.6380204929337</v>
      </c>
      <c r="M70" s="10">
        <f t="shared" ca="1" si="36"/>
        <v>7122.6338602016285</v>
      </c>
      <c r="N70" s="10">
        <f t="shared" ca="1" si="36"/>
        <v>9404.134752049451</v>
      </c>
      <c r="O70" s="10">
        <f t="shared" ca="1" si="36"/>
        <v>12053.978500026535</v>
      </c>
      <c r="P70" s="10">
        <f t="shared" ca="1" si="36"/>
        <v>14965.134290201791</v>
      </c>
    </row>
    <row r="71" spans="1:16" x14ac:dyDescent="0.2">
      <c r="B71" s="7" t="s">
        <v>24</v>
      </c>
      <c r="C71" s="14">
        <f>C70/C67</f>
        <v>-8.5778523049828095E-2</v>
      </c>
      <c r="D71" s="14">
        <f t="shared" ref="D71:F71" si="37">D70/D67</f>
        <v>0.32012296073287982</v>
      </c>
      <c r="E71" s="14">
        <f t="shared" si="37"/>
        <v>0.39249556473647879</v>
      </c>
      <c r="F71" s="14">
        <f t="shared" si="37"/>
        <v>-0.84058188058188044</v>
      </c>
      <c r="G71" s="14">
        <f ca="1">OFFSET(G71,$C$14,0)</f>
        <v>0.18</v>
      </c>
      <c r="H71" s="14">
        <f t="shared" ref="H71:P71" ca="1" si="38">OFFSET(H71,$C$14,0)</f>
        <v>0.19999999999999998</v>
      </c>
      <c r="I71" s="14">
        <f t="shared" ca="1" si="38"/>
        <v>0.21999999999999997</v>
      </c>
      <c r="J71" s="14">
        <f t="shared" ca="1" si="38"/>
        <v>0.23999999999999996</v>
      </c>
      <c r="K71" s="14">
        <f t="shared" ca="1" si="38"/>
        <v>0.25999999999999995</v>
      </c>
      <c r="L71" s="14">
        <f t="shared" ca="1" si="38"/>
        <v>0.27999999999999997</v>
      </c>
      <c r="M71" s="14">
        <f t="shared" ca="1" si="38"/>
        <v>0.29999999999999993</v>
      </c>
      <c r="N71" s="14">
        <f t="shared" ca="1" si="38"/>
        <v>0.32</v>
      </c>
      <c r="O71" s="14">
        <f t="shared" ca="1" si="38"/>
        <v>0.33999999999999997</v>
      </c>
      <c r="P71" s="14">
        <f t="shared" ca="1" si="38"/>
        <v>0.36</v>
      </c>
    </row>
    <row r="72" spans="1:16" x14ac:dyDescent="0.2">
      <c r="B72" t="s">
        <v>12</v>
      </c>
      <c r="C72" s="14"/>
      <c r="G72" s="4">
        <f t="shared" ref="G72:O72" si="39">G73*$F$14</f>
        <v>0.12</v>
      </c>
      <c r="H72" s="4">
        <f t="shared" si="39"/>
        <v>0.13333333333333333</v>
      </c>
      <c r="I72" s="4">
        <f t="shared" si="39"/>
        <v>0.14666666666666667</v>
      </c>
      <c r="J72" s="4">
        <f t="shared" si="39"/>
        <v>0.16</v>
      </c>
      <c r="K72" s="4">
        <f t="shared" si="39"/>
        <v>0.17333333333333334</v>
      </c>
      <c r="L72" s="4">
        <f t="shared" si="39"/>
        <v>0.18666666666666665</v>
      </c>
      <c r="M72" s="4">
        <f t="shared" si="39"/>
        <v>0.19999999999999998</v>
      </c>
      <c r="N72" s="4">
        <f t="shared" si="39"/>
        <v>0.21333333333333335</v>
      </c>
      <c r="O72" s="4">
        <f t="shared" si="39"/>
        <v>0.22666666666666668</v>
      </c>
      <c r="P72" s="4">
        <f>P73*$F$14</f>
        <v>0.24</v>
      </c>
    </row>
    <row r="73" spans="1:16" x14ac:dyDescent="0.2">
      <c r="B73" t="s">
        <v>13</v>
      </c>
      <c r="G73" s="4">
        <v>0.15</v>
      </c>
      <c r="H73" s="4">
        <f>G73-(G73-$P$73)/($P$65-G65)</f>
        <v>0.16666666666666666</v>
      </c>
      <c r="I73" s="4">
        <f t="shared" ref="I73:O73" si="40">H73-(H73-$P$73)/($P$65-H65)</f>
        <v>0.18333333333333332</v>
      </c>
      <c r="J73" s="4">
        <f t="shared" si="40"/>
        <v>0.19999999999999998</v>
      </c>
      <c r="K73" s="4">
        <f t="shared" si="40"/>
        <v>0.21666666666666665</v>
      </c>
      <c r="L73" s="4">
        <f t="shared" si="40"/>
        <v>0.23333333333333331</v>
      </c>
      <c r="M73" s="4">
        <f t="shared" si="40"/>
        <v>0.24999999999999997</v>
      </c>
      <c r="N73" s="4">
        <f t="shared" si="40"/>
        <v>0.26666666666666666</v>
      </c>
      <c r="O73" s="4">
        <f t="shared" si="40"/>
        <v>0.28333333333333333</v>
      </c>
      <c r="P73" s="4">
        <f>I14</f>
        <v>0.3</v>
      </c>
    </row>
    <row r="74" spans="1:16" x14ac:dyDescent="0.2">
      <c r="B74" t="s">
        <v>14</v>
      </c>
      <c r="G74" s="4">
        <f t="shared" ref="G74:O74" si="41">G73*$L$14</f>
        <v>0.18</v>
      </c>
      <c r="H74" s="4">
        <f t="shared" si="41"/>
        <v>0.19999999999999998</v>
      </c>
      <c r="I74" s="4">
        <f t="shared" si="41"/>
        <v>0.21999999999999997</v>
      </c>
      <c r="J74" s="4">
        <f t="shared" si="41"/>
        <v>0.23999999999999996</v>
      </c>
      <c r="K74" s="4">
        <f t="shared" si="41"/>
        <v>0.25999999999999995</v>
      </c>
      <c r="L74" s="4">
        <f t="shared" si="41"/>
        <v>0.27999999999999997</v>
      </c>
      <c r="M74" s="4">
        <f t="shared" si="41"/>
        <v>0.29999999999999993</v>
      </c>
      <c r="N74" s="4">
        <f t="shared" si="41"/>
        <v>0.32</v>
      </c>
      <c r="O74" s="4">
        <f t="shared" si="41"/>
        <v>0.33999999999999997</v>
      </c>
      <c r="P74" s="4">
        <f>P73*$L$14</f>
        <v>0.36</v>
      </c>
    </row>
    <row r="76" spans="1:16" x14ac:dyDescent="0.2">
      <c r="B76" s="6" t="s">
        <v>25</v>
      </c>
      <c r="C76" s="10">
        <f>C49</f>
        <v>-15.029</v>
      </c>
      <c r="D76" s="10">
        <f t="shared" ref="D76:F76" si="42">D49</f>
        <v>86.882000000000005</v>
      </c>
      <c r="E76" s="10">
        <f t="shared" si="42"/>
        <v>-597.173</v>
      </c>
      <c r="F76" s="10">
        <f t="shared" si="42"/>
        <v>-567.67466666666667</v>
      </c>
      <c r="G76" s="10">
        <f ca="1">G70*G77</f>
        <v>168.36203275480713</v>
      </c>
      <c r="H76" s="10">
        <f t="shared" ref="H76:P76" ca="1" si="43">H70*H77</f>
        <v>252.89414797681206</v>
      </c>
      <c r="I76" s="10">
        <f t="shared" ca="1" si="43"/>
        <v>371.82968447631339</v>
      </c>
      <c r="J76" s="10">
        <f t="shared" ca="1" si="43"/>
        <v>536.08301459376571</v>
      </c>
      <c r="K76" s="10">
        <f t="shared" ca="1" si="43"/>
        <v>758.25613827807865</v>
      </c>
      <c r="L76" s="10">
        <f t="shared" ca="1" si="43"/>
        <v>1051.1276040985867</v>
      </c>
      <c r="M76" s="10">
        <f t="shared" ca="1" si="43"/>
        <v>1424.5267720403258</v>
      </c>
      <c r="N76" s="10">
        <f t="shared" ca="1" si="43"/>
        <v>1880.8269504098903</v>
      </c>
      <c r="O76" s="10">
        <f t="shared" ca="1" si="43"/>
        <v>2410.795700005307</v>
      </c>
      <c r="P76" s="10">
        <f t="shared" ca="1" si="43"/>
        <v>2993.0268580403585</v>
      </c>
    </row>
    <row r="77" spans="1:16" x14ac:dyDescent="0.2">
      <c r="B77" s="7" t="s">
        <v>26</v>
      </c>
      <c r="C77" s="14">
        <f>C76/C70</f>
        <v>0.32826595024354016</v>
      </c>
      <c r="D77" s="14">
        <f t="shared" ref="D77:F77" si="44">D76/D70</f>
        <v>0.21245088042332699</v>
      </c>
      <c r="E77" s="14">
        <f t="shared" si="44"/>
        <v>-0.19407971603020785</v>
      </c>
      <c r="F77" s="14">
        <f t="shared" si="44"/>
        <v>0.19753579024337739</v>
      </c>
      <c r="G77" s="16">
        <v>0.2</v>
      </c>
      <c r="H77" s="16">
        <v>0.2</v>
      </c>
      <c r="I77" s="16">
        <v>0.2</v>
      </c>
      <c r="J77" s="16">
        <v>0.2</v>
      </c>
      <c r="K77" s="16">
        <v>0.2</v>
      </c>
      <c r="L77" s="16">
        <v>0.2</v>
      </c>
      <c r="M77" s="16">
        <v>0.2</v>
      </c>
      <c r="N77" s="16">
        <v>0.2</v>
      </c>
      <c r="O77" s="16">
        <v>0.2</v>
      </c>
      <c r="P77" s="16">
        <v>0.2</v>
      </c>
    </row>
    <row r="79" spans="1:16" x14ac:dyDescent="0.2">
      <c r="B79" s="8"/>
      <c r="C79" s="8"/>
      <c r="D79" s="8"/>
      <c r="E79" s="8"/>
      <c r="F79" s="8"/>
      <c r="G79" s="8"/>
      <c r="H79" s="8"/>
      <c r="I79" s="8"/>
      <c r="J79" s="8"/>
      <c r="K79" s="8"/>
      <c r="L79" s="8"/>
      <c r="M79" s="8"/>
      <c r="N79" s="8"/>
      <c r="O79" s="8"/>
      <c r="P79" s="8"/>
    </row>
    <row r="80" spans="1:16" x14ac:dyDescent="0.2">
      <c r="B80" s="9" t="s">
        <v>33</v>
      </c>
      <c r="C80" s="12"/>
      <c r="D80" s="12"/>
      <c r="E80" s="12"/>
      <c r="F80" s="12"/>
      <c r="G80" s="12">
        <f ca="1">G70-G76</f>
        <v>673.44813101922841</v>
      </c>
      <c r="H80" s="12">
        <f t="shared" ref="H80:P80" ca="1" si="45">H70-H76</f>
        <v>1011.5765919072483</v>
      </c>
      <c r="I80" s="12">
        <f t="shared" ca="1" si="45"/>
        <v>1487.3187379052536</v>
      </c>
      <c r="J80" s="12">
        <f t="shared" ca="1" si="45"/>
        <v>2144.3320583750628</v>
      </c>
      <c r="K80" s="12">
        <f t="shared" ca="1" si="45"/>
        <v>3033.0245531123146</v>
      </c>
      <c r="L80" s="12">
        <f t="shared" ca="1" si="45"/>
        <v>4204.510416394347</v>
      </c>
      <c r="M80" s="12">
        <f t="shared" ca="1" si="45"/>
        <v>5698.1070881613032</v>
      </c>
      <c r="N80" s="12">
        <f t="shared" ca="1" si="45"/>
        <v>7523.3078016395611</v>
      </c>
      <c r="O80" s="12">
        <f t="shared" ca="1" si="45"/>
        <v>9643.1828000212281</v>
      </c>
      <c r="P80" s="12">
        <f t="shared" ca="1" si="45"/>
        <v>11972.107432161432</v>
      </c>
    </row>
    <row r="82" spans="2:16" x14ac:dyDescent="0.2">
      <c r="B82" s="6" t="s">
        <v>27</v>
      </c>
      <c r="C82" s="10">
        <f>C54</f>
        <v>16.878</v>
      </c>
      <c r="D82" s="10">
        <f t="shared" ref="D82:P82" si="46">D54</f>
        <v>30.962</v>
      </c>
      <c r="E82" s="10">
        <f t="shared" si="46"/>
        <v>63.651000000000003</v>
      </c>
      <c r="F82" s="10">
        <f t="shared" si="46"/>
        <v>151.62800000000001</v>
      </c>
      <c r="G82" s="10">
        <f t="shared" ca="1" si="46"/>
        <v>119.57963237485181</v>
      </c>
      <c r="H82" s="10">
        <f t="shared" ca="1" si="46"/>
        <v>164.4647919808686</v>
      </c>
      <c r="I82" s="10">
        <f t="shared" ca="1" si="46"/>
        <v>270.23444352085073</v>
      </c>
      <c r="J82" s="10">
        <f t="shared" ca="1" si="46"/>
        <v>311.07774273674067</v>
      </c>
      <c r="K82" s="10">
        <f t="shared" ca="1" si="46"/>
        <v>417.25703297890715</v>
      </c>
      <c r="L82" s="10">
        <f t="shared" ca="1" si="46"/>
        <v>553.38159711149649</v>
      </c>
      <c r="M82" s="10">
        <f t="shared" ca="1" si="46"/>
        <v>680.21345125018149</v>
      </c>
      <c r="N82" s="10">
        <f t="shared" ca="1" si="46"/>
        <v>849.77063155838709</v>
      </c>
      <c r="O82" s="10">
        <f t="shared" ca="1" si="46"/>
        <v>1028.6977262612936</v>
      </c>
      <c r="P82" s="10">
        <f t="shared" ca="1" si="46"/>
        <v>1199.7276514410521</v>
      </c>
    </row>
    <row r="83" spans="2:16" x14ac:dyDescent="0.2">
      <c r="B83" s="7" t="s">
        <v>15</v>
      </c>
      <c r="C83" s="14">
        <f>C82/C67</f>
        <v>3.1622434354127045E-2</v>
      </c>
      <c r="D83" s="14">
        <f t="shared" ref="D83:P83" si="47">D82/D67</f>
        <v>2.4236759685662645E-2</v>
      </c>
      <c r="E83" s="14">
        <f t="shared" si="47"/>
        <v>8.1193258093303564E-3</v>
      </c>
      <c r="F83" s="14">
        <f t="shared" si="47"/>
        <v>4.435123435123435E-2</v>
      </c>
      <c r="G83" s="14">
        <f t="shared" ca="1" si="47"/>
        <v>2.5569106615409117E-2</v>
      </c>
      <c r="H83" s="14">
        <f t="shared" ca="1" si="47"/>
        <v>2.6013222258657941E-2</v>
      </c>
      <c r="I83" s="14">
        <f t="shared" ca="1" si="47"/>
        <v>3.1977854408433808E-2</v>
      </c>
      <c r="J83" s="14">
        <f t="shared" ca="1" si="47"/>
        <v>2.7853394427500289E-2</v>
      </c>
      <c r="K83" s="14">
        <f t="shared" ca="1" si="47"/>
        <v>2.8614823698197345E-2</v>
      </c>
      <c r="L83" s="14">
        <f t="shared" ca="1" si="47"/>
        <v>2.9482024178043811E-2</v>
      </c>
      <c r="M83" s="14">
        <f t="shared" ca="1" si="47"/>
        <v>2.865008076791381E-2</v>
      </c>
      <c r="N83" s="14">
        <f t="shared" ca="1" si="47"/>
        <v>2.8915642881384988E-2</v>
      </c>
      <c r="O83" s="14">
        <f t="shared" ca="1" si="47"/>
        <v>2.9015915942447536E-2</v>
      </c>
      <c r="P83" s="14">
        <f t="shared" ca="1" si="47"/>
        <v>2.8860546530582114E-2</v>
      </c>
    </row>
    <row r="84" spans="2:16" x14ac:dyDescent="0.2">
      <c r="B84" s="7" t="s">
        <v>28</v>
      </c>
      <c r="C84" s="14">
        <f>C82/C86</f>
        <v>0.20569130461275972</v>
      </c>
      <c r="D84" s="14">
        <f t="shared" ref="D84:P84" si="48">D82/D86</f>
        <v>0.22847823841079148</v>
      </c>
      <c r="E84" s="14">
        <f t="shared" si="48"/>
        <v>5.0200958417066011E-2</v>
      </c>
      <c r="F84" s="14">
        <f t="shared" si="48"/>
        <v>6.549801843166686E-2</v>
      </c>
      <c r="G84" s="14">
        <f t="shared" ca="1" si="48"/>
        <v>8.1175708992023296E-2</v>
      </c>
      <c r="H84" s="14">
        <f t="shared" ca="1" si="48"/>
        <v>6.7633581476414475E-2</v>
      </c>
      <c r="I84" s="14">
        <f t="shared" ca="1" si="48"/>
        <v>0.63955708816867618</v>
      </c>
      <c r="J84" s="14">
        <f t="shared" ca="1" si="48"/>
        <v>0.55706788855000577</v>
      </c>
      <c r="K84" s="14">
        <f t="shared" ca="1" si="48"/>
        <v>0.57229647396394678</v>
      </c>
      <c r="L84" s="14">
        <f t="shared" ca="1" si="48"/>
        <v>0.58964048356087617</v>
      </c>
      <c r="M84" s="14">
        <f t="shared" ca="1" si="48"/>
        <v>0.5730016153582761</v>
      </c>
      <c r="N84" s="14">
        <f t="shared" ca="1" si="48"/>
        <v>0.57831285762769957</v>
      </c>
      <c r="O84" s="14">
        <f t="shared" ca="1" si="48"/>
        <v>0.58031831884895058</v>
      </c>
      <c r="P84" s="14">
        <f t="shared" ca="1" si="48"/>
        <v>0.57721093061164219</v>
      </c>
    </row>
    <row r="86" spans="2:16" x14ac:dyDescent="0.2">
      <c r="B86" s="6" t="s">
        <v>29</v>
      </c>
      <c r="C86" s="10">
        <f>C58</f>
        <v>82.055000000000007</v>
      </c>
      <c r="D86" s="10">
        <f>D58</f>
        <v>135.51400000000001</v>
      </c>
      <c r="E86" s="10">
        <f>E58</f>
        <v>1267.924</v>
      </c>
      <c r="F86" s="10">
        <f>F58</f>
        <v>2315.0013333333332</v>
      </c>
      <c r="G86" s="10">
        <f ca="1">G67*G87</f>
        <v>1473.096248369106</v>
      </c>
      <c r="H86" s="10">
        <f t="shared" ref="H86:P86" ca="1" si="49">H67*H87</f>
        <v>2431.7031331280541</v>
      </c>
      <c r="I86" s="10">
        <f t="shared" ca="1" si="49"/>
        <v>422.53373235944713</v>
      </c>
      <c r="J86" s="10">
        <f t="shared" ca="1" si="49"/>
        <v>558.41980686850604</v>
      </c>
      <c r="K86" s="10">
        <f t="shared" ca="1" si="49"/>
        <v>729.09244065199891</v>
      </c>
      <c r="L86" s="10">
        <f t="shared" ca="1" si="49"/>
        <v>938.50678937373846</v>
      </c>
      <c r="M86" s="10">
        <f t="shared" ca="1" si="49"/>
        <v>1187.1056433669387</v>
      </c>
      <c r="N86" s="10">
        <f t="shared" ca="1" si="49"/>
        <v>1469.396055007727</v>
      </c>
      <c r="O86" s="10">
        <f t="shared" ca="1" si="49"/>
        <v>1772.6438970627264</v>
      </c>
      <c r="P86" s="10">
        <f t="shared" ca="1" si="49"/>
        <v>2078.490873639138</v>
      </c>
    </row>
    <row r="87" spans="2:16" x14ac:dyDescent="0.2">
      <c r="B87" s="7" t="s">
        <v>15</v>
      </c>
      <c r="C87" s="14">
        <f>C86/C67</f>
        <v>0.15373734156463414</v>
      </c>
      <c r="D87" s="14">
        <f t="shared" ref="D87:F87" si="50">D86/D67</f>
        <v>0.10607907280029998</v>
      </c>
      <c r="E87" s="14">
        <f t="shared" si="50"/>
        <v>0.16173647008639899</v>
      </c>
      <c r="F87" s="14">
        <f t="shared" si="50"/>
        <v>0.67713856713856702</v>
      </c>
      <c r="G87" s="14">
        <f>AVERAGE(D87:F87)</f>
        <v>0.31498470334175532</v>
      </c>
      <c r="H87" s="14">
        <f t="shared" ref="H87:P87" si="51">AVERAGE(E87:G87)</f>
        <v>0.38461991352224051</v>
      </c>
      <c r="I87" s="14">
        <v>0.05</v>
      </c>
      <c r="J87" s="14">
        <v>0.05</v>
      </c>
      <c r="K87" s="14">
        <v>0.05</v>
      </c>
      <c r="L87" s="14">
        <f t="shared" si="51"/>
        <v>5.000000000000001E-2</v>
      </c>
      <c r="M87" s="14">
        <f t="shared" si="51"/>
        <v>5.000000000000001E-2</v>
      </c>
      <c r="N87" s="14">
        <f t="shared" si="51"/>
        <v>5.000000000000001E-2</v>
      </c>
      <c r="O87" s="14">
        <f t="shared" si="51"/>
        <v>5.000000000000001E-2</v>
      </c>
      <c r="P87" s="14">
        <f t="shared" si="51"/>
        <v>5.000000000000001E-2</v>
      </c>
    </row>
    <row r="89" spans="2:16" x14ac:dyDescent="0.2">
      <c r="B89" s="6" t="s">
        <v>30</v>
      </c>
      <c r="C89" s="10">
        <f>C61</f>
        <v>-100.31300000000002</v>
      </c>
      <c r="D89" s="10">
        <f>D61</f>
        <v>2616.9060000000004</v>
      </c>
      <c r="E89" s="10">
        <f>E61</f>
        <v>6833.2970000000005</v>
      </c>
      <c r="F89" s="10">
        <f>F61</f>
        <v>-4433.9779999999992</v>
      </c>
      <c r="G89" s="10">
        <f ca="1">G61</f>
        <v>1678.0781839055812</v>
      </c>
      <c r="H89" s="10">
        <f ca="1">H67*H90</f>
        <v>758.68244393043619</v>
      </c>
      <c r="I89" s="10">
        <f t="shared" ref="I89:P89" ca="1" si="52">I67*I90</f>
        <v>1014.080957662673</v>
      </c>
      <c r="J89" s="10">
        <f t="shared" ca="1" si="52"/>
        <v>1340.2075364844145</v>
      </c>
      <c r="K89" s="10">
        <f t="shared" ca="1" si="52"/>
        <v>1749.821857564797</v>
      </c>
      <c r="L89" s="10">
        <f t="shared" ca="1" si="52"/>
        <v>2252.4162944969717</v>
      </c>
      <c r="M89" s="10">
        <f t="shared" ca="1" si="52"/>
        <v>2849.053544080652</v>
      </c>
      <c r="N89" s="10">
        <f t="shared" ca="1" si="52"/>
        <v>3526.5505320185439</v>
      </c>
      <c r="O89" s="10">
        <f t="shared" ca="1" si="52"/>
        <v>4254.3453529505423</v>
      </c>
      <c r="P89" s="10">
        <f t="shared" ca="1" si="52"/>
        <v>4988.3780967339308</v>
      </c>
    </row>
    <row r="90" spans="2:16" x14ac:dyDescent="0.2">
      <c r="B90" s="7" t="s">
        <v>24</v>
      </c>
      <c r="C90" s="14">
        <f>C89/C67</f>
        <v>-0.18794532867434216</v>
      </c>
      <c r="D90" s="14">
        <f t="shared" ref="D90:G90" si="53">D89/D67</f>
        <v>2.0484891751814707</v>
      </c>
      <c r="E90" s="14">
        <f t="shared" si="53"/>
        <v>0.87165582150979082</v>
      </c>
      <c r="F90" s="14">
        <f t="shared" si="53"/>
        <v>-1.2969398619398615</v>
      </c>
      <c r="G90" s="14">
        <f t="shared" ca="1" si="53"/>
        <v>0.3588149515192644</v>
      </c>
      <c r="H90" s="14">
        <v>0.12</v>
      </c>
      <c r="I90" s="14">
        <v>0.12</v>
      </c>
      <c r="J90" s="14">
        <v>0.12</v>
      </c>
      <c r="K90" s="14">
        <v>0.12</v>
      </c>
      <c r="L90" s="14">
        <v>0.12</v>
      </c>
      <c r="M90" s="14">
        <v>0.12</v>
      </c>
      <c r="N90" s="14">
        <v>0.12</v>
      </c>
      <c r="O90" s="14">
        <v>0.12</v>
      </c>
      <c r="P90" s="14">
        <v>0.12</v>
      </c>
    </row>
    <row r="92" spans="2:16" x14ac:dyDescent="0.2">
      <c r="B92" s="8"/>
      <c r="C92" s="8"/>
      <c r="D92" s="8"/>
      <c r="E92" s="8"/>
      <c r="F92" s="8"/>
      <c r="G92" s="8"/>
      <c r="H92" s="8"/>
      <c r="I92" s="8"/>
      <c r="J92" s="8"/>
      <c r="K92" s="8"/>
      <c r="L92" s="8"/>
      <c r="M92" s="8"/>
      <c r="N92" s="8"/>
      <c r="O92" s="8"/>
      <c r="P92" s="8"/>
    </row>
    <row r="93" spans="2:16" x14ac:dyDescent="0.2">
      <c r="B93" s="9" t="s">
        <v>34</v>
      </c>
      <c r="C93" s="12"/>
      <c r="D93" s="12"/>
      <c r="E93" s="12"/>
      <c r="F93" s="12"/>
      <c r="G93" s="12">
        <f ca="1">G80+G82-G86-G89</f>
        <v>-2358.1466688806067</v>
      </c>
      <c r="H93" s="12">
        <f t="shared" ref="H93:P93" ca="1" si="54">H80+H82-H86-H89</f>
        <v>-2014.3441931703735</v>
      </c>
      <c r="I93" s="12">
        <f t="shared" ca="1" si="54"/>
        <v>320.93849140398424</v>
      </c>
      <c r="J93" s="12">
        <f t="shared" ca="1" si="54"/>
        <v>556.78245775888308</v>
      </c>
      <c r="K93" s="12">
        <f t="shared" ca="1" si="54"/>
        <v>971.36728787442598</v>
      </c>
      <c r="L93" s="12">
        <f t="shared" ca="1" si="54"/>
        <v>1566.968929635133</v>
      </c>
      <c r="M93" s="12">
        <f t="shared" ca="1" si="54"/>
        <v>2342.1613519638945</v>
      </c>
      <c r="N93" s="12">
        <f t="shared" ca="1" si="54"/>
        <v>3377.1318461716774</v>
      </c>
      <c r="O93" s="12">
        <f t="shared" ca="1" si="54"/>
        <v>4644.8912762692544</v>
      </c>
      <c r="P93" s="12">
        <f t="shared" ca="1" si="54"/>
        <v>6104.9661132294159</v>
      </c>
    </row>
    <row r="94" spans="2:16" x14ac:dyDescent="0.2">
      <c r="B94" s="6" t="s">
        <v>35</v>
      </c>
      <c r="G94" s="12">
        <f t="shared" ref="G94:O94" ca="1" si="55">G93/(1+$C$18)^G64</f>
        <v>-2192.0090990177764</v>
      </c>
      <c r="H94" s="12">
        <f t="shared" ca="1" si="55"/>
        <v>-1740.5109485425799</v>
      </c>
      <c r="I94" s="12">
        <f t="shared" ca="1" si="55"/>
        <v>257.7724057387851</v>
      </c>
      <c r="J94" s="12">
        <f t="shared" ca="1" si="55"/>
        <v>415.69203287972783</v>
      </c>
      <c r="K94" s="12">
        <f t="shared" ca="1" si="55"/>
        <v>674.12614417644852</v>
      </c>
      <c r="L94" s="12">
        <f t="shared" ca="1" si="55"/>
        <v>1010.8567629731633</v>
      </c>
      <c r="M94" s="12">
        <f t="shared" ca="1" si="55"/>
        <v>1404.4865530182965</v>
      </c>
      <c r="N94" s="12">
        <f t="shared" ca="1" si="55"/>
        <v>1882.4364803742274</v>
      </c>
      <c r="O94" s="12">
        <f t="shared" ca="1" si="55"/>
        <v>2406.6858609315404</v>
      </c>
      <c r="P94" s="12">
        <f ca="1">P93/(1+$C$18)^P64</f>
        <v>2940.3474379413433</v>
      </c>
    </row>
    <row r="96" spans="2:16" x14ac:dyDescent="0.2">
      <c r="B96" s="6" t="s">
        <v>51</v>
      </c>
      <c r="P96" s="12">
        <f ca="1">P93*(1+C18)/(C18-C19)</f>
        <v>143422.92479730709</v>
      </c>
    </row>
    <row r="97" spans="2:16" x14ac:dyDescent="0.2">
      <c r="B97" s="6" t="s">
        <v>57</v>
      </c>
      <c r="P97" s="12">
        <f ca="1">P96/(1+C18)^P64</f>
        <v>69077.079487135299</v>
      </c>
    </row>
    <row r="100" spans="2:16" x14ac:dyDescent="0.2">
      <c r="B100" s="6" t="s">
        <v>52</v>
      </c>
      <c r="P100" s="10">
        <f ca="1">SUM(P97,G94:P94)</f>
        <v>76136.96311760848</v>
      </c>
    </row>
    <row r="101" spans="2:16" x14ac:dyDescent="0.2">
      <c r="B101" s="6" t="s">
        <v>53</v>
      </c>
      <c r="P101" s="10">
        <v>5010</v>
      </c>
    </row>
    <row r="102" spans="2:16" x14ac:dyDescent="0.2">
      <c r="B102" s="6" t="s">
        <v>54</v>
      </c>
      <c r="P102" s="10">
        <f>COIN_WACC!D16</f>
        <v>3680</v>
      </c>
    </row>
    <row r="103" spans="2:16" x14ac:dyDescent="0.2">
      <c r="B103" s="6" t="s">
        <v>55</v>
      </c>
      <c r="P103" s="10">
        <f ca="1">P100+P101-P102</f>
        <v>77466.96311760848</v>
      </c>
    </row>
    <row r="104" spans="2:16" x14ac:dyDescent="0.2">
      <c r="B104" s="6" t="s">
        <v>56</v>
      </c>
      <c r="P104" s="10">
        <f>178.849467+48.116152</f>
        <v>226.965619</v>
      </c>
    </row>
    <row r="105" spans="2:16" x14ac:dyDescent="0.2">
      <c r="B105" s="6" t="s">
        <v>4</v>
      </c>
      <c r="P105" s="10">
        <f ca="1">P103/P104</f>
        <v>341.31584977021777</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FBB90-3048-C646-B3DF-C038D0C1C0F2}">
  <dimension ref="A1:D23"/>
  <sheetViews>
    <sheetView showGridLines="0" zoomScale="140" zoomScaleNormal="140" workbookViewId="0">
      <selection activeCell="D23" sqref="D23"/>
    </sheetView>
  </sheetViews>
  <sheetFormatPr baseColWidth="10" defaultRowHeight="16" x14ac:dyDescent="0.2"/>
  <sheetData>
    <row r="1" spans="1:4" ht="24" x14ac:dyDescent="0.3">
      <c r="A1" s="20" t="s">
        <v>2</v>
      </c>
      <c r="B1" s="18"/>
      <c r="C1" s="18"/>
      <c r="D1" s="18"/>
    </row>
    <row r="2" spans="1:4" x14ac:dyDescent="0.2">
      <c r="A2" s="18"/>
      <c r="B2" s="18"/>
      <c r="C2" s="18"/>
      <c r="D2" s="18"/>
    </row>
    <row r="3" spans="1:4" ht="19" x14ac:dyDescent="0.25">
      <c r="A3" s="21" t="s">
        <v>38</v>
      </c>
      <c r="B3" s="21"/>
      <c r="C3" s="21"/>
      <c r="D3" s="21"/>
    </row>
    <row r="4" spans="1:4" ht="19" x14ac:dyDescent="0.25">
      <c r="A4" s="21"/>
      <c r="B4" s="18"/>
      <c r="C4" s="18"/>
      <c r="D4" s="18"/>
    </row>
    <row r="5" spans="1:4" ht="19" x14ac:dyDescent="0.25">
      <c r="A5" s="21" t="s">
        <v>39</v>
      </c>
      <c r="B5" s="21"/>
      <c r="C5" s="21"/>
      <c r="D5" s="21"/>
    </row>
    <row r="6" spans="1:4" x14ac:dyDescent="0.2">
      <c r="A6" s="18"/>
      <c r="B6" s="18"/>
      <c r="C6" s="18"/>
      <c r="D6" s="18"/>
    </row>
    <row r="7" spans="1:4" ht="19" x14ac:dyDescent="0.25">
      <c r="A7" s="22" t="s">
        <v>36</v>
      </c>
      <c r="B7" s="18"/>
      <c r="C7" s="18"/>
      <c r="D7" s="18"/>
    </row>
    <row r="8" spans="1:4" ht="19" x14ac:dyDescent="0.25">
      <c r="A8" s="23"/>
      <c r="B8" s="18"/>
      <c r="C8" s="18"/>
      <c r="D8" s="18"/>
    </row>
    <row r="9" spans="1:4" ht="19" x14ac:dyDescent="0.25">
      <c r="A9" s="23" t="s">
        <v>40</v>
      </c>
      <c r="B9" s="23"/>
      <c r="C9" s="18"/>
      <c r="D9" s="24">
        <v>12520</v>
      </c>
    </row>
    <row r="10" spans="1:4" ht="19" x14ac:dyDescent="0.25">
      <c r="A10" s="23" t="s">
        <v>41</v>
      </c>
      <c r="B10" s="23"/>
      <c r="C10" s="18"/>
      <c r="D10" s="25">
        <f>D9/D21</f>
        <v>0.77283950617283947</v>
      </c>
    </row>
    <row r="11" spans="1:4" ht="19" x14ac:dyDescent="0.25">
      <c r="A11" s="23" t="s">
        <v>42</v>
      </c>
      <c r="B11" s="23"/>
      <c r="C11" s="18"/>
      <c r="D11" s="25">
        <f>D12+D13*D14</f>
        <v>8.9707000000000009E-2</v>
      </c>
    </row>
    <row r="12" spans="1:4" ht="19" x14ac:dyDescent="0.25">
      <c r="A12" s="23" t="s">
        <v>43</v>
      </c>
      <c r="B12" s="23"/>
      <c r="C12" s="18"/>
      <c r="D12" s="25">
        <v>3.5029999999999999E-2</v>
      </c>
    </row>
    <row r="13" spans="1:4" ht="19" x14ac:dyDescent="0.25">
      <c r="A13" s="23" t="s">
        <v>44</v>
      </c>
      <c r="B13" s="18"/>
      <c r="C13" s="18"/>
      <c r="D13" s="26">
        <v>1.07</v>
      </c>
    </row>
    <row r="14" spans="1:4" ht="19" x14ac:dyDescent="0.25">
      <c r="A14" s="23" t="s">
        <v>45</v>
      </c>
      <c r="B14" s="23"/>
      <c r="C14" s="23"/>
      <c r="D14" s="25">
        <v>5.11E-2</v>
      </c>
    </row>
    <row r="15" spans="1:4" ht="19" x14ac:dyDescent="0.25">
      <c r="A15" s="23"/>
      <c r="B15" s="18"/>
      <c r="C15" s="18"/>
      <c r="D15" s="18"/>
    </row>
    <row r="16" spans="1:4" ht="19" x14ac:dyDescent="0.25">
      <c r="A16" s="23" t="s">
        <v>46</v>
      </c>
      <c r="B16" s="18"/>
      <c r="C16" s="18"/>
      <c r="D16" s="24">
        <v>3680</v>
      </c>
    </row>
    <row r="17" spans="1:4" ht="19" x14ac:dyDescent="0.25">
      <c r="A17" s="23" t="s">
        <v>47</v>
      </c>
      <c r="B17" s="18"/>
      <c r="C17" s="18"/>
      <c r="D17" s="25">
        <f>D16/D9</f>
        <v>0.29392971246006389</v>
      </c>
    </row>
    <row r="18" spans="1:4" ht="19" x14ac:dyDescent="0.25">
      <c r="A18" s="23" t="s">
        <v>48</v>
      </c>
      <c r="B18" s="23"/>
      <c r="C18" s="18"/>
      <c r="D18" s="25">
        <v>0.05</v>
      </c>
    </row>
    <row r="19" spans="1:4" ht="19" x14ac:dyDescent="0.25">
      <c r="A19" s="23" t="s">
        <v>49</v>
      </c>
      <c r="B19" s="18"/>
      <c r="C19" s="18"/>
      <c r="D19" s="27">
        <v>0.22</v>
      </c>
    </row>
    <row r="20" spans="1:4" ht="19" x14ac:dyDescent="0.25">
      <c r="A20" s="23"/>
      <c r="B20" s="18"/>
      <c r="C20" s="18"/>
      <c r="D20" s="18"/>
    </row>
    <row r="21" spans="1:4" ht="19" x14ac:dyDescent="0.25">
      <c r="A21" s="23" t="s">
        <v>50</v>
      </c>
      <c r="B21" s="18"/>
      <c r="C21" s="18"/>
      <c r="D21" s="24">
        <f>D9+D16</f>
        <v>16200</v>
      </c>
    </row>
    <row r="22" spans="1:4" ht="19" x14ac:dyDescent="0.25">
      <c r="A22" s="23"/>
      <c r="B22" s="18"/>
      <c r="C22" s="18"/>
      <c r="D22" s="18"/>
    </row>
    <row r="23" spans="1:4" ht="19" x14ac:dyDescent="0.25">
      <c r="A23" s="23" t="s">
        <v>36</v>
      </c>
      <c r="B23" s="18"/>
      <c r="C23" s="18"/>
      <c r="D23" s="25">
        <f>(D10*D11)+(D17*D18*(1-D19))</f>
        <v>8.0792372366189413E-2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COIN_DCF</vt:lpstr>
      <vt:lpstr>COIN_WACC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Shalil Gunputh</dc:creator>
  <cp:lastModifiedBy>Shalil Gunputh</cp:lastModifiedBy>
  <dcterms:created xsi:type="dcterms:W3CDTF">2023-01-23T14:50:35Z</dcterms:created>
  <dcterms:modified xsi:type="dcterms:W3CDTF">2023-01-24T10:20:23Z</dcterms:modified>
</cp:coreProperties>
</file>