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del - DCF" sheetId="2" r:id="rId5"/>
    <sheet name="WACC - PYPL" sheetId="3" r:id="rId6"/>
  </sheets>
</workbook>
</file>

<file path=xl/sharedStrings.xml><?xml version="1.0" encoding="utf-8"?>
<sst xmlns="http://schemas.openxmlformats.org/spreadsheetml/2006/main" uniqueCount="71">
  <si>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</si>
  <si>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</si>
  <si>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</si>
  <si>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</si>
  <si>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Model</t>
  </si>
  <si>
    <t>DCF</t>
  </si>
  <si>
    <t>Model - DCF</t>
  </si>
  <si>
    <t>Ticker</t>
  </si>
  <si>
    <t>PYPL</t>
  </si>
  <si>
    <t>Implied Share Price</t>
  </si>
  <si>
    <t>Date</t>
  </si>
  <si>
    <t xml:space="preserve">Current Share Price </t>
  </si>
  <si>
    <t>Upside (Downside)</t>
  </si>
  <si>
    <t>X</t>
  </si>
  <si>
    <t xml:space="preserve">Assumptions </t>
  </si>
  <si>
    <t>Switches</t>
  </si>
  <si>
    <t>Conservative</t>
  </si>
  <si>
    <t>Street/ Base</t>
  </si>
  <si>
    <t>Optimistic</t>
  </si>
  <si>
    <t>Transaction Revenues</t>
  </si>
  <si>
    <t xml:space="preserve">Other Value Added Services </t>
  </si>
  <si>
    <t>EBIT</t>
  </si>
  <si>
    <t>Step</t>
  </si>
  <si>
    <t>WACC</t>
  </si>
  <si>
    <t>TGV</t>
  </si>
  <si>
    <t>Yahoo Street Estimates</t>
  </si>
  <si>
    <t>Revenue Build</t>
  </si>
  <si>
    <t xml:space="preserve">% growth </t>
  </si>
  <si>
    <t xml:space="preserve">   Conservative</t>
  </si>
  <si>
    <t xml:space="preserve">   Street/Base Case</t>
  </si>
  <si>
    <t xml:space="preserve">   Optimistic</t>
  </si>
  <si>
    <t>% of Revenue</t>
  </si>
  <si>
    <t>Total Revenues</t>
  </si>
  <si>
    <t>Income Statement</t>
  </si>
  <si>
    <t>Revenue</t>
  </si>
  <si>
    <t xml:space="preserve">% of sales </t>
  </si>
  <si>
    <t>Taxes</t>
  </si>
  <si>
    <t>% of EBIT</t>
  </si>
  <si>
    <t>Cash Flow Items</t>
  </si>
  <si>
    <t>D&amp;A</t>
  </si>
  <si>
    <t>% of sales</t>
  </si>
  <si>
    <t>% of CapEx</t>
  </si>
  <si>
    <t>Capital Expenditures</t>
  </si>
  <si>
    <t xml:space="preserve">Net Working Capital </t>
  </si>
  <si>
    <t xml:space="preserve">Change in Net Working Capital </t>
  </si>
  <si>
    <t>% change in sales</t>
  </si>
  <si>
    <t>EBIAT</t>
  </si>
  <si>
    <t>Unlevered Free Cash Flow</t>
  </si>
  <si>
    <t>Present Value of Free Cash Flow</t>
  </si>
  <si>
    <t xml:space="preserve">Terminal Value </t>
  </si>
  <si>
    <t xml:space="preserve">Present Value of Terminal Value </t>
  </si>
  <si>
    <t>Enterprise Value</t>
  </si>
  <si>
    <t xml:space="preserve">(+) Cash </t>
  </si>
  <si>
    <t>(-) Debt</t>
  </si>
  <si>
    <t>Equity Value</t>
  </si>
  <si>
    <t xml:space="preserve">Shares </t>
  </si>
  <si>
    <t xml:space="preserve">Implied Share Price </t>
  </si>
  <si>
    <t>WACC - PYPL</t>
  </si>
  <si>
    <t>WACC = % of equity x cost of equity + % of debt x cost of debt x (1-Tax Rate)</t>
  </si>
  <si>
    <t xml:space="preserve">Cost of equity = Risk free rate + Beta x Market Risk Premium </t>
  </si>
  <si>
    <t xml:space="preserve">Market Cap </t>
  </si>
  <si>
    <t>% of equity</t>
  </si>
  <si>
    <t>Cost of Equity</t>
  </si>
  <si>
    <t>Risk Free Rate</t>
  </si>
  <si>
    <t>Beta</t>
  </si>
  <si>
    <t xml:space="preserve">Market Risk Premium </t>
  </si>
  <si>
    <t>Debt</t>
  </si>
  <si>
    <t>% of Debt</t>
  </si>
  <si>
    <t>Cost of Debt</t>
  </si>
  <si>
    <t>Tax Rate</t>
  </si>
  <si>
    <t xml:space="preserve">Total </t>
  </si>
</sst>
</file>

<file path=xl/styles.xml><?xml version="1.0" encoding="utf-8"?>
<styleSheet xmlns="http://schemas.openxmlformats.org/spreadsheetml/2006/main">
  <numFmts count="8">
    <numFmt numFmtId="0" formatCode="General"/>
    <numFmt numFmtId="59" formatCode="[$$-409]0.00"/>
    <numFmt numFmtId="60" formatCode="dd/mm/yyyy"/>
    <numFmt numFmtId="61" formatCode="0%_);\(0%\)"/>
    <numFmt numFmtId="62" formatCode="0.0%"/>
    <numFmt numFmtId="63" formatCode="#,##0%_);\(#,##0%\)"/>
    <numFmt numFmtId="64" formatCode="0_);\(0\)"/>
    <numFmt numFmtId="65" formatCode="0.0#%"/>
  </numFmts>
  <fonts count="19">
    <font>
      <sz val="10"/>
      <color indexed="8"/>
      <name val="Helvetica Neue"/>
    </font>
    <font>
      <sz val="12"/>
      <color indexed="8"/>
      <name val="Helvetica Neue"/>
    </font>
    <font>
      <sz val="14"/>
      <color indexed="8"/>
      <name val="Helvetica Neue"/>
    </font>
    <font>
      <u val="single"/>
      <sz val="12"/>
      <color indexed="11"/>
      <name val="Helvetica Neue"/>
    </font>
    <font>
      <b val="1"/>
      <sz val="14"/>
      <color indexed="8"/>
      <name val="Calibri"/>
    </font>
    <font>
      <sz val="11"/>
      <color indexed="8"/>
      <name val="Calibri"/>
    </font>
    <font>
      <b val="1"/>
      <sz val="11"/>
      <color indexed="8"/>
      <name val="Calibri"/>
    </font>
    <font>
      <sz val="12"/>
      <color indexed="8"/>
      <name val="Calibri"/>
    </font>
    <font>
      <b val="1"/>
      <sz val="11"/>
      <color indexed="15"/>
      <name val="Calibri"/>
    </font>
    <font>
      <i val="1"/>
      <sz val="12"/>
      <color indexed="8"/>
      <name val="Calibri"/>
    </font>
    <font>
      <sz val="11"/>
      <color indexed="17"/>
      <name val="Calibri"/>
    </font>
    <font>
      <i val="1"/>
      <sz val="11"/>
      <color indexed="8"/>
      <name val="Calibri"/>
    </font>
    <font>
      <b val="1"/>
      <i val="1"/>
      <sz val="11"/>
      <color indexed="8"/>
      <name val="Calibri"/>
    </font>
    <font>
      <i val="1"/>
      <sz val="11"/>
      <color indexed="17"/>
      <name val="Calibri"/>
    </font>
    <font>
      <sz val="11"/>
      <color indexed="19"/>
      <name val="Calibri"/>
    </font>
    <font>
      <b val="1"/>
      <sz val="12"/>
      <color indexed="8"/>
      <name val="Calibri"/>
    </font>
    <font>
      <b val="1"/>
      <sz val="12"/>
      <color indexed="8"/>
      <name val="Helvetica Neue"/>
    </font>
    <font>
      <b val="1"/>
      <sz val="12"/>
      <color indexed="15"/>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54">
    <border>
      <left/>
      <right/>
      <top/>
      <bottom/>
      <diagonal/>
    </border>
    <border>
      <left>
        <color indexed="8"/>
      </left>
      <right>
        <color indexed="8"/>
      </right>
      <top>
        <color indexed="8"/>
      </top>
      <bottom/>
      <diagonal/>
    </border>
    <border>
      <left>
        <color indexed="8"/>
      </left>
      <right/>
      <top/>
      <bottom style="dotted">
        <color indexed="12"/>
      </bottom>
      <diagonal/>
    </border>
    <border>
      <left/>
      <right/>
      <top/>
      <bottom/>
      <diagonal/>
    </border>
    <border>
      <left/>
      <right/>
      <top/>
      <bottom style="hair">
        <color indexed="12"/>
      </bottom>
      <diagonal/>
    </border>
    <border>
      <left>
        <color indexed="8"/>
      </left>
      <right>
        <color indexed="8"/>
      </right>
      <top/>
      <bottom/>
      <diagonal/>
    </border>
    <border>
      <left>
        <color indexed="8"/>
      </left>
      <right style="dotted">
        <color indexed="12"/>
      </right>
      <top/>
      <bottom/>
      <diagonal/>
    </border>
    <border>
      <left style="dotted">
        <color indexed="12"/>
      </left>
      <right style="dotted">
        <color indexed="12"/>
      </right>
      <top style="dotted">
        <color indexed="12"/>
      </top>
      <bottom style="hair">
        <color indexed="12"/>
      </bottom>
      <diagonal/>
    </border>
    <border>
      <left style="dotted">
        <color indexed="12"/>
      </left>
      <right/>
      <top/>
      <bottom/>
      <diagonal/>
    </border>
    <border>
      <left/>
      <right style="hair">
        <color indexed="12"/>
      </right>
      <top/>
      <bottom/>
      <diagonal/>
    </border>
    <border>
      <left style="hair">
        <color indexed="12"/>
      </left>
      <right style="hair">
        <color indexed="12"/>
      </right>
      <top style="hair">
        <color indexed="12"/>
      </top>
      <bottom style="hair">
        <color indexed="12"/>
      </bottom>
      <diagonal/>
    </border>
    <border>
      <left style="hair">
        <color indexed="12"/>
      </left>
      <right/>
      <top/>
      <bottom/>
      <diagonal/>
    </border>
    <border>
      <left style="dotted">
        <color indexed="12"/>
      </left>
      <right style="dotted">
        <color indexed="12"/>
      </right>
      <top style="hair">
        <color indexed="12"/>
      </top>
      <bottom style="dotted">
        <color indexed="12"/>
      </bottom>
      <diagonal/>
    </border>
    <border>
      <left>
        <color indexed="8"/>
      </left>
      <right/>
      <top style="dotted">
        <color indexed="12"/>
      </top>
      <bottom/>
      <diagonal/>
    </border>
    <border>
      <left/>
      <right/>
      <top style="hair">
        <color indexed="12"/>
      </top>
      <bottom/>
      <diagonal/>
    </border>
    <border>
      <left>
        <color indexed="8"/>
      </left>
      <right/>
      <top/>
      <bottom/>
      <diagonal/>
    </border>
    <border>
      <left/>
      <right/>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dotted">
        <color indexed="12"/>
      </right>
      <top/>
      <bottom/>
      <diagonal/>
    </border>
    <border>
      <left>
        <color indexed="8"/>
      </left>
      <right style="dotted">
        <color indexed="12"/>
      </right>
      <top/>
      <bottom>
        <color indexed="8"/>
      </bottom>
      <diagonal/>
    </border>
    <border>
      <left>
        <color indexed="8"/>
      </left>
      <right>
        <color indexed="8"/>
      </right>
      <top>
        <color indexed="8"/>
      </top>
      <bottom>
        <color indexed="8"/>
      </bottom>
      <diagonal/>
    </border>
    <border>
      <left>
        <color indexed="8"/>
      </left>
      <right/>
      <top style="hair">
        <color indexed="12"/>
      </top>
      <bottom/>
      <diagonal/>
    </border>
    <border>
      <left>
        <color indexed="8"/>
      </left>
      <right style="dotted">
        <color indexed="12"/>
      </right>
      <top>
        <color indexed="8"/>
      </top>
      <bottom>
        <color indexed="8"/>
      </bottom>
      <diagonal/>
    </border>
    <border>
      <left style="dotted">
        <color indexed="12"/>
      </left>
      <right style="dotted">
        <color indexed="12"/>
      </right>
      <top style="hair">
        <color indexed="12"/>
      </top>
      <bottom style="hair">
        <color indexed="12"/>
      </bottom>
      <diagonal/>
    </border>
    <border>
      <left>
        <color indexed="8"/>
      </left>
      <right/>
      <top style="hair">
        <color indexed="12"/>
      </top>
      <bottom style="dotted">
        <color indexed="12"/>
      </bottom>
      <diagonal/>
    </border>
    <border>
      <left/>
      <right/>
      <top style="dotted">
        <color indexed="12"/>
      </top>
      <bottom/>
      <diagonal/>
    </border>
    <border>
      <left/>
      <right/>
      <top/>
      <bottom>
        <color indexed="8"/>
      </bottom>
      <diagonal/>
    </border>
    <border>
      <left/>
      <right/>
      <top>
        <color indexed="8"/>
      </top>
      <bottom>
        <color indexed="8"/>
      </bottom>
      <diagonal/>
    </border>
    <border>
      <left/>
      <right/>
      <top>
        <color indexed="8"/>
      </top>
      <bottom style="dotted">
        <color indexed="12"/>
      </bottom>
      <diagonal/>
    </border>
    <border>
      <left/>
      <right style="dotted">
        <color indexed="12"/>
      </right>
      <top/>
      <bottom/>
      <diagonal/>
    </border>
    <border>
      <left/>
      <right>
        <color indexed="8"/>
      </right>
      <top/>
      <bottom/>
      <diagonal/>
    </border>
    <border>
      <left>
        <color indexed="8"/>
      </left>
      <right>
        <color indexed="8"/>
      </right>
      <top style="dotted">
        <color indexed="12"/>
      </top>
      <bottom>
        <color indexed="8"/>
      </bottom>
      <diagonal/>
    </border>
    <border>
      <left>
        <color indexed="8"/>
      </left>
      <right>
        <color indexed="8"/>
      </right>
      <top/>
      <bottom>
        <color indexed="8"/>
      </bottom>
      <diagonal/>
    </border>
    <border>
      <left>
        <color indexed="8"/>
      </left>
      <right/>
      <top/>
      <bottom>
        <color indexed="8"/>
      </bottom>
      <diagonal/>
    </border>
    <border>
      <left>
        <color indexed="8"/>
      </left>
      <right/>
      <top>
        <color indexed="8"/>
      </top>
      <bottom>
        <color indexed="8"/>
      </bottom>
      <diagonal/>
    </border>
    <border>
      <left/>
      <right>
        <color indexed="8"/>
      </right>
      <top>
        <color indexed="8"/>
      </top>
      <bottom>
        <color indexed="8"/>
      </bottom>
      <diagonal/>
    </border>
    <border>
      <left>
        <color indexed="8"/>
      </left>
      <right/>
      <top>
        <color indexed="8"/>
      </top>
      <bottom/>
      <diagonal/>
    </border>
    <border>
      <left/>
      <right/>
      <top>
        <color indexed="8"/>
      </top>
      <bottom/>
      <diagonal/>
    </border>
    <border>
      <left>
        <color indexed="8"/>
      </left>
      <right>
        <color indexed="8"/>
      </right>
      <top/>
      <bottom style="thin">
        <color indexed="12"/>
      </bottom>
      <diagonal/>
    </border>
    <border>
      <left>
        <color indexed="8"/>
      </left>
      <right/>
      <top/>
      <bottom style="thin">
        <color indexed="12"/>
      </bottom>
      <diagonal/>
    </border>
    <border>
      <left/>
      <right/>
      <top/>
      <bottom style="thin">
        <color indexed="12"/>
      </bottom>
      <diagonal/>
    </border>
    <border>
      <left/>
      <right/>
      <top/>
      <bottom style="thin">
        <color indexed="18"/>
      </bottom>
      <diagonal/>
    </border>
    <border>
      <left>
        <color indexed="8"/>
      </left>
      <right>
        <color indexed="8"/>
      </right>
      <top style="thin">
        <color indexed="12"/>
      </top>
      <bottom/>
      <diagonal/>
    </border>
    <border>
      <left>
        <color indexed="8"/>
      </left>
      <right/>
      <top style="thin">
        <color indexed="12"/>
      </top>
      <bottom/>
      <diagonal/>
    </border>
    <border>
      <left/>
      <right/>
      <top style="thin">
        <color indexed="12"/>
      </top>
      <bottom/>
      <diagonal/>
    </border>
    <border>
      <left/>
      <right/>
      <top style="thin">
        <color indexed="18"/>
      </top>
      <bottom/>
      <diagonal/>
    </border>
    <border>
      <left>
        <color indexed="8"/>
      </left>
      <right>
        <color indexed="8"/>
      </right>
      <top>
        <color indexed="8"/>
      </top>
      <bottom style="thin">
        <color indexed="18"/>
      </bottom>
      <diagonal/>
    </border>
    <border>
      <left>
        <color indexed="8"/>
      </left>
      <right/>
      <top/>
      <bottom style="thin">
        <color indexed="18"/>
      </bottom>
      <diagonal/>
    </border>
    <border>
      <left>
        <color indexed="8"/>
      </left>
      <right>
        <color indexed="8"/>
      </right>
      <top style="thin">
        <color indexed="18"/>
      </top>
      <bottom>
        <color indexed="8"/>
      </bottom>
      <diagonal/>
    </border>
    <border>
      <left>
        <color indexed="8"/>
      </left>
      <right/>
      <top style="thin">
        <color indexed="18"/>
      </top>
      <bottom>
        <color indexed="8"/>
      </bottom>
      <diagonal/>
    </border>
    <border>
      <left/>
      <right/>
      <top style="thin">
        <color indexed="18"/>
      </top>
      <bottom>
        <color indexed="8"/>
      </bottom>
      <diagonal/>
    </border>
    <border>
      <left/>
      <right>
        <color indexed="8"/>
      </right>
      <top style="thin">
        <color indexed="18"/>
      </top>
      <bottom>
        <color indexed="8"/>
      </bottom>
      <diagonal/>
    </border>
    <border>
      <left/>
      <right/>
      <top style="hair">
        <color indexed="12"/>
      </top>
      <bottom style="thin">
        <color indexed="18"/>
      </bottom>
      <diagonal/>
    </border>
    <border>
      <left>
        <color indexed="8"/>
      </left>
      <right/>
      <top style="thin">
        <color indexed="18"/>
      </top>
      <bottom/>
      <diagonal/>
    </border>
  </borders>
  <cellStyleXfs count="1">
    <xf numFmtId="0" fontId="0" applyNumberFormat="0" applyFont="1" applyFill="0" applyBorder="0" applyAlignment="1" applyProtection="0">
      <alignment vertical="top" wrapText="1"/>
    </xf>
  </cellStyleXfs>
  <cellXfs count="17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0" fontId="5" borderId="1" applyNumberFormat="0" applyFont="1" applyFill="0" applyBorder="1" applyAlignment="1" applyProtection="0">
      <alignment vertical="top"/>
    </xf>
    <xf numFmtId="0" fontId="6" borderId="1" applyNumberFormat="0" applyFont="1" applyFill="0" applyBorder="1" applyAlignment="1" applyProtection="0">
      <alignment vertical="top"/>
    </xf>
    <xf numFmtId="0" fontId="5" borderId="2" applyNumberFormat="0" applyFont="1" applyFill="0" applyBorder="1" applyAlignment="1" applyProtection="0">
      <alignment vertical="top"/>
    </xf>
    <xf numFmtId="0" fontId="5" borderId="3" applyNumberFormat="0" applyFont="1" applyFill="0" applyBorder="1" applyAlignment="1" applyProtection="0">
      <alignment vertical="top"/>
    </xf>
    <xf numFmtId="0" fontId="5" borderId="4" applyNumberFormat="0" applyFont="1" applyFill="0" applyBorder="1" applyAlignment="1" applyProtection="0">
      <alignment vertical="top"/>
    </xf>
    <xf numFmtId="0" fontId="5" borderId="5" applyNumberFormat="0" applyFont="1" applyFill="0" applyBorder="1" applyAlignment="1" applyProtection="0">
      <alignment vertical="top"/>
    </xf>
    <xf numFmtId="49" fontId="6" borderId="6" applyNumberFormat="1" applyFont="1" applyFill="0" applyBorder="1" applyAlignment="1" applyProtection="0">
      <alignment vertical="top"/>
    </xf>
    <xf numFmtId="49" fontId="5" fillId="4" borderId="7" applyNumberFormat="1" applyFont="1" applyFill="1" applyBorder="1" applyAlignment="1" applyProtection="0">
      <alignment vertical="top"/>
    </xf>
    <xf numFmtId="0" fontId="5" borderId="8" applyNumberFormat="0" applyFont="1" applyFill="0" applyBorder="1" applyAlignment="1" applyProtection="0">
      <alignment vertical="top"/>
    </xf>
    <xf numFmtId="49" fontId="7" borderId="9" applyNumberFormat="1" applyFont="1" applyFill="0" applyBorder="1" applyAlignment="1" applyProtection="0">
      <alignment vertical="top"/>
    </xf>
    <xf numFmtId="59" fontId="7" fillId="5" borderId="10" applyNumberFormat="1" applyFont="1" applyFill="1" applyBorder="1" applyAlignment="1" applyProtection="0">
      <alignment horizontal="right" vertical="top" wrapText="1"/>
    </xf>
    <xf numFmtId="0" fontId="7" borderId="11" applyNumberFormat="0" applyFont="1" applyFill="0" applyBorder="1" applyAlignment="1" applyProtection="0">
      <alignment vertical="top" wrapText="1"/>
    </xf>
    <xf numFmtId="0" fontId="7" borderId="3" applyNumberFormat="0" applyFont="1" applyFill="0" applyBorder="1" applyAlignment="1" applyProtection="0">
      <alignment vertical="top" wrapText="1"/>
    </xf>
    <xf numFmtId="0" fontId="7" borderId="4" applyNumberFormat="0" applyFont="1" applyFill="0" applyBorder="1" applyAlignment="1" applyProtection="0">
      <alignment vertical="top" wrapText="1"/>
    </xf>
    <xf numFmtId="60" fontId="5" fillId="5" borderId="12" applyNumberFormat="1" applyFont="1" applyFill="1" applyBorder="1" applyAlignment="1" applyProtection="0">
      <alignment horizontal="left" vertical="top"/>
    </xf>
    <xf numFmtId="61" fontId="7" fillId="5" borderId="10" applyNumberFormat="1" applyFont="1" applyFill="1" applyBorder="1" applyAlignment="1" applyProtection="0">
      <alignment horizontal="right" vertical="top" wrapText="1"/>
    </xf>
    <xf numFmtId="0" fontId="5" borderId="11" applyNumberFormat="0" applyFont="1" applyFill="0" applyBorder="1" applyAlignment="1" applyProtection="0">
      <alignment vertical="top"/>
    </xf>
    <xf numFmtId="0" fontId="6" borderId="5" applyNumberFormat="0" applyFont="1" applyFill="0" applyBorder="1" applyAlignment="1" applyProtection="0">
      <alignment vertical="top"/>
    </xf>
    <xf numFmtId="0" fontId="5" borderId="13" applyNumberFormat="0" applyFont="1" applyFill="0" applyBorder="1" applyAlignment="1" applyProtection="0">
      <alignment vertical="top"/>
    </xf>
    <xf numFmtId="0" fontId="5" borderId="14" applyNumberFormat="0" applyFont="1" applyFill="0" applyBorder="1" applyAlignment="1" applyProtection="0">
      <alignment vertical="top"/>
    </xf>
    <xf numFmtId="0" fontId="5" borderId="15" applyNumberFormat="0" applyFont="1" applyFill="0" applyBorder="1" applyAlignment="1" applyProtection="0">
      <alignment vertical="top"/>
    </xf>
    <xf numFmtId="49" fontId="5" borderId="5" applyNumberFormat="1" applyFont="1" applyFill="0" applyBorder="1" applyAlignment="1" applyProtection="0">
      <alignment vertical="top"/>
    </xf>
    <xf numFmtId="49" fontId="8" fillId="6" borderId="5" applyNumberFormat="1" applyFont="1" applyFill="1" applyBorder="1" applyAlignment="1" applyProtection="0">
      <alignment vertical="top"/>
    </xf>
    <xf numFmtId="0" fontId="8" fillId="6" borderId="5" applyNumberFormat="0" applyFont="1" applyFill="1" applyBorder="1" applyAlignment="1" applyProtection="0">
      <alignment vertical="top"/>
    </xf>
    <xf numFmtId="0" fontId="8" fillId="6" borderId="15" applyNumberFormat="0" applyFont="1" applyFill="1" applyBorder="1" applyAlignment="1" applyProtection="0">
      <alignment vertical="top"/>
    </xf>
    <xf numFmtId="0" fontId="8" fillId="6" borderId="3" applyNumberFormat="0" applyFont="1" applyFill="1" applyBorder="1" applyAlignment="1" applyProtection="0">
      <alignment vertical="top"/>
    </xf>
    <xf numFmtId="49" fontId="6" borderId="5" applyNumberFormat="1" applyFont="1" applyFill="0" applyBorder="1" applyAlignment="1" applyProtection="0">
      <alignment vertical="top"/>
    </xf>
    <xf numFmtId="49" fontId="6" borderId="16" applyNumberFormat="1" applyFont="1" applyFill="0" applyBorder="1" applyAlignment="1" applyProtection="0">
      <alignment vertical="top"/>
    </xf>
    <xf numFmtId="0" fontId="0" borderId="3" applyNumberFormat="0" applyFont="1" applyFill="0" applyBorder="1" applyAlignment="1" applyProtection="0">
      <alignment vertical="top" wrapText="1"/>
    </xf>
    <xf numFmtId="0" fontId="5" fillId="4" borderId="17" applyNumberFormat="1" applyFont="1" applyFill="1" applyBorder="1" applyAlignment="1" applyProtection="0">
      <alignment vertical="top"/>
    </xf>
    <xf numFmtId="0" fontId="5" borderId="18" applyNumberFormat="0" applyFont="1" applyFill="0" applyBorder="1" applyAlignment="1" applyProtection="0">
      <alignment vertical="top"/>
    </xf>
    <xf numFmtId="61" fontId="5" fillId="4" borderId="17" applyNumberFormat="1" applyFont="1" applyFill="1" applyBorder="1" applyAlignment="1" applyProtection="0">
      <alignment vertical="top"/>
    </xf>
    <xf numFmtId="61" fontId="5" borderId="18" applyNumberFormat="1" applyFont="1" applyFill="0" applyBorder="1" applyAlignment="1" applyProtection="0">
      <alignment vertical="top"/>
    </xf>
    <xf numFmtId="49" fontId="6" borderId="19" applyNumberFormat="1" applyFont="1" applyFill="0" applyBorder="1" applyAlignment="1" applyProtection="0">
      <alignment vertical="top"/>
    </xf>
    <xf numFmtId="0" fontId="5" fillId="4" borderId="7" applyNumberFormat="1" applyFont="1" applyFill="1" applyBorder="1" applyAlignment="1" applyProtection="0">
      <alignment vertical="top"/>
    </xf>
    <xf numFmtId="62" fontId="5" fillId="4" borderId="7" applyNumberFormat="1" applyFont="1" applyFill="1" applyBorder="1" applyAlignment="1" applyProtection="0">
      <alignment vertical="top"/>
    </xf>
    <xf numFmtId="0" fontId="6" borderId="20" applyNumberFormat="0" applyFont="1" applyFill="0" applyBorder="1" applyAlignment="1" applyProtection="0">
      <alignment vertical="top"/>
    </xf>
    <xf numFmtId="0" fontId="5" borderId="21" applyNumberFormat="0" applyFont="1" applyFill="0" applyBorder="1" applyAlignment="1" applyProtection="0">
      <alignment vertical="top"/>
    </xf>
    <xf numFmtId="9" fontId="5" borderId="14" applyNumberFormat="1" applyFont="1" applyFill="0" applyBorder="1" applyAlignment="1" applyProtection="0">
      <alignment vertical="top"/>
    </xf>
    <xf numFmtId="9" fontId="5" borderId="3" applyNumberFormat="1" applyFont="1" applyFill="0" applyBorder="1" applyAlignment="1" applyProtection="0">
      <alignment vertical="top"/>
    </xf>
    <xf numFmtId="9" fontId="5" borderId="16" applyNumberFormat="1" applyFont="1" applyFill="0" applyBorder="1" applyAlignment="1" applyProtection="0">
      <alignment vertical="top"/>
    </xf>
    <xf numFmtId="49" fontId="6" borderId="22" applyNumberFormat="1" applyFont="1" applyFill="0" applyBorder="1" applyAlignment="1" applyProtection="0">
      <alignment vertical="top"/>
    </xf>
    <xf numFmtId="62" fontId="5" fillId="4" borderId="17" applyNumberFormat="1" applyFont="1" applyFill="1" applyBorder="1" applyAlignment="1" applyProtection="0">
      <alignment vertical="top"/>
    </xf>
    <xf numFmtId="49" fontId="7" borderId="16" applyNumberFormat="1" applyFont="1" applyFill="0" applyBorder="1" applyAlignment="1" applyProtection="0">
      <alignment vertical="top" wrapText="1"/>
    </xf>
    <xf numFmtId="10" fontId="5" fillId="4" borderId="7" applyNumberFormat="1" applyFont="1" applyFill="1" applyBorder="1" applyAlignment="1" applyProtection="0">
      <alignment vertical="top"/>
    </xf>
    <xf numFmtId="10" fontId="5" fillId="4" borderId="17" applyNumberFormat="1" applyFont="1" applyFill="1" applyBorder="1" applyAlignment="1" applyProtection="0">
      <alignment vertical="top"/>
    </xf>
    <xf numFmtId="10" fontId="9" fillId="5" borderId="17" applyNumberFormat="1" applyFont="1" applyFill="1" applyBorder="1" applyAlignment="1" applyProtection="0">
      <alignment horizontal="center" vertical="top" wrapText="1"/>
    </xf>
    <xf numFmtId="62" fontId="5" fillId="4" borderId="23" applyNumberFormat="1" applyFont="1" applyFill="1" applyBorder="1" applyAlignment="1" applyProtection="0">
      <alignment vertical="top"/>
    </xf>
    <xf numFmtId="9" fontId="5" fillId="4" borderId="7" applyNumberFormat="1" applyFont="1" applyFill="1" applyBorder="1" applyAlignment="1" applyProtection="0">
      <alignment vertical="top"/>
    </xf>
    <xf numFmtId="0" fontId="5" borderId="24" applyNumberFormat="0" applyFont="1" applyFill="0" applyBorder="1" applyAlignment="1" applyProtection="0">
      <alignment vertical="top"/>
    </xf>
    <xf numFmtId="0" fontId="5" borderId="25" applyNumberFormat="0" applyFont="1" applyFill="0" applyBorder="1" applyAlignment="1" applyProtection="0">
      <alignment vertical="top"/>
    </xf>
    <xf numFmtId="49" fontId="5" borderId="3" applyNumberFormat="1" applyFont="1" applyFill="0" applyBorder="1" applyAlignment="1" applyProtection="0">
      <alignment horizontal="center" vertical="top"/>
    </xf>
    <xf numFmtId="0" fontId="8" fillId="6" borderId="15" applyNumberFormat="1" applyFont="1" applyFill="1" applyBorder="1" applyAlignment="1" applyProtection="0">
      <alignment vertical="top"/>
    </xf>
    <xf numFmtId="0" fontId="8" fillId="6" borderId="3" applyNumberFormat="1" applyFont="1" applyFill="1" applyBorder="1" applyAlignment="1" applyProtection="0">
      <alignment vertical="top"/>
    </xf>
    <xf numFmtId="37" fontId="5" borderId="3" applyNumberFormat="1" applyFont="1" applyFill="0" applyBorder="1" applyAlignment="1" applyProtection="0">
      <alignment vertical="top"/>
    </xf>
    <xf numFmtId="0" fontId="5" borderId="3" applyNumberFormat="0" applyFont="1" applyFill="0" applyBorder="1" applyAlignment="1" applyProtection="0">
      <alignment vertical="top" wrapText="1"/>
    </xf>
    <xf numFmtId="37" fontId="5" borderId="26" applyNumberFormat="1" applyFont="1" applyFill="0" applyBorder="1" applyAlignment="1" applyProtection="0">
      <alignment vertical="top"/>
    </xf>
    <xf numFmtId="37" fontId="10" borderId="3" applyNumberFormat="1" applyFont="1" applyFill="0" applyBorder="1" applyAlignment="1" applyProtection="0">
      <alignment vertical="top"/>
    </xf>
    <xf numFmtId="37" fontId="5" borderId="27" applyNumberFormat="1" applyFont="1" applyFill="0" applyBorder="1" applyAlignment="1" applyProtection="0">
      <alignment vertical="top"/>
    </xf>
    <xf numFmtId="0" fontId="11" borderId="5" applyNumberFormat="0" applyFont="1" applyFill="0" applyBorder="1" applyAlignment="1" applyProtection="0">
      <alignment vertical="top"/>
    </xf>
    <xf numFmtId="49" fontId="12" borderId="5" applyNumberFormat="1" applyFont="1" applyFill="0" applyBorder="1" applyAlignment="1" applyProtection="0">
      <alignment vertical="top"/>
    </xf>
    <xf numFmtId="0" fontId="11" borderId="15" applyNumberFormat="0" applyFont="1" applyFill="0" applyBorder="1" applyAlignment="1" applyProtection="0">
      <alignment vertical="top"/>
    </xf>
    <xf numFmtId="0" fontId="11" borderId="3" applyNumberFormat="0" applyFont="1" applyFill="0" applyBorder="1" applyAlignment="1" applyProtection="0">
      <alignment vertical="top"/>
    </xf>
    <xf numFmtId="63" fontId="11" borderId="3" applyNumberFormat="1" applyFont="1" applyFill="0" applyBorder="1" applyAlignment="1" applyProtection="0">
      <alignment vertical="top"/>
    </xf>
    <xf numFmtId="63" fontId="11" borderId="28" applyNumberFormat="1" applyFont="1" applyFill="0" applyBorder="1" applyAlignment="1" applyProtection="0">
      <alignment vertical="top"/>
    </xf>
    <xf numFmtId="63" fontId="11" borderId="16" applyNumberFormat="1" applyFont="1" applyFill="0" applyBorder="1" applyAlignment="1" applyProtection="0">
      <alignment vertical="top"/>
    </xf>
    <xf numFmtId="37" fontId="10" borderId="29" applyNumberFormat="1" applyFont="1" applyFill="0" applyBorder="1" applyAlignment="1" applyProtection="0">
      <alignment vertical="top"/>
    </xf>
    <xf numFmtId="61" fontId="11" fillId="4" borderId="17" applyNumberFormat="1" applyFont="1" applyFill="1" applyBorder="1" applyAlignment="1" applyProtection="0">
      <alignment vertical="top"/>
    </xf>
    <xf numFmtId="63" fontId="11" borderId="30" applyNumberFormat="1" applyFont="1" applyFill="0" applyBorder="1" applyAlignment="1" applyProtection="0">
      <alignment vertical="top"/>
    </xf>
    <xf numFmtId="63" fontId="11" borderId="31" applyNumberFormat="1" applyFont="1" applyFill="0" applyBorder="1" applyAlignment="1" applyProtection="0">
      <alignment vertical="top"/>
    </xf>
    <xf numFmtId="0" fontId="11" borderId="32" applyNumberFormat="0" applyFont="1" applyFill="0" applyBorder="1" applyAlignment="1" applyProtection="0">
      <alignment vertical="top"/>
    </xf>
    <xf numFmtId="0" fontId="12" borderId="5" applyNumberFormat="0" applyFont="1" applyFill="0" applyBorder="1" applyAlignment="1" applyProtection="0">
      <alignment vertical="top"/>
    </xf>
    <xf numFmtId="0" fontId="11" borderId="33" applyNumberFormat="0" applyFont="1" applyFill="0" applyBorder="1" applyAlignment="1" applyProtection="0">
      <alignment vertical="top"/>
    </xf>
    <xf numFmtId="37" fontId="11" borderId="26" applyNumberFormat="1" applyFont="1" applyFill="0" applyBorder="1" applyAlignment="1" applyProtection="0">
      <alignment vertical="top"/>
    </xf>
    <xf numFmtId="63" fontId="11" borderId="26" applyNumberFormat="1" applyFont="1" applyFill="0" applyBorder="1" applyAlignment="1" applyProtection="0">
      <alignment vertical="top"/>
    </xf>
    <xf numFmtId="63" fontId="11" borderId="27" applyNumberFormat="1" applyFont="1" applyFill="0" applyBorder="1" applyAlignment="1" applyProtection="0">
      <alignment vertical="top"/>
    </xf>
    <xf numFmtId="0" fontId="5" borderId="20" applyNumberFormat="0" applyFont="1" applyFill="0" applyBorder="1" applyAlignment="1" applyProtection="0">
      <alignment vertical="top"/>
    </xf>
    <xf numFmtId="0" fontId="5" borderId="34" applyNumberFormat="0" applyFont="1" applyFill="0" applyBorder="1" applyAlignment="1" applyProtection="0">
      <alignment vertical="top"/>
    </xf>
    <xf numFmtId="37" fontId="10" borderId="27" applyNumberFormat="1" applyFont="1" applyFill="0" applyBorder="1" applyAlignment="1" applyProtection="0">
      <alignment vertical="top"/>
    </xf>
    <xf numFmtId="37" fontId="5" borderId="35" applyNumberFormat="1" applyFont="1" applyFill="0" applyBorder="1" applyAlignment="1" applyProtection="0">
      <alignment vertical="top"/>
    </xf>
    <xf numFmtId="0" fontId="11" borderId="1" applyNumberFormat="0" applyFont="1" applyFill="0" applyBorder="1" applyAlignment="1" applyProtection="0">
      <alignment vertical="top"/>
    </xf>
    <xf numFmtId="63" fontId="11" borderId="36" applyNumberFormat="1" applyFont="1" applyFill="0" applyBorder="1" applyAlignment="1" applyProtection="0">
      <alignment vertical="top"/>
    </xf>
    <xf numFmtId="63" fontId="11" borderId="37" applyNumberFormat="1" applyFont="1" applyFill="0" applyBorder="1" applyAlignment="1" applyProtection="0">
      <alignment vertical="top"/>
    </xf>
    <xf numFmtId="61" fontId="11" fillId="4" borderId="7" applyNumberFormat="1" applyFont="1" applyFill="1" applyBorder="1" applyAlignment="1" applyProtection="0">
      <alignment vertical="top"/>
    </xf>
    <xf numFmtId="61" fontId="11" fillId="4" borderId="23" applyNumberFormat="1" applyFont="1" applyFill="1" applyBorder="1" applyAlignment="1" applyProtection="0">
      <alignment vertical="top"/>
    </xf>
    <xf numFmtId="63" fontId="11" borderId="14" applyNumberFormat="1" applyFont="1" applyFill="0" applyBorder="1" applyAlignment="1" applyProtection="0">
      <alignment vertical="top"/>
    </xf>
    <xf numFmtId="0" fontId="11" borderId="38" applyNumberFormat="0" applyFont="1" applyFill="0" applyBorder="1" applyAlignment="1" applyProtection="0">
      <alignment vertical="top"/>
    </xf>
    <xf numFmtId="0" fontId="6" borderId="38" applyNumberFormat="0" applyFont="1" applyFill="0" applyBorder="1" applyAlignment="1" applyProtection="0">
      <alignment vertical="top"/>
    </xf>
    <xf numFmtId="0" fontId="11" borderId="39" applyNumberFormat="0" applyFont="1" applyFill="0" applyBorder="1" applyAlignment="1" applyProtection="0">
      <alignment vertical="top"/>
    </xf>
    <xf numFmtId="0" fontId="11" borderId="40" applyNumberFormat="0" applyFont="1" applyFill="0" applyBorder="1" applyAlignment="1" applyProtection="0">
      <alignment vertical="top"/>
    </xf>
    <xf numFmtId="37" fontId="13" borderId="40" applyNumberFormat="1" applyFont="1" applyFill="0" applyBorder="1" applyAlignment="1" applyProtection="0">
      <alignment vertical="top"/>
    </xf>
    <xf numFmtId="63" fontId="11" borderId="40" applyNumberFormat="1" applyFont="1" applyFill="0" applyBorder="1" applyAlignment="1" applyProtection="0">
      <alignment vertical="top"/>
    </xf>
    <xf numFmtId="63" fontId="11" borderId="41" applyNumberFormat="1" applyFont="1" applyFill="0" applyBorder="1" applyAlignment="1" applyProtection="0">
      <alignment vertical="top"/>
    </xf>
    <xf numFmtId="0" fontId="6" borderId="42" applyNumberFormat="0" applyFont="1" applyFill="0" applyBorder="1" applyAlignment="1" applyProtection="0">
      <alignment vertical="top"/>
    </xf>
    <xf numFmtId="49" fontId="6" borderId="42" applyNumberFormat="1" applyFont="1" applyFill="0" applyBorder="1" applyAlignment="1" applyProtection="0">
      <alignment vertical="top"/>
    </xf>
    <xf numFmtId="0" fontId="6" borderId="43" applyNumberFormat="0" applyFont="1" applyFill="0" applyBorder="1" applyAlignment="1" applyProtection="0">
      <alignment vertical="top"/>
    </xf>
    <xf numFmtId="37" fontId="6" borderId="44" applyNumberFormat="1" applyFont="1" applyFill="0" applyBorder="1" applyAlignment="1" applyProtection="0">
      <alignment vertical="top"/>
    </xf>
    <xf numFmtId="37" fontId="6" borderId="45" applyNumberFormat="1" applyFont="1" applyFill="0" applyBorder="1" applyAlignment="1" applyProtection="0">
      <alignment vertical="top"/>
    </xf>
    <xf numFmtId="63" fontId="12" borderId="3" applyNumberFormat="1" applyFont="1" applyFill="0" applyBorder="1" applyAlignment="1" applyProtection="0">
      <alignment vertical="top"/>
    </xf>
    <xf numFmtId="0" fontId="8" borderId="3" applyNumberFormat="0" applyFont="1" applyFill="0" applyBorder="1" applyAlignment="1" applyProtection="0">
      <alignment vertical="top"/>
    </xf>
    <xf numFmtId="37" fontId="14" borderId="3" applyNumberFormat="1" applyFont="1" applyFill="0" applyBorder="1" applyAlignment="1" applyProtection="0">
      <alignment vertical="top"/>
    </xf>
    <xf numFmtId="0" fontId="14" borderId="3" applyNumberFormat="0" applyFont="1" applyFill="0" applyBorder="1" applyAlignment="1" applyProtection="0">
      <alignment vertical="top"/>
    </xf>
    <xf numFmtId="3" fontId="10" borderId="3" applyNumberFormat="1" applyFont="1" applyFill="0" applyBorder="1" applyAlignment="1" applyProtection="0">
      <alignment vertical="top"/>
    </xf>
    <xf numFmtId="3" fontId="5" borderId="3" applyNumberFormat="1" applyFont="1" applyFill="0" applyBorder="1" applyAlignment="1" applyProtection="0">
      <alignment vertical="top"/>
    </xf>
    <xf numFmtId="0" fontId="5" borderId="32" applyNumberFormat="0" applyFont="1" applyFill="0" applyBorder="1" applyAlignment="1" applyProtection="0">
      <alignment vertical="top"/>
    </xf>
    <xf numFmtId="0" fontId="6" borderId="32" applyNumberFormat="0" applyFont="1" applyFill="0" applyBorder="1" applyAlignment="1" applyProtection="0">
      <alignment vertical="top"/>
    </xf>
    <xf numFmtId="49" fontId="6" borderId="1" applyNumberFormat="1" applyFont="1" applyFill="0" applyBorder="1" applyAlignment="1" applyProtection="0">
      <alignment vertical="top"/>
    </xf>
    <xf numFmtId="49" fontId="12" borderId="32" applyNumberFormat="1" applyFont="1" applyFill="0" applyBorder="1" applyAlignment="1" applyProtection="0">
      <alignment vertical="top"/>
    </xf>
    <xf numFmtId="63" fontId="5" borderId="3" applyNumberFormat="1" applyFont="1" applyFill="0" applyBorder="1" applyAlignment="1" applyProtection="0">
      <alignment vertical="top"/>
    </xf>
    <xf numFmtId="49" fontId="5" borderId="1" applyNumberFormat="1" applyFont="1" applyFill="0" applyBorder="1" applyAlignment="1" applyProtection="0">
      <alignment vertical="top"/>
    </xf>
    <xf numFmtId="49" fontId="8" fillId="6" borderId="1" applyNumberFormat="1" applyFont="1" applyFill="1" applyBorder="1" applyAlignment="1" applyProtection="0">
      <alignment vertical="top"/>
    </xf>
    <xf numFmtId="49" fontId="6" borderId="20" applyNumberFormat="1" applyFont="1" applyFill="0" applyBorder="1" applyAlignment="1" applyProtection="0">
      <alignment vertical="top"/>
    </xf>
    <xf numFmtId="0" fontId="11" borderId="20" applyNumberFormat="0" applyFont="1" applyFill="0" applyBorder="1" applyAlignment="1" applyProtection="0">
      <alignment vertical="top"/>
    </xf>
    <xf numFmtId="49" fontId="12" borderId="20" applyNumberFormat="1" applyFont="1" applyFill="0" applyBorder="1" applyAlignment="1" applyProtection="0">
      <alignment vertical="top"/>
    </xf>
    <xf numFmtId="3" fontId="14" borderId="3" applyNumberFormat="1" applyFont="1" applyFill="0" applyBorder="1" applyAlignment="1" applyProtection="0">
      <alignment vertical="top"/>
    </xf>
    <xf numFmtId="63" fontId="5" borderId="14" applyNumberFormat="1" applyFont="1" applyFill="0" applyBorder="1" applyAlignment="1" applyProtection="0">
      <alignment vertical="top"/>
    </xf>
    <xf numFmtId="0" fontId="5" borderId="46" applyNumberFormat="0" applyFont="1" applyFill="0" applyBorder="1" applyAlignment="1" applyProtection="0">
      <alignment vertical="top"/>
    </xf>
    <xf numFmtId="0" fontId="6" borderId="46" applyNumberFormat="0" applyFont="1" applyFill="0" applyBorder="1" applyAlignment="1" applyProtection="0">
      <alignment vertical="top"/>
    </xf>
    <xf numFmtId="0" fontId="5" borderId="47" applyNumberFormat="0" applyFont="1" applyFill="0" applyBorder="1" applyAlignment="1" applyProtection="0">
      <alignment vertical="top"/>
    </xf>
    <xf numFmtId="0" fontId="5" borderId="41" applyNumberFormat="0" applyFont="1" applyFill="0" applyBorder="1" applyAlignment="1" applyProtection="0">
      <alignment vertical="top"/>
    </xf>
    <xf numFmtId="63" fontId="5" borderId="41" applyNumberFormat="1" applyFont="1" applyFill="0" applyBorder="1" applyAlignment="1" applyProtection="0">
      <alignment vertical="top"/>
    </xf>
    <xf numFmtId="0" fontId="5" borderId="48" applyNumberFormat="0" applyFont="1" applyFill="0" applyBorder="1" applyAlignment="1" applyProtection="0">
      <alignment vertical="top"/>
    </xf>
    <xf numFmtId="49" fontId="6" borderId="48" applyNumberFormat="1" applyFont="1" applyFill="0" applyBorder="1" applyAlignment="1" applyProtection="0">
      <alignment vertical="top"/>
    </xf>
    <xf numFmtId="0" fontId="5" borderId="49" applyNumberFormat="0" applyFont="1" applyFill="0" applyBorder="1" applyAlignment="1" applyProtection="0">
      <alignment vertical="top"/>
    </xf>
    <xf numFmtId="0" fontId="5" borderId="50" applyNumberFormat="0" applyFont="1" applyFill="0" applyBorder="1" applyAlignment="1" applyProtection="0">
      <alignment vertical="top"/>
    </xf>
    <xf numFmtId="37" fontId="6" borderId="50" applyNumberFormat="1" applyFont="1" applyFill="0" applyBorder="1" applyAlignment="1" applyProtection="0">
      <alignment vertical="top"/>
    </xf>
    <xf numFmtId="37" fontId="6" borderId="51" applyNumberFormat="1" applyFont="1" applyFill="0" applyBorder="1" applyAlignment="1" applyProtection="0">
      <alignment vertical="top"/>
    </xf>
    <xf numFmtId="0" fontId="5" borderId="36" applyNumberFormat="0" applyFont="1" applyFill="0" applyBorder="1" applyAlignment="1" applyProtection="0">
      <alignment vertical="top"/>
    </xf>
    <xf numFmtId="0" fontId="5" borderId="37" applyNumberFormat="0" applyFont="1" applyFill="0" applyBorder="1" applyAlignment="1" applyProtection="0">
      <alignment vertical="top"/>
    </xf>
    <xf numFmtId="63" fontId="5" borderId="37" applyNumberFormat="1" applyFont="1" applyFill="0" applyBorder="1" applyAlignment="1" applyProtection="0">
      <alignment vertical="top"/>
    </xf>
    <xf numFmtId="3" fontId="14" borderId="16" applyNumberFormat="1" applyFont="1" applyFill="0" applyBorder="1" applyAlignment="1" applyProtection="0">
      <alignment vertical="top"/>
    </xf>
    <xf numFmtId="49" fontId="12" borderId="1" applyNumberFormat="1" applyFont="1" applyFill="0" applyBorder="1" applyAlignment="1" applyProtection="0">
      <alignment vertical="top"/>
    </xf>
    <xf numFmtId="63" fontId="11" borderId="29" applyNumberFormat="1" applyFont="1" applyFill="0" applyBorder="1" applyAlignment="1" applyProtection="0">
      <alignment vertical="top"/>
    </xf>
    <xf numFmtId="64" fontId="5" borderId="16" applyNumberFormat="1" applyFont="1" applyFill="0" applyBorder="1" applyAlignment="1" applyProtection="0">
      <alignment vertical="top"/>
    </xf>
    <xf numFmtId="0" fontId="5" borderId="16" applyNumberFormat="1" applyFont="1" applyFill="0" applyBorder="1" applyAlignment="1" applyProtection="0">
      <alignment vertical="top"/>
    </xf>
    <xf numFmtId="63" fontId="5" borderId="52" applyNumberFormat="1" applyFont="1" applyFill="0" applyBorder="1" applyAlignment="1" applyProtection="0">
      <alignment vertical="top"/>
    </xf>
    <xf numFmtId="0" fontId="5" borderId="52" applyNumberFormat="0" applyFont="1" applyFill="0" applyBorder="1" applyAlignment="1" applyProtection="0">
      <alignment vertical="top"/>
    </xf>
    <xf numFmtId="0" fontId="6" borderId="48" applyNumberFormat="0" applyFont="1" applyFill="0" applyBorder="1" applyAlignment="1" applyProtection="0">
      <alignment vertical="top"/>
    </xf>
    <xf numFmtId="0" fontId="6" borderId="53" applyNumberFormat="0" applyFont="1" applyFill="0" applyBorder="1" applyAlignment="1" applyProtection="0">
      <alignment vertical="top"/>
    </xf>
    <xf numFmtId="0" fontId="6" borderId="45" applyNumberFormat="0" applyFont="1" applyFill="0" applyBorder="1" applyAlignment="1" applyProtection="0">
      <alignment vertical="top"/>
    </xf>
    <xf numFmtId="63" fontId="6" borderId="45" applyNumberFormat="1" applyFont="1" applyFill="0" applyBorder="1" applyAlignment="1" applyProtection="0">
      <alignment vertical="top"/>
    </xf>
    <xf numFmtId="49" fontId="6" borderId="46" applyNumberFormat="1" applyFont="1" applyFill="0" applyBorder="1" applyAlignment="1" applyProtection="0">
      <alignment vertical="top"/>
    </xf>
    <xf numFmtId="37" fontId="5" borderId="41" applyNumberFormat="1" applyFont="1" applyFill="0" applyBorder="1" applyAlignment="1" applyProtection="0">
      <alignment vertical="top"/>
    </xf>
    <xf numFmtId="63" fontId="5" borderId="50" applyNumberFormat="1" applyFont="1" applyFill="0" applyBorder="1" applyAlignment="1" applyProtection="0">
      <alignment vertical="top"/>
    </xf>
    <xf numFmtId="0" fontId="5" borderId="51" applyNumberFormat="0" applyFont="1" applyFill="0" applyBorder="1" applyAlignment="1" applyProtection="0">
      <alignment vertical="top"/>
    </xf>
    <xf numFmtId="0" fontId="5" borderId="27" applyNumberFormat="0" applyFont="1" applyFill="0" applyBorder="1" applyAlignment="1" applyProtection="0">
      <alignment vertical="top"/>
    </xf>
    <xf numFmtId="63" fontId="5" borderId="27" applyNumberFormat="1" applyFont="1" applyFill="0" applyBorder="1" applyAlignment="1" applyProtection="0">
      <alignment vertical="top"/>
    </xf>
    <xf numFmtId="3" fontId="5" borderId="35" applyNumberFormat="1" applyFont="1" applyFill="0" applyBorder="1" applyAlignment="1" applyProtection="0">
      <alignment vertical="top"/>
    </xf>
    <xf numFmtId="0" fontId="5" borderId="35" applyNumberFormat="0" applyFont="1" applyFill="0" applyBorder="1" applyAlignment="1" applyProtection="0">
      <alignment vertical="top"/>
    </xf>
    <xf numFmtId="0" fontId="15" borderId="1" applyNumberFormat="0" applyFont="1" applyFill="0" applyBorder="1" applyAlignment="1" applyProtection="0">
      <alignment vertical="top"/>
    </xf>
    <xf numFmtId="49" fontId="15" borderId="1" applyNumberFormat="1" applyFont="1" applyFill="0" applyBorder="1" applyAlignment="1" applyProtection="0">
      <alignment vertical="top"/>
    </xf>
    <xf numFmtId="3" fontId="15" borderId="1" applyNumberFormat="1" applyFont="1" applyFill="0" applyBorder="1" applyAlignment="1" applyProtection="0">
      <alignment vertical="top"/>
    </xf>
    <xf numFmtId="0" fontId="15" borderId="5" applyNumberFormat="0" applyFont="1" applyFill="0" applyBorder="1" applyAlignment="1" applyProtection="0">
      <alignment vertical="top"/>
    </xf>
    <xf numFmtId="49" fontId="15" borderId="5" applyNumberFormat="1" applyFont="1" applyFill="0" applyBorder="1" applyAlignment="1" applyProtection="0">
      <alignment vertical="top"/>
    </xf>
    <xf numFmtId="3" fontId="15" borderId="5" applyNumberFormat="1" applyFont="1" applyFill="0" applyBorder="1" applyAlignment="1" applyProtection="0">
      <alignment vertical="top"/>
    </xf>
    <xf numFmtId="37" fontId="15" borderId="5" applyNumberFormat="1" applyFont="1" applyFill="0" applyBorder="1" applyAlignment="1" applyProtection="0">
      <alignment vertical="top"/>
    </xf>
    <xf numFmtId="0" fontId="0" applyNumberFormat="1" applyFont="1" applyFill="0" applyBorder="0" applyAlignment="1" applyProtection="0">
      <alignment vertical="top" wrapText="1"/>
    </xf>
    <xf numFmtId="0" fontId="16" applyNumberFormat="0" applyFont="1" applyFill="0" applyBorder="0" applyAlignment="1" applyProtection="0">
      <alignment horizontal="left" vertical="center"/>
    </xf>
    <xf numFmtId="49" fontId="7" borderId="3" applyNumberFormat="1" applyFont="1" applyFill="0" applyBorder="1" applyAlignment="1" applyProtection="0">
      <alignment vertical="top"/>
    </xf>
    <xf numFmtId="49" fontId="17" fillId="6" borderId="3" applyNumberFormat="1" applyFont="1" applyFill="1" applyBorder="1" applyAlignment="1" applyProtection="0">
      <alignment vertical="top" wrapText="1"/>
    </xf>
    <xf numFmtId="49" fontId="18" borderId="3" applyNumberFormat="1" applyFont="1" applyFill="0" applyBorder="1" applyAlignment="1" applyProtection="0">
      <alignment vertical="top" wrapText="1"/>
    </xf>
    <xf numFmtId="37" fontId="0" borderId="3" applyNumberFormat="1" applyFont="1" applyFill="0" applyBorder="1" applyAlignment="1" applyProtection="0">
      <alignment vertical="top" wrapText="1"/>
    </xf>
    <xf numFmtId="63" fontId="0" borderId="3" applyNumberFormat="1" applyFont="1" applyFill="0" applyBorder="1" applyAlignment="1" applyProtection="0">
      <alignment vertical="top" wrapText="1"/>
    </xf>
    <xf numFmtId="10"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18" borderId="3" applyNumberFormat="1" applyFont="1" applyFill="0" applyBorder="1" applyAlignment="1" applyProtection="0">
      <alignment vertical="top"/>
    </xf>
    <xf numFmtId="0" fontId="18" borderId="3" applyNumberFormat="0" applyFont="1" applyFill="0" applyBorder="1" applyAlignment="1" applyProtection="0">
      <alignment vertical="top" wrapText="1"/>
    </xf>
    <xf numFmtId="9" fontId="0" borderId="3" applyNumberFormat="1" applyFont="1" applyFill="0" applyBorder="1" applyAlignment="1" applyProtection="0">
      <alignment vertical="top" wrapText="1"/>
    </xf>
    <xf numFmtId="65"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15151"/>
      <rgbColor rgb="fffaf5d2"/>
      <rgbColor rgb="fffaf4cf"/>
      <rgbColor rgb="fffefefe"/>
      <rgbColor rgb="ff004c7f"/>
      <rgbColor rgb="ff017000"/>
      <rgbColor rgb="ffa5a5a5"/>
      <rgbColor rgb="ff9818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23</v>
      </c>
      <c r="C11" s="3"/>
      <c r="D11" s="3"/>
    </row>
    <row r="12">
      <c r="B12" s="4"/>
      <c r="C12" t="s" s="4">
        <v>8</v>
      </c>
      <c r="D12" t="s" s="5">
        <v>57</v>
      </c>
    </row>
  </sheetData>
  <mergeCells count="1">
    <mergeCell ref="B3:D3"/>
  </mergeCells>
  <hyperlinks>
    <hyperlink ref="D10" location="'Model - DCF'!R2C1" tooltip="" display="Model - DCF"/>
    <hyperlink ref="D12" location="'WACC - PYPL'!R2C1" tooltip="" display="WACC - PYPL"/>
  </hyperlinks>
</worksheet>
</file>

<file path=xl/worksheets/sheet2.xml><?xml version="1.0" encoding="utf-8"?>
<worksheet xmlns:r="http://schemas.openxmlformats.org/officeDocument/2006/relationships" xmlns="http://schemas.openxmlformats.org/spreadsheetml/2006/main">
  <sheetPr>
    <pageSetUpPr fitToPage="1"/>
  </sheetPr>
  <dimension ref="A2:T105"/>
  <sheetViews>
    <sheetView workbookViewId="0" showGridLines="0" defaultGridColor="1">
      <pane topLeftCell="C1" xSplit="2" ySplit="0" activePane="topRight" state="frozen"/>
    </sheetView>
  </sheetViews>
  <sheetFormatPr defaultColWidth="16.3333" defaultRowHeight="19.9" customHeight="1" outlineLevelRow="0" outlineLevelCol="0"/>
  <cols>
    <col min="1" max="1" width="2.5" style="6" customWidth="1"/>
    <col min="2" max="2" width="31.1016" style="6" customWidth="1"/>
    <col min="3" max="20" width="16.3516" style="6" customWidth="1"/>
    <col min="21" max="256" width="16.3516" style="6" customWidth="1"/>
  </cols>
  <sheetData>
    <row r="1" ht="31" customHeight="1">
      <c r="A1" t="s" s="7">
        <v>5</v>
      </c>
      <c r="B1" s="7"/>
      <c r="C1" s="7"/>
      <c r="D1" s="7"/>
      <c r="E1" s="7"/>
      <c r="F1" s="7"/>
      <c r="G1" s="7"/>
      <c r="H1" s="7"/>
      <c r="I1" s="7"/>
      <c r="J1" s="7"/>
      <c r="K1" s="7"/>
      <c r="L1" s="7"/>
      <c r="M1" s="7"/>
      <c r="N1" s="7"/>
      <c r="O1" s="7"/>
      <c r="P1" s="7"/>
      <c r="Q1" s="7"/>
      <c r="R1" s="7"/>
      <c r="S1" s="7"/>
      <c r="T1" s="7"/>
    </row>
    <row r="2" ht="21.5" customHeight="1">
      <c r="A2" s="8"/>
      <c r="B2" s="9"/>
      <c r="C2" s="10"/>
      <c r="D2" s="11"/>
      <c r="E2" s="11"/>
      <c r="F2" s="12"/>
      <c r="G2" s="11"/>
      <c r="H2" s="11"/>
      <c r="I2" s="11"/>
      <c r="J2" s="11"/>
      <c r="K2" s="11"/>
      <c r="L2" s="11"/>
      <c r="M2" s="11"/>
      <c r="N2" s="11"/>
      <c r="O2" s="11"/>
      <c r="P2" s="11"/>
      <c r="Q2" s="11"/>
      <c r="R2" s="11"/>
      <c r="S2" s="11"/>
      <c r="T2" s="11"/>
    </row>
    <row r="3" ht="23" customHeight="1">
      <c r="A3" s="13"/>
      <c r="B3" t="s" s="14">
        <v>7</v>
      </c>
      <c r="C3" t="s" s="15">
        <v>8</v>
      </c>
      <c r="D3" s="16"/>
      <c r="E3" t="s" s="17">
        <v>9</v>
      </c>
      <c r="F3" s="18">
        <f>T103</f>
        <v>129.781177447382</v>
      </c>
      <c r="G3" s="19"/>
      <c r="H3" s="20"/>
      <c r="I3" s="21"/>
      <c r="J3" s="11"/>
      <c r="K3" s="11"/>
      <c r="L3" s="11"/>
      <c r="M3" s="11"/>
      <c r="N3" s="11"/>
      <c r="O3" s="11"/>
      <c r="P3" s="11"/>
      <c r="Q3" s="11"/>
      <c r="R3" s="11"/>
      <c r="S3" s="11"/>
      <c r="T3" s="11"/>
    </row>
    <row r="4" ht="23" customHeight="1">
      <c r="A4" s="13"/>
      <c r="B4" t="s" s="14">
        <v>10</v>
      </c>
      <c r="C4" s="22">
        <v>43357</v>
      </c>
      <c r="D4" s="16"/>
      <c r="E4" t="s" s="17">
        <v>11</v>
      </c>
      <c r="F4" s="18">
        <v>97.66</v>
      </c>
      <c r="G4" s="19"/>
      <c r="H4" t="s" s="17">
        <v>12</v>
      </c>
      <c r="I4" s="23">
        <f>F3/F4-1</f>
        <v>0.328908226985275</v>
      </c>
      <c r="J4" s="24"/>
      <c r="K4" s="11"/>
      <c r="L4" s="11"/>
      <c r="M4" s="11"/>
      <c r="N4" s="11"/>
      <c r="O4" s="11"/>
      <c r="P4" s="11"/>
      <c r="Q4" s="11"/>
      <c r="R4" s="11"/>
      <c r="S4" s="11"/>
      <c r="T4" s="11"/>
    </row>
    <row r="5" ht="21.5" customHeight="1">
      <c r="A5" s="13"/>
      <c r="B5" s="25"/>
      <c r="C5" s="26"/>
      <c r="D5" s="11"/>
      <c r="E5" s="11"/>
      <c r="F5" s="27"/>
      <c r="G5" s="11"/>
      <c r="H5" s="11"/>
      <c r="I5" s="27"/>
      <c r="J5" s="11"/>
      <c r="K5" s="11"/>
      <c r="L5" s="11"/>
      <c r="M5" s="11"/>
      <c r="N5" s="11"/>
      <c r="O5" s="11"/>
      <c r="P5" s="11"/>
      <c r="Q5" s="11"/>
      <c r="R5" s="11"/>
      <c r="S5" s="11"/>
      <c r="T5" s="11"/>
    </row>
    <row r="6" ht="21" customHeight="1">
      <c r="A6" s="13"/>
      <c r="B6" s="25"/>
      <c r="C6" s="28"/>
      <c r="D6" s="11"/>
      <c r="E6" s="11"/>
      <c r="F6" s="11"/>
      <c r="G6" s="11"/>
      <c r="H6" s="11"/>
      <c r="I6" s="11"/>
      <c r="J6" s="11"/>
      <c r="K6" s="11"/>
      <c r="L6" s="11"/>
      <c r="M6" s="11"/>
      <c r="N6" s="11"/>
      <c r="O6" s="11"/>
      <c r="P6" s="11"/>
      <c r="Q6" s="11"/>
      <c r="R6" s="11"/>
      <c r="S6" s="11"/>
      <c r="T6" s="11"/>
    </row>
    <row r="7" ht="21" customHeight="1">
      <c r="A7" t="s" s="29">
        <v>13</v>
      </c>
      <c r="B7" t="s" s="30">
        <v>14</v>
      </c>
      <c r="C7" s="31"/>
      <c r="D7" s="32"/>
      <c r="E7" s="33"/>
      <c r="F7" s="33"/>
      <c r="G7" s="33"/>
      <c r="H7" s="33"/>
      <c r="I7" s="33"/>
      <c r="J7" s="33"/>
      <c r="K7" s="33"/>
      <c r="L7" s="33"/>
      <c r="M7" s="33"/>
      <c r="N7" s="33"/>
      <c r="O7" s="33"/>
      <c r="P7" s="33"/>
      <c r="Q7" s="33"/>
      <c r="R7" s="33"/>
      <c r="S7" s="33"/>
      <c r="T7" s="33"/>
    </row>
    <row r="8" ht="21.5" customHeight="1">
      <c r="A8" s="13"/>
      <c r="B8" t="s" s="34">
        <v>15</v>
      </c>
      <c r="C8" s="10"/>
      <c r="D8" s="11"/>
      <c r="E8" t="s" s="35">
        <v>16</v>
      </c>
      <c r="F8" s="11"/>
      <c r="G8" t="s" s="35">
        <v>17</v>
      </c>
      <c r="H8" s="36"/>
      <c r="I8" t="s" s="35">
        <v>18</v>
      </c>
      <c r="J8" s="11"/>
      <c r="K8" s="36"/>
      <c r="L8" s="11"/>
      <c r="M8" s="11"/>
      <c r="N8" s="11"/>
      <c r="O8" s="11"/>
      <c r="P8" s="11"/>
      <c r="Q8" s="11"/>
      <c r="R8" s="11"/>
      <c r="S8" s="11"/>
      <c r="T8" s="11"/>
    </row>
    <row r="9" ht="22" customHeight="1">
      <c r="A9" s="13"/>
      <c r="B9" t="s" s="14">
        <v>19</v>
      </c>
      <c r="C9" s="37">
        <v>3</v>
      </c>
      <c r="D9" s="38"/>
      <c r="E9" s="39">
        <v>0.85</v>
      </c>
      <c r="F9" s="40"/>
      <c r="G9" s="39">
        <v>0.08</v>
      </c>
      <c r="H9" s="40"/>
      <c r="I9" s="39">
        <v>1.15</v>
      </c>
      <c r="J9" s="16"/>
      <c r="K9" s="11"/>
      <c r="L9" s="11"/>
      <c r="M9" s="11"/>
      <c r="N9" s="11"/>
      <c r="O9" s="11"/>
      <c r="P9" s="11"/>
      <c r="Q9" s="11"/>
      <c r="R9" s="11"/>
      <c r="S9" s="11"/>
      <c r="T9" s="11"/>
    </row>
    <row r="10" ht="22" customHeight="1">
      <c r="A10" s="13"/>
      <c r="B10" t="s" s="41">
        <v>20</v>
      </c>
      <c r="C10" s="42">
        <v>3</v>
      </c>
      <c r="D10" s="38"/>
      <c r="E10" s="43">
        <v>0.9</v>
      </c>
      <c r="F10" s="38"/>
      <c r="G10" s="43">
        <v>0.1</v>
      </c>
      <c r="H10" s="38"/>
      <c r="I10" s="43">
        <v>1.1</v>
      </c>
      <c r="J10" s="16"/>
      <c r="K10" s="11"/>
      <c r="L10" s="11"/>
      <c r="M10" s="11"/>
      <c r="N10" s="11"/>
      <c r="O10" s="11"/>
      <c r="P10" s="11"/>
      <c r="Q10" s="11"/>
      <c r="R10" s="11"/>
      <c r="S10" s="11"/>
      <c r="T10" s="11"/>
    </row>
    <row r="11" ht="21.5" customHeight="1">
      <c r="A11" s="13"/>
      <c r="B11" s="44"/>
      <c r="C11" s="45"/>
      <c r="D11" s="11"/>
      <c r="E11" s="46"/>
      <c r="F11" s="11"/>
      <c r="G11" s="46"/>
      <c r="H11" s="11"/>
      <c r="I11" s="46"/>
      <c r="J11" s="11"/>
      <c r="K11" s="11"/>
      <c r="L11" s="11"/>
      <c r="M11" s="11"/>
      <c r="N11" s="11"/>
      <c r="O11" s="11"/>
      <c r="P11" s="11"/>
      <c r="Q11" s="11"/>
      <c r="R11" s="11"/>
      <c r="S11" s="11"/>
      <c r="T11" s="11"/>
    </row>
    <row r="12" ht="21" customHeight="1">
      <c r="A12" s="13"/>
      <c r="B12" s="44"/>
      <c r="C12" s="28"/>
      <c r="D12" s="11"/>
      <c r="E12" s="47"/>
      <c r="F12" s="11"/>
      <c r="G12" s="47"/>
      <c r="H12" s="11"/>
      <c r="I12" s="47"/>
      <c r="J12" s="11"/>
      <c r="K12" s="11"/>
      <c r="L12" s="11"/>
      <c r="M12" s="11"/>
      <c r="N12" s="11"/>
      <c r="O12" s="11"/>
      <c r="P12" s="11"/>
      <c r="Q12" s="11"/>
      <c r="R12" s="11"/>
      <c r="S12" s="11"/>
      <c r="T12" s="11"/>
    </row>
    <row r="13" ht="21.5" customHeight="1">
      <c r="A13" s="13"/>
      <c r="B13" s="44"/>
      <c r="C13" s="10"/>
      <c r="D13" s="11"/>
      <c r="E13" s="48"/>
      <c r="F13" s="11"/>
      <c r="G13" s="48"/>
      <c r="H13" s="11"/>
      <c r="I13" s="48"/>
      <c r="J13" s="11"/>
      <c r="K13" s="11"/>
      <c r="L13" s="11"/>
      <c r="M13" s="11"/>
      <c r="N13" s="11"/>
      <c r="O13" s="11"/>
      <c r="P13" s="11"/>
      <c r="Q13" s="11"/>
      <c r="R13" s="11"/>
      <c r="S13" s="11"/>
      <c r="T13" s="11"/>
    </row>
    <row r="14" ht="23" customHeight="1">
      <c r="A14" s="13"/>
      <c r="B14" t="s" s="49">
        <v>21</v>
      </c>
      <c r="C14" s="37">
        <v>3</v>
      </c>
      <c r="D14" s="38"/>
      <c r="E14" s="50">
        <v>0.9</v>
      </c>
      <c r="F14" s="38"/>
      <c r="G14" s="50">
        <v>0.1</v>
      </c>
      <c r="H14" s="38"/>
      <c r="I14" s="50">
        <v>1.1</v>
      </c>
      <c r="J14" s="16"/>
      <c r="K14" t="s" s="51">
        <v>22</v>
      </c>
      <c r="L14" s="11"/>
      <c r="M14" s="11"/>
      <c r="N14" s="11"/>
      <c r="O14" s="11"/>
      <c r="P14" s="11"/>
      <c r="Q14" s="11"/>
      <c r="R14" s="11"/>
      <c r="S14" s="11"/>
      <c r="T14" s="11"/>
    </row>
    <row r="15" ht="23" customHeight="1">
      <c r="A15" s="13"/>
      <c r="B15" t="s" s="49">
        <v>23</v>
      </c>
      <c r="C15" s="37">
        <v>3</v>
      </c>
      <c r="D15" s="38"/>
      <c r="E15" s="52">
        <f>G15+$K$15</f>
        <v>0.102143837776576</v>
      </c>
      <c r="F15" s="38"/>
      <c r="G15" s="53">
        <f>'WACC - PYPL'!B21</f>
        <v>0.09714383777657611</v>
      </c>
      <c r="H15" s="38"/>
      <c r="I15" s="53">
        <f>G15-$K$15</f>
        <v>0.0921438377765761</v>
      </c>
      <c r="J15" s="38"/>
      <c r="K15" s="54">
        <v>0.005</v>
      </c>
      <c r="L15" s="16"/>
      <c r="M15" s="11"/>
      <c r="N15" s="11"/>
      <c r="O15" s="11"/>
      <c r="P15" s="11"/>
      <c r="Q15" s="11"/>
      <c r="R15" s="11"/>
      <c r="S15" s="11"/>
      <c r="T15" s="11"/>
    </row>
    <row r="16" ht="23" customHeight="1">
      <c r="A16" s="13"/>
      <c r="B16" t="s" s="49">
        <v>24</v>
      </c>
      <c r="C16" s="42">
        <v>3</v>
      </c>
      <c r="D16" s="38"/>
      <c r="E16" s="55">
        <f>G16-$K$16</f>
        <v>0.015</v>
      </c>
      <c r="F16" s="38"/>
      <c r="G16" s="56">
        <v>0.02</v>
      </c>
      <c r="H16" s="38"/>
      <c r="I16" s="43">
        <f>G16+$K$16</f>
        <v>0.025</v>
      </c>
      <c r="J16" s="38"/>
      <c r="K16" s="54">
        <v>0.005</v>
      </c>
      <c r="L16" s="16"/>
      <c r="M16" s="11"/>
      <c r="N16" s="11"/>
      <c r="O16" s="11"/>
      <c r="P16" s="11"/>
      <c r="Q16" s="11"/>
      <c r="R16" s="11"/>
      <c r="S16" s="11"/>
      <c r="T16" s="11"/>
    </row>
    <row r="17" ht="22" customHeight="1">
      <c r="A17" s="13"/>
      <c r="B17" s="44"/>
      <c r="C17" s="57"/>
      <c r="D17" s="11"/>
      <c r="E17" s="27"/>
      <c r="F17" s="11"/>
      <c r="G17" s="27"/>
      <c r="H17" s="11"/>
      <c r="I17" s="27"/>
      <c r="J17" s="11"/>
      <c r="K17" s="58"/>
      <c r="L17" s="11"/>
      <c r="M17" s="11"/>
      <c r="N17" s="11"/>
      <c r="O17" s="11"/>
      <c r="P17" s="11"/>
      <c r="Q17" s="11"/>
      <c r="R17" s="11"/>
      <c r="S17" s="11"/>
      <c r="T17" s="11"/>
    </row>
    <row r="18" ht="22" customHeight="1">
      <c r="A18" s="13"/>
      <c r="B18" t="s" s="49">
        <v>23</v>
      </c>
      <c r="C18" s="53">
        <f>CHOOSE(C15,E15,G15,I15)</f>
        <v>0.0921438377765761</v>
      </c>
      <c r="D18" s="16"/>
      <c r="E18" s="11"/>
      <c r="F18" s="11"/>
      <c r="G18" s="11"/>
      <c r="H18" s="11"/>
      <c r="I18" s="11"/>
      <c r="J18" s="11"/>
      <c r="K18" s="11"/>
      <c r="L18" s="11"/>
      <c r="M18" s="11"/>
      <c r="N18" s="11"/>
      <c r="O18" s="11"/>
      <c r="P18" s="11"/>
      <c r="Q18" s="11"/>
      <c r="R18" s="11"/>
      <c r="S18" s="11"/>
      <c r="T18" s="11"/>
    </row>
    <row r="19" ht="22" customHeight="1">
      <c r="A19" s="13"/>
      <c r="B19" t="s" s="49">
        <v>24</v>
      </c>
      <c r="C19" s="43">
        <f>CHOOSE(C16,E16,G16,I16)</f>
        <v>0.025</v>
      </c>
      <c r="D19" s="16"/>
      <c r="E19" s="11"/>
      <c r="F19" s="11"/>
      <c r="G19" s="11"/>
      <c r="H19" s="11"/>
      <c r="I19" s="11"/>
      <c r="J19" s="11"/>
      <c r="K19" s="11"/>
      <c r="L19" s="11"/>
      <c r="M19" s="11"/>
      <c r="N19" s="11"/>
      <c r="O19" s="11"/>
      <c r="P19" s="11"/>
      <c r="Q19" s="11"/>
      <c r="R19" s="11"/>
      <c r="S19" s="11"/>
      <c r="T19" s="11"/>
    </row>
    <row r="20" ht="21.5" customHeight="1">
      <c r="A20" s="13"/>
      <c r="B20" s="9"/>
      <c r="C20" s="45"/>
      <c r="D20" s="11"/>
      <c r="E20" s="11"/>
      <c r="F20" s="11"/>
      <c r="G20" s="11"/>
      <c r="H20" s="11"/>
      <c r="I20" s="11"/>
      <c r="J20" s="11"/>
      <c r="K20" t="s" s="59">
        <v>25</v>
      </c>
      <c r="L20" s="36"/>
      <c r="M20" s="11"/>
      <c r="N20" s="11"/>
      <c r="O20" s="11"/>
      <c r="P20" s="11"/>
      <c r="Q20" s="11"/>
      <c r="R20" s="11"/>
      <c r="S20" s="11"/>
      <c r="T20" s="11"/>
    </row>
    <row r="21" ht="21" customHeight="1">
      <c r="A21" t="s" s="29">
        <v>13</v>
      </c>
      <c r="B21" t="s" s="30">
        <v>26</v>
      </c>
      <c r="C21" s="31"/>
      <c r="D21" s="60">
        <v>2015</v>
      </c>
      <c r="E21" s="61">
        <v>2016</v>
      </c>
      <c r="F21" s="61">
        <v>2017</v>
      </c>
      <c r="G21" s="61">
        <v>2018</v>
      </c>
      <c r="H21" s="61">
        <v>2019</v>
      </c>
      <c r="I21" s="61">
        <v>2020</v>
      </c>
      <c r="J21" s="61">
        <v>2021</v>
      </c>
      <c r="K21" s="61">
        <v>2022</v>
      </c>
      <c r="L21" s="61">
        <v>2023</v>
      </c>
      <c r="M21" s="61">
        <v>2024</v>
      </c>
      <c r="N21" s="61">
        <v>2025</v>
      </c>
      <c r="O21" s="61">
        <v>2026</v>
      </c>
      <c r="P21" s="61">
        <v>2027</v>
      </c>
      <c r="Q21" s="61">
        <v>2028</v>
      </c>
      <c r="R21" s="61">
        <v>2029</v>
      </c>
      <c r="S21" s="61">
        <v>2030</v>
      </c>
      <c r="T21" s="61">
        <v>2031</v>
      </c>
    </row>
    <row r="22" ht="21" customHeight="1">
      <c r="A22" s="13"/>
      <c r="B22" s="25"/>
      <c r="C22" s="28"/>
      <c r="D22" s="11"/>
      <c r="E22" s="62"/>
      <c r="F22" s="62"/>
      <c r="G22" s="62"/>
      <c r="H22" s="62"/>
      <c r="I22" s="62"/>
      <c r="J22" s="63"/>
      <c r="K22" s="64"/>
      <c r="L22" s="62"/>
      <c r="M22" s="62"/>
      <c r="N22" s="62"/>
      <c r="O22" s="62"/>
      <c r="P22" s="62"/>
      <c r="Q22" s="62"/>
      <c r="R22" s="62"/>
      <c r="S22" s="62"/>
      <c r="T22" s="62"/>
    </row>
    <row r="23" ht="21" customHeight="1">
      <c r="A23" s="13"/>
      <c r="B23" t="s" s="34">
        <v>19</v>
      </c>
      <c r="C23" s="28"/>
      <c r="D23" s="65">
        <v>8128</v>
      </c>
      <c r="E23" s="65">
        <v>9490</v>
      </c>
      <c r="F23" s="65">
        <v>11501</v>
      </c>
      <c r="G23" s="65">
        <v>13709</v>
      </c>
      <c r="H23" s="65">
        <v>16099</v>
      </c>
      <c r="I23" s="65">
        <v>19918</v>
      </c>
      <c r="J23" s="65">
        <v>23402</v>
      </c>
      <c r="K23" s="66">
        <f>J23*(1+K24)</f>
        <v>25671.994</v>
      </c>
      <c r="L23" s="62">
        <f>K23*(1+L24)</f>
        <v>29343.089142</v>
      </c>
      <c r="M23" s="62">
        <f>L23*(1+M24)</f>
        <v>33902.8218003597</v>
      </c>
      <c r="N23" s="62">
        <f>M23*(1+N24)</f>
        <v>38864.0759855698</v>
      </c>
      <c r="O23" s="62">
        <f>N23*(1+O24)</f>
        <v>44199.3849169638</v>
      </c>
      <c r="P23" s="62">
        <f>O23*(1+P24)</f>
        <v>49866.8510479415</v>
      </c>
      <c r="Q23" s="62">
        <f>P23*(1+Q24)</f>
        <v>55809.4213537609</v>
      </c>
      <c r="R23" s="62">
        <f>Q23*(1+R24)</f>
        <v>61954.7362625769</v>
      </c>
      <c r="S23" s="62">
        <f>R23*(1+S24)</f>
        <v>68215.649579011893</v>
      </c>
      <c r="T23" s="62">
        <f>S23*(1+T24)</f>
        <v>74491.489340281</v>
      </c>
    </row>
    <row r="24" ht="21.5" customHeight="1">
      <c r="A24" s="67"/>
      <c r="B24" t="s" s="68">
        <v>27</v>
      </c>
      <c r="C24" s="69"/>
      <c r="D24" s="70"/>
      <c r="E24" s="71">
        <f>E23/D23-1</f>
        <v>0.167568897637795</v>
      </c>
      <c r="F24" s="71">
        <f>F23/E23-1</f>
        <v>0.21190727081138</v>
      </c>
      <c r="G24" s="71">
        <f>G23/F23-1</f>
        <v>0.191983305799496</v>
      </c>
      <c r="H24" s="71">
        <f>H23/G23-1</f>
        <v>0.174338026114232</v>
      </c>
      <c r="I24" s="71">
        <f>I23/H23-1</f>
        <v>0.237219703087148</v>
      </c>
      <c r="J24" s="71">
        <f>J23/I23-1</f>
        <v>0.174917160357466</v>
      </c>
      <c r="K24" s="72">
        <f>OFFSET(K24,$C$10,0)</f>
        <v>0.097</v>
      </c>
      <c r="L24" s="73">
        <f>OFFSET(L24,$C$10,0)</f>
        <v>0.143</v>
      </c>
      <c r="M24" s="73">
        <f>OFFSET(M24,$C$10,0)</f>
        <v>0.15539375</v>
      </c>
      <c r="N24" s="73">
        <f>OFFSET(N24,$C$10,0)</f>
        <v>0.1463375</v>
      </c>
      <c r="O24" s="73">
        <f>OFFSET(O24,$C$10,0)</f>
        <v>0.13728125</v>
      </c>
      <c r="P24" s="73">
        <f>OFFSET(P24,$C$10,0)</f>
        <v>0.128225</v>
      </c>
      <c r="Q24" s="73">
        <f>OFFSET(Q24,$C$10,0)</f>
        <v>0.11916875</v>
      </c>
      <c r="R24" s="73">
        <f>OFFSET(R24,$C$10,0)</f>
        <v>0.1101125</v>
      </c>
      <c r="S24" s="73">
        <f>OFFSET(S24,$C$10,0)</f>
        <v>0.10105625</v>
      </c>
      <c r="T24" s="73">
        <f>OFFSET(T24,$C$10,0)</f>
        <v>0.092</v>
      </c>
    </row>
    <row r="25" ht="22" customHeight="1">
      <c r="A25" s="13"/>
      <c r="B25" t="s" s="34">
        <v>28</v>
      </c>
      <c r="C25" s="28"/>
      <c r="D25" s="11"/>
      <c r="E25" s="65"/>
      <c r="F25" s="65"/>
      <c r="G25" s="65"/>
      <c r="H25" s="65"/>
      <c r="I25" s="65"/>
      <c r="J25" s="74"/>
      <c r="K25" s="75">
        <f>K26</f>
        <v>0.097</v>
      </c>
      <c r="L25" s="75">
        <f>L26</f>
        <v>0.143</v>
      </c>
      <c r="M25" s="75">
        <f>M26*$E$9</f>
        <v>0.11485625</v>
      </c>
      <c r="N25" s="75">
        <f>N26*$E$9</f>
        <v>0.1081625</v>
      </c>
      <c r="O25" s="75">
        <f>O26*$E$9</f>
        <v>0.10146875</v>
      </c>
      <c r="P25" s="75">
        <f>P26*$E$9</f>
        <v>0.094775</v>
      </c>
      <c r="Q25" s="75">
        <f>Q26*$E$9</f>
        <v>0.08808125</v>
      </c>
      <c r="R25" s="75">
        <f>R26*$E$9</f>
        <v>0.0813875</v>
      </c>
      <c r="S25" s="75">
        <f>S26*$E$9</f>
        <v>0.07469375</v>
      </c>
      <c r="T25" s="75">
        <f>T26*$E$9</f>
        <v>0.068</v>
      </c>
    </row>
    <row r="26" ht="22" customHeight="1">
      <c r="A26" s="13"/>
      <c r="B26" t="s" s="34">
        <v>29</v>
      </c>
      <c r="C26" s="28"/>
      <c r="D26" s="11"/>
      <c r="E26" s="65"/>
      <c r="F26" s="65"/>
      <c r="G26" s="65"/>
      <c r="H26" s="65"/>
      <c r="I26" s="65"/>
      <c r="J26" s="74"/>
      <c r="K26" s="75">
        <v>0.097</v>
      </c>
      <c r="L26" s="75">
        <v>0.143</v>
      </c>
      <c r="M26" s="75">
        <f>L26-(L26-$T$26)/($T$21-L21)</f>
        <v>0.135125</v>
      </c>
      <c r="N26" s="75">
        <f>M26-(M26-$T$26)/($T$21-M21)</f>
        <v>0.12725</v>
      </c>
      <c r="O26" s="75">
        <f>N26-(N26-$T$26)/($T$21-N21)</f>
        <v>0.119375</v>
      </c>
      <c r="P26" s="75">
        <f>O26-(O26-$T$26)/($T$21-O21)</f>
        <v>0.1115</v>
      </c>
      <c r="Q26" s="75">
        <f>P26-(P26-$T$26)/($T$21-P21)</f>
        <v>0.103625</v>
      </c>
      <c r="R26" s="75">
        <f>Q26-(Q26-$T$26)/($T$21-Q21)</f>
        <v>0.09575</v>
      </c>
      <c r="S26" s="75">
        <f>R26-(R26-$T$26)/($T$21-R21)</f>
        <v>0.08787499999999999</v>
      </c>
      <c r="T26" s="75">
        <f>G9</f>
        <v>0.08</v>
      </c>
    </row>
    <row r="27" ht="22" customHeight="1">
      <c r="A27" s="13"/>
      <c r="B27" t="s" s="34">
        <v>30</v>
      </c>
      <c r="C27" s="28"/>
      <c r="D27" s="11"/>
      <c r="E27" s="65"/>
      <c r="F27" s="65"/>
      <c r="G27" s="65"/>
      <c r="H27" s="65"/>
      <c r="I27" s="65"/>
      <c r="J27" s="74"/>
      <c r="K27" s="75">
        <f>K26</f>
        <v>0.097</v>
      </c>
      <c r="L27" s="75">
        <f>L26</f>
        <v>0.143</v>
      </c>
      <c r="M27" s="75">
        <f>M26*$I$9</f>
        <v>0.15539375</v>
      </c>
      <c r="N27" s="75">
        <f>N26*$I$9</f>
        <v>0.1463375</v>
      </c>
      <c r="O27" s="75">
        <f>O26*$I$9</f>
        <v>0.13728125</v>
      </c>
      <c r="P27" s="75">
        <f>P26*$I$9</f>
        <v>0.128225</v>
      </c>
      <c r="Q27" s="75">
        <f>Q26*$I$9</f>
        <v>0.11916875</v>
      </c>
      <c r="R27" s="75">
        <f>R26*$I$9</f>
        <v>0.1101125</v>
      </c>
      <c r="S27" s="75">
        <f>S26*$I$9</f>
        <v>0.10105625</v>
      </c>
      <c r="T27" s="75">
        <f>T26*$I$9</f>
        <v>0.092</v>
      </c>
    </row>
    <row r="28" ht="21.5" customHeight="1">
      <c r="A28" s="13"/>
      <c r="B28" t="s" s="34">
        <v>31</v>
      </c>
      <c r="C28" s="28"/>
      <c r="D28" s="71">
        <f>D23/D37</f>
        <v>0.878892733564014</v>
      </c>
      <c r="E28" s="71">
        <f>E23/E37</f>
        <v>0.875299760191847</v>
      </c>
      <c r="F28" s="71">
        <f>F23/F37</f>
        <v>0.8783412249885439</v>
      </c>
      <c r="G28" s="71">
        <f>G23/G37</f>
        <v>0.887256488253187</v>
      </c>
      <c r="H28" s="71">
        <f>H23/H37</f>
        <v>0.905863155525546</v>
      </c>
      <c r="I28" s="71">
        <f>I23/I37</f>
        <v>0.928404959448122</v>
      </c>
      <c r="J28" s="76">
        <f>J23/J37</f>
        <v>0.922391707067124</v>
      </c>
      <c r="K28" s="77">
        <f>K23/K37</f>
        <v>0.922391707067124</v>
      </c>
      <c r="L28" s="77">
        <f>L23/L37</f>
        <v>0.922391707067124</v>
      </c>
      <c r="M28" s="77">
        <f>M23/M37</f>
        <v>0.922639990898466</v>
      </c>
      <c r="N28" s="77">
        <f>N23/N37</f>
        <v>0.922693696634135</v>
      </c>
      <c r="O28" s="77">
        <f>O23/O37</f>
        <v>0.922550639301399</v>
      </c>
      <c r="P28" s="77">
        <f>P23/P37</f>
        <v>0.922207199701664</v>
      </c>
      <c r="Q28" s="77">
        <f>Q23/Q37</f>
        <v>0.9216582516881801</v>
      </c>
      <c r="R28" s="77">
        <f>R23/R37</f>
        <v>0.920897072399965</v>
      </c>
      <c r="S28" s="77">
        <f>S23/S37</f>
        <v>0.919915233893642</v>
      </c>
      <c r="T28" s="77">
        <f>T23/T37</f>
        <v>0.918702474452085</v>
      </c>
    </row>
    <row r="29" ht="21" customHeight="1">
      <c r="A29" s="78"/>
      <c r="B29" s="79"/>
      <c r="C29" s="80"/>
      <c r="D29" s="70"/>
      <c r="E29" s="81"/>
      <c r="F29" s="82"/>
      <c r="G29" s="82"/>
      <c r="H29" s="82"/>
      <c r="I29" s="82"/>
      <c r="J29" s="82"/>
      <c r="K29" s="83"/>
      <c r="L29" s="83"/>
      <c r="M29" s="83"/>
      <c r="N29" s="83"/>
      <c r="O29" s="83"/>
      <c r="P29" s="83"/>
      <c r="Q29" s="83"/>
      <c r="R29" s="83"/>
      <c r="S29" s="83"/>
      <c r="T29" s="83"/>
    </row>
    <row r="30" ht="21" customHeight="1">
      <c r="A30" s="84"/>
      <c r="B30" t="s" s="34">
        <v>20</v>
      </c>
      <c r="C30" s="85"/>
      <c r="D30" s="65">
        <v>1120</v>
      </c>
      <c r="E30" s="86">
        <v>1352</v>
      </c>
      <c r="F30" s="86">
        <v>1593</v>
      </c>
      <c r="G30" s="86">
        <v>1742</v>
      </c>
      <c r="H30" s="86">
        <v>1673</v>
      </c>
      <c r="I30" s="86">
        <v>1536</v>
      </c>
      <c r="J30" s="86">
        <v>1969</v>
      </c>
      <c r="K30" s="66">
        <f>J30*(1+K31)</f>
        <v>2159.993</v>
      </c>
      <c r="L30" s="66">
        <f>K30*(1+L31)</f>
        <v>2468.871999</v>
      </c>
      <c r="M30" s="66">
        <f>L30*(1+M31)</f>
        <v>2842.628358748610</v>
      </c>
      <c r="N30" s="66">
        <f>M30*(1+N31)</f>
        <v>3256.159719237560</v>
      </c>
      <c r="O30" s="66">
        <f>N30*(1+O31)</f>
        <v>3710.597510053650</v>
      </c>
      <c r="P30" s="66">
        <f>O30*(1+P31)</f>
        <v>4206.518867272320</v>
      </c>
      <c r="Q30" s="66">
        <f>P30*(1+Q31)</f>
        <v>4743.849071080520</v>
      </c>
      <c r="R30" s="66">
        <f>Q30*(1+R31)</f>
        <v>5321.7684841649</v>
      </c>
      <c r="S30" s="66">
        <f>R30*(1+S31)</f>
        <v>5938.627973585660</v>
      </c>
      <c r="T30" s="87">
        <f>S30*(1+T31)</f>
        <v>6591.877050680080</v>
      </c>
    </row>
    <row r="31" ht="21.5" customHeight="1">
      <c r="A31" s="88"/>
      <c r="B31" t="s" s="68">
        <v>27</v>
      </c>
      <c r="C31" s="89"/>
      <c r="D31" s="71"/>
      <c r="E31" s="90">
        <f>E30/D30-1</f>
        <v>0.207142857142857</v>
      </c>
      <c r="F31" s="90">
        <f>F30/E30-1</f>
        <v>0.178254437869822</v>
      </c>
      <c r="G31" s="90">
        <f>G30/F30-1</f>
        <v>0.09353421217827999</v>
      </c>
      <c r="H31" s="90">
        <f>H30/G30-1</f>
        <v>-0.039609644087256</v>
      </c>
      <c r="I31" s="90">
        <f>I30/H30-1</f>
        <v>-0.0818888224745965</v>
      </c>
      <c r="J31" s="90">
        <f>J30/I30-1</f>
        <v>0.281901041666667</v>
      </c>
      <c r="K31" s="72">
        <f>OFFSET(K31,$C$10,0)</f>
        <v>0.097</v>
      </c>
      <c r="L31" s="72">
        <f>OFFSET(L31,$C$10,0)</f>
        <v>0.143</v>
      </c>
      <c r="M31" s="72">
        <f>OFFSET(M31,$C$10,0)</f>
        <v>0.1513875</v>
      </c>
      <c r="N31" s="72">
        <f>OFFSET(N31,$C$10,0)</f>
        <v>0.145475</v>
      </c>
      <c r="O31" s="72">
        <f>OFFSET(O31,$C$10,0)</f>
        <v>0.1395625</v>
      </c>
      <c r="P31" s="72">
        <f>OFFSET(P31,$C$10,0)</f>
        <v>0.13365</v>
      </c>
      <c r="Q31" s="72">
        <f>OFFSET(Q31,$C$10,0)</f>
        <v>0.1277375</v>
      </c>
      <c r="R31" s="72">
        <f>OFFSET(R31,$C$10,0)</f>
        <v>0.121825</v>
      </c>
      <c r="S31" s="72">
        <f>OFFSET(S31,$C$10,0)</f>
        <v>0.1159125</v>
      </c>
      <c r="T31" s="72">
        <f>OFFSET(T31,$C$10,0)</f>
        <v>0.11</v>
      </c>
    </row>
    <row r="32" ht="22" customHeight="1">
      <c r="A32" s="13"/>
      <c r="B32" t="s" s="34">
        <v>28</v>
      </c>
      <c r="C32" s="28"/>
      <c r="D32" s="11"/>
      <c r="E32" s="65"/>
      <c r="F32" s="65"/>
      <c r="G32" s="65"/>
      <c r="H32" s="65"/>
      <c r="I32" s="65"/>
      <c r="J32" s="74"/>
      <c r="K32" s="75">
        <f>K33</f>
        <v>0.097</v>
      </c>
      <c r="L32" s="75">
        <f>L33</f>
        <v>0.143</v>
      </c>
      <c r="M32" s="75">
        <f>M33*$E$10</f>
        <v>0.1238625</v>
      </c>
      <c r="N32" s="75">
        <f>N33*$E$10</f>
        <v>0.119025</v>
      </c>
      <c r="O32" s="75">
        <f>O33*$E$10</f>
        <v>0.1141875</v>
      </c>
      <c r="P32" s="75">
        <f>P33*$E$10</f>
        <v>0.10935</v>
      </c>
      <c r="Q32" s="75">
        <f>Q33*$E$10</f>
        <v>0.1045125</v>
      </c>
      <c r="R32" s="75">
        <f>R33*$E$10</f>
        <v>0.099675</v>
      </c>
      <c r="S32" s="75">
        <f>S33*$E$10</f>
        <v>0.09483750000000001</v>
      </c>
      <c r="T32" s="75">
        <f>T33*$E$10</f>
        <v>0.09</v>
      </c>
    </row>
    <row r="33" ht="22" customHeight="1">
      <c r="A33" s="13"/>
      <c r="B33" t="s" s="34">
        <v>29</v>
      </c>
      <c r="C33" s="28"/>
      <c r="D33" s="11"/>
      <c r="E33" s="65"/>
      <c r="F33" s="65"/>
      <c r="G33" s="65"/>
      <c r="H33" s="65"/>
      <c r="I33" s="65"/>
      <c r="J33" s="74"/>
      <c r="K33" s="75">
        <v>0.097</v>
      </c>
      <c r="L33" s="91">
        <v>0.143</v>
      </c>
      <c r="M33" s="75">
        <f>L33-(L33-$T$33)/($T$21-L21)</f>
        <v>0.137625</v>
      </c>
      <c r="N33" s="75">
        <f>M33-(M33-$T$33)/($T$21-M21)</f>
        <v>0.13225</v>
      </c>
      <c r="O33" s="75">
        <f>N33-(N33-$T$33)/($T$21-N21)</f>
        <v>0.126875</v>
      </c>
      <c r="P33" s="75">
        <f>O33-(O33-$T$33)/($T$21-O21)</f>
        <v>0.1215</v>
      </c>
      <c r="Q33" s="75">
        <f>P33-(P33-$T$33)/($T$21-P21)</f>
        <v>0.116125</v>
      </c>
      <c r="R33" s="75">
        <f>Q33-(Q33-$T$33)/($T$21-Q21)</f>
        <v>0.11075</v>
      </c>
      <c r="S33" s="75">
        <f>R33-(R33-$T$33)/($T$21-R21)</f>
        <v>0.105375</v>
      </c>
      <c r="T33" s="75">
        <f>G10</f>
        <v>0.1</v>
      </c>
    </row>
    <row r="34" ht="22" customHeight="1">
      <c r="A34" s="13"/>
      <c r="B34" t="s" s="34">
        <v>30</v>
      </c>
      <c r="C34" s="28"/>
      <c r="D34" s="11"/>
      <c r="E34" s="65"/>
      <c r="F34" s="65"/>
      <c r="G34" s="65"/>
      <c r="H34" s="65"/>
      <c r="I34" s="65"/>
      <c r="J34" s="74"/>
      <c r="K34" s="91">
        <f>K33</f>
        <v>0.097</v>
      </c>
      <c r="L34" s="92">
        <f>L33</f>
        <v>0.143</v>
      </c>
      <c r="M34" s="91">
        <f>M33*$I$10</f>
        <v>0.1513875</v>
      </c>
      <c r="N34" s="91">
        <f>N33*$I$10</f>
        <v>0.145475</v>
      </c>
      <c r="O34" s="91">
        <f>O33*$I$10</f>
        <v>0.1395625</v>
      </c>
      <c r="P34" s="91">
        <f>P33*$I$10</f>
        <v>0.13365</v>
      </c>
      <c r="Q34" s="91">
        <f>Q33*$I$10</f>
        <v>0.1277375</v>
      </c>
      <c r="R34" s="91">
        <f>R33*$I$10</f>
        <v>0.121825</v>
      </c>
      <c r="S34" s="91">
        <f>S33*$I$10</f>
        <v>0.1159125</v>
      </c>
      <c r="T34" s="91">
        <f>T33*$I$10</f>
        <v>0.11</v>
      </c>
    </row>
    <row r="35" ht="21.5" customHeight="1">
      <c r="A35" s="67"/>
      <c r="B35" t="s" s="34">
        <v>31</v>
      </c>
      <c r="C35" s="69"/>
      <c r="D35" s="71">
        <f>D30/D37</f>
        <v>0.121107266435986</v>
      </c>
      <c r="E35" s="71">
        <f>E30/E37</f>
        <v>0.124700239808153</v>
      </c>
      <c r="F35" s="71">
        <f>F30/F37</f>
        <v>0.121658775011456</v>
      </c>
      <c r="G35" s="71">
        <f>G30/G37</f>
        <v>0.112743511746813</v>
      </c>
      <c r="H35" s="71">
        <f>H30/H37</f>
        <v>0.0941368444744542</v>
      </c>
      <c r="I35" s="71">
        <f>I30/I37</f>
        <v>0.0715950405518784</v>
      </c>
      <c r="J35" s="71">
        <f>J30/J37</f>
        <v>0.07760829293287611</v>
      </c>
      <c r="K35" s="93">
        <f>K30/K37</f>
        <v>0.07760829293287611</v>
      </c>
      <c r="L35" s="93">
        <f>L30/L37</f>
        <v>0.07760829293287611</v>
      </c>
      <c r="M35" s="93">
        <f>M30/M37</f>
        <v>0.0773600091015348</v>
      </c>
      <c r="N35" s="93">
        <f>N30/N37</f>
        <v>0.0773063033658645</v>
      </c>
      <c r="O35" s="93">
        <f>O30/O37</f>
        <v>0.0774493606985997</v>
      </c>
      <c r="P35" s="93">
        <f>P30/P37</f>
        <v>0.07779280029833679</v>
      </c>
      <c r="Q35" s="93">
        <f>Q30/Q37</f>
        <v>0.07834174831182041</v>
      </c>
      <c r="R35" s="93">
        <f>R30/R37</f>
        <v>0.07910292760003459</v>
      </c>
      <c r="S35" s="93">
        <f>S30/S37</f>
        <v>0.08008476610635699</v>
      </c>
      <c r="T35" s="93">
        <f>T30/T37</f>
        <v>0.0812975255479146</v>
      </c>
    </row>
    <row r="36" ht="21.5" customHeight="1">
      <c r="A36" s="94"/>
      <c r="B36" s="95"/>
      <c r="C36" s="96"/>
      <c r="D36" s="97"/>
      <c r="E36" s="98"/>
      <c r="F36" s="99"/>
      <c r="G36" s="99"/>
      <c r="H36" s="99"/>
      <c r="I36" s="99"/>
      <c r="J36" s="99"/>
      <c r="K36" s="99"/>
      <c r="L36" s="99"/>
      <c r="M36" s="99"/>
      <c r="N36" s="100"/>
      <c r="O36" s="100"/>
      <c r="P36" s="99"/>
      <c r="Q36" s="99"/>
      <c r="R36" s="99"/>
      <c r="S36" s="99"/>
      <c r="T36" s="99"/>
    </row>
    <row r="37" ht="21.5" customHeight="1">
      <c r="A37" s="101"/>
      <c r="B37" t="s" s="102">
        <v>32</v>
      </c>
      <c r="C37" s="103"/>
      <c r="D37" s="104">
        <f>D23+D30</f>
        <v>9248</v>
      </c>
      <c r="E37" s="104">
        <f>E23+E30</f>
        <v>10842</v>
      </c>
      <c r="F37" s="104">
        <f>F23+F30</f>
        <v>13094</v>
      </c>
      <c r="G37" s="104">
        <f>G23+G30</f>
        <v>15451</v>
      </c>
      <c r="H37" s="104">
        <f>H23+H30</f>
        <v>17772</v>
      </c>
      <c r="I37" s="104">
        <f>I23+I30</f>
        <v>21454</v>
      </c>
      <c r="J37" s="104">
        <f>J23+J30</f>
        <v>25371</v>
      </c>
      <c r="K37" s="104">
        <f>K23+K30</f>
        <v>27831.987</v>
      </c>
      <c r="L37" s="104">
        <f>L23+L30</f>
        <v>31811.961141</v>
      </c>
      <c r="M37" s="104">
        <f>M23+M30</f>
        <v>36745.4501591083</v>
      </c>
      <c r="N37" s="105">
        <f>N23+N30</f>
        <v>42120.2357048074</v>
      </c>
      <c r="O37" s="105">
        <f>O23+O30</f>
        <v>47909.9824270175</v>
      </c>
      <c r="P37" s="104">
        <f>P23+P30</f>
        <v>54073.3699152138</v>
      </c>
      <c r="Q37" s="104">
        <f>Q23+Q30</f>
        <v>60553.2704248414</v>
      </c>
      <c r="R37" s="104">
        <f>R23+R30</f>
        <v>67276.5047467418</v>
      </c>
      <c r="S37" s="104">
        <f>S23+S30</f>
        <v>74154.2775525976</v>
      </c>
      <c r="T37" s="104">
        <f>T23+T30</f>
        <v>81083.366390961106</v>
      </c>
    </row>
    <row r="38" ht="21" customHeight="1">
      <c r="A38" s="13"/>
      <c r="B38" t="s" s="68">
        <v>27</v>
      </c>
      <c r="C38" s="28"/>
      <c r="D38" s="11"/>
      <c r="E38" s="106">
        <f>E37/D37-1</f>
        <v>0.172361591695502</v>
      </c>
      <c r="F38" s="106">
        <f>F37/E37-1</f>
        <v>0.207710754473344</v>
      </c>
      <c r="G38" s="106">
        <f>G37/F37-1</f>
        <v>0.18000610966855</v>
      </c>
      <c r="H38" s="106">
        <f>H37/G37-1</f>
        <v>0.150216814445667</v>
      </c>
      <c r="I38" s="106">
        <f>I37/H37-1</f>
        <v>0.20717983344587</v>
      </c>
      <c r="J38" s="106">
        <f>J37/I37-1</f>
        <v>0.182576675678195</v>
      </c>
      <c r="K38" s="106">
        <f>K37/J37-1</f>
        <v>0.097</v>
      </c>
      <c r="L38" s="106">
        <v>0.129</v>
      </c>
      <c r="M38" s="106">
        <f>M37/L37-1</f>
        <v>0.155082831776438</v>
      </c>
      <c r="N38" s="106">
        <f>N37/M37-1</f>
        <v>0.14627077699215</v>
      </c>
      <c r="O38" s="106">
        <f>O37/N37-1</f>
        <v>0.137457605004553</v>
      </c>
      <c r="P38" s="106">
        <f>P37/O37-1</f>
        <v>0.128645162781789</v>
      </c>
      <c r="Q38" s="106">
        <f>Q37/P37-1</f>
        <v>0.119835337057557</v>
      </c>
      <c r="R38" s="106">
        <f>R37/Q37-1</f>
        <v>0.111030077727103</v>
      </c>
      <c r="S38" s="106">
        <f>S37/R37-1</f>
        <v>0.102231422868158</v>
      </c>
      <c r="T38" s="106">
        <f>T37/S37-1</f>
        <v>0.0934415257899141</v>
      </c>
    </row>
    <row r="39" ht="21" customHeight="1">
      <c r="A39" s="13"/>
      <c r="B39" s="25"/>
      <c r="C39" s="28"/>
      <c r="D39" s="11"/>
      <c r="E39" s="62"/>
      <c r="F39" s="62"/>
      <c r="G39" s="62"/>
      <c r="H39" s="62"/>
      <c r="I39" s="62"/>
      <c r="J39" s="62"/>
      <c r="K39" s="62"/>
      <c r="L39" s="62"/>
      <c r="M39" s="62"/>
      <c r="N39" s="62"/>
      <c r="O39" s="62"/>
      <c r="P39" s="62"/>
      <c r="Q39" s="62"/>
      <c r="R39" s="62"/>
      <c r="S39" s="62"/>
      <c r="T39" s="62"/>
    </row>
    <row r="40" ht="21" customHeight="1">
      <c r="A40" t="s" s="29">
        <v>13</v>
      </c>
      <c r="B40" t="s" s="30">
        <v>33</v>
      </c>
      <c r="C40" s="31"/>
      <c r="D40" s="60">
        <v>2015</v>
      </c>
      <c r="E40" s="61">
        <v>2016</v>
      </c>
      <c r="F40" s="61">
        <v>2017</v>
      </c>
      <c r="G40" s="61">
        <v>2018</v>
      </c>
      <c r="H40" s="61">
        <v>2019</v>
      </c>
      <c r="I40" s="61">
        <v>2020</v>
      </c>
      <c r="J40" s="61">
        <v>2021</v>
      </c>
      <c r="K40" s="61">
        <v>2022</v>
      </c>
      <c r="L40" s="61">
        <v>2023</v>
      </c>
      <c r="M40" s="61">
        <v>2024</v>
      </c>
      <c r="N40" s="61">
        <v>2025</v>
      </c>
      <c r="O40" s="61">
        <v>2026</v>
      </c>
      <c r="P40" s="107"/>
      <c r="Q40" s="107"/>
      <c r="R40" s="107"/>
      <c r="S40" s="107"/>
      <c r="T40" s="107"/>
    </row>
    <row r="41" ht="21" customHeight="1">
      <c r="A41" s="13"/>
      <c r="B41" s="25"/>
      <c r="C41" s="28"/>
      <c r="D41" s="11"/>
      <c r="E41" s="11"/>
      <c r="F41" s="11"/>
      <c r="G41" s="11"/>
      <c r="H41" s="11"/>
      <c r="I41" s="11"/>
      <c r="J41" s="11"/>
      <c r="K41" s="11"/>
      <c r="L41" s="11"/>
      <c r="M41" s="11"/>
      <c r="N41" s="11"/>
      <c r="O41" s="11"/>
      <c r="P41" s="11"/>
      <c r="Q41" s="11"/>
      <c r="R41" s="11"/>
      <c r="S41" s="11"/>
      <c r="T41" s="11"/>
    </row>
    <row r="42" ht="21" customHeight="1">
      <c r="A42" s="13"/>
      <c r="B42" t="s" s="34">
        <v>34</v>
      </c>
      <c r="C42" s="28"/>
      <c r="D42" s="108">
        <f>D37</f>
        <v>9248</v>
      </c>
      <c r="E42" s="108">
        <f>E37</f>
        <v>10842</v>
      </c>
      <c r="F42" s="108">
        <f>F37</f>
        <v>13094</v>
      </c>
      <c r="G42" s="108">
        <f>G37</f>
        <v>15451</v>
      </c>
      <c r="H42" s="108">
        <f>H37</f>
        <v>17772</v>
      </c>
      <c r="I42" s="108">
        <f>I37</f>
        <v>21454</v>
      </c>
      <c r="J42" s="108">
        <f>J37</f>
        <v>25371</v>
      </c>
      <c r="K42" s="108">
        <f>K37</f>
        <v>27831.987</v>
      </c>
      <c r="L42" s="108">
        <f>L37</f>
        <v>31811.961141</v>
      </c>
      <c r="M42" s="108">
        <f>M37</f>
        <v>36745.4501591083</v>
      </c>
      <c r="N42" s="108">
        <f>N37</f>
        <v>42120.2357048074</v>
      </c>
      <c r="O42" s="108">
        <f>O37</f>
        <v>47909.9824270175</v>
      </c>
      <c r="P42" s="109"/>
      <c r="Q42" s="109"/>
      <c r="R42" s="109"/>
      <c r="S42" s="109"/>
      <c r="T42" s="109"/>
    </row>
    <row r="43" ht="21" customHeight="1">
      <c r="A43" s="67"/>
      <c r="B43" t="s" s="68">
        <v>27</v>
      </c>
      <c r="C43" s="69"/>
      <c r="D43" s="70"/>
      <c r="E43" s="71">
        <f>E42/D42-1</f>
        <v>0.172361591695502</v>
      </c>
      <c r="F43" s="71">
        <f>F42/E42-1</f>
        <v>0.207710754473344</v>
      </c>
      <c r="G43" s="71">
        <f>G42/F42-1</f>
        <v>0.18000610966855</v>
      </c>
      <c r="H43" s="71">
        <f>H42/G42-1</f>
        <v>0.150216814445667</v>
      </c>
      <c r="I43" s="71">
        <f>I42/H42-1</f>
        <v>0.20717983344587</v>
      </c>
      <c r="J43" s="71">
        <f>J42/I42-1</f>
        <v>0.182576675678195</v>
      </c>
      <c r="K43" s="71">
        <f>K42/J42-1</f>
        <v>0.097</v>
      </c>
      <c r="L43" s="71">
        <f>L42/K42-1</f>
        <v>0.143</v>
      </c>
      <c r="M43" s="71">
        <f>M42/L42-1</f>
        <v>0.155082831776438</v>
      </c>
      <c r="N43" s="71">
        <f>N42/M42-1</f>
        <v>0.14627077699215</v>
      </c>
      <c r="O43" s="71">
        <f>O42/N42-1</f>
        <v>0.137457605004553</v>
      </c>
      <c r="P43" s="71"/>
      <c r="Q43" s="71"/>
      <c r="R43" s="71"/>
      <c r="S43" s="71"/>
      <c r="T43" s="71"/>
    </row>
    <row r="44" ht="21" customHeight="1">
      <c r="A44" s="13"/>
      <c r="B44" s="25"/>
      <c r="C44" s="28"/>
      <c r="D44" s="11"/>
      <c r="E44" s="11"/>
      <c r="F44" s="11"/>
      <c r="G44" s="11"/>
      <c r="H44" s="11"/>
      <c r="I44" s="11"/>
      <c r="J44" s="11"/>
      <c r="K44" s="11"/>
      <c r="L44" s="11"/>
      <c r="M44" s="11"/>
      <c r="N44" s="11"/>
      <c r="O44" s="11"/>
      <c r="P44" s="11"/>
      <c r="Q44" s="11"/>
      <c r="R44" s="11"/>
      <c r="S44" s="11"/>
      <c r="T44" s="11"/>
    </row>
    <row r="45" ht="21" customHeight="1">
      <c r="A45" s="13"/>
      <c r="B45" t="s" s="34">
        <v>21</v>
      </c>
      <c r="C45" s="28"/>
      <c r="D45" s="110">
        <v>1461</v>
      </c>
      <c r="E45" s="110">
        <v>1586</v>
      </c>
      <c r="F45" s="110">
        <v>2127</v>
      </c>
      <c r="G45" s="110">
        <v>2194</v>
      </c>
      <c r="H45" s="110">
        <v>2719</v>
      </c>
      <c r="I45" s="110">
        <v>3289</v>
      </c>
      <c r="J45" s="110">
        <v>4262</v>
      </c>
      <c r="K45" s="111"/>
      <c r="L45" s="111"/>
      <c r="M45" s="111"/>
      <c r="N45" s="111"/>
      <c r="O45" s="111"/>
      <c r="P45" s="111"/>
      <c r="Q45" s="111"/>
      <c r="R45" s="111"/>
      <c r="S45" s="111"/>
      <c r="T45" s="111"/>
    </row>
    <row r="46" ht="21" customHeight="1">
      <c r="A46" s="67"/>
      <c r="B46" t="s" s="68">
        <v>35</v>
      </c>
      <c r="C46" s="69"/>
      <c r="D46" s="71">
        <f>D45/D42</f>
        <v>0.157980103806228</v>
      </c>
      <c r="E46" s="71">
        <f>E45/E42</f>
        <v>0.146282973621103</v>
      </c>
      <c r="F46" s="71">
        <f>F45/F42</f>
        <v>0.162440812585917</v>
      </c>
      <c r="G46" s="71">
        <f>G45/G42</f>
        <v>0.141997281729338</v>
      </c>
      <c r="H46" s="71">
        <f>H45/H42</f>
        <v>0.152993472878686</v>
      </c>
      <c r="I46" s="71">
        <f>I45/I42</f>
        <v>0.153304745035891</v>
      </c>
      <c r="J46" s="71">
        <f>J45/J42</f>
        <v>0.167987071853691</v>
      </c>
      <c r="K46" s="71"/>
      <c r="L46" s="71"/>
      <c r="M46" s="71"/>
      <c r="N46" s="71"/>
      <c r="O46" s="71"/>
      <c r="P46" s="71"/>
      <c r="Q46" s="71"/>
      <c r="R46" s="71"/>
      <c r="S46" s="71"/>
      <c r="T46" s="71"/>
    </row>
    <row r="47" ht="21" customHeight="1">
      <c r="A47" s="112"/>
      <c r="B47" s="113"/>
      <c r="C47" s="28"/>
      <c r="D47" s="47"/>
      <c r="E47" s="11"/>
      <c r="F47" s="11"/>
      <c r="G47" s="11"/>
      <c r="H47" s="11"/>
      <c r="I47" s="11"/>
      <c r="J47" s="11"/>
      <c r="K47" s="11"/>
      <c r="L47" s="11"/>
      <c r="M47" s="11"/>
      <c r="N47" s="11"/>
      <c r="O47" s="11"/>
      <c r="P47" s="11"/>
      <c r="Q47" s="11"/>
      <c r="R47" s="11"/>
      <c r="S47" s="11"/>
      <c r="T47" s="11"/>
    </row>
    <row r="48" ht="21" customHeight="1">
      <c r="A48" s="8"/>
      <c r="B48" t="s" s="114">
        <v>36</v>
      </c>
      <c r="C48" s="28"/>
      <c r="D48" s="110">
        <v>260</v>
      </c>
      <c r="E48" s="110">
        <v>230</v>
      </c>
      <c r="F48" s="110">
        <v>405</v>
      </c>
      <c r="G48" s="65">
        <v>319</v>
      </c>
      <c r="H48" s="110">
        <v>539</v>
      </c>
      <c r="I48" s="65">
        <v>863</v>
      </c>
      <c r="J48" s="65">
        <v>-70</v>
      </c>
      <c r="K48" s="111"/>
      <c r="L48" s="111"/>
      <c r="M48" s="111"/>
      <c r="N48" s="111"/>
      <c r="O48" s="111"/>
      <c r="P48" s="111"/>
      <c r="Q48" s="111"/>
      <c r="R48" s="111"/>
      <c r="S48" s="111"/>
      <c r="T48" s="111"/>
    </row>
    <row r="49" ht="21" customHeight="1">
      <c r="A49" s="78"/>
      <c r="B49" t="s" s="115">
        <v>37</v>
      </c>
      <c r="C49" s="69"/>
      <c r="D49" s="71">
        <f>D48/D45</f>
        <v>0.177960301163587</v>
      </c>
      <c r="E49" s="71">
        <f>E48/E45</f>
        <v>0.145018915510719</v>
      </c>
      <c r="F49" s="71">
        <f>F48/F45</f>
        <v>0.190409026798307</v>
      </c>
      <c r="G49" s="71">
        <f>G48/G45</f>
        <v>0.145396536007293</v>
      </c>
      <c r="H49" s="71">
        <f>H48/H45</f>
        <v>0.198234645090107</v>
      </c>
      <c r="I49" s="71">
        <f>I48/I45</f>
        <v>0.262389784128915</v>
      </c>
      <c r="J49" s="71">
        <f>J48/J45</f>
        <v>-0.016424213984045</v>
      </c>
      <c r="K49" s="71"/>
      <c r="L49" s="71"/>
      <c r="M49" s="71"/>
      <c r="N49" s="71"/>
      <c r="O49" s="71"/>
      <c r="P49" s="71"/>
      <c r="Q49" s="71"/>
      <c r="R49" s="71"/>
      <c r="S49" s="71"/>
      <c r="T49" s="70"/>
    </row>
    <row r="50" ht="21" customHeight="1">
      <c r="A50" s="84"/>
      <c r="B50" s="44"/>
      <c r="C50" s="28"/>
      <c r="D50" s="11"/>
      <c r="E50" s="116"/>
      <c r="F50" s="116"/>
      <c r="G50" s="116"/>
      <c r="H50" s="116"/>
      <c r="I50" s="116"/>
      <c r="J50" s="116"/>
      <c r="K50" s="116"/>
      <c r="L50" s="116"/>
      <c r="M50" s="116"/>
      <c r="N50" s="116"/>
      <c r="O50" s="116"/>
      <c r="P50" s="116"/>
      <c r="Q50" s="116"/>
      <c r="R50" s="116"/>
      <c r="S50" s="116"/>
      <c r="T50" s="11"/>
    </row>
    <row r="51" ht="21" customHeight="1">
      <c r="A51" t="s" s="117">
        <v>13</v>
      </c>
      <c r="B51" t="s" s="118">
        <v>38</v>
      </c>
      <c r="C51" s="31"/>
      <c r="D51" s="60">
        <v>2015</v>
      </c>
      <c r="E51" s="61">
        <v>2016</v>
      </c>
      <c r="F51" s="61">
        <v>2017</v>
      </c>
      <c r="G51" s="61">
        <v>2018</v>
      </c>
      <c r="H51" s="61">
        <v>2019</v>
      </c>
      <c r="I51" s="61">
        <v>2020</v>
      </c>
      <c r="J51" s="61">
        <v>2021</v>
      </c>
      <c r="K51" s="61">
        <v>2022</v>
      </c>
      <c r="L51" s="61">
        <v>2023</v>
      </c>
      <c r="M51" s="61">
        <v>2024</v>
      </c>
      <c r="N51" s="61">
        <v>2025</v>
      </c>
      <c r="O51" s="61">
        <v>2026</v>
      </c>
      <c r="P51" s="116"/>
      <c r="Q51" s="116"/>
      <c r="R51" s="116"/>
      <c r="S51" s="116"/>
      <c r="T51" s="116"/>
    </row>
    <row r="52" ht="21" customHeight="1">
      <c r="A52" s="112"/>
      <c r="B52" s="113"/>
      <c r="C52" s="28"/>
      <c r="D52" s="11"/>
      <c r="E52" s="116"/>
      <c r="F52" s="116"/>
      <c r="G52" s="116"/>
      <c r="H52" s="116"/>
      <c r="I52" s="116"/>
      <c r="J52" s="116"/>
      <c r="K52" s="116"/>
      <c r="L52" s="116"/>
      <c r="M52" s="116"/>
      <c r="N52" s="116"/>
      <c r="O52" s="116"/>
      <c r="P52" s="116"/>
      <c r="Q52" s="116"/>
      <c r="R52" s="116"/>
      <c r="S52" s="116"/>
      <c r="T52" s="11"/>
    </row>
    <row r="53" ht="21" customHeight="1">
      <c r="A53" s="84"/>
      <c r="B53" t="s" s="119">
        <v>39</v>
      </c>
      <c r="C53" s="28"/>
      <c r="D53" s="110">
        <v>608</v>
      </c>
      <c r="E53" s="110">
        <v>724</v>
      </c>
      <c r="F53" s="110">
        <v>805</v>
      </c>
      <c r="G53" s="110">
        <v>776</v>
      </c>
      <c r="H53" s="110">
        <v>912</v>
      </c>
      <c r="I53" s="110">
        <v>1189</v>
      </c>
      <c r="J53" s="110">
        <v>1265</v>
      </c>
      <c r="K53" s="111"/>
      <c r="L53" s="111"/>
      <c r="M53" s="111"/>
      <c r="N53" s="111"/>
      <c r="O53" s="111"/>
      <c r="P53" s="116"/>
      <c r="Q53" s="116"/>
      <c r="R53" s="116"/>
      <c r="S53" s="116"/>
      <c r="T53" s="11"/>
    </row>
    <row r="54" ht="21" customHeight="1">
      <c r="A54" s="120"/>
      <c r="B54" t="s" s="121">
        <v>40</v>
      </c>
      <c r="C54" s="69"/>
      <c r="D54" s="71">
        <f>D53/D42</f>
        <v>0.06574394463667819</v>
      </c>
      <c r="E54" s="71">
        <f>E53/E42</f>
        <v>0.0667773473528869</v>
      </c>
      <c r="F54" s="71">
        <f>F53/F42</f>
        <v>0.0614785397892164</v>
      </c>
      <c r="G54" s="71">
        <f>G53/G42</f>
        <v>0.0502232865186719</v>
      </c>
      <c r="H54" s="71">
        <f>H53/H42</f>
        <v>0.0513166779203241</v>
      </c>
      <c r="I54" s="71">
        <f>I53/I42</f>
        <v>0.0554209005313694</v>
      </c>
      <c r="J54" s="71">
        <f>J53/J42</f>
        <v>0.0498600764652556</v>
      </c>
      <c r="K54" s="71"/>
      <c r="L54" s="71"/>
      <c r="M54" s="71"/>
      <c r="N54" s="71"/>
      <c r="O54" s="71"/>
      <c r="P54" s="71"/>
      <c r="Q54" s="71"/>
      <c r="R54" s="71"/>
      <c r="S54" s="71"/>
      <c r="T54" s="70"/>
    </row>
    <row r="55" ht="21" customHeight="1">
      <c r="A55" s="120"/>
      <c r="B55" t="s" s="121">
        <v>41</v>
      </c>
      <c r="C55" s="69"/>
      <c r="D55" s="71">
        <f>D53/D57</f>
        <v>0.842105263157895</v>
      </c>
      <c r="E55" s="71">
        <f>E53/E57</f>
        <v>1.08221225710015</v>
      </c>
      <c r="F55" s="71">
        <f>F53/F57</f>
        <v>1.20689655172414</v>
      </c>
      <c r="G55" s="71">
        <f>G53/G57</f>
        <v>0.942891859052248</v>
      </c>
      <c r="H55" s="71">
        <f>H53/H57</f>
        <v>1.29545454545455</v>
      </c>
      <c r="I55" s="71">
        <f>I53/I57</f>
        <v>1.3729792147806</v>
      </c>
      <c r="J55" s="71">
        <f>J53/J57</f>
        <v>1.3931718061674</v>
      </c>
      <c r="K55" s="71"/>
      <c r="L55" s="71"/>
      <c r="M55" s="71"/>
      <c r="N55" s="71"/>
      <c r="O55" s="71"/>
      <c r="P55" s="71"/>
      <c r="Q55" s="71"/>
      <c r="R55" s="71"/>
      <c r="S55" s="71"/>
      <c r="T55" s="70"/>
    </row>
    <row r="56" ht="21" customHeight="1">
      <c r="A56" s="84"/>
      <c r="B56" s="44"/>
      <c r="C56" s="28"/>
      <c r="D56" s="11"/>
      <c r="E56" s="116"/>
      <c r="F56" s="116"/>
      <c r="G56" s="116"/>
      <c r="H56" s="116"/>
      <c r="I56" s="116"/>
      <c r="J56" s="116"/>
      <c r="K56" s="116"/>
      <c r="L56" s="116"/>
      <c r="M56" s="116"/>
      <c r="N56" s="116"/>
      <c r="O56" s="116"/>
      <c r="P56" s="116"/>
      <c r="Q56" s="116"/>
      <c r="R56" s="116"/>
      <c r="S56" s="116"/>
      <c r="T56" s="11"/>
    </row>
    <row r="57" ht="21" customHeight="1">
      <c r="A57" s="84"/>
      <c r="B57" t="s" s="119">
        <v>42</v>
      </c>
      <c r="C57" s="28"/>
      <c r="D57" s="65">
        <v>722</v>
      </c>
      <c r="E57" s="65">
        <v>669</v>
      </c>
      <c r="F57" s="110">
        <v>667</v>
      </c>
      <c r="G57" s="110">
        <v>823</v>
      </c>
      <c r="H57" s="110">
        <v>704</v>
      </c>
      <c r="I57" s="110">
        <v>866</v>
      </c>
      <c r="J57" s="110">
        <v>908</v>
      </c>
      <c r="K57" s="111"/>
      <c r="L57" s="111"/>
      <c r="M57" s="111"/>
      <c r="N57" s="111"/>
      <c r="O57" s="111"/>
      <c r="P57" s="116"/>
      <c r="Q57" s="116"/>
      <c r="R57" s="116"/>
      <c r="S57" s="116"/>
      <c r="T57" s="11"/>
    </row>
    <row r="58" ht="21" customHeight="1">
      <c r="A58" s="120"/>
      <c r="B58" t="s" s="121">
        <v>35</v>
      </c>
      <c r="C58" s="69"/>
      <c r="D58" s="71">
        <f>D57/D42</f>
        <v>0.07807093425605539</v>
      </c>
      <c r="E58" s="71">
        <f>E57/E42</f>
        <v>0.0617044825677919</v>
      </c>
      <c r="F58" s="71">
        <f>F57/F42</f>
        <v>0.0509393615396365</v>
      </c>
      <c r="G58" s="71">
        <f>G57/G42</f>
        <v>0.0532651608310142</v>
      </c>
      <c r="H58" s="71">
        <f>H57/H42</f>
        <v>0.0396128741841098</v>
      </c>
      <c r="I58" s="71">
        <f>I57/I42</f>
        <v>0.0403654330194835</v>
      </c>
      <c r="J58" s="71">
        <f>J57/J42</f>
        <v>0.0357888928303969</v>
      </c>
      <c r="K58" s="71"/>
      <c r="L58" s="71"/>
      <c r="M58" s="71"/>
      <c r="N58" s="71"/>
      <c r="O58" s="71"/>
      <c r="P58" s="71"/>
      <c r="Q58" s="71"/>
      <c r="R58" s="71"/>
      <c r="S58" s="71"/>
      <c r="T58" s="70"/>
    </row>
    <row r="59" ht="21" customHeight="1">
      <c r="A59" s="84"/>
      <c r="B59" s="44"/>
      <c r="C59" s="28"/>
      <c r="D59" s="11"/>
      <c r="E59" s="116"/>
      <c r="F59" s="116"/>
      <c r="G59" s="116"/>
      <c r="H59" s="116"/>
      <c r="I59" s="116"/>
      <c r="J59" s="116"/>
      <c r="K59" s="116"/>
      <c r="L59" s="116"/>
      <c r="M59" s="116"/>
      <c r="N59" s="116"/>
      <c r="O59" s="116"/>
      <c r="P59" s="116"/>
      <c r="Q59" s="116"/>
      <c r="R59" s="116"/>
      <c r="S59" s="116"/>
      <c r="T59" s="11"/>
    </row>
    <row r="60" ht="21" customHeight="1">
      <c r="A60" s="84"/>
      <c r="B60" t="s" s="119">
        <v>43</v>
      </c>
      <c r="C60" s="28"/>
      <c r="D60" s="62">
        <f>20648-13617</f>
        <v>7031</v>
      </c>
      <c r="E60" s="62">
        <f>25733-16878</f>
        <v>8855</v>
      </c>
      <c r="F60" s="62">
        <f>32645-22863</f>
        <v>9782</v>
      </c>
      <c r="G60" s="62">
        <f>32963-25904</f>
        <v>7059</v>
      </c>
      <c r="H60" s="62">
        <f>38495-26919</f>
        <v>11576</v>
      </c>
      <c r="I60" s="62">
        <f>50995-38447</f>
        <v>12548</v>
      </c>
      <c r="J60" s="62">
        <f>52574-43029</f>
        <v>9545</v>
      </c>
      <c r="K60" s="62"/>
      <c r="L60" s="116"/>
      <c r="M60" s="116"/>
      <c r="N60" s="116"/>
      <c r="O60" s="116"/>
      <c r="P60" s="116"/>
      <c r="Q60" s="116"/>
      <c r="R60" s="116"/>
      <c r="S60" s="116"/>
      <c r="T60" s="11"/>
    </row>
    <row r="61" ht="21" customHeight="1">
      <c r="A61" s="84"/>
      <c r="B61" s="44"/>
      <c r="C61" s="28"/>
      <c r="D61" s="11"/>
      <c r="E61" s="116"/>
      <c r="F61" s="116"/>
      <c r="G61" s="116"/>
      <c r="H61" s="116"/>
      <c r="I61" s="116"/>
      <c r="J61" s="116"/>
      <c r="K61" s="116"/>
      <c r="L61" s="116"/>
      <c r="M61" s="116"/>
      <c r="N61" s="116"/>
      <c r="O61" s="116"/>
      <c r="P61" s="116"/>
      <c r="Q61" s="116"/>
      <c r="R61" s="116"/>
      <c r="S61" s="116"/>
      <c r="T61" s="11"/>
    </row>
    <row r="62" ht="21" customHeight="1">
      <c r="A62" s="84"/>
      <c r="B62" t="s" s="119">
        <v>44</v>
      </c>
      <c r="C62" s="28"/>
      <c r="D62" s="62"/>
      <c r="E62" s="62">
        <f>D60-E60</f>
        <v>-1824</v>
      </c>
      <c r="F62" s="62">
        <f>E60-F60</f>
        <v>-927</v>
      </c>
      <c r="G62" s="62">
        <f>F60-G60</f>
        <v>2723</v>
      </c>
      <c r="H62" s="62">
        <f>G60-H60</f>
        <v>-4517</v>
      </c>
      <c r="I62" s="62">
        <f>H60-I60</f>
        <v>-972</v>
      </c>
      <c r="J62" s="62">
        <f>I60-J60</f>
        <v>3003</v>
      </c>
      <c r="K62" s="62"/>
      <c r="L62" s="116"/>
      <c r="M62" s="116"/>
      <c r="N62" s="116"/>
      <c r="O62" s="116"/>
      <c r="P62" s="116"/>
      <c r="Q62" s="116"/>
      <c r="R62" s="116"/>
      <c r="S62" s="116"/>
      <c r="T62" s="11"/>
    </row>
    <row r="63" ht="21" customHeight="1">
      <c r="A63" s="120"/>
      <c r="B63" t="s" s="121">
        <v>35</v>
      </c>
      <c r="C63" s="69"/>
      <c r="D63" s="71">
        <f>D62/D42</f>
        <v>0</v>
      </c>
      <c r="E63" s="71">
        <f>E62/E42</f>
        <v>-0.168234643054787</v>
      </c>
      <c r="F63" s="71">
        <f>F62/F42</f>
        <v>-0.07079578432870021</v>
      </c>
      <c r="G63" s="71">
        <f>G62/G42</f>
        <v>0.176234547925701</v>
      </c>
      <c r="H63" s="71">
        <f>H62/H42</f>
        <v>-0.254163853252307</v>
      </c>
      <c r="I63" s="71">
        <f>I62/I42</f>
        <v>-0.0453062365992356</v>
      </c>
      <c r="J63" s="71">
        <f>J62/J42</f>
        <v>0.118363485869694</v>
      </c>
      <c r="K63" s="71"/>
      <c r="L63" s="71"/>
      <c r="M63" s="71"/>
      <c r="N63" s="71"/>
      <c r="O63" s="71"/>
      <c r="P63" s="71"/>
      <c r="Q63" s="71"/>
      <c r="R63" s="71"/>
      <c r="S63" s="71"/>
      <c r="T63" s="70"/>
    </row>
    <row r="64" ht="21" customHeight="1">
      <c r="A64" s="120"/>
      <c r="B64" t="s" s="121">
        <v>45</v>
      </c>
      <c r="C64" s="69"/>
      <c r="D64" s="71">
        <f>(D62-C62)/(D42-C42)</f>
        <v>0</v>
      </c>
      <c r="E64" s="71">
        <f>(E62-D62)/(E42-D42)</f>
        <v>-1.14429109159348</v>
      </c>
      <c r="F64" s="71">
        <f>(F62-E62)/(F42-E42)</f>
        <v>0.398312611012433</v>
      </c>
      <c r="G64" s="71">
        <f>(G62-F62)/(G42-F42)</f>
        <v>1.5485787017395</v>
      </c>
      <c r="H64" s="71">
        <f>(H62-G62)/(H42-G42)</f>
        <v>-3.11934510986644</v>
      </c>
      <c r="I64" s="71">
        <f>(I62-H62)/(I42-H42)</f>
        <v>0.96279196089082</v>
      </c>
      <c r="J64" s="71">
        <f>(J62-I62)/(J42-I42)</f>
        <v>1.01480725044677</v>
      </c>
      <c r="K64" s="71"/>
      <c r="L64" s="71"/>
      <c r="M64" s="71"/>
      <c r="N64" s="71"/>
      <c r="O64" s="71"/>
      <c r="P64" s="71"/>
      <c r="Q64" s="71"/>
      <c r="R64" s="71"/>
      <c r="S64" s="71"/>
      <c r="T64" s="70"/>
    </row>
    <row r="65" ht="21" customHeight="1">
      <c r="A65" s="84"/>
      <c r="B65" s="44"/>
      <c r="C65" s="28"/>
      <c r="D65" s="11"/>
      <c r="E65" s="62"/>
      <c r="F65" s="62"/>
      <c r="G65" s="62"/>
      <c r="H65" s="62"/>
      <c r="I65" s="62"/>
      <c r="J65" s="62"/>
      <c r="K65" s="116"/>
      <c r="L65" s="116"/>
      <c r="M65" s="116"/>
      <c r="N65" s="116"/>
      <c r="O65" s="116"/>
      <c r="P65" s="116"/>
      <c r="Q65" s="116"/>
      <c r="R65" s="116"/>
      <c r="S65" s="116"/>
      <c r="T65" s="11"/>
    </row>
    <row r="66" ht="21" customHeight="1">
      <c r="A66" s="84"/>
      <c r="B66" s="44"/>
      <c r="C66" s="28"/>
      <c r="D66" s="11"/>
      <c r="E66" s="62"/>
      <c r="F66" s="62"/>
      <c r="G66" s="62"/>
      <c r="H66" s="62"/>
      <c r="I66" s="62"/>
      <c r="J66" s="62"/>
      <c r="K66" s="62">
        <v>1</v>
      </c>
      <c r="L66" s="62">
        <v>2</v>
      </c>
      <c r="M66" s="62">
        <v>3</v>
      </c>
      <c r="N66" s="62">
        <v>4</v>
      </c>
      <c r="O66" s="62">
        <v>5</v>
      </c>
      <c r="P66" s="62">
        <v>6</v>
      </c>
      <c r="Q66" s="62">
        <v>7</v>
      </c>
      <c r="R66" s="62">
        <v>8</v>
      </c>
      <c r="S66" s="62">
        <v>9</v>
      </c>
      <c r="T66" s="62">
        <v>10</v>
      </c>
    </row>
    <row r="67" ht="21" customHeight="1">
      <c r="A67" t="s" s="117">
        <v>13</v>
      </c>
      <c r="B67" t="s" s="118">
        <v>5</v>
      </c>
      <c r="C67" s="31"/>
      <c r="D67" s="60">
        <v>2015</v>
      </c>
      <c r="E67" s="61">
        <v>2016</v>
      </c>
      <c r="F67" s="61">
        <v>2017</v>
      </c>
      <c r="G67" s="61">
        <v>2018</v>
      </c>
      <c r="H67" s="61">
        <v>2019</v>
      </c>
      <c r="I67" s="61">
        <v>2020</v>
      </c>
      <c r="J67" s="61">
        <v>2021</v>
      </c>
      <c r="K67" s="61">
        <v>2022</v>
      </c>
      <c r="L67" s="61">
        <v>2023</v>
      </c>
      <c r="M67" s="61">
        <v>2024</v>
      </c>
      <c r="N67" s="61">
        <v>2025</v>
      </c>
      <c r="O67" s="61">
        <v>2026</v>
      </c>
      <c r="P67" s="61">
        <v>2027</v>
      </c>
      <c r="Q67" s="61">
        <v>2028</v>
      </c>
      <c r="R67" s="61">
        <v>2029</v>
      </c>
      <c r="S67" s="61">
        <v>2030</v>
      </c>
      <c r="T67" s="61">
        <v>2031</v>
      </c>
    </row>
    <row r="68" ht="21" customHeight="1">
      <c r="A68" s="112"/>
      <c r="B68" s="113"/>
      <c r="C68" s="28"/>
      <c r="D68" s="11"/>
      <c r="E68" s="116"/>
      <c r="F68" s="116"/>
      <c r="G68" s="116"/>
      <c r="H68" s="116"/>
      <c r="I68" s="116"/>
      <c r="J68" s="116"/>
      <c r="K68" s="116"/>
      <c r="L68" s="116"/>
      <c r="M68" s="116"/>
      <c r="N68" s="116"/>
      <c r="O68" s="116"/>
      <c r="P68" s="116"/>
      <c r="Q68" s="116"/>
      <c r="R68" s="116"/>
      <c r="S68" s="116"/>
      <c r="T68" s="11"/>
    </row>
    <row r="69" ht="21" customHeight="1">
      <c r="A69" s="8"/>
      <c r="B69" t="s" s="114">
        <v>34</v>
      </c>
      <c r="C69" s="28"/>
      <c r="D69" s="108">
        <f>D37</f>
        <v>9248</v>
      </c>
      <c r="E69" s="108">
        <f>E37</f>
        <v>10842</v>
      </c>
      <c r="F69" s="108">
        <f>F37</f>
        <v>13094</v>
      </c>
      <c r="G69" s="108">
        <f>G37</f>
        <v>15451</v>
      </c>
      <c r="H69" s="108">
        <f>H37</f>
        <v>17772</v>
      </c>
      <c r="I69" s="108">
        <f>I37</f>
        <v>21454</v>
      </c>
      <c r="J69" s="108">
        <f>J37</f>
        <v>25371</v>
      </c>
      <c r="K69" s="108">
        <f>K37</f>
        <v>27831.987</v>
      </c>
      <c r="L69" s="108">
        <f>L37</f>
        <v>31811.961141</v>
      </c>
      <c r="M69" s="108">
        <f>M37</f>
        <v>36745.4501591083</v>
      </c>
      <c r="N69" s="108">
        <f>N37</f>
        <v>42120.2357048074</v>
      </c>
      <c r="O69" s="108">
        <f>O37</f>
        <v>47909.9824270175</v>
      </c>
      <c r="P69" s="108">
        <f>P37</f>
        <v>54073.3699152138</v>
      </c>
      <c r="Q69" s="108">
        <f>Q37</f>
        <v>60553.2704248414</v>
      </c>
      <c r="R69" s="108">
        <f>R37</f>
        <v>67276.5047467418</v>
      </c>
      <c r="S69" s="108">
        <f>S37</f>
        <v>74154.2775525976</v>
      </c>
      <c r="T69" s="108">
        <f>T37</f>
        <v>81083.366390961106</v>
      </c>
    </row>
    <row r="70" ht="21" customHeight="1">
      <c r="A70" s="112"/>
      <c r="B70" t="s" s="68">
        <v>27</v>
      </c>
      <c r="C70" s="28"/>
      <c r="D70" s="11"/>
      <c r="E70" s="116"/>
      <c r="F70" s="116"/>
      <c r="G70" s="116"/>
      <c r="H70" s="116"/>
      <c r="I70" s="116"/>
      <c r="J70" s="116"/>
      <c r="K70" s="116"/>
      <c r="L70" s="116"/>
      <c r="M70" s="116"/>
      <c r="N70" s="116"/>
      <c r="O70" s="116"/>
      <c r="P70" s="116"/>
      <c r="Q70" s="116"/>
      <c r="R70" s="116"/>
      <c r="S70" s="116"/>
      <c r="T70" s="116"/>
    </row>
    <row r="71" ht="21" customHeight="1">
      <c r="A71" s="84"/>
      <c r="B71" s="113"/>
      <c r="C71" s="28"/>
      <c r="D71" s="11"/>
      <c r="E71" s="116"/>
      <c r="F71" s="116"/>
      <c r="G71" s="116"/>
      <c r="H71" s="116"/>
      <c r="I71" s="116"/>
      <c r="J71" s="116"/>
      <c r="K71" s="116"/>
      <c r="L71" s="116"/>
      <c r="M71" s="116"/>
      <c r="N71" s="116"/>
      <c r="O71" s="116"/>
      <c r="P71" s="116"/>
      <c r="Q71" s="116"/>
      <c r="R71" s="116"/>
      <c r="S71" s="116"/>
      <c r="T71" s="11"/>
    </row>
    <row r="72" ht="21" customHeight="1">
      <c r="A72" s="8"/>
      <c r="B72" t="s" s="114">
        <v>21</v>
      </c>
      <c r="C72" s="28"/>
      <c r="D72" s="122">
        <f>D45</f>
        <v>1461</v>
      </c>
      <c r="E72" s="122">
        <f>E45</f>
        <v>1586</v>
      </c>
      <c r="F72" s="122">
        <f>F45</f>
        <v>2127</v>
      </c>
      <c r="G72" s="122">
        <f>G45</f>
        <v>2194</v>
      </c>
      <c r="H72" s="122">
        <f>H45</f>
        <v>2719</v>
      </c>
      <c r="I72" s="122">
        <f>I45</f>
        <v>3289</v>
      </c>
      <c r="J72" s="122">
        <f>J45</f>
        <v>4262</v>
      </c>
      <c r="K72" s="111">
        <f>J72*(1+K73)</f>
        <v>5003.181431830530</v>
      </c>
      <c r="L72" s="62">
        <f>K72*(1+L73)</f>
        <v>5837.732579901010</v>
      </c>
      <c r="M72" s="62">
        <f>L72*(1+M73)</f>
        <v>6770.039387391550</v>
      </c>
      <c r="N72" s="62">
        <f>M72*(1+N73)</f>
        <v>7803.168187562740</v>
      </c>
      <c r="O72" s="62">
        <f>N72*(1+O73)</f>
        <v>8938.549127370179</v>
      </c>
      <c r="P72" s="62">
        <f>O72*(1+P73)</f>
        <v>10175.6626257881</v>
      </c>
      <c r="Q72" s="62">
        <f>P72*(1+Q73)</f>
        <v>11511.7427524305</v>
      </c>
      <c r="R72" s="62">
        <f>Q72*(1+R73)</f>
        <v>12941.512985826</v>
      </c>
      <c r="S72" s="62">
        <f>R72*(1+S73)</f>
        <v>14456.9707800021</v>
      </c>
      <c r="T72" s="62">
        <f>S72*(1+T73)</f>
        <v>16047.2375658023</v>
      </c>
    </row>
    <row r="73" ht="21.5" customHeight="1">
      <c r="A73" s="78"/>
      <c r="B73" t="s" s="68">
        <v>35</v>
      </c>
      <c r="C73" s="69"/>
      <c r="D73" s="71">
        <f>D72/D69</f>
        <v>0.157980103806228</v>
      </c>
      <c r="E73" s="71">
        <f>E72/E69</f>
        <v>0.146282973621103</v>
      </c>
      <c r="F73" s="71">
        <f>F72/F69</f>
        <v>0.162440812585917</v>
      </c>
      <c r="G73" s="71">
        <f>G72/G69</f>
        <v>0.141997281729338</v>
      </c>
      <c r="H73" s="71">
        <f>H72/H69</f>
        <v>0.152993472878686</v>
      </c>
      <c r="I73" s="71">
        <f>I72/I69</f>
        <v>0.153304745035891</v>
      </c>
      <c r="J73" s="71">
        <f>J72/J69</f>
        <v>0.167987071853691</v>
      </c>
      <c r="K73" s="73">
        <f>OFFSET(K73,$C$14,0)</f>
        <v>0.173904606248365</v>
      </c>
      <c r="L73" s="73">
        <f>OFFSET(L73,$C$14,0)</f>
        <v>0.166804094442992</v>
      </c>
      <c r="M73" s="73">
        <f>OFFSET(M73,$C$14,0)</f>
        <v>0.159703582637618</v>
      </c>
      <c r="N73" s="73">
        <f>OFFSET(N73,$C$14,0)</f>
        <v>0.152603070832244</v>
      </c>
      <c r="O73" s="73">
        <f>OFFSET(O73,$C$14,0)</f>
        <v>0.14550255902687</v>
      </c>
      <c r="P73" s="73">
        <f>OFFSET(P73,$C$14,0)</f>
        <v>0.138402047221496</v>
      </c>
      <c r="Q73" s="73">
        <f>OFFSET(Q73,$C$14,0)</f>
        <v>0.131301535416123</v>
      </c>
      <c r="R73" s="73">
        <f>OFFSET(R73,$C$14,0)</f>
        <v>0.124201023610749</v>
      </c>
      <c r="S73" s="73">
        <f>OFFSET(S73,$C$14,0)</f>
        <v>0.117100511805375</v>
      </c>
      <c r="T73" s="73">
        <f>OFFSET(T73,$C$14,0)</f>
        <v>0.11</v>
      </c>
    </row>
    <row r="74" ht="22" customHeight="1">
      <c r="A74" s="8"/>
      <c r="B74" t="s" s="34">
        <v>28</v>
      </c>
      <c r="C74" s="28"/>
      <c r="D74" s="11"/>
      <c r="E74" s="65"/>
      <c r="F74" s="65"/>
      <c r="G74" s="65"/>
      <c r="H74" s="65"/>
      <c r="I74" s="65"/>
      <c r="J74" s="74"/>
      <c r="K74" s="75">
        <f>K75*$E$14</f>
        <v>0.142285586930481</v>
      </c>
      <c r="L74" s="75">
        <f>L75*$E$14</f>
        <v>0.136476077271539</v>
      </c>
      <c r="M74" s="75">
        <f>M75*$E$14</f>
        <v>0.130666567612596</v>
      </c>
      <c r="N74" s="75">
        <f>N75*$E$14</f>
        <v>0.124857057953654</v>
      </c>
      <c r="O74" s="75">
        <f>O75*$E$14</f>
        <v>0.119047548294712</v>
      </c>
      <c r="P74" s="75">
        <f>P75*$E$14</f>
        <v>0.11323803863577</v>
      </c>
      <c r="Q74" s="75">
        <f>Q75*$E$14</f>
        <v>0.107428528976828</v>
      </c>
      <c r="R74" s="75">
        <f>R75*$E$14</f>
        <v>0.101619019317885</v>
      </c>
      <c r="S74" s="75">
        <f>S75*$E$14</f>
        <v>0.0958095096589431</v>
      </c>
      <c r="T74" s="75">
        <f>T75*$E$14</f>
        <v>0.09</v>
      </c>
    </row>
    <row r="75" ht="22" customHeight="1">
      <c r="A75" s="13"/>
      <c r="B75" t="s" s="34">
        <v>29</v>
      </c>
      <c r="C75" s="28"/>
      <c r="D75" s="11"/>
      <c r="E75" s="65"/>
      <c r="F75" s="65"/>
      <c r="G75" s="65"/>
      <c r="H75" s="65"/>
      <c r="I75" s="65"/>
      <c r="J75" s="74"/>
      <c r="K75" s="75">
        <f>AVERAGE(J73,I73,H73)</f>
        <v>0.158095096589423</v>
      </c>
      <c r="L75" s="75">
        <f>K75-(K75-$T$75)/($T$67-K67)</f>
        <v>0.151640085857265</v>
      </c>
      <c r="M75" s="75">
        <f>L75-(L75-$T$75)/($T$67-L67)</f>
        <v>0.145185075125107</v>
      </c>
      <c r="N75" s="75">
        <f>M75-(M75-$T$75)/($T$67-M67)</f>
        <v>0.138730064392949</v>
      </c>
      <c r="O75" s="75">
        <f>N75-(N75-$T$75)/($T$67-N67)</f>
        <v>0.132275053660791</v>
      </c>
      <c r="P75" s="75">
        <f>O75-(O75-$T$75)/($T$67-O67)</f>
        <v>0.125820042928633</v>
      </c>
      <c r="Q75" s="75">
        <f>P75-(P75-$T$75)/($T$67-P67)</f>
        <v>0.119365032196475</v>
      </c>
      <c r="R75" s="75">
        <f>Q75-(Q75-$T$75)/($T$67-Q67)</f>
        <v>0.112910021464317</v>
      </c>
      <c r="S75" s="75">
        <f>R75-(R75-$T$75)/($T$67-R67)</f>
        <v>0.106455010732159</v>
      </c>
      <c r="T75" s="75">
        <f>G14</f>
        <v>0.1</v>
      </c>
    </row>
    <row r="76" ht="22" customHeight="1">
      <c r="A76" s="13"/>
      <c r="B76" t="s" s="34">
        <v>30</v>
      </c>
      <c r="C76" s="28"/>
      <c r="D76" s="11"/>
      <c r="E76" s="65"/>
      <c r="F76" s="65"/>
      <c r="G76" s="65"/>
      <c r="H76" s="65"/>
      <c r="I76" s="65"/>
      <c r="J76" s="74"/>
      <c r="K76" s="91">
        <f>K75*$I$14</f>
        <v>0.173904606248365</v>
      </c>
      <c r="L76" s="91">
        <f>L75*$I$14</f>
        <v>0.166804094442992</v>
      </c>
      <c r="M76" s="91">
        <f>M75*$I$14</f>
        <v>0.159703582637618</v>
      </c>
      <c r="N76" s="91">
        <f>N75*$I$14</f>
        <v>0.152603070832244</v>
      </c>
      <c r="O76" s="91">
        <f>O75*$I$14</f>
        <v>0.14550255902687</v>
      </c>
      <c r="P76" s="91">
        <f>P75*$I$14</f>
        <v>0.138402047221496</v>
      </c>
      <c r="Q76" s="91">
        <f>Q75*$I$14</f>
        <v>0.131301535416123</v>
      </c>
      <c r="R76" s="91">
        <f>R75*$I$14</f>
        <v>0.124201023610749</v>
      </c>
      <c r="S76" s="91">
        <f>S75*$I$14</f>
        <v>0.117100511805375</v>
      </c>
      <c r="T76" s="91">
        <f>T75*$I$14</f>
        <v>0.11</v>
      </c>
    </row>
    <row r="77" ht="21.5" customHeight="1">
      <c r="A77" s="112"/>
      <c r="B77" s="113"/>
      <c r="C77" s="28"/>
      <c r="D77" s="11"/>
      <c r="E77" s="116"/>
      <c r="F77" s="116"/>
      <c r="G77" s="116"/>
      <c r="H77" s="116"/>
      <c r="I77" s="116"/>
      <c r="J77" s="116"/>
      <c r="K77" s="123"/>
      <c r="L77" s="123"/>
      <c r="M77" s="123"/>
      <c r="N77" s="123"/>
      <c r="O77" s="123"/>
      <c r="P77" s="123"/>
      <c r="Q77" s="123"/>
      <c r="R77" s="123"/>
      <c r="S77" s="123"/>
      <c r="T77" s="27"/>
    </row>
    <row r="78" ht="21" customHeight="1">
      <c r="A78" s="84"/>
      <c r="B78" t="s" s="114">
        <v>36</v>
      </c>
      <c r="C78" s="28"/>
      <c r="D78" s="122">
        <v>260</v>
      </c>
      <c r="E78" s="122">
        <v>230</v>
      </c>
      <c r="F78" s="122">
        <v>405</v>
      </c>
      <c r="G78" s="108">
        <v>319</v>
      </c>
      <c r="H78" s="122">
        <v>539</v>
      </c>
      <c r="I78" s="108">
        <v>863</v>
      </c>
      <c r="J78" s="108">
        <v>-70</v>
      </c>
      <c r="K78" s="111">
        <f>K72*K79</f>
        <v>740.804756292921</v>
      </c>
      <c r="L78" s="111">
        <f>L72*L79</f>
        <v>766.751748398017</v>
      </c>
      <c r="M78" s="111">
        <f>M72*M79</f>
        <v>593.476608347146</v>
      </c>
      <c r="N78" s="111">
        <f>N72*N79</f>
        <v>954.777583019374</v>
      </c>
      <c r="O78" s="111">
        <f>O72*O79</f>
        <v>1017.099614392880</v>
      </c>
      <c r="P78" s="111">
        <f>P72*P79</f>
        <v>1098.319951500540</v>
      </c>
      <c r="Q78" s="111">
        <f>Q72*Q79</f>
        <v>1320.326463283830</v>
      </c>
      <c r="R78" s="111">
        <f>R72*R79</f>
        <v>1451.251965593920</v>
      </c>
      <c r="S78" s="111">
        <f>S72*S79</f>
        <v>1613.249161719050</v>
      </c>
      <c r="T78" s="111">
        <f>T72*T79</f>
        <v>1810.250742372650</v>
      </c>
    </row>
    <row r="79" ht="21" customHeight="1">
      <c r="A79" s="120"/>
      <c r="B79" t="s" s="115">
        <v>37</v>
      </c>
      <c r="C79" s="69"/>
      <c r="D79" s="71">
        <f>D78/D72</f>
        <v>0.177960301163587</v>
      </c>
      <c r="E79" s="71">
        <f>E78/E72</f>
        <v>0.145018915510719</v>
      </c>
      <c r="F79" s="71">
        <f>F78/F72</f>
        <v>0.190409026798307</v>
      </c>
      <c r="G79" s="71">
        <f>G78/G72</f>
        <v>0.145396536007293</v>
      </c>
      <c r="H79" s="71">
        <f>H78/H72</f>
        <v>0.198234645090107</v>
      </c>
      <c r="I79" s="71">
        <f>I78/I72</f>
        <v>0.262389784128915</v>
      </c>
      <c r="J79" s="71">
        <f>J78/J72</f>
        <v>-0.016424213984045</v>
      </c>
      <c r="K79" s="71">
        <f>AVERAGE(J79,I79,H79)</f>
        <v>0.148066738411659</v>
      </c>
      <c r="L79" s="71">
        <f>AVERAGE(K79,J79,I79)</f>
        <v>0.131344102852176</v>
      </c>
      <c r="M79" s="71">
        <f>AVERAGE(L79,K79,J79)</f>
        <v>0.0876622090932633</v>
      </c>
      <c r="N79" s="71">
        <f>AVERAGE(M79,L79,K79)</f>
        <v>0.122357683452366</v>
      </c>
      <c r="O79" s="71">
        <f>AVERAGE(N79,M79,L79)</f>
        <v>0.113787998465935</v>
      </c>
      <c r="P79" s="71">
        <f>AVERAGE(O79,N79,M79)</f>
        <v>0.107935963670521</v>
      </c>
      <c r="Q79" s="71">
        <f>AVERAGE(P79,O79,N79)</f>
        <v>0.114693881862941</v>
      </c>
      <c r="R79" s="71">
        <f>AVERAGE(Q79,P79,O79)</f>
        <v>0.112139281333132</v>
      </c>
      <c r="S79" s="71">
        <f>AVERAGE(R79,Q79,P79)</f>
        <v>0.111589708955531</v>
      </c>
      <c r="T79" s="71">
        <f>AVERAGE(S79,R79,Q79)</f>
        <v>0.112807624050535</v>
      </c>
    </row>
    <row r="80" ht="21.15" customHeight="1">
      <c r="A80" s="124"/>
      <c r="B80" s="125"/>
      <c r="C80" s="126"/>
      <c r="D80" s="127"/>
      <c r="E80" s="128"/>
      <c r="F80" s="128"/>
      <c r="G80" s="128"/>
      <c r="H80" s="128"/>
      <c r="I80" s="128"/>
      <c r="J80" s="128"/>
      <c r="K80" s="128"/>
      <c r="L80" s="128"/>
      <c r="M80" s="128"/>
      <c r="N80" s="128"/>
      <c r="O80" s="128"/>
      <c r="P80" s="128"/>
      <c r="Q80" s="128"/>
      <c r="R80" s="128"/>
      <c r="S80" s="128"/>
      <c r="T80" s="127"/>
    </row>
    <row r="81" ht="21.15" customHeight="1">
      <c r="A81" s="129"/>
      <c r="B81" t="s" s="130">
        <v>46</v>
      </c>
      <c r="C81" s="131"/>
      <c r="D81" s="132"/>
      <c r="E81" s="133"/>
      <c r="F81" s="133"/>
      <c r="G81" s="133"/>
      <c r="H81" s="133"/>
      <c r="I81" s="133"/>
      <c r="J81" s="133"/>
      <c r="K81" s="133">
        <f>K72-K78</f>
        <v>4262.376675537610</v>
      </c>
      <c r="L81" s="133">
        <f>L72-L78</f>
        <v>5070.980831502990</v>
      </c>
      <c r="M81" s="133">
        <f>M72-M78</f>
        <v>6176.5627790444</v>
      </c>
      <c r="N81" s="133">
        <f>N72-N78</f>
        <v>6848.390604543370</v>
      </c>
      <c r="O81" s="133">
        <f>O72-O78</f>
        <v>7921.4495129773</v>
      </c>
      <c r="P81" s="133">
        <f>P72-P78</f>
        <v>9077.342674287560</v>
      </c>
      <c r="Q81" s="133">
        <f>Q72-Q78</f>
        <v>10191.4162891467</v>
      </c>
      <c r="R81" s="133">
        <f>R72-R78</f>
        <v>11490.2610202321</v>
      </c>
      <c r="S81" s="133">
        <f>S72-S78</f>
        <v>12843.7216182831</v>
      </c>
      <c r="T81" s="134">
        <f>T72-T78</f>
        <v>14236.9868234297</v>
      </c>
    </row>
    <row r="82" ht="21" customHeight="1">
      <c r="A82" s="84"/>
      <c r="B82" s="44"/>
      <c r="C82" s="135"/>
      <c r="D82" s="136"/>
      <c r="E82" s="137"/>
      <c r="F82" s="137"/>
      <c r="G82" s="137"/>
      <c r="H82" s="137"/>
      <c r="I82" s="137"/>
      <c r="J82" s="137"/>
      <c r="K82" s="137"/>
      <c r="L82" s="137"/>
      <c r="M82" s="137"/>
      <c r="N82" s="137"/>
      <c r="O82" s="137"/>
      <c r="P82" s="137"/>
      <c r="Q82" s="137"/>
      <c r="R82" s="137"/>
      <c r="S82" s="137"/>
      <c r="T82" s="136"/>
    </row>
    <row r="83" ht="21.5" customHeight="1">
      <c r="A83" s="84"/>
      <c r="B83" t="s" s="119">
        <v>39</v>
      </c>
      <c r="C83" s="28"/>
      <c r="D83" s="122">
        <f>D53</f>
        <v>608</v>
      </c>
      <c r="E83" s="122">
        <f>E53</f>
        <v>724</v>
      </c>
      <c r="F83" s="122">
        <f>F53</f>
        <v>805</v>
      </c>
      <c r="G83" s="122">
        <f>G53</f>
        <v>776</v>
      </c>
      <c r="H83" s="122">
        <f>H53</f>
        <v>912</v>
      </c>
      <c r="I83" s="122">
        <f>I53</f>
        <v>1189</v>
      </c>
      <c r="J83" s="122">
        <f>J53</f>
        <v>1265</v>
      </c>
      <c r="K83" s="138">
        <f>K69*K84</f>
        <v>1452.807965293</v>
      </c>
      <c r="L83" s="138">
        <f>L69*L84</f>
        <v>1669.917951144350</v>
      </c>
      <c r="M83" s="138">
        <f>M69*M84</f>
        <v>1893.036095040060</v>
      </c>
      <c r="N83" s="138">
        <f>N69*N84</f>
        <v>2193.203216388910</v>
      </c>
      <c r="O83" s="138">
        <f>O69*O84</f>
        <v>2492.613026493440</v>
      </c>
      <c r="P83" s="138">
        <f>P69*P84</f>
        <v>2804.869196173810</v>
      </c>
      <c r="Q83" s="138">
        <f>Q69*Q84</f>
        <v>3148.136519318460</v>
      </c>
      <c r="R83" s="138">
        <f>R69*R84</f>
        <v>3495.868594221980</v>
      </c>
      <c r="S83" s="138">
        <f>S69*S84</f>
        <v>3851.666562329250</v>
      </c>
      <c r="T83" s="138">
        <f>T69*T84</f>
        <v>4213.456409831380</v>
      </c>
    </row>
    <row r="84" ht="22" customHeight="1">
      <c r="A84" s="84"/>
      <c r="B84" t="s" s="139">
        <v>35</v>
      </c>
      <c r="C84" s="28"/>
      <c r="D84" s="71">
        <f>D83/D69</f>
        <v>0.06574394463667819</v>
      </c>
      <c r="E84" s="71">
        <f>E83/E69</f>
        <v>0.0667773473528869</v>
      </c>
      <c r="F84" s="71">
        <f>F83/F69</f>
        <v>0.0614785397892164</v>
      </c>
      <c r="G84" s="71">
        <f>G83/G69</f>
        <v>0.0502232865186719</v>
      </c>
      <c r="H84" s="71">
        <f>H83/H69</f>
        <v>0.0513166779203241</v>
      </c>
      <c r="I84" s="71">
        <f>I83/I69</f>
        <v>0.0554209005313694</v>
      </c>
      <c r="J84" s="140">
        <f>J83/J69</f>
        <v>0.0498600764652556</v>
      </c>
      <c r="K84" s="91">
        <f>AVERAGE(J84,I84,H84)</f>
        <v>0.0521992183056497</v>
      </c>
      <c r="L84" s="91">
        <f>AVERAGE(K84,J84,I84)</f>
        <v>0.0524933984340916</v>
      </c>
      <c r="M84" s="91">
        <f>AVERAGE(L84,K84,J84)</f>
        <v>0.0515175644016656</v>
      </c>
      <c r="N84" s="91">
        <f>AVERAGE(M84,L84,K84)</f>
        <v>0.052070060380469</v>
      </c>
      <c r="O84" s="91">
        <f>AVERAGE(N84,M84,L84)</f>
        <v>0.0520270077387421</v>
      </c>
      <c r="P84" s="91">
        <f>AVERAGE(O84,N84,M84)</f>
        <v>0.0518715441736256</v>
      </c>
      <c r="Q84" s="91">
        <f>AVERAGE(P84,O84,N84)</f>
        <v>0.0519895374309456</v>
      </c>
      <c r="R84" s="91">
        <f>AVERAGE(Q84,P84,O84)</f>
        <v>0.0519626964477711</v>
      </c>
      <c r="S84" s="91">
        <f>AVERAGE(R84,Q84,P84)</f>
        <v>0.0519412593507808</v>
      </c>
      <c r="T84" s="91">
        <f>AVERAGE(S84,R84,Q84)</f>
        <v>0.0519644977431658</v>
      </c>
    </row>
    <row r="85" ht="21.5" customHeight="1">
      <c r="A85" s="84"/>
      <c r="B85" s="113"/>
      <c r="C85" s="28"/>
      <c r="D85" s="11"/>
      <c r="E85" s="116"/>
      <c r="F85" s="116"/>
      <c r="G85" s="116"/>
      <c r="H85" s="116"/>
      <c r="I85" s="116"/>
      <c r="J85" s="116"/>
      <c r="K85" s="123"/>
      <c r="L85" s="123"/>
      <c r="M85" s="123"/>
      <c r="N85" s="123"/>
      <c r="O85" s="123"/>
      <c r="P85" s="123"/>
      <c r="Q85" s="123"/>
      <c r="R85" s="123"/>
      <c r="S85" s="123"/>
      <c r="T85" s="27"/>
    </row>
    <row r="86" ht="21.5" customHeight="1">
      <c r="A86" s="84"/>
      <c r="B86" t="s" s="119">
        <v>42</v>
      </c>
      <c r="C86" s="28"/>
      <c r="D86" s="122">
        <f>D57</f>
        <v>722</v>
      </c>
      <c r="E86" s="122">
        <f>E57</f>
        <v>669</v>
      </c>
      <c r="F86" s="122">
        <f>F57</f>
        <v>667</v>
      </c>
      <c r="G86" s="122">
        <f>G57</f>
        <v>823</v>
      </c>
      <c r="H86" s="122">
        <f>H57</f>
        <v>704</v>
      </c>
      <c r="I86" s="122">
        <f>I57</f>
        <v>866</v>
      </c>
      <c r="J86" s="122">
        <f>J57</f>
        <v>908</v>
      </c>
      <c r="K86" s="141">
        <f>K69*K87</f>
        <v>1074.010402124140</v>
      </c>
      <c r="L86" s="141">
        <f>L69*L87</f>
        <v>1216.737448094450</v>
      </c>
      <c r="M86" s="141">
        <f>M69*M87</f>
        <v>1379.494713708410</v>
      </c>
      <c r="N86" s="141">
        <f>N69*N87</f>
        <v>1605.887102575330</v>
      </c>
      <c r="O86" s="141">
        <f>O69*O87</f>
        <v>1819.237494664770</v>
      </c>
      <c r="P86" s="141">
        <f>P69*P87</f>
        <v>2048.302363352150</v>
      </c>
      <c r="Q86" s="141">
        <f>Q69*Q87</f>
        <v>2300.586498669840</v>
      </c>
      <c r="R86" s="141">
        <f>R69*R87</f>
        <v>2553.027200755350</v>
      </c>
      <c r="S86" s="141">
        <f>S69*S87</f>
        <v>2813.440514467140</v>
      </c>
      <c r="T86" s="141">
        <f>T69*T87</f>
        <v>3077.9627238775</v>
      </c>
    </row>
    <row r="87" ht="22" customHeight="1">
      <c r="A87" s="84"/>
      <c r="B87" t="s" s="139">
        <v>35</v>
      </c>
      <c r="C87" s="28"/>
      <c r="D87" s="71">
        <f>D86/D69</f>
        <v>0.07807093425605539</v>
      </c>
      <c r="E87" s="71">
        <f>E86/E69</f>
        <v>0.0617044825677919</v>
      </c>
      <c r="F87" s="71">
        <f>F86/F69</f>
        <v>0.0509393615396365</v>
      </c>
      <c r="G87" s="71">
        <f>G86/G69</f>
        <v>0.0532651608310142</v>
      </c>
      <c r="H87" s="71">
        <f>H86/H69</f>
        <v>0.0396128741841098</v>
      </c>
      <c r="I87" s="71">
        <f>I86/I69</f>
        <v>0.0403654330194835</v>
      </c>
      <c r="J87" s="140">
        <f>J86/J69</f>
        <v>0.0357888928303969</v>
      </c>
      <c r="K87" s="91">
        <f>AVERAGE(J87,I87,H87)</f>
        <v>0.0385890666779967</v>
      </c>
      <c r="L87" s="91">
        <f>AVERAGE(K87,J87,I87)</f>
        <v>0.0382477975092924</v>
      </c>
      <c r="M87" s="91">
        <f>AVERAGE(L87,K87,J87)</f>
        <v>0.0375419190058953</v>
      </c>
      <c r="N87" s="91">
        <f>AVERAGE(M87,L87,K87)</f>
        <v>0.0381262610643948</v>
      </c>
      <c r="O87" s="91">
        <f>AVERAGE(N87,M87,L87)</f>
        <v>0.0379719925265275</v>
      </c>
      <c r="P87" s="91">
        <f>AVERAGE(O87,N87,M87)</f>
        <v>0.0378800575322725</v>
      </c>
      <c r="Q87" s="91">
        <f>AVERAGE(P87,O87,N87)</f>
        <v>0.0379927703743983</v>
      </c>
      <c r="R87" s="91">
        <f>AVERAGE(Q87,P87,O87)</f>
        <v>0.0379482734777328</v>
      </c>
      <c r="S87" s="91">
        <f>AVERAGE(R87,Q87,P87)</f>
        <v>0.0379403671281345</v>
      </c>
      <c r="T87" s="91">
        <f>AVERAGE(S87,R87,Q87)</f>
        <v>0.0379604703267552</v>
      </c>
    </row>
    <row r="88" ht="21.5" customHeight="1">
      <c r="A88" s="84"/>
      <c r="B88" s="113"/>
      <c r="C88" s="28"/>
      <c r="D88" s="11"/>
      <c r="E88" s="116"/>
      <c r="F88" s="116"/>
      <c r="G88" s="116"/>
      <c r="H88" s="116"/>
      <c r="I88" s="116"/>
      <c r="J88" s="116"/>
      <c r="K88" s="123"/>
      <c r="L88" s="123"/>
      <c r="M88" s="123"/>
      <c r="N88" s="123"/>
      <c r="O88" s="123"/>
      <c r="P88" s="123"/>
      <c r="Q88" s="123"/>
      <c r="R88" s="123"/>
      <c r="S88" s="123"/>
      <c r="T88" s="27"/>
    </row>
    <row r="89" ht="21.5" customHeight="1">
      <c r="A89" s="84"/>
      <c r="B89" t="s" s="119">
        <v>44</v>
      </c>
      <c r="C89" s="28"/>
      <c r="D89" s="62">
        <f>D62</f>
        <v>0</v>
      </c>
      <c r="E89" s="62">
        <f>E62</f>
        <v>-1824</v>
      </c>
      <c r="F89" s="62">
        <f>F62</f>
        <v>-927</v>
      </c>
      <c r="G89" s="62">
        <f>G62</f>
        <v>2723</v>
      </c>
      <c r="H89" s="62">
        <f>H62</f>
        <v>-4517</v>
      </c>
      <c r="I89" s="62">
        <f>I62</f>
        <v>-972</v>
      </c>
      <c r="J89" s="62">
        <f>J62</f>
        <v>3003</v>
      </c>
      <c r="K89" s="142">
        <f>K69*K90</f>
        <v>-33.8997502044928</v>
      </c>
      <c r="L89" s="142">
        <f>L69*L90</f>
        <v>-1450.0259156832</v>
      </c>
      <c r="M89" s="142">
        <f>M69*M90</f>
        <v>241.216249436681</v>
      </c>
      <c r="N89" s="142">
        <f>N69*N90</f>
        <v>822.7012631955409</v>
      </c>
      <c r="O89" s="142">
        <f>O69*O90</f>
        <v>-247.963371418619</v>
      </c>
      <c r="P89" s="142">
        <f>P69*P90</f>
        <v>-333.362794037628</v>
      </c>
      <c r="Q89" s="142">
        <f>Q69*Q90</f>
        <v>223.382697633703</v>
      </c>
      <c r="R89" s="142">
        <f>R69*R90</f>
        <v>199.821626473646</v>
      </c>
      <c r="S89" s="142">
        <f>S69*S90</f>
        <v>-86.78712443087279</v>
      </c>
      <c r="T89" s="142">
        <f>T69*T90</f>
        <v>-13.7068421003836</v>
      </c>
    </row>
    <row r="90" ht="22" customHeight="1">
      <c r="A90" s="84"/>
      <c r="B90" t="s" s="121">
        <v>35</v>
      </c>
      <c r="C90" s="28"/>
      <c r="D90" s="71">
        <f>D89/D69</f>
        <v>0</v>
      </c>
      <c r="E90" s="71">
        <f>E89/E69</f>
        <v>-0.168234643054787</v>
      </c>
      <c r="F90" s="71">
        <f>F89/F69</f>
        <v>-0.07079578432870021</v>
      </c>
      <c r="G90" s="71">
        <f>G89/G69</f>
        <v>0.176234547925701</v>
      </c>
      <c r="H90" s="71">
        <f>H89/H69</f>
        <v>-0.254163853252307</v>
      </c>
      <c r="I90" s="71">
        <f>I89/I69</f>
        <v>-0.0453062365992356</v>
      </c>
      <c r="J90" s="140">
        <f>J89/J69</f>
        <v>0.118363485869694</v>
      </c>
      <c r="K90" s="91">
        <f>AVERAGE(J90,I90,H90,G90)</f>
        <v>-0.0012180140140369</v>
      </c>
      <c r="L90" s="91">
        <f>AVERAGE(K90,J90,I90,H90)</f>
        <v>-0.0455811544989714</v>
      </c>
      <c r="M90" s="91">
        <f>AVERAGE(L90,K90,J90,I90)</f>
        <v>0.00656452018936253</v>
      </c>
      <c r="N90" s="91">
        <f>AVERAGE(M90,L90,K90,J90)</f>
        <v>0.0195322093865121</v>
      </c>
      <c r="O90" s="91">
        <f>AVERAGE(N90,M90,L90,K90)</f>
        <v>-0.00517560973428342</v>
      </c>
      <c r="P90" s="91">
        <f>AVERAGE(O90,N90,M90,L90)</f>
        <v>-0.00616500866434505</v>
      </c>
      <c r="Q90" s="91">
        <f>AVERAGE(P90,O90,N90,M90)</f>
        <v>0.00368902779431154</v>
      </c>
      <c r="R90" s="91">
        <f>AVERAGE(Q90,P90,O90,N90)</f>
        <v>0.00297015469554879</v>
      </c>
      <c r="S90" s="91">
        <f>AVERAGE(R90,Q90,P90,O90)</f>
        <v>-0.00117035897719204</v>
      </c>
      <c r="T90" s="91">
        <f>AVERAGE(S90,R90,Q90,P90)</f>
        <v>-0.00016904628791919</v>
      </c>
    </row>
    <row r="91" ht="21.65" customHeight="1">
      <c r="A91" s="124"/>
      <c r="B91" s="125"/>
      <c r="C91" s="126"/>
      <c r="D91" s="127"/>
      <c r="E91" s="128"/>
      <c r="F91" s="128"/>
      <c r="G91" s="128"/>
      <c r="H91" s="128"/>
      <c r="I91" s="128"/>
      <c r="J91" s="128"/>
      <c r="K91" s="143"/>
      <c r="L91" s="143"/>
      <c r="M91" s="143"/>
      <c r="N91" s="143"/>
      <c r="O91" s="143"/>
      <c r="P91" s="143"/>
      <c r="Q91" s="143"/>
      <c r="R91" s="143"/>
      <c r="S91" s="143"/>
      <c r="T91" s="144"/>
    </row>
    <row r="92" ht="21.15" customHeight="1">
      <c r="A92" s="145"/>
      <c r="B92" t="s" s="130">
        <v>47</v>
      </c>
      <c r="C92" s="146"/>
      <c r="D92" s="147"/>
      <c r="E92" s="148"/>
      <c r="F92" s="148"/>
      <c r="G92" s="148"/>
      <c r="H92" s="148"/>
      <c r="I92" s="148"/>
      <c r="J92" s="148"/>
      <c r="K92" s="105">
        <f>K81+K83-K86-K89</f>
        <v>4675.073988910960</v>
      </c>
      <c r="L92" s="105">
        <f>L81+L83-L86-L89</f>
        <v>6974.187250236090</v>
      </c>
      <c r="M92" s="105">
        <f>M81+M83-M86-M89</f>
        <v>6448.887910939370</v>
      </c>
      <c r="N92" s="105">
        <f>N81+N83-N86-N89</f>
        <v>6613.005455161410</v>
      </c>
      <c r="O92" s="105">
        <f>O81+O83-O86-O89</f>
        <v>8842.788416224590</v>
      </c>
      <c r="P92" s="105">
        <f>P81+P83-P86-P89</f>
        <v>10167.2723011468</v>
      </c>
      <c r="Q92" s="105">
        <f>Q81+Q83-Q86-Q89</f>
        <v>10815.5836121616</v>
      </c>
      <c r="R92" s="105">
        <f>R81+R83-R86-R89</f>
        <v>12233.2807872251</v>
      </c>
      <c r="S92" s="105">
        <f>S81+S83-S86-S89</f>
        <v>13968.7347905761</v>
      </c>
      <c r="T92" s="105">
        <f>T81+T83-T86-T89</f>
        <v>15386.187351484</v>
      </c>
    </row>
    <row r="93" ht="21.15" customHeight="1">
      <c r="A93" s="124"/>
      <c r="B93" t="s" s="149">
        <v>48</v>
      </c>
      <c r="C93" s="126"/>
      <c r="D93" s="127"/>
      <c r="E93" s="128"/>
      <c r="F93" s="128"/>
      <c r="G93" s="128"/>
      <c r="H93" s="128"/>
      <c r="I93" s="128"/>
      <c r="J93" s="128"/>
      <c r="K93" s="150">
        <f>K92/(1+$C$18)^K66</f>
        <v>4280.639442537750</v>
      </c>
      <c r="L93" s="150">
        <f>L92/(1+$C$18)^L66</f>
        <v>5847.011179549230</v>
      </c>
      <c r="M93" s="150">
        <f>M92/(1+$C$18)^M66</f>
        <v>4950.457192126970</v>
      </c>
      <c r="N93" s="150">
        <f>N92/(1+$C$18)^N66</f>
        <v>4648.143444890060</v>
      </c>
      <c r="O93" s="150">
        <f>O92/(1+$C$18)^O66</f>
        <v>5691.0189958482</v>
      </c>
      <c r="P93" s="150">
        <f>P92/(1+$C$18)^P66</f>
        <v>5991.360017971230</v>
      </c>
      <c r="Q93" s="150">
        <f>Q92/(1+$C$18)^Q66</f>
        <v>5835.674785905850</v>
      </c>
      <c r="R93" s="150">
        <f>R92/(1+$C$18)^R66</f>
        <v>6043.718482221810</v>
      </c>
      <c r="S93" s="150">
        <f>S92/(1+$C$18)^S66</f>
        <v>6318.8568205858</v>
      </c>
      <c r="T93" s="150">
        <f>T92/(1+$C$18)^T66</f>
        <v>6372.834196709940</v>
      </c>
    </row>
    <row r="94" ht="21.15" customHeight="1">
      <c r="A94" s="129"/>
      <c r="B94" s="145"/>
      <c r="C94" s="131"/>
      <c r="D94" s="132"/>
      <c r="E94" s="151"/>
      <c r="F94" s="151"/>
      <c r="G94" s="151"/>
      <c r="H94" s="151"/>
      <c r="I94" s="151"/>
      <c r="J94" s="151"/>
      <c r="K94" s="151"/>
      <c r="L94" s="151"/>
      <c r="M94" s="151"/>
      <c r="N94" s="151"/>
      <c r="O94" s="151"/>
      <c r="P94" s="151"/>
      <c r="Q94" s="151"/>
      <c r="R94" s="151"/>
      <c r="S94" s="151"/>
      <c r="T94" s="152"/>
    </row>
    <row r="95" ht="21" customHeight="1">
      <c r="A95" s="84"/>
      <c r="B95" t="s" s="119">
        <v>49</v>
      </c>
      <c r="C95" s="85"/>
      <c r="D95" s="153"/>
      <c r="E95" s="154"/>
      <c r="F95" s="154"/>
      <c r="G95" s="154"/>
      <c r="H95" s="154"/>
      <c r="I95" s="154"/>
      <c r="J95" s="154"/>
      <c r="K95" s="154"/>
      <c r="L95" s="154"/>
      <c r="M95" s="154"/>
      <c r="N95" s="154"/>
      <c r="O95" s="154"/>
      <c r="P95" s="154"/>
      <c r="Q95" s="154"/>
      <c r="R95" s="154"/>
      <c r="S95" s="154"/>
      <c r="T95" s="155">
        <f>T92*(1+C19)/($C$18-$C$19)</f>
        <v>234881.450889793</v>
      </c>
    </row>
    <row r="96" ht="21" customHeight="1">
      <c r="A96" s="84"/>
      <c r="B96" t="s" s="119">
        <v>50</v>
      </c>
      <c r="C96" s="85"/>
      <c r="D96" s="153"/>
      <c r="E96" s="154"/>
      <c r="F96" s="154"/>
      <c r="G96" s="154"/>
      <c r="H96" s="154"/>
      <c r="I96" s="154"/>
      <c r="J96" s="154"/>
      <c r="K96" s="154"/>
      <c r="L96" s="154"/>
      <c r="M96" s="154"/>
      <c r="N96" s="154"/>
      <c r="O96" s="154"/>
      <c r="P96" s="154"/>
      <c r="Q96" s="154"/>
      <c r="R96" s="154"/>
      <c r="S96" s="154"/>
      <c r="T96" s="155">
        <f>T95/(1+C18)^T66</f>
        <v>97285.9947827781</v>
      </c>
    </row>
    <row r="97" ht="21" customHeight="1">
      <c r="A97" s="84"/>
      <c r="B97" s="44"/>
      <c r="C97" s="85"/>
      <c r="D97" s="153"/>
      <c r="E97" s="154"/>
      <c r="F97" s="154"/>
      <c r="G97" s="154"/>
      <c r="H97" s="154"/>
      <c r="I97" s="154"/>
      <c r="J97" s="154"/>
      <c r="K97" s="154"/>
      <c r="L97" s="154"/>
      <c r="M97" s="154"/>
      <c r="N97" s="154"/>
      <c r="O97" s="154"/>
      <c r="P97" s="154"/>
      <c r="Q97" s="154"/>
      <c r="R97" s="154"/>
      <c r="S97" s="154"/>
      <c r="T97" s="156"/>
    </row>
    <row r="98" ht="22" customHeight="1">
      <c r="A98" s="157"/>
      <c r="B98" t="s" s="158">
        <v>51</v>
      </c>
      <c r="C98" s="157"/>
      <c r="D98" s="157"/>
      <c r="E98" s="157"/>
      <c r="F98" s="157"/>
      <c r="G98" s="157"/>
      <c r="H98" s="157"/>
      <c r="I98" s="157"/>
      <c r="J98" s="157"/>
      <c r="K98" s="157"/>
      <c r="L98" s="157"/>
      <c r="M98" s="157"/>
      <c r="N98" s="157"/>
      <c r="O98" s="157"/>
      <c r="P98" s="157"/>
      <c r="Q98" s="157"/>
      <c r="R98" s="157"/>
      <c r="S98" s="157"/>
      <c r="T98" s="159">
        <f>SUM(T93,S93,R93,Q93,P93,O93,N93,M93,L93,T96,K93)</f>
        <v>153265.709341125</v>
      </c>
    </row>
    <row r="99" ht="22" customHeight="1">
      <c r="A99" s="160"/>
      <c r="B99" t="s" s="161">
        <v>52</v>
      </c>
      <c r="C99" s="160"/>
      <c r="D99" s="160"/>
      <c r="E99" s="160"/>
      <c r="F99" s="160"/>
      <c r="G99" s="160"/>
      <c r="H99" s="160"/>
      <c r="I99" s="160"/>
      <c r="J99" s="160"/>
      <c r="K99" s="160"/>
      <c r="L99" s="160"/>
      <c r="M99" s="160"/>
      <c r="N99" s="160"/>
      <c r="O99" s="160"/>
      <c r="P99" s="160"/>
      <c r="Q99" s="160"/>
      <c r="R99" s="160"/>
      <c r="S99" s="160"/>
      <c r="T99" s="162">
        <v>9310</v>
      </c>
    </row>
    <row r="100" ht="22" customHeight="1">
      <c r="A100" s="160"/>
      <c r="B100" t="s" s="161">
        <v>53</v>
      </c>
      <c r="C100" s="160"/>
      <c r="D100" s="160"/>
      <c r="E100" s="160"/>
      <c r="F100" s="160"/>
      <c r="G100" s="160"/>
      <c r="H100" s="160"/>
      <c r="I100" s="160"/>
      <c r="J100" s="160"/>
      <c r="K100" s="160"/>
      <c r="L100" s="160"/>
      <c r="M100" s="160"/>
      <c r="N100" s="160"/>
      <c r="O100" s="160"/>
      <c r="P100" s="160"/>
      <c r="Q100" s="160"/>
      <c r="R100" s="160"/>
      <c r="S100" s="160"/>
      <c r="T100" s="162">
        <f>'WACC - PYPL'!B14</f>
        <v>11380</v>
      </c>
    </row>
    <row r="101" ht="22" customHeight="1">
      <c r="A101" s="160"/>
      <c r="B101" t="s" s="161">
        <v>54</v>
      </c>
      <c r="C101" s="160"/>
      <c r="D101" s="160"/>
      <c r="E101" s="160"/>
      <c r="F101" s="160"/>
      <c r="G101" s="160"/>
      <c r="H101" s="160"/>
      <c r="I101" s="160"/>
      <c r="J101" s="160"/>
      <c r="K101" s="160"/>
      <c r="L101" s="160"/>
      <c r="M101" s="160"/>
      <c r="N101" s="160"/>
      <c r="O101" s="160"/>
      <c r="P101" s="160"/>
      <c r="Q101" s="160"/>
      <c r="R101" s="160"/>
      <c r="S101" s="160"/>
      <c r="T101" s="162">
        <f>T98+T99-T100</f>
        <v>151195.709341125</v>
      </c>
    </row>
    <row r="102" ht="22" customHeight="1">
      <c r="A102" s="160"/>
      <c r="B102" t="s" s="161">
        <v>55</v>
      </c>
      <c r="C102" s="160"/>
      <c r="D102" s="160"/>
      <c r="E102" s="160"/>
      <c r="F102" s="160"/>
      <c r="G102" s="160"/>
      <c r="H102" s="160"/>
      <c r="I102" s="160"/>
      <c r="J102" s="160"/>
      <c r="K102" s="160"/>
      <c r="L102" s="160"/>
      <c r="M102" s="160"/>
      <c r="N102" s="160"/>
      <c r="O102" s="160"/>
      <c r="P102" s="160"/>
      <c r="Q102" s="160"/>
      <c r="R102" s="160"/>
      <c r="S102" s="160"/>
      <c r="T102" s="162">
        <v>1165.004913</v>
      </c>
    </row>
    <row r="103" ht="22" customHeight="1">
      <c r="A103" s="160"/>
      <c r="B103" t="s" s="161">
        <v>56</v>
      </c>
      <c r="C103" s="160"/>
      <c r="D103" s="160"/>
      <c r="E103" s="160"/>
      <c r="F103" s="160"/>
      <c r="G103" s="160"/>
      <c r="H103" s="160"/>
      <c r="I103" s="160"/>
      <c r="J103" s="160"/>
      <c r="K103" s="160"/>
      <c r="L103" s="160"/>
      <c r="M103" s="160"/>
      <c r="N103" s="160"/>
      <c r="O103" s="160"/>
      <c r="P103" s="160"/>
      <c r="Q103" s="160"/>
      <c r="R103" s="160"/>
      <c r="S103" s="160"/>
      <c r="T103" s="163">
        <f>T101/T102</f>
        <v>129.781177447382</v>
      </c>
    </row>
    <row r="104" ht="22" customHeight="1">
      <c r="A104" s="160"/>
      <c r="B104" s="160"/>
      <c r="C104" s="160"/>
      <c r="D104" s="160"/>
      <c r="E104" s="160"/>
      <c r="F104" s="160"/>
      <c r="G104" s="160"/>
      <c r="H104" s="160"/>
      <c r="I104" s="160"/>
      <c r="J104" s="160"/>
      <c r="K104" s="160"/>
      <c r="L104" s="160"/>
      <c r="M104" s="160"/>
      <c r="N104" s="160"/>
      <c r="O104" s="160"/>
      <c r="P104" s="160"/>
      <c r="Q104" s="160"/>
      <c r="R104" s="160"/>
      <c r="S104" s="160"/>
      <c r="T104" s="160"/>
    </row>
    <row r="105" ht="22" customHeight="1">
      <c r="A105" s="160"/>
      <c r="B105" s="160"/>
      <c r="C105" s="160"/>
      <c r="D105" s="160"/>
      <c r="E105" s="160"/>
      <c r="F105" s="160"/>
      <c r="G105" s="160"/>
      <c r="H105" s="160"/>
      <c r="I105" s="160"/>
      <c r="J105" s="160"/>
      <c r="K105" s="160"/>
      <c r="L105" s="160"/>
      <c r="M105" s="160"/>
      <c r="N105" s="160"/>
      <c r="O105" s="160"/>
      <c r="P105" s="160"/>
      <c r="Q105" s="160"/>
      <c r="R105" s="160"/>
      <c r="S105" s="160"/>
      <c r="T105" s="160"/>
    </row>
  </sheetData>
  <mergeCells count="2">
    <mergeCell ref="A1:T1"/>
    <mergeCell ref="K20:L20"/>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1"/>
  <sheetViews>
    <sheetView workbookViewId="0" showGridLines="0" defaultGridColor="1"/>
  </sheetViews>
  <sheetFormatPr defaultColWidth="16.3333" defaultRowHeight="19.9" customHeight="1" outlineLevelRow="0" outlineLevelCol="0"/>
  <cols>
    <col min="1" max="1" width="21.1875" style="164" customWidth="1"/>
    <col min="2" max="5" width="16.3516" style="164" customWidth="1"/>
    <col min="6" max="256" width="16.3516" style="164" customWidth="1"/>
  </cols>
  <sheetData>
    <row r="1" ht="28.65" customHeight="1">
      <c r="A1" t="s" s="165">
        <v>8</v>
      </c>
      <c r="B1" s="165"/>
      <c r="C1" s="165"/>
      <c r="D1" s="165"/>
      <c r="E1" s="165"/>
    </row>
    <row r="2" ht="19.7" customHeight="1">
      <c r="A2" s="36"/>
      <c r="B2" s="36"/>
      <c r="C2" s="36"/>
      <c r="D2" s="36"/>
      <c r="E2" s="36"/>
    </row>
    <row r="3" ht="22" customHeight="1">
      <c r="A3" t="s" s="166">
        <v>58</v>
      </c>
      <c r="B3" s="36"/>
      <c r="C3" s="36"/>
      <c r="D3" s="36"/>
      <c r="E3" s="36"/>
    </row>
    <row r="4" ht="22" customHeight="1">
      <c r="A4" t="s" s="166">
        <v>59</v>
      </c>
      <c r="B4" s="36"/>
      <c r="C4" s="36"/>
      <c r="D4" s="36"/>
      <c r="E4" s="36"/>
    </row>
    <row r="5" ht="19.7" customHeight="1">
      <c r="A5" s="36"/>
      <c r="B5" s="36"/>
      <c r="C5" s="36"/>
      <c r="D5" s="36"/>
      <c r="E5" s="36"/>
    </row>
    <row r="6" ht="22" customHeight="1">
      <c r="A6" t="s" s="167">
        <v>23</v>
      </c>
      <c r="B6" s="36"/>
      <c r="C6" s="36"/>
      <c r="D6" s="36"/>
      <c r="E6" s="36"/>
    </row>
    <row r="7" ht="19.7" customHeight="1">
      <c r="A7" t="s" s="168">
        <v>60</v>
      </c>
      <c r="B7" s="169">
        <v>109876.298207</v>
      </c>
      <c r="C7" s="36"/>
      <c r="D7" s="36"/>
      <c r="E7" s="36"/>
    </row>
    <row r="8" ht="19.7" customHeight="1">
      <c r="A8" t="s" s="168">
        <v>61</v>
      </c>
      <c r="B8" s="170">
        <f>B7/B19</f>
        <v>0.9061492048802871</v>
      </c>
      <c r="C8" s="36"/>
      <c r="D8" s="36"/>
      <c r="E8" s="36"/>
    </row>
    <row r="9" ht="19.7" customHeight="1">
      <c r="A9" t="s" s="168">
        <v>62</v>
      </c>
      <c r="B9" s="171">
        <f>B10+B11*B12</f>
        <v>0.104718</v>
      </c>
      <c r="C9" s="36"/>
      <c r="D9" s="36"/>
      <c r="E9" s="36"/>
    </row>
    <row r="10" ht="19.7" customHeight="1">
      <c r="A10" t="s" s="168">
        <v>63</v>
      </c>
      <c r="B10" s="171">
        <v>0.03439</v>
      </c>
      <c r="C10" s="36"/>
      <c r="D10" s="36"/>
      <c r="E10" s="36"/>
    </row>
    <row r="11" ht="19.7" customHeight="1">
      <c r="A11" t="s" s="168">
        <v>64</v>
      </c>
      <c r="B11" s="172">
        <v>1.49</v>
      </c>
      <c r="C11" s="36"/>
      <c r="D11" s="36"/>
      <c r="E11" s="36"/>
    </row>
    <row r="12" ht="19.7" customHeight="1">
      <c r="A12" t="s" s="173">
        <v>65</v>
      </c>
      <c r="B12" s="171">
        <v>0.0472</v>
      </c>
      <c r="C12" s="36"/>
      <c r="D12" s="36"/>
      <c r="E12" s="36"/>
    </row>
    <row r="13" ht="19.7" customHeight="1">
      <c r="A13" s="174"/>
      <c r="B13" s="36"/>
      <c r="C13" s="36"/>
      <c r="D13" s="36"/>
      <c r="E13" s="36"/>
    </row>
    <row r="14" ht="19.7" customHeight="1">
      <c r="A14" t="s" s="168">
        <v>66</v>
      </c>
      <c r="B14" s="169">
        <v>11380</v>
      </c>
      <c r="C14" s="36"/>
      <c r="D14" s="36"/>
      <c r="E14" s="36"/>
    </row>
    <row r="15" ht="19.7" customHeight="1">
      <c r="A15" t="s" s="168">
        <v>67</v>
      </c>
      <c r="B15" s="175">
        <f>B14/B7</f>
        <v>0.10357101745966</v>
      </c>
      <c r="C15" s="36"/>
      <c r="D15" s="36"/>
      <c r="E15" s="36"/>
    </row>
    <row r="16" ht="19.7" customHeight="1">
      <c r="A16" t="s" s="168">
        <v>68</v>
      </c>
      <c r="B16" s="176">
        <v>0.0256</v>
      </c>
      <c r="C16" s="36"/>
      <c r="D16" s="36"/>
      <c r="E16" s="36"/>
    </row>
    <row r="17" ht="19.7" customHeight="1">
      <c r="A17" t="s" s="168">
        <v>69</v>
      </c>
      <c r="B17" s="175">
        <v>0.15</v>
      </c>
      <c r="C17" s="36"/>
      <c r="D17" s="36"/>
      <c r="E17" s="36"/>
    </row>
    <row r="18" ht="19.7" customHeight="1">
      <c r="A18" s="174"/>
      <c r="B18" s="169"/>
      <c r="C18" s="36"/>
      <c r="D18" s="36"/>
      <c r="E18" s="36"/>
    </row>
    <row r="19" ht="19.7" customHeight="1">
      <c r="A19" t="s" s="168">
        <v>70</v>
      </c>
      <c r="B19" s="169">
        <f>B7+B14</f>
        <v>121256.298207</v>
      </c>
      <c r="C19" s="36"/>
      <c r="D19" s="36"/>
      <c r="E19" s="36"/>
    </row>
    <row r="20" ht="19.7" customHeight="1">
      <c r="A20" s="174"/>
      <c r="B20" s="36"/>
      <c r="C20" s="36"/>
      <c r="D20" s="36"/>
      <c r="E20" s="36"/>
    </row>
    <row r="21" ht="19.7" customHeight="1">
      <c r="A21" t="s" s="168">
        <v>23</v>
      </c>
      <c r="B21" s="171">
        <f>(B8*B9)+(B15*B16*(1-B17))</f>
        <v>0.09714383777657611</v>
      </c>
      <c r="C21" s="36"/>
      <c r="D21" s="36"/>
      <c r="E21" s="3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