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halilgunputh/Library/Mobile Documents/com~apple~Numbers/Documents/Stock Market Analysis/Company/3M/"/>
    </mc:Choice>
  </mc:AlternateContent>
  <xr:revisionPtr revIDLastSave="0" documentId="13_ncr:1_{C63D5E4B-20B8-BB47-91C8-4CF82E271FEB}" xr6:coauthVersionLast="47" xr6:coauthVersionMax="47" xr10:uidLastSave="{00000000-0000-0000-0000-000000000000}"/>
  <bookViews>
    <workbookView xWindow="28820" yWindow="500" windowWidth="25320" windowHeight="19540" xr2:uid="{0977BF38-48D9-794A-8CBF-2275E4F9BDFE}"/>
  </bookViews>
  <sheets>
    <sheet name="MMM_DCF" sheetId="1" r:id="rId1"/>
    <sheet name="MMM_WAC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32" i="1" l="1"/>
  <c r="F19" i="1"/>
  <c r="C22" i="1" s="1"/>
  <c r="J19" i="1"/>
  <c r="D21" i="2"/>
  <c r="D10" i="2" s="1"/>
  <c r="D17" i="2"/>
  <c r="D11" i="2"/>
  <c r="G120" i="1"/>
  <c r="G117" i="1"/>
  <c r="F117" i="1"/>
  <c r="E117" i="1"/>
  <c r="D117" i="1"/>
  <c r="C117" i="1"/>
  <c r="G113" i="1"/>
  <c r="G115" i="1" s="1"/>
  <c r="F113" i="1"/>
  <c r="E113" i="1"/>
  <c r="D113" i="1"/>
  <c r="C113" i="1"/>
  <c r="C115" i="1" s="1"/>
  <c r="G107" i="1"/>
  <c r="F107" i="1"/>
  <c r="F108" i="1" s="1"/>
  <c r="E107" i="1"/>
  <c r="E108" i="1" s="1"/>
  <c r="D107" i="1"/>
  <c r="C107" i="1"/>
  <c r="C108" i="1" s="1"/>
  <c r="L104" i="1"/>
  <c r="L105" i="1" s="1"/>
  <c r="G101" i="1"/>
  <c r="G108" i="1" s="1"/>
  <c r="F101" i="1"/>
  <c r="E101" i="1"/>
  <c r="D101" i="1"/>
  <c r="C101" i="1"/>
  <c r="G87" i="1"/>
  <c r="F87" i="1"/>
  <c r="E87" i="1"/>
  <c r="D87" i="1"/>
  <c r="C87" i="1"/>
  <c r="G92" i="1"/>
  <c r="C92" i="1"/>
  <c r="D92" i="1"/>
  <c r="D120" i="1" s="1"/>
  <c r="E92" i="1"/>
  <c r="F92" i="1"/>
  <c r="F120" i="1" s="1"/>
  <c r="G81" i="1"/>
  <c r="F81" i="1"/>
  <c r="E81" i="1"/>
  <c r="D81" i="1"/>
  <c r="C81" i="1"/>
  <c r="L50" i="1"/>
  <c r="L51" i="1" s="1"/>
  <c r="L44" i="1"/>
  <c r="L42" i="1"/>
  <c r="L41" i="1" s="1"/>
  <c r="L43" i="1"/>
  <c r="L36" i="1"/>
  <c r="L37" i="1" s="1"/>
  <c r="L29" i="1"/>
  <c r="L30" i="1" s="1"/>
  <c r="H29" i="1"/>
  <c r="H30" i="1" s="1"/>
  <c r="G62" i="1"/>
  <c r="G55" i="1"/>
  <c r="G48" i="1"/>
  <c r="G41" i="1"/>
  <c r="H43" i="1" s="1"/>
  <c r="G34" i="1"/>
  <c r="G27" i="1"/>
  <c r="F69" i="1"/>
  <c r="F74" i="1" s="1"/>
  <c r="G69" i="1"/>
  <c r="G70" i="1" s="1"/>
  <c r="E69" i="1"/>
  <c r="D69" i="1"/>
  <c r="E70" i="1" s="1"/>
  <c r="C69" i="1"/>
  <c r="C74" i="1" s="1"/>
  <c r="C98" i="1" s="1"/>
  <c r="C114" i="1" s="1"/>
  <c r="E62" i="1"/>
  <c r="D62" i="1"/>
  <c r="F62" i="1"/>
  <c r="E55" i="1"/>
  <c r="D55" i="1"/>
  <c r="F55" i="1"/>
  <c r="E48" i="1"/>
  <c r="D48" i="1"/>
  <c r="F48" i="1"/>
  <c r="E41" i="1"/>
  <c r="D41" i="1"/>
  <c r="F41" i="1"/>
  <c r="E34" i="1"/>
  <c r="H36" i="1" s="1"/>
  <c r="D34" i="1"/>
  <c r="F34" i="1"/>
  <c r="E27" i="1"/>
  <c r="D27" i="1"/>
  <c r="F27" i="1"/>
  <c r="B61" i="1"/>
  <c r="B54" i="1"/>
  <c r="B47" i="1"/>
  <c r="B40" i="1"/>
  <c r="B33" i="1"/>
  <c r="B26" i="1"/>
  <c r="I2" i="1" a="1"/>
  <c r="I2" i="1" s="1"/>
  <c r="G74" i="1" l="1"/>
  <c r="G98" i="1" s="1"/>
  <c r="C93" i="1"/>
  <c r="G93" i="1"/>
  <c r="I93" i="1" s="1"/>
  <c r="C118" i="1"/>
  <c r="G118" i="1"/>
  <c r="H50" i="1"/>
  <c r="F70" i="1"/>
  <c r="H81" i="1"/>
  <c r="I81" i="1" s="1"/>
  <c r="D108" i="1"/>
  <c r="E115" i="1"/>
  <c r="F86" i="1"/>
  <c r="F78" i="1"/>
  <c r="F90" i="1"/>
  <c r="F98" i="1"/>
  <c r="F118" i="1" s="1"/>
  <c r="F93" i="1"/>
  <c r="H93" i="1" s="1"/>
  <c r="H51" i="1"/>
  <c r="H49" i="1"/>
  <c r="H48" i="1" s="1"/>
  <c r="H47" i="1" s="1"/>
  <c r="I50" i="1"/>
  <c r="H37" i="1"/>
  <c r="H35" i="1"/>
  <c r="I36" i="1"/>
  <c r="J36" i="1" s="1"/>
  <c r="K36" i="1" s="1"/>
  <c r="K37" i="1" s="1"/>
  <c r="H44" i="1"/>
  <c r="H42" i="1"/>
  <c r="H41" i="1" s="1"/>
  <c r="H40" i="1" s="1"/>
  <c r="I43" i="1"/>
  <c r="G114" i="1"/>
  <c r="C102" i="1"/>
  <c r="G102" i="1"/>
  <c r="H108" i="1"/>
  <c r="I108" i="1" s="1"/>
  <c r="G121" i="1"/>
  <c r="G75" i="1"/>
  <c r="D115" i="1"/>
  <c r="C120" i="1"/>
  <c r="C121" i="1" s="1"/>
  <c r="D74" i="1"/>
  <c r="C78" i="1"/>
  <c r="I29" i="1"/>
  <c r="I30" i="1" s="1"/>
  <c r="L49" i="1"/>
  <c r="L48" i="1" s="1"/>
  <c r="E74" i="1"/>
  <c r="F75" i="1" s="1"/>
  <c r="C86" i="1"/>
  <c r="G86" i="1"/>
  <c r="C90" i="1"/>
  <c r="G90" i="1"/>
  <c r="F115" i="1"/>
  <c r="E120" i="1"/>
  <c r="H28" i="1"/>
  <c r="G78" i="1"/>
  <c r="L103" i="1"/>
  <c r="L102" i="1" s="1"/>
  <c r="D70" i="1"/>
  <c r="L28" i="1"/>
  <c r="L27" i="1" s="1"/>
  <c r="D23" i="2"/>
  <c r="H18" i="1" s="1"/>
  <c r="J81" i="1"/>
  <c r="L35" i="1"/>
  <c r="L34" i="1" s="1"/>
  <c r="K35" i="1"/>
  <c r="K34" i="1" s="1"/>
  <c r="J37" i="1"/>
  <c r="I35" i="1"/>
  <c r="I34" i="1" s="1"/>
  <c r="I28" i="1"/>
  <c r="I27" i="1" s="1"/>
  <c r="J29" i="1"/>
  <c r="F18" i="1" l="1"/>
  <c r="C21" i="1" s="1"/>
  <c r="J18" i="1"/>
  <c r="I37" i="1"/>
  <c r="J35" i="1"/>
  <c r="J34" i="1" s="1"/>
  <c r="K81" i="1"/>
  <c r="J108" i="1"/>
  <c r="K108" i="1"/>
  <c r="E98" i="1"/>
  <c r="E121" i="1" s="1"/>
  <c r="E78" i="1"/>
  <c r="H78" i="1" s="1"/>
  <c r="I78" i="1" s="1"/>
  <c r="E90" i="1"/>
  <c r="H90" i="1" s="1"/>
  <c r="E75" i="1"/>
  <c r="E86" i="1"/>
  <c r="H86" i="1" s="1"/>
  <c r="D90" i="1"/>
  <c r="D86" i="1"/>
  <c r="D75" i="1"/>
  <c r="D98" i="1"/>
  <c r="D93" i="1"/>
  <c r="D78" i="1"/>
  <c r="F102" i="1"/>
  <c r="I90" i="1"/>
  <c r="F114" i="1"/>
  <c r="F121" i="1"/>
  <c r="E93" i="1"/>
  <c r="J43" i="1"/>
  <c r="I44" i="1"/>
  <c r="I42" i="1"/>
  <c r="I41" i="1" s="1"/>
  <c r="I40" i="1" s="1"/>
  <c r="F99" i="1"/>
  <c r="L81" i="1"/>
  <c r="G99" i="1"/>
  <c r="I49" i="1"/>
  <c r="I48" i="1" s="1"/>
  <c r="I47" i="1" s="1"/>
  <c r="J50" i="1"/>
  <c r="I51" i="1"/>
  <c r="J93" i="1"/>
  <c r="K93" i="1" s="1"/>
  <c r="L93" i="1" s="1"/>
  <c r="K29" i="1"/>
  <c r="J30" i="1"/>
  <c r="J28" i="1"/>
  <c r="J27" i="1" s="1"/>
  <c r="K43" i="1" l="1"/>
  <c r="J44" i="1"/>
  <c r="J42" i="1"/>
  <c r="J41" i="1" s="1"/>
  <c r="J40" i="1" s="1"/>
  <c r="J78" i="1"/>
  <c r="K78" i="1" s="1"/>
  <c r="L78" i="1" s="1"/>
  <c r="K50" i="1"/>
  <c r="J49" i="1"/>
  <c r="J48" i="1" s="1"/>
  <c r="J47" i="1" s="1"/>
  <c r="J51" i="1"/>
  <c r="D102" i="1"/>
  <c r="D99" i="1"/>
  <c r="D114" i="1"/>
  <c r="D121" i="1"/>
  <c r="D118" i="1"/>
  <c r="E99" i="1"/>
  <c r="E118" i="1"/>
  <c r="E102" i="1"/>
  <c r="E114" i="1"/>
  <c r="I86" i="1"/>
  <c r="J90" i="1"/>
  <c r="K90" i="1"/>
  <c r="L108" i="1"/>
  <c r="K30" i="1"/>
  <c r="K28" i="1"/>
  <c r="K27" i="1" s="1"/>
  <c r="L90" i="1" l="1"/>
  <c r="J86" i="1"/>
  <c r="I104" i="1"/>
  <c r="H103" i="1"/>
  <c r="H102" i="1" s="1"/>
  <c r="H105" i="1"/>
  <c r="K49" i="1"/>
  <c r="K48" i="1" s="1"/>
  <c r="K47" i="1" s="1"/>
  <c r="L47" i="1" s="1"/>
  <c r="K51" i="1"/>
  <c r="K44" i="1"/>
  <c r="K42" i="1"/>
  <c r="K41" i="1" s="1"/>
  <c r="K40" i="1" s="1"/>
  <c r="L40" i="1" s="1"/>
  <c r="I105" i="1" l="1"/>
  <c r="J104" i="1"/>
  <c r="I103" i="1"/>
  <c r="I102" i="1" s="1"/>
  <c r="K86" i="1"/>
  <c r="L86" i="1" s="1"/>
  <c r="K104" i="1" l="1"/>
  <c r="J103" i="1"/>
  <c r="J102" i="1" s="1"/>
  <c r="J105" i="1"/>
  <c r="K103" i="1" l="1"/>
  <c r="K102" i="1" s="1"/>
  <c r="K105" i="1"/>
  <c r="H27" i="1" l="1"/>
  <c r="H26" i="1" s="1"/>
  <c r="I26" i="1" l="1"/>
  <c r="J26" i="1" l="1"/>
  <c r="K26" i="1" l="1"/>
  <c r="L26" i="1" l="1"/>
  <c r="H34" i="1" l="1"/>
  <c r="H33" i="1" s="1"/>
  <c r="H69" i="1" l="1"/>
  <c r="I33" i="1"/>
  <c r="H70" i="1" l="1"/>
  <c r="H74" i="1"/>
  <c r="H98" i="1" s="1"/>
  <c r="J33" i="1"/>
  <c r="I69" i="1"/>
  <c r="H99" i="1" l="1"/>
  <c r="H101" i="1"/>
  <c r="H89" i="1"/>
  <c r="H117" i="1" s="1"/>
  <c r="H118" i="1" s="1"/>
  <c r="H92" i="1"/>
  <c r="H120" i="1" s="1"/>
  <c r="H121" i="1" s="1"/>
  <c r="H77" i="1"/>
  <c r="H80" i="1" s="1"/>
  <c r="H85" i="1"/>
  <c r="H113" i="1" s="1"/>
  <c r="H75" i="1"/>
  <c r="I70" i="1"/>
  <c r="I74" i="1"/>
  <c r="I98" i="1" s="1"/>
  <c r="K33" i="1"/>
  <c r="J69" i="1"/>
  <c r="H114" i="1" l="1"/>
  <c r="H115" i="1"/>
  <c r="H107" i="1"/>
  <c r="H111" i="1" s="1"/>
  <c r="H124" i="1" s="1"/>
  <c r="H125" i="1" s="1"/>
  <c r="I99" i="1"/>
  <c r="I101" i="1"/>
  <c r="H87" i="1"/>
  <c r="I89" i="1"/>
  <c r="I117" i="1" s="1"/>
  <c r="I118" i="1" s="1"/>
  <c r="I92" i="1"/>
  <c r="I120" i="1" s="1"/>
  <c r="I121" i="1" s="1"/>
  <c r="I77" i="1"/>
  <c r="I80" i="1" s="1"/>
  <c r="I85" i="1"/>
  <c r="I113" i="1" s="1"/>
  <c r="I75" i="1"/>
  <c r="J70" i="1"/>
  <c r="J74" i="1"/>
  <c r="J98" i="1" s="1"/>
  <c r="L33" i="1"/>
  <c r="L69" i="1" s="1"/>
  <c r="L74" i="1" s="1"/>
  <c r="L98" i="1" s="1"/>
  <c r="L101" i="1" s="1"/>
  <c r="K69" i="1"/>
  <c r="I114" i="1" l="1"/>
  <c r="I115" i="1"/>
  <c r="L107" i="1"/>
  <c r="L111" i="1" s="1"/>
  <c r="I107" i="1"/>
  <c r="I111" i="1" s="1"/>
  <c r="I124" i="1" s="1"/>
  <c r="I125" i="1" s="1"/>
  <c r="J99" i="1"/>
  <c r="J101" i="1"/>
  <c r="I87" i="1"/>
  <c r="L89" i="1"/>
  <c r="L117" i="1" s="1"/>
  <c r="L118" i="1" s="1"/>
  <c r="L92" i="1"/>
  <c r="L120" i="1" s="1"/>
  <c r="L121" i="1" s="1"/>
  <c r="J89" i="1"/>
  <c r="J117" i="1" s="1"/>
  <c r="J118" i="1" s="1"/>
  <c r="J92" i="1"/>
  <c r="J120" i="1" s="1"/>
  <c r="J121" i="1" s="1"/>
  <c r="L77" i="1"/>
  <c r="L80" i="1" s="1"/>
  <c r="L85" i="1"/>
  <c r="L113" i="1" s="1"/>
  <c r="J77" i="1"/>
  <c r="J80" i="1" s="1"/>
  <c r="J85" i="1"/>
  <c r="J113" i="1" s="1"/>
  <c r="J75" i="1"/>
  <c r="K70" i="1"/>
  <c r="K74" i="1"/>
  <c r="K98" i="1" s="1"/>
  <c r="L70" i="1"/>
  <c r="L124" i="1" l="1"/>
  <c r="J114" i="1"/>
  <c r="J115" i="1"/>
  <c r="L114" i="1"/>
  <c r="L115" i="1"/>
  <c r="J107" i="1"/>
  <c r="J111" i="1" s="1"/>
  <c r="J124" i="1" s="1"/>
  <c r="J125" i="1" s="1"/>
  <c r="K99" i="1"/>
  <c r="K101" i="1"/>
  <c r="L99" i="1"/>
  <c r="L87" i="1"/>
  <c r="J87" i="1"/>
  <c r="K89" i="1"/>
  <c r="K117" i="1" s="1"/>
  <c r="K118" i="1" s="1"/>
  <c r="K92" i="1"/>
  <c r="K120" i="1" s="1"/>
  <c r="K121" i="1" s="1"/>
  <c r="K77" i="1"/>
  <c r="K80" i="1" s="1"/>
  <c r="K85" i="1"/>
  <c r="K113" i="1" s="1"/>
  <c r="K75" i="1"/>
  <c r="L75" i="1"/>
  <c r="L125" i="1" l="1"/>
  <c r="L127" i="1"/>
  <c r="L128" i="1" s="1"/>
  <c r="K114" i="1"/>
  <c r="K115" i="1"/>
  <c r="K107" i="1"/>
  <c r="K111" i="1" s="1"/>
  <c r="K124" i="1" s="1"/>
  <c r="K125" i="1" s="1"/>
  <c r="K87" i="1"/>
  <c r="L130" i="1" l="1"/>
  <c r="L133" i="1" s="1"/>
  <c r="L135" i="1" s="1"/>
  <c r="I3" i="1" s="1"/>
  <c r="M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<sst xmlns="http://schemas.openxmlformats.org/spreadsheetml/2006/main" count="119" uniqueCount="65">
  <si>
    <t xml:space="preserve">Ticker </t>
  </si>
  <si>
    <t>MMM</t>
  </si>
  <si>
    <t xml:space="preserve">Date </t>
  </si>
  <si>
    <t xml:space="preserve">Current Share Price </t>
  </si>
  <si>
    <t xml:space="preserve">Implied Share Price </t>
  </si>
  <si>
    <t xml:space="preserve">Upside/Downside </t>
  </si>
  <si>
    <t>X</t>
  </si>
  <si>
    <t>Assumptions</t>
  </si>
  <si>
    <t>Switches</t>
  </si>
  <si>
    <t xml:space="preserve">Conservative </t>
  </si>
  <si>
    <t>Base</t>
  </si>
  <si>
    <t>Optimistic</t>
  </si>
  <si>
    <t xml:space="preserve">Segments </t>
  </si>
  <si>
    <t>Safety &amp; Industrial</t>
  </si>
  <si>
    <t>Total Transportation &amp; Electronics</t>
  </si>
  <si>
    <t xml:space="preserve">Total Health Care </t>
  </si>
  <si>
    <t xml:space="preserve">Total Consumer </t>
  </si>
  <si>
    <t xml:space="preserve">Corporate Unallocated </t>
  </si>
  <si>
    <t xml:space="preserve">Elimination of Dual Credit </t>
  </si>
  <si>
    <t>EBIT</t>
  </si>
  <si>
    <t>WACC</t>
  </si>
  <si>
    <t>TGV</t>
  </si>
  <si>
    <t xml:space="preserve">Revenue Build </t>
  </si>
  <si>
    <t xml:space="preserve">% Growth </t>
  </si>
  <si>
    <t xml:space="preserve"> Conservative </t>
  </si>
  <si>
    <t xml:space="preserve"> Base</t>
  </si>
  <si>
    <t xml:space="preserve"> Optimistic</t>
  </si>
  <si>
    <t xml:space="preserve">% of Revenue </t>
  </si>
  <si>
    <t>Total Revenue</t>
  </si>
  <si>
    <t xml:space="preserve">Income Statement </t>
  </si>
  <si>
    <t xml:space="preserve">Revenue </t>
  </si>
  <si>
    <t>Taxes</t>
  </si>
  <si>
    <t>% of EBIT</t>
  </si>
  <si>
    <t>Cash Flow Items</t>
  </si>
  <si>
    <t>D&amp;A</t>
  </si>
  <si>
    <t>% of CapEx</t>
  </si>
  <si>
    <t>Capital Expenditures</t>
  </si>
  <si>
    <t xml:space="preserve">Change in Net Working Capital </t>
  </si>
  <si>
    <t>DCF</t>
  </si>
  <si>
    <t>Revenue</t>
  </si>
  <si>
    <t>% of Revenue</t>
  </si>
  <si>
    <t xml:space="preserve"> Conservative</t>
  </si>
  <si>
    <t>EBIAT</t>
  </si>
  <si>
    <t xml:space="preserve">Unlevered Free Cash Flow </t>
  </si>
  <si>
    <t xml:space="preserve">Present Value of Free Cash Flow </t>
  </si>
  <si>
    <t xml:space="preserve">Terminal Value </t>
  </si>
  <si>
    <t xml:space="preserve">Present Value of Terminal Value </t>
  </si>
  <si>
    <t>WACC = % of equity * cost of equity + % of debt * cost of debt * (1-Tax Rate)</t>
  </si>
  <si>
    <t xml:space="preserve">Cost of equity = Risk Free Rate + Beta * Market Risk Premium </t>
  </si>
  <si>
    <t xml:space="preserve">Market Cap </t>
  </si>
  <si>
    <t xml:space="preserve">% of equity </t>
  </si>
  <si>
    <t xml:space="preserve">Cost of Equity </t>
  </si>
  <si>
    <t xml:space="preserve">Risk Free Rate </t>
  </si>
  <si>
    <t xml:space="preserve">Beta </t>
  </si>
  <si>
    <t xml:space="preserve">Market Risk Premium </t>
  </si>
  <si>
    <t xml:space="preserve">Debt </t>
  </si>
  <si>
    <t xml:space="preserve">% of Debt </t>
  </si>
  <si>
    <t xml:space="preserve">Cost of Debt </t>
  </si>
  <si>
    <t xml:space="preserve">Tax Rate </t>
  </si>
  <si>
    <t xml:space="preserve">Total </t>
  </si>
  <si>
    <t xml:space="preserve">Enterprise Value </t>
  </si>
  <si>
    <t xml:space="preserve">(+) Cash </t>
  </si>
  <si>
    <t xml:space="preserve">(-) Debt </t>
  </si>
  <si>
    <t xml:space="preserve">Equity Value </t>
  </si>
  <si>
    <t xml:space="preserve">Shares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</si>
</sst>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8" x14ac:knownFonts="1">
    <font>
      <sz val="12"/>
      <color theme="1"/>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8"/>
      <color theme="1"/>
      <name val="Calibri"/>
      <family val="2"/>
      <scheme val="minor"/>
    </font>
    <font>
      <sz val="14"/>
      <color theme="1"/>
      <name val="Calibri"/>
      <family val="2"/>
      <scheme val="minor"/>
    </font>
    <font>
      <b/>
      <sz val="14"/>
      <color theme="0"/>
      <name val="Calibri"/>
      <family val="2"/>
      <scheme val="minor"/>
    </font>
    <font>
      <b/>
      <sz val="14"/>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499984740745262"/>
        <bgColor indexed="64"/>
      </patternFill>
    </fill>
  </fills>
  <borders count="3">
    <border>
      <left/>
      <right/>
      <top/>
      <bottom/>
      <diagonal/>
    </border>
    <border>
      <left style="hair">
        <color auto="1"/>
      </left>
      <right style="hair">
        <color auto="1"/>
      </right>
      <top style="hair">
        <color auto="1"/>
      </top>
      <bottom style="hair">
        <color auto="1"/>
      </bottom>
      <diagonal/>
    </border>
    <border>
      <left/>
      <right/>
      <top style="thin">
        <color auto="1"/>
      </top>
      <bottom/>
      <diagonal/>
    </border>
  </borders>
  <cellStyleXfs count="1">
    <xf numFmtId="0" fontId="0" fillId="0" borderId="0"/>
  </cellStyleXfs>
  <cellXfs count="22">
    <xf numFmtId="0" fontId="0" fillId="0" borderId="0" xfId="0"/>
    <xf numFmtId="10" fontId="0" fillId="0" borderId="0" xfId="0" applyNumberFormat="1"/>
    <xf numFmtId="0" fontId="0" fillId="0" borderId="0" xfId="0" applyAlignment="1">
      <alignment vertical="center"/>
    </xf>
    <xf numFmtId="0" fontId="2" fillId="3" borderId="0" xfId="0" applyFont="1" applyFill="1"/>
    <xf numFmtId="0" fontId="1" fillId="0" borderId="0" xfId="0" applyFont="1"/>
    <xf numFmtId="0" fontId="0" fillId="2" borderId="1" xfId="0" applyFill="1" applyBorder="1"/>
    <xf numFmtId="14" fontId="0" fillId="2" borderId="1" xfId="0" applyNumberFormat="1" applyFill="1" applyBorder="1"/>
    <xf numFmtId="164" fontId="0" fillId="2" borderId="1" xfId="0" applyNumberFormat="1" applyFill="1" applyBorder="1"/>
    <xf numFmtId="10" fontId="0" fillId="2" borderId="1" xfId="0" applyNumberFormat="1" applyFill="1" applyBorder="1"/>
    <xf numFmtId="0" fontId="3" fillId="0" borderId="0" xfId="0" applyFont="1"/>
    <xf numFmtId="0" fontId="0" fillId="0" borderId="2" xfId="0" applyBorder="1"/>
    <xf numFmtId="37" fontId="0" fillId="0" borderId="0" xfId="0" applyNumberFormat="1"/>
    <xf numFmtId="9" fontId="0" fillId="0" borderId="0" xfId="0" applyNumberFormat="1"/>
    <xf numFmtId="37" fontId="1" fillId="0" borderId="0" xfId="0" applyNumberFormat="1" applyFont="1"/>
    <xf numFmtId="9" fontId="0" fillId="2" borderId="1" xfId="0" applyNumberFormat="1" applyFill="1" applyBorder="1"/>
    <xf numFmtId="0" fontId="4" fillId="0" borderId="0" xfId="0" applyFont="1"/>
    <xf numFmtId="0" fontId="5" fillId="0" borderId="0" xfId="0" applyFont="1"/>
    <xf numFmtId="0" fontId="6" fillId="3" borderId="0" xfId="0" applyFont="1" applyFill="1"/>
    <xf numFmtId="0" fontId="7" fillId="0" borderId="0" xfId="0" applyFont="1"/>
    <xf numFmtId="3" fontId="0" fillId="0" borderId="0" xfId="0" applyNumberFormat="1"/>
    <xf numFmtId="2" fontId="0" fillId="0" borderId="0" xfId="0" applyNumberFormat="1"/>
    <xf numFmtId="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https://www.bing.com/financeapi/forcetrigger?t=a1xroc&amp;q=XNYS%3aMMM&amp;form=skydnc</v>
    <v>Learn more on Bing</v>
  </rv>
  <rv s="1">
    <v>0</v>
    <v>3M COMPANY (XNYS:MMM)</v>
    <v>2</v>
    <v>3</v>
    <v>Finance</v>
    <v>4</v>
    <v>en-GB</v>
    <v>a1xroc</v>
    <v>268435456</v>
    <v>1</v>
    <v>Powered by Refinitiv</v>
    <v>175.25</v>
    <v>107.07</v>
    <v>0.98219999999999996</v>
    <v>0.24</v>
    <v>2.0869999999999999E-3</v>
    <v>USD</v>
    <v>3M Company is a diversified global manufacturer, technology innovator and marketer of a variety of products and services.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others.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health information systems, medical solutions, oral care solutions, and separation and purification sciences. Consumer segment serves consumers and consists of consumer health care, and others.</v>
    <v>95000</v>
    <v>New York Stock Exchange</v>
    <v>XNYS</v>
    <v>XNYS</v>
    <v>3M Center, Bldg. 220-13E-26A, SAINT PAUL, MN, 55144-1000 US</v>
    <v>116.24</v>
    <v>Consumer Goods Conglomerates</v>
    <v>Stock</v>
    <v>44951.629358668753</v>
    <v>0</v>
    <v>114.37</v>
    <v>63698091796</v>
    <v>3M COMPANY</v>
    <v>3M COMPANY</v>
    <v>114.51</v>
    <v>11.3368</v>
    <v>115</v>
    <v>115.24</v>
    <v>552742900</v>
    <v>MMM</v>
    <v>3M COMPANY (XNYS:MMM)</v>
    <v>1061333</v>
    <v>3181309</v>
    <v>1929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8D97D-3F84-D846-95A5-9097611403FE}">
  <dimension ref="A2:M135"/>
  <sheetViews>
    <sheetView showGridLines="0" tabSelected="1" zoomScale="130" zoomScaleNormal="130" workbookViewId="0">
      <pane xSplit="2" topLeftCell="C1" activePane="topRight" state="frozen"/>
      <selection pane="topRight" activeCell="C20" sqref="C20"/>
    </sheetView>
  </sheetViews>
  <sheetFormatPr baseColWidth="10" defaultRowHeight="16" x14ac:dyDescent="0.2"/>
  <cols>
    <col min="1" max="1" width="3.83203125" customWidth="1"/>
    <col min="2" max="2" width="28.83203125" customWidth="1"/>
    <col min="6" max="6" width="10.83203125" customWidth="1"/>
    <col min="9" max="10" width="10.83203125" customWidth="1"/>
  </cols>
  <sheetData>
    <row r="2" spans="1:13" x14ac:dyDescent="0.2">
      <c r="C2" t="s">
        <v>0</v>
      </c>
      <c r="D2" s="5" t="e" vm="1">
        <v>#VALUE!</v>
      </c>
      <c r="G2" t="s">
        <v>3</v>
      </c>
      <c r="I2" s="7" cm="1">
        <f t="array" ref="I2">_FV(D2,"Price")</f>
        <v>115.24</v>
      </c>
    </row>
    <row r="3" spans="1:13" x14ac:dyDescent="0.2">
      <c r="C3" t="s">
        <v>2</v>
      </c>
      <c r="D3" s="6">
        <v>44950</v>
      </c>
      <c r="G3" t="s">
        <v>4</v>
      </c>
      <c r="I3" s="7">
        <f ca="1">L135</f>
        <v>141.42876271434167</v>
      </c>
      <c r="K3" t="s">
        <v>5</v>
      </c>
      <c r="M3" s="8">
        <f ca="1">I3/I2-1</f>
        <v>0.2272541019987997</v>
      </c>
    </row>
    <row r="6" spans="1:13" x14ac:dyDescent="0.2">
      <c r="A6" s="2" t="s">
        <v>6</v>
      </c>
      <c r="B6" s="3" t="s">
        <v>7</v>
      </c>
      <c r="C6" s="3"/>
      <c r="D6" s="3"/>
      <c r="E6" s="3"/>
      <c r="F6" s="3"/>
      <c r="G6" s="3"/>
      <c r="H6" s="3"/>
      <c r="I6" s="3"/>
      <c r="J6" s="3"/>
      <c r="K6" s="3"/>
      <c r="L6" s="3"/>
    </row>
    <row r="8" spans="1:13" x14ac:dyDescent="0.2">
      <c r="B8" s="4" t="s">
        <v>12</v>
      </c>
      <c r="C8" s="4" t="s">
        <v>8</v>
      </c>
      <c r="F8" s="4" t="s">
        <v>9</v>
      </c>
      <c r="G8" s="4"/>
      <c r="H8" s="4" t="s">
        <v>10</v>
      </c>
      <c r="I8" s="4"/>
      <c r="J8" s="4" t="s">
        <v>11</v>
      </c>
    </row>
    <row r="10" spans="1:13" x14ac:dyDescent="0.2">
      <c r="B10" s="4" t="s">
        <v>13</v>
      </c>
      <c r="C10" s="5">
        <v>2</v>
      </c>
      <c r="F10" s="14">
        <v>0.9</v>
      </c>
      <c r="H10" s="8">
        <v>1.4999999999999999E-2</v>
      </c>
      <c r="J10" s="14">
        <v>1.1000000000000001</v>
      </c>
    </row>
    <row r="11" spans="1:13" x14ac:dyDescent="0.2">
      <c r="B11" s="4" t="s">
        <v>14</v>
      </c>
      <c r="C11" s="5">
        <v>2</v>
      </c>
      <c r="F11" s="14">
        <v>0.9</v>
      </c>
      <c r="H11" s="8">
        <v>5.0000000000000001E-3</v>
      </c>
      <c r="J11" s="14">
        <v>1.1000000000000001</v>
      </c>
    </row>
    <row r="12" spans="1:13" x14ac:dyDescent="0.2">
      <c r="B12" s="4" t="s">
        <v>15</v>
      </c>
      <c r="C12" s="5">
        <v>2</v>
      </c>
      <c r="F12" s="14">
        <v>0.9</v>
      </c>
      <c r="H12" s="8">
        <v>0.02</v>
      </c>
      <c r="J12" s="14">
        <v>1.1000000000000001</v>
      </c>
    </row>
    <row r="13" spans="1:13" x14ac:dyDescent="0.2">
      <c r="B13" s="4" t="s">
        <v>16</v>
      </c>
      <c r="C13" s="5">
        <v>2</v>
      </c>
      <c r="F13" s="14">
        <v>0.9</v>
      </c>
      <c r="H13" s="8">
        <v>0.01</v>
      </c>
      <c r="J13" s="14">
        <v>1.1000000000000001</v>
      </c>
    </row>
    <row r="14" spans="1:13" x14ac:dyDescent="0.2">
      <c r="B14" s="4" t="s">
        <v>17</v>
      </c>
      <c r="C14" s="5">
        <v>2</v>
      </c>
      <c r="F14" s="14">
        <v>0.9</v>
      </c>
      <c r="H14" s="8">
        <v>5.0000000000000001E-3</v>
      </c>
      <c r="J14" s="14">
        <v>1.1000000000000001</v>
      </c>
    </row>
    <row r="15" spans="1:13" x14ac:dyDescent="0.2">
      <c r="B15" s="4" t="s">
        <v>18</v>
      </c>
      <c r="C15" s="5">
        <v>2</v>
      </c>
      <c r="F15" s="14">
        <v>0.9</v>
      </c>
      <c r="H15" s="8">
        <v>5.0000000000000001E-3</v>
      </c>
      <c r="J15" s="14">
        <v>1.1000000000000001</v>
      </c>
    </row>
    <row r="17" spans="1:12" x14ac:dyDescent="0.2">
      <c r="B17" s="4" t="s">
        <v>19</v>
      </c>
      <c r="C17" s="5">
        <v>2</v>
      </c>
      <c r="F17" s="14">
        <v>0.95</v>
      </c>
      <c r="H17" s="14">
        <v>0.2</v>
      </c>
      <c r="J17" s="14">
        <v>1.05</v>
      </c>
    </row>
    <row r="18" spans="1:12" x14ac:dyDescent="0.2">
      <c r="B18" s="4" t="s">
        <v>20</v>
      </c>
      <c r="C18" s="5">
        <v>2</v>
      </c>
      <c r="F18" s="8">
        <f>H18+0.0025</f>
        <v>8.0345273741108517E-2</v>
      </c>
      <c r="H18" s="8">
        <f>MMM_WACC!D23</f>
        <v>7.7845273741108514E-2</v>
      </c>
      <c r="J18" s="8">
        <f>H18-0.0025</f>
        <v>7.5345273741108512E-2</v>
      </c>
    </row>
    <row r="19" spans="1:12" x14ac:dyDescent="0.2">
      <c r="B19" s="4" t="s">
        <v>21</v>
      </c>
      <c r="C19" s="5">
        <v>2</v>
      </c>
      <c r="F19" s="8">
        <f>H19-0.0025</f>
        <v>2.5000000000000001E-3</v>
      </c>
      <c r="H19" s="8">
        <v>5.0000000000000001E-3</v>
      </c>
      <c r="J19" s="8">
        <f>H19+0.0025</f>
        <v>7.4999999999999997E-3</v>
      </c>
    </row>
    <row r="20" spans="1:12" x14ac:dyDescent="0.2">
      <c r="B20" s="4"/>
    </row>
    <row r="21" spans="1:12" x14ac:dyDescent="0.2">
      <c r="B21" s="4" t="s">
        <v>20</v>
      </c>
      <c r="C21" s="8">
        <f>CHOOSE(C18,F18,H18,J18)</f>
        <v>7.7845273741108514E-2</v>
      </c>
    </row>
    <row r="22" spans="1:12" x14ac:dyDescent="0.2">
      <c r="B22" s="4" t="s">
        <v>21</v>
      </c>
      <c r="C22" s="8">
        <f>CHOOSE(C19,F19,H19,J19)</f>
        <v>5.0000000000000001E-3</v>
      </c>
    </row>
    <row r="24" spans="1:12" x14ac:dyDescent="0.2">
      <c r="A24" s="2" t="s">
        <v>6</v>
      </c>
      <c r="B24" s="3" t="s">
        <v>22</v>
      </c>
      <c r="C24" s="3">
        <v>2018</v>
      </c>
      <c r="D24" s="3">
        <v>2019</v>
      </c>
      <c r="E24" s="3">
        <v>2020</v>
      </c>
      <c r="F24" s="3">
        <v>2021</v>
      </c>
      <c r="G24" s="3">
        <v>2022</v>
      </c>
      <c r="H24" s="3">
        <v>2023</v>
      </c>
      <c r="I24" s="3">
        <v>2024</v>
      </c>
      <c r="J24" s="3">
        <v>2025</v>
      </c>
      <c r="K24" s="3">
        <v>2026</v>
      </c>
      <c r="L24" s="3">
        <v>2027</v>
      </c>
    </row>
    <row r="26" spans="1:12" x14ac:dyDescent="0.2">
      <c r="B26" s="4" t="str">
        <f>B10</f>
        <v>Safety &amp; Industrial</v>
      </c>
      <c r="C26" s="11">
        <v>12494</v>
      </c>
      <c r="D26" s="11">
        <v>11490</v>
      </c>
      <c r="E26" s="11">
        <v>11734</v>
      </c>
      <c r="F26" s="11">
        <v>12880</v>
      </c>
      <c r="G26" s="11">
        <v>11604</v>
      </c>
      <c r="H26" s="11">
        <f ca="1">G26*(1+H27)</f>
        <v>11680.711876716759</v>
      </c>
      <c r="I26" s="11">
        <f t="shared" ref="I26:L26" ca="1" si="0">H26*(1+I27)</f>
        <v>11782.428799709118</v>
      </c>
      <c r="J26" s="11">
        <f t="shared" ca="1" si="0"/>
        <v>11909.742733800149</v>
      </c>
      <c r="K26" s="11">
        <f t="shared" ca="1" si="0"/>
        <v>12063.410610761957</v>
      </c>
      <c r="L26" s="11">
        <f t="shared" ca="1" si="0"/>
        <v>12244.361769923386</v>
      </c>
    </row>
    <row r="27" spans="1:12" x14ac:dyDescent="0.2">
      <c r="B27" s="9" t="s">
        <v>23</v>
      </c>
      <c r="C27" s="12"/>
      <c r="D27" s="12">
        <f t="shared" ref="D27:E27" si="1">D26/C26-1</f>
        <v>-8.0358572114615057E-2</v>
      </c>
      <c r="E27" s="12">
        <f t="shared" si="1"/>
        <v>2.1235857267188907E-2</v>
      </c>
      <c r="F27" s="12">
        <f>F26/E26-1</f>
        <v>9.766490540310202E-2</v>
      </c>
      <c r="G27" s="12">
        <f>G26/F26-1</f>
        <v>-9.9068322981366475E-2</v>
      </c>
      <c r="H27" s="1">
        <f ca="1">OFFSET(H27,$C$10,0)</f>
        <v>6.6108132296414839E-3</v>
      </c>
      <c r="I27" s="1">
        <f t="shared" ref="I27:L27" ca="1" si="2">OFFSET(I27,$C$10,0)</f>
        <v>8.708109922231113E-3</v>
      </c>
      <c r="J27" s="1">
        <f t="shared" ca="1" si="2"/>
        <v>1.0805406614820741E-2</v>
      </c>
      <c r="K27" s="1">
        <f t="shared" ca="1" si="2"/>
        <v>1.2902703307410369E-2</v>
      </c>
      <c r="L27" s="1">
        <f t="shared" ca="1" si="2"/>
        <v>1.4999999999999999E-2</v>
      </c>
    </row>
    <row r="28" spans="1:12" x14ac:dyDescent="0.2">
      <c r="B28" t="s">
        <v>24</v>
      </c>
      <c r="H28" s="8">
        <f t="shared" ref="H28:K28" si="3">H29*$F$10</f>
        <v>5.9497319066773354E-3</v>
      </c>
      <c r="I28" s="8">
        <f t="shared" si="3"/>
        <v>7.8372989300080024E-3</v>
      </c>
      <c r="J28" s="8">
        <f t="shared" si="3"/>
        <v>9.7248659533386676E-3</v>
      </c>
      <c r="K28" s="8">
        <f t="shared" si="3"/>
        <v>1.1612432976669333E-2</v>
      </c>
      <c r="L28" s="8">
        <f>L29*$F$10</f>
        <v>1.35E-2</v>
      </c>
    </row>
    <row r="29" spans="1:12" x14ac:dyDescent="0.2">
      <c r="B29" t="s">
        <v>25</v>
      </c>
      <c r="H29" s="8">
        <f>AVERAGE(E27:G27)</f>
        <v>6.6108132296414839E-3</v>
      </c>
      <c r="I29" s="8">
        <f>H29-(H29-$L$29)/($L$24-H24)</f>
        <v>8.708109922231113E-3</v>
      </c>
      <c r="J29" s="8">
        <f t="shared" ref="J29:K29" si="4">I29-(I29-$L$29)/($L$24-I24)</f>
        <v>1.0805406614820741E-2</v>
      </c>
      <c r="K29" s="8">
        <f t="shared" si="4"/>
        <v>1.2902703307410369E-2</v>
      </c>
      <c r="L29" s="8">
        <f>H10</f>
        <v>1.4999999999999999E-2</v>
      </c>
    </row>
    <row r="30" spans="1:12" x14ac:dyDescent="0.2">
      <c r="B30" t="s">
        <v>26</v>
      </c>
      <c r="H30" s="8">
        <f t="shared" ref="H30:K30" si="5">H29*$J$10</f>
        <v>7.2718945526056332E-3</v>
      </c>
      <c r="I30" s="8">
        <f t="shared" si="5"/>
        <v>9.5789209144542253E-3</v>
      </c>
      <c r="J30" s="8">
        <f t="shared" si="5"/>
        <v>1.1885947276302817E-2</v>
      </c>
      <c r="K30" s="8">
        <f t="shared" si="5"/>
        <v>1.4192973638151408E-2</v>
      </c>
      <c r="L30" s="8">
        <f>L29*$J$10</f>
        <v>1.6500000000000001E-2</v>
      </c>
    </row>
    <row r="31" spans="1:12" x14ac:dyDescent="0.2">
      <c r="B31" s="9" t="s">
        <v>27</v>
      </c>
    </row>
    <row r="33" spans="2:12" x14ac:dyDescent="0.2">
      <c r="B33" s="4" t="str">
        <f>B11</f>
        <v>Total Transportation &amp; Electronics</v>
      </c>
      <c r="C33" s="11">
        <v>10106</v>
      </c>
      <c r="D33" s="11">
        <v>9595</v>
      </c>
      <c r="E33" s="11">
        <v>8833</v>
      </c>
      <c r="F33" s="11">
        <v>9769</v>
      </c>
      <c r="G33" s="11">
        <v>8902</v>
      </c>
      <c r="H33" s="11">
        <f ca="1">G33*(1+H34)</f>
        <v>8717.4311908065465</v>
      </c>
      <c r="I33" s="11">
        <f t="shared" ref="I33:L33" ca="1" si="6">H33*(1+I34)</f>
        <v>8592.7714283925852</v>
      </c>
      <c r="J33" s="11">
        <f t="shared" ca="1" si="6"/>
        <v>8525.1746336311717</v>
      </c>
      <c r="K33" s="11">
        <f t="shared" ca="1" si="6"/>
        <v>8512.9550548436309</v>
      </c>
      <c r="L33" s="11">
        <f t="shared" ca="1" si="6"/>
        <v>8555.519830117848</v>
      </c>
    </row>
    <row r="34" spans="2:12" x14ac:dyDescent="0.2">
      <c r="B34" s="9" t="s">
        <v>23</v>
      </c>
      <c r="D34" s="12">
        <f t="shared" ref="D34:E34" si="7">D33/C33-1</f>
        <v>-5.0564021373441514E-2</v>
      </c>
      <c r="E34" s="12">
        <f t="shared" si="7"/>
        <v>-7.941636268890051E-2</v>
      </c>
      <c r="F34" s="12">
        <f>F33/E33-1</f>
        <v>0.10596626287784439</v>
      </c>
      <c r="G34" s="12">
        <f>G33/F33-1</f>
        <v>-8.8750127955778524E-2</v>
      </c>
      <c r="H34" s="12">
        <f ca="1">OFFSET(H34,$C$11,0)</f>
        <v>-2.0733409255611551E-2</v>
      </c>
      <c r="I34" s="12">
        <f t="shared" ref="I34:L34" ca="1" si="8">OFFSET(I34,$C$11,0)</f>
        <v>-1.4300056941708663E-2</v>
      </c>
      <c r="J34" s="12">
        <f t="shared" ca="1" si="8"/>
        <v>-7.8667046278057748E-3</v>
      </c>
      <c r="K34" s="12">
        <f t="shared" ca="1" si="8"/>
        <v>-1.4333523139028869E-3</v>
      </c>
      <c r="L34" s="12">
        <f t="shared" ca="1" si="8"/>
        <v>5.0000000000000001E-3</v>
      </c>
    </row>
    <row r="35" spans="2:12" x14ac:dyDescent="0.2">
      <c r="B35" t="s">
        <v>24</v>
      </c>
      <c r="H35" s="8">
        <f t="shared" ref="H35:K35" si="9">H36*$F$11</f>
        <v>-1.8660068330050395E-2</v>
      </c>
      <c r="I35" s="8">
        <f t="shared" si="9"/>
        <v>-1.2870051247537796E-2</v>
      </c>
      <c r="J35" s="8">
        <f t="shared" si="9"/>
        <v>-7.0800341650251973E-3</v>
      </c>
      <c r="K35" s="8">
        <f t="shared" si="9"/>
        <v>-1.2900170825125982E-3</v>
      </c>
      <c r="L35" s="8">
        <f>L36*$F$11</f>
        <v>4.5000000000000005E-3</v>
      </c>
    </row>
    <row r="36" spans="2:12" x14ac:dyDescent="0.2">
      <c r="B36" t="s">
        <v>25</v>
      </c>
      <c r="H36" s="8">
        <f>AVERAGE(E34:G34)</f>
        <v>-2.0733409255611551E-2</v>
      </c>
      <c r="I36" s="8">
        <f>H36-(H36-$L$36)/($L$24-H24)</f>
        <v>-1.4300056941708663E-2</v>
      </c>
      <c r="J36" s="8">
        <f t="shared" ref="J36:K36" si="10">I36-(I36-$L$36)/($L$24-I24)</f>
        <v>-7.8667046278057748E-3</v>
      </c>
      <c r="K36" s="8">
        <f t="shared" si="10"/>
        <v>-1.4333523139028869E-3</v>
      </c>
      <c r="L36" s="8">
        <f>H11</f>
        <v>5.0000000000000001E-3</v>
      </c>
    </row>
    <row r="37" spans="2:12" x14ac:dyDescent="0.2">
      <c r="B37" t="s">
        <v>26</v>
      </c>
      <c r="H37" s="8">
        <f t="shared" ref="H37:K37" si="11">H36*$J$11</f>
        <v>-2.2806750181172706E-2</v>
      </c>
      <c r="I37" s="8">
        <f t="shared" si="11"/>
        <v>-1.5730062635879529E-2</v>
      </c>
      <c r="J37" s="8">
        <f t="shared" si="11"/>
        <v>-8.6533750905863523E-3</v>
      </c>
      <c r="K37" s="8">
        <f t="shared" si="11"/>
        <v>-1.5766875452931756E-3</v>
      </c>
      <c r="L37" s="8">
        <f>L36*$J$11</f>
        <v>5.5000000000000005E-3</v>
      </c>
    </row>
    <row r="38" spans="2:12" x14ac:dyDescent="0.2">
      <c r="B38" s="9" t="s">
        <v>27</v>
      </c>
    </row>
    <row r="40" spans="2:12" x14ac:dyDescent="0.2">
      <c r="B40" s="4" t="str">
        <f>B12</f>
        <v xml:space="preserve">Total Health Care </v>
      </c>
      <c r="C40" s="11">
        <v>6826</v>
      </c>
      <c r="D40" s="11">
        <v>7431</v>
      </c>
      <c r="E40" s="11">
        <v>8345</v>
      </c>
      <c r="F40" s="11">
        <v>9050</v>
      </c>
      <c r="G40" s="11">
        <v>8421</v>
      </c>
      <c r="H40" s="11">
        <f ca="1">G40*(1+H41)</f>
        <v>8808.3020389265548</v>
      </c>
      <c r="I40" s="11">
        <f t="shared" ref="I40:L40" ca="1" si="12">H40*(1+I41)</f>
        <v>9156.1797923663962</v>
      </c>
      <c r="J40" s="11">
        <f t="shared" ca="1" si="12"/>
        <v>9458.2989529762981</v>
      </c>
      <c r="K40" s="11">
        <f t="shared" ca="1" si="12"/>
        <v>9708.9259152802242</v>
      </c>
      <c r="L40" s="11">
        <f t="shared" ca="1" si="12"/>
        <v>9903.1044335858296</v>
      </c>
    </row>
    <row r="41" spans="2:12" x14ac:dyDescent="0.2">
      <c r="B41" s="9" t="s">
        <v>23</v>
      </c>
      <c r="D41" s="12">
        <f t="shared" ref="D41:E41" si="13">D40/C40-1</f>
        <v>8.8631702314679206E-2</v>
      </c>
      <c r="E41" s="12">
        <f t="shared" si="13"/>
        <v>0.12299825057192848</v>
      </c>
      <c r="F41" s="12">
        <f>F40/E40-1</f>
        <v>8.4481725584182099E-2</v>
      </c>
      <c r="G41" s="12">
        <f>G40/F40-1</f>
        <v>-6.9502762430939224E-2</v>
      </c>
      <c r="H41" s="12">
        <f ca="1">OFFSET(H41,$C$12,0)</f>
        <v>4.5992404575057121E-2</v>
      </c>
      <c r="I41" s="12">
        <f t="shared" ref="I41:L41" ca="1" si="14">OFFSET(I41,$C$12,0)</f>
        <v>3.9494303431292843E-2</v>
      </c>
      <c r="J41" s="12">
        <f t="shared" ca="1" si="14"/>
        <v>3.2996202287528559E-2</v>
      </c>
      <c r="K41" s="12">
        <f t="shared" ca="1" si="14"/>
        <v>2.6498101143764281E-2</v>
      </c>
      <c r="L41" s="12">
        <f t="shared" ca="1" si="14"/>
        <v>0.02</v>
      </c>
    </row>
    <row r="42" spans="2:12" x14ac:dyDescent="0.2">
      <c r="B42" t="s">
        <v>24</v>
      </c>
      <c r="H42" s="8">
        <f t="shared" ref="H42:K42" si="15">H43*$F$12</f>
        <v>4.1393164117551409E-2</v>
      </c>
      <c r="I42" s="8">
        <f t="shared" si="15"/>
        <v>3.5544873088163557E-2</v>
      </c>
      <c r="J42" s="8">
        <f t="shared" si="15"/>
        <v>2.9696582058775702E-2</v>
      </c>
      <c r="K42" s="8">
        <f t="shared" si="15"/>
        <v>2.3848291029387854E-2</v>
      </c>
      <c r="L42" s="8">
        <f>L43*$F$12</f>
        <v>1.8000000000000002E-2</v>
      </c>
    </row>
    <row r="43" spans="2:12" x14ac:dyDescent="0.2">
      <c r="B43" t="s">
        <v>25</v>
      </c>
      <c r="H43" s="8">
        <f>AVERAGE(E41:G41)</f>
        <v>4.5992404575057121E-2</v>
      </c>
      <c r="I43" s="8">
        <f>H43-(H43-$L$43)/($L$24-H24)</f>
        <v>3.9494303431292843E-2</v>
      </c>
      <c r="J43" s="8">
        <f t="shared" ref="J43:K43" si="16">I43-(I43-$L$43)/($L$24-I24)</f>
        <v>3.2996202287528559E-2</v>
      </c>
      <c r="K43" s="8">
        <f t="shared" si="16"/>
        <v>2.6498101143764281E-2</v>
      </c>
      <c r="L43" s="8">
        <f>H12</f>
        <v>0.02</v>
      </c>
    </row>
    <row r="44" spans="2:12" x14ac:dyDescent="0.2">
      <c r="B44" t="s">
        <v>26</v>
      </c>
      <c r="H44" s="8">
        <f t="shared" ref="H44:K44" si="17">H43*$J$12</f>
        <v>5.0591645032562839E-2</v>
      </c>
      <c r="I44" s="8">
        <f t="shared" si="17"/>
        <v>4.3443733774422129E-2</v>
      </c>
      <c r="J44" s="8">
        <f t="shared" si="17"/>
        <v>3.6295822516281419E-2</v>
      </c>
      <c r="K44" s="8">
        <f t="shared" si="17"/>
        <v>2.9147911258140712E-2</v>
      </c>
      <c r="L44" s="8">
        <f>L43*$J$12</f>
        <v>2.2000000000000002E-2</v>
      </c>
    </row>
    <row r="45" spans="2:12" x14ac:dyDescent="0.2">
      <c r="B45" s="9" t="s">
        <v>27</v>
      </c>
    </row>
    <row r="47" spans="2:12" x14ac:dyDescent="0.2">
      <c r="B47" s="4" t="str">
        <f>B13</f>
        <v xml:space="preserve">Total Consumer </v>
      </c>
      <c r="C47" s="11">
        <v>5086</v>
      </c>
      <c r="D47" s="11">
        <v>5129</v>
      </c>
      <c r="E47" s="11">
        <v>5311</v>
      </c>
      <c r="F47" s="11">
        <v>5856</v>
      </c>
      <c r="G47" s="11">
        <v>5298</v>
      </c>
      <c r="H47" s="11">
        <f ca="1">G47*(1+H48)</f>
        <v>5373.6109795754637</v>
      </c>
      <c r="I47" s="11">
        <f t="shared" ref="I47:L47" ca="1" si="18">H47*(1+I48)</f>
        <v>5444.5625594059375</v>
      </c>
      <c r="J47" s="11">
        <f t="shared" ca="1" si="18"/>
        <v>5510.6367036937736</v>
      </c>
      <c r="K47" s="11">
        <f t="shared" ca="1" si="18"/>
        <v>5571.6278907896531</v>
      </c>
      <c r="L47" s="11">
        <f t="shared" ca="1" si="18"/>
        <v>5627.3441696975497</v>
      </c>
    </row>
    <row r="48" spans="2:12" x14ac:dyDescent="0.2">
      <c r="B48" s="9" t="s">
        <v>23</v>
      </c>
      <c r="D48" s="12">
        <f t="shared" ref="D48:E48" si="19">D47/C47-1</f>
        <v>8.4545812033032242E-3</v>
      </c>
      <c r="E48" s="12">
        <f t="shared" si="19"/>
        <v>3.548449990251501E-2</v>
      </c>
      <c r="F48" s="12">
        <f>F47/E47-1</f>
        <v>0.10261720956505371</v>
      </c>
      <c r="G48" s="12">
        <f>G47/F47-1</f>
        <v>-9.5286885245901676E-2</v>
      </c>
      <c r="H48" s="12">
        <f ca="1">OFFSET(H48,$C$13,0)</f>
        <v>1.4271608073889016E-2</v>
      </c>
      <c r="I48" s="12">
        <f t="shared" ref="I48:L48" ca="1" si="20">OFFSET(I48,$C$13,0)</f>
        <v>1.3203706055416762E-2</v>
      </c>
      <c r="J48" s="12">
        <f t="shared" ca="1" si="20"/>
        <v>1.2135804036944508E-2</v>
      </c>
      <c r="K48" s="12">
        <f t="shared" ca="1" si="20"/>
        <v>1.1067902018472254E-2</v>
      </c>
      <c r="L48" s="12">
        <f t="shared" ca="1" si="20"/>
        <v>0.01</v>
      </c>
    </row>
    <row r="49" spans="2:13" x14ac:dyDescent="0.2">
      <c r="B49" t="s">
        <v>24</v>
      </c>
      <c r="H49" s="8">
        <f t="shared" ref="H49:K49" si="21">H50*$F$13</f>
        <v>1.2844447266500116E-2</v>
      </c>
      <c r="I49" s="8">
        <f t="shared" si="21"/>
        <v>1.1883335449875087E-2</v>
      </c>
      <c r="J49" s="8">
        <f t="shared" si="21"/>
        <v>1.0922223633250058E-2</v>
      </c>
      <c r="K49" s="8">
        <f t="shared" si="21"/>
        <v>9.9611118166250297E-3</v>
      </c>
      <c r="L49" s="8">
        <f>L50*$F$13</f>
        <v>9.0000000000000011E-3</v>
      </c>
    </row>
    <row r="50" spans="2:13" x14ac:dyDescent="0.2">
      <c r="B50" t="s">
        <v>25</v>
      </c>
      <c r="H50" s="8">
        <f>AVERAGE(E48:G48)</f>
        <v>1.4271608073889016E-2</v>
      </c>
      <c r="I50" s="8">
        <f>H50-(H50-$L$50)/($L$24-H24)</f>
        <v>1.3203706055416762E-2</v>
      </c>
      <c r="J50" s="8">
        <f t="shared" ref="J50:K50" si="22">I50-(I50-$L$50)/($L$24-I24)</f>
        <v>1.2135804036944508E-2</v>
      </c>
      <c r="K50" s="8">
        <f t="shared" si="22"/>
        <v>1.1067902018472254E-2</v>
      </c>
      <c r="L50" s="8">
        <f>H13</f>
        <v>0.01</v>
      </c>
    </row>
    <row r="51" spans="2:13" x14ac:dyDescent="0.2">
      <c r="B51" t="s">
        <v>26</v>
      </c>
      <c r="H51" s="8">
        <f t="shared" ref="H51:K51" si="23">H50*$J$13</f>
        <v>1.5698768881277921E-2</v>
      </c>
      <c r="I51" s="8">
        <f t="shared" si="23"/>
        <v>1.4524076660958439E-2</v>
      </c>
      <c r="J51" s="8">
        <f t="shared" si="23"/>
        <v>1.334938444063896E-2</v>
      </c>
      <c r="K51" s="8">
        <f t="shared" si="23"/>
        <v>1.2174692220319481E-2</v>
      </c>
      <c r="L51" s="8">
        <f>L50*$J$13</f>
        <v>1.1000000000000001E-2</v>
      </c>
    </row>
    <row r="52" spans="2:13" x14ac:dyDescent="0.2">
      <c r="B52" s="9" t="s">
        <v>27</v>
      </c>
    </row>
    <row r="54" spans="2:13" x14ac:dyDescent="0.2">
      <c r="B54" s="4" t="str">
        <f>B14</f>
        <v xml:space="preserve">Corporate Unallocated </v>
      </c>
      <c r="C54" s="11">
        <v>50</v>
      </c>
      <c r="D54" s="11">
        <v>109</v>
      </c>
      <c r="E54" s="11">
        <v>-2</v>
      </c>
      <c r="F54" s="11">
        <v>2</v>
      </c>
      <c r="G54" s="11">
        <v>4</v>
      </c>
      <c r="H54" s="11">
        <v>0</v>
      </c>
      <c r="I54" s="11">
        <v>0</v>
      </c>
      <c r="J54" s="11">
        <v>0</v>
      </c>
      <c r="K54" s="11">
        <v>0</v>
      </c>
      <c r="L54" s="11">
        <v>0</v>
      </c>
      <c r="M54" s="11"/>
    </row>
    <row r="55" spans="2:13" x14ac:dyDescent="0.2">
      <c r="B55" s="9" t="s">
        <v>23</v>
      </c>
      <c r="D55" s="12">
        <f t="shared" ref="D55:E55" si="24">D54/C54-1</f>
        <v>1.1800000000000002</v>
      </c>
      <c r="E55" s="12">
        <f t="shared" si="24"/>
        <v>-1.0183486238532109</v>
      </c>
      <c r="F55" s="12">
        <f>F54/E54-1</f>
        <v>-2</v>
      </c>
      <c r="G55" s="12">
        <f>G54/F54-1</f>
        <v>1</v>
      </c>
    </row>
    <row r="56" spans="2:13" x14ac:dyDescent="0.2">
      <c r="B56" t="s">
        <v>24</v>
      </c>
      <c r="H56" s="5"/>
      <c r="I56" s="5"/>
      <c r="J56" s="5"/>
      <c r="K56" s="5"/>
      <c r="L56" s="5"/>
    </row>
    <row r="57" spans="2:13" x14ac:dyDescent="0.2">
      <c r="B57" t="s">
        <v>25</v>
      </c>
      <c r="H57" s="5"/>
      <c r="I57" s="5"/>
      <c r="J57" s="5"/>
      <c r="K57" s="5"/>
      <c r="L57" s="5"/>
    </row>
    <row r="58" spans="2:13" x14ac:dyDescent="0.2">
      <c r="B58" t="s">
        <v>26</v>
      </c>
      <c r="H58" s="5"/>
      <c r="I58" s="5"/>
      <c r="J58" s="5"/>
      <c r="K58" s="5"/>
      <c r="L58" s="5"/>
    </row>
    <row r="59" spans="2:13" x14ac:dyDescent="0.2">
      <c r="B59" s="9" t="s">
        <v>27</v>
      </c>
    </row>
    <row r="61" spans="2:13" x14ac:dyDescent="0.2">
      <c r="B61" s="4" t="str">
        <f>B15</f>
        <v xml:space="preserve">Elimination of Dual Credit </v>
      </c>
      <c r="C61">
        <v>-1797</v>
      </c>
      <c r="D61" s="11">
        <v>-1618</v>
      </c>
      <c r="E61" s="11">
        <v>-2037</v>
      </c>
      <c r="F61" s="11">
        <v>-2202</v>
      </c>
      <c r="G61" s="11">
        <v>0</v>
      </c>
      <c r="H61" s="11">
        <v>0</v>
      </c>
      <c r="I61" s="11">
        <v>0</v>
      </c>
      <c r="J61" s="11">
        <v>0</v>
      </c>
      <c r="K61" s="11">
        <v>0</v>
      </c>
      <c r="L61" s="11">
        <v>0</v>
      </c>
    </row>
    <row r="62" spans="2:13" x14ac:dyDescent="0.2">
      <c r="B62" s="9" t="s">
        <v>23</v>
      </c>
      <c r="D62" s="12">
        <f t="shared" ref="D62:E62" si="25">D61/C61-1</f>
        <v>-9.9610461880912604E-2</v>
      </c>
      <c r="E62" s="12">
        <f t="shared" si="25"/>
        <v>0.25896168108776263</v>
      </c>
      <c r="F62" s="12">
        <f>F61/E61-1</f>
        <v>8.1001472754050008E-2</v>
      </c>
      <c r="G62" s="12">
        <f>G61/F61-1</f>
        <v>-1</v>
      </c>
    </row>
    <row r="63" spans="2:13" x14ac:dyDescent="0.2">
      <c r="B63" t="s">
        <v>24</v>
      </c>
      <c r="H63" s="5"/>
      <c r="I63" s="5"/>
      <c r="J63" s="5"/>
      <c r="K63" s="5"/>
      <c r="L63" s="5"/>
    </row>
    <row r="64" spans="2:13" x14ac:dyDescent="0.2">
      <c r="B64" t="s">
        <v>25</v>
      </c>
      <c r="H64" s="5"/>
      <c r="I64" s="5"/>
      <c r="J64" s="5"/>
      <c r="K64" s="5"/>
      <c r="L64" s="5"/>
    </row>
    <row r="65" spans="1:12" x14ac:dyDescent="0.2">
      <c r="B65" t="s">
        <v>26</v>
      </c>
      <c r="H65" s="5"/>
      <c r="I65" s="5"/>
      <c r="J65" s="5"/>
      <c r="K65" s="5"/>
      <c r="L65" s="5"/>
    </row>
    <row r="66" spans="1:12" x14ac:dyDescent="0.2">
      <c r="B66" s="9" t="s">
        <v>27</v>
      </c>
    </row>
    <row r="68" spans="1:12" x14ac:dyDescent="0.2">
      <c r="B68" s="10"/>
      <c r="C68" s="10"/>
      <c r="D68" s="10"/>
      <c r="E68" s="10"/>
      <c r="F68" s="10"/>
      <c r="G68" s="10"/>
      <c r="H68" s="10"/>
      <c r="I68" s="10"/>
      <c r="J68" s="10"/>
      <c r="K68" s="10"/>
      <c r="L68" s="10"/>
    </row>
    <row r="69" spans="1:12" x14ac:dyDescent="0.2">
      <c r="B69" s="4" t="s">
        <v>28</v>
      </c>
      <c r="C69" s="13">
        <f t="shared" ref="C69:L69" si="26">SUM(C61,C54,C47,C40,C33,C26)</f>
        <v>32765</v>
      </c>
      <c r="D69" s="13">
        <f t="shared" si="26"/>
        <v>32136</v>
      </c>
      <c r="E69" s="13">
        <f t="shared" si="26"/>
        <v>32184</v>
      </c>
      <c r="F69" s="13">
        <f t="shared" si="26"/>
        <v>35355</v>
      </c>
      <c r="G69" s="13">
        <f t="shared" si="26"/>
        <v>34229</v>
      </c>
      <c r="H69" s="13">
        <f t="shared" ca="1" si="26"/>
        <v>34580.056086025324</v>
      </c>
      <c r="I69" s="13">
        <f t="shared" ca="1" si="26"/>
        <v>34975.942579874034</v>
      </c>
      <c r="J69" s="13">
        <f t="shared" ca="1" si="26"/>
        <v>35403.853024101394</v>
      </c>
      <c r="K69" s="13">
        <f t="shared" ca="1" si="26"/>
        <v>35856.919471675465</v>
      </c>
      <c r="L69" s="13">
        <f t="shared" ca="1" si="26"/>
        <v>36330.330203324615</v>
      </c>
    </row>
    <row r="70" spans="1:12" s="9" customFormat="1" x14ac:dyDescent="0.2">
      <c r="B70" s="9" t="s">
        <v>23</v>
      </c>
      <c r="D70" s="21">
        <f t="shared" ref="D70:E70" si="27">D69/C69-1</f>
        <v>-1.9197314207233362E-2</v>
      </c>
      <c r="E70" s="21">
        <f t="shared" si="27"/>
        <v>1.4936519790889058E-3</v>
      </c>
      <c r="F70" s="21">
        <f t="shared" ref="F70" si="28">F69/E69-1</f>
        <v>9.8527218493661417E-2</v>
      </c>
      <c r="G70" s="21">
        <f t="shared" ref="G70" si="29">G69/F69-1</f>
        <v>-3.1848394852213247E-2</v>
      </c>
      <c r="H70" s="21">
        <f ca="1">H69/G69-1</f>
        <v>1.0256101143045981E-2</v>
      </c>
      <c r="I70" s="21">
        <f t="shared" ref="I70:L70" ca="1" si="30">I69/H69-1</f>
        <v>1.1448405198182909E-2</v>
      </c>
      <c r="J70" s="21">
        <f t="shared" ca="1" si="30"/>
        <v>1.2234422081696561E-2</v>
      </c>
      <c r="K70" s="21">
        <f t="shared" ca="1" si="30"/>
        <v>1.2797094352008598E-2</v>
      </c>
      <c r="L70" s="21">
        <f t="shared" ca="1" si="30"/>
        <v>1.3202771978867656E-2</v>
      </c>
    </row>
    <row r="71" spans="1:12" x14ac:dyDescent="0.2">
      <c r="F71" s="12"/>
    </row>
    <row r="72" spans="1:12" x14ac:dyDescent="0.2">
      <c r="A72" s="2" t="s">
        <v>6</v>
      </c>
      <c r="B72" s="3" t="s">
        <v>29</v>
      </c>
      <c r="C72" s="3">
        <v>2018</v>
      </c>
      <c r="D72" s="3">
        <v>2019</v>
      </c>
      <c r="E72" s="3">
        <v>2020</v>
      </c>
      <c r="F72" s="3">
        <v>2021</v>
      </c>
      <c r="G72" s="3">
        <v>2022</v>
      </c>
      <c r="H72" s="3">
        <v>2023</v>
      </c>
      <c r="I72" s="3">
        <v>2024</v>
      </c>
      <c r="J72" s="3">
        <v>2025</v>
      </c>
      <c r="K72" s="3">
        <v>2026</v>
      </c>
      <c r="L72" s="3">
        <v>2027</v>
      </c>
    </row>
    <row r="74" spans="1:12" x14ac:dyDescent="0.2">
      <c r="B74" s="4" t="s">
        <v>30</v>
      </c>
      <c r="C74" s="11">
        <f>C69</f>
        <v>32765</v>
      </c>
      <c r="D74" s="11">
        <f t="shared" ref="D74:L74" si="31">D69</f>
        <v>32136</v>
      </c>
      <c r="E74" s="11">
        <f t="shared" si="31"/>
        <v>32184</v>
      </c>
      <c r="F74" s="11">
        <f t="shared" si="31"/>
        <v>35355</v>
      </c>
      <c r="G74" s="11">
        <f t="shared" si="31"/>
        <v>34229</v>
      </c>
      <c r="H74" s="11">
        <f t="shared" ca="1" si="31"/>
        <v>34580.056086025324</v>
      </c>
      <c r="I74" s="11">
        <f t="shared" ca="1" si="31"/>
        <v>34975.942579874034</v>
      </c>
      <c r="J74" s="11">
        <f t="shared" ca="1" si="31"/>
        <v>35403.853024101394</v>
      </c>
      <c r="K74" s="11">
        <f t="shared" ca="1" si="31"/>
        <v>35856.919471675465</v>
      </c>
      <c r="L74" s="11">
        <f t="shared" ca="1" si="31"/>
        <v>36330.330203324615</v>
      </c>
    </row>
    <row r="75" spans="1:12" x14ac:dyDescent="0.2">
      <c r="B75" s="9" t="s">
        <v>23</v>
      </c>
      <c r="D75" s="12">
        <f>D74/C74-1</f>
        <v>-1.9197314207233362E-2</v>
      </c>
      <c r="E75" s="12">
        <f t="shared" ref="E75:L75" si="32">E74/D74-1</f>
        <v>1.4936519790889058E-3</v>
      </c>
      <c r="F75" s="12">
        <f t="shared" si="32"/>
        <v>9.8527218493661417E-2</v>
      </c>
      <c r="G75" s="12">
        <f t="shared" si="32"/>
        <v>-3.1848394852213247E-2</v>
      </c>
      <c r="H75" s="12">
        <f t="shared" ca="1" si="32"/>
        <v>1.0256101143045981E-2</v>
      </c>
      <c r="I75" s="12">
        <f t="shared" ca="1" si="32"/>
        <v>1.1448405198182909E-2</v>
      </c>
      <c r="J75" s="12">
        <f t="shared" ca="1" si="32"/>
        <v>1.2234422081696561E-2</v>
      </c>
      <c r="K75" s="12">
        <f t="shared" ca="1" si="32"/>
        <v>1.2797094352008598E-2</v>
      </c>
      <c r="L75" s="12">
        <f t="shared" ca="1" si="32"/>
        <v>1.3202771978867656E-2</v>
      </c>
    </row>
    <row r="77" spans="1:12" x14ac:dyDescent="0.2">
      <c r="B77" s="4" t="s">
        <v>19</v>
      </c>
      <c r="C77" s="11">
        <v>7207</v>
      </c>
      <c r="D77" s="11">
        <v>6174</v>
      </c>
      <c r="E77" s="11">
        <v>7161</v>
      </c>
      <c r="F77" s="11">
        <v>7369</v>
      </c>
      <c r="G77" s="11">
        <v>6539</v>
      </c>
      <c r="H77" s="11">
        <f ca="1">H74*H78</f>
        <v>7169.2236554293931</v>
      </c>
      <c r="I77" s="11">
        <f t="shared" ref="I77:L77" ca="1" si="33">I74*I78</f>
        <v>7074.3289673956069</v>
      </c>
      <c r="J77" s="11">
        <f t="shared" ca="1" si="33"/>
        <v>7088.1115996098943</v>
      </c>
      <c r="K77" s="11">
        <f t="shared" ca="1" si="33"/>
        <v>7288.4275794314017</v>
      </c>
      <c r="L77" s="11">
        <f t="shared" ca="1" si="33"/>
        <v>7335.50841580414</v>
      </c>
    </row>
    <row r="78" spans="1:12" x14ac:dyDescent="0.2">
      <c r="B78" s="9" t="s">
        <v>27</v>
      </c>
      <c r="C78" s="12">
        <f>C77/C74</f>
        <v>0.21996032351594688</v>
      </c>
      <c r="D78" s="12">
        <f t="shared" ref="D78:G78" si="34">D77/D74</f>
        <v>0.19212098581030621</v>
      </c>
      <c r="E78" s="12">
        <f t="shared" si="34"/>
        <v>0.22250186428038776</v>
      </c>
      <c r="F78" s="12">
        <f t="shared" si="34"/>
        <v>0.20842879366426248</v>
      </c>
      <c r="G78" s="12">
        <f t="shared" si="34"/>
        <v>0.19103684010634259</v>
      </c>
      <c r="H78" s="12">
        <f>AVERAGE(E78:G78)</f>
        <v>0.20732249935033095</v>
      </c>
      <c r="I78" s="12">
        <f t="shared" ref="I78:L78" si="35">AVERAGE(F78:H78)</f>
        <v>0.20226271104031202</v>
      </c>
      <c r="J78" s="12">
        <f t="shared" si="35"/>
        <v>0.20020735016566185</v>
      </c>
      <c r="K78" s="12">
        <f t="shared" si="35"/>
        <v>0.2032641868521016</v>
      </c>
      <c r="L78" s="12">
        <f t="shared" si="35"/>
        <v>0.20191141601935847</v>
      </c>
    </row>
    <row r="80" spans="1:12" x14ac:dyDescent="0.2">
      <c r="B80" s="4" t="s">
        <v>31</v>
      </c>
      <c r="C80" s="11">
        <v>1637</v>
      </c>
      <c r="D80" s="11">
        <v>1130</v>
      </c>
      <c r="E80" s="11">
        <v>1337</v>
      </c>
      <c r="F80" s="11">
        <v>1285</v>
      </c>
      <c r="G80" s="11">
        <v>612</v>
      </c>
      <c r="H80" s="11">
        <f ca="1">H77*H81</f>
        <v>1086.5608833978915</v>
      </c>
      <c r="I80" s="11">
        <f t="shared" ref="I80:L80" ca="1" si="36">I77*I81</f>
        <v>989.29897061927124</v>
      </c>
      <c r="J80" s="11">
        <f t="shared" ca="1" si="36"/>
        <v>909.62887037650387</v>
      </c>
      <c r="K80" s="11">
        <f t="shared" ca="1" si="36"/>
        <v>1019.7341120382811</v>
      </c>
      <c r="L80" s="11">
        <f t="shared" ca="1" si="36"/>
        <v>997.84072795607619</v>
      </c>
    </row>
    <row r="81" spans="1:12" x14ac:dyDescent="0.2">
      <c r="B81" s="9" t="s">
        <v>32</v>
      </c>
      <c r="C81" s="12">
        <f>C80/C77</f>
        <v>0.22714028028305813</v>
      </c>
      <c r="D81" s="12">
        <f t="shared" ref="D81:G81" si="37">D80/D77</f>
        <v>0.1830255911888565</v>
      </c>
      <c r="E81" s="12">
        <f t="shared" si="37"/>
        <v>0.18670576735092864</v>
      </c>
      <c r="F81" s="12">
        <f t="shared" si="37"/>
        <v>0.17437915592346315</v>
      </c>
      <c r="G81" s="12">
        <f t="shared" si="37"/>
        <v>9.3592292399449453E-2</v>
      </c>
      <c r="H81" s="12">
        <f>AVERAGE(E81:G81)</f>
        <v>0.1515590718912804</v>
      </c>
      <c r="I81" s="12">
        <f t="shared" ref="I81:L81" si="38">AVERAGE(F81:H81)</f>
        <v>0.13984350673806434</v>
      </c>
      <c r="J81" s="12">
        <f t="shared" si="38"/>
        <v>0.12833162367626474</v>
      </c>
      <c r="K81" s="12">
        <f t="shared" si="38"/>
        <v>0.13991140076853648</v>
      </c>
      <c r="L81" s="12">
        <f t="shared" si="38"/>
        <v>0.13602884372762183</v>
      </c>
    </row>
    <row r="83" spans="1:12" x14ac:dyDescent="0.2">
      <c r="A83" s="2" t="s">
        <v>6</v>
      </c>
      <c r="B83" s="3" t="s">
        <v>33</v>
      </c>
      <c r="C83" s="3">
        <v>2018</v>
      </c>
      <c r="D83" s="3">
        <v>2019</v>
      </c>
      <c r="E83" s="3">
        <v>2020</v>
      </c>
      <c r="F83" s="3">
        <v>2021</v>
      </c>
      <c r="G83" s="3">
        <v>2022</v>
      </c>
      <c r="H83" s="3">
        <v>2023</v>
      </c>
      <c r="I83" s="3">
        <v>2024</v>
      </c>
      <c r="J83" s="3">
        <v>2025</v>
      </c>
      <c r="K83" s="3">
        <v>2026</v>
      </c>
      <c r="L83" s="3">
        <v>2027</v>
      </c>
    </row>
    <row r="85" spans="1:12" x14ac:dyDescent="0.2">
      <c r="B85" s="4" t="s">
        <v>34</v>
      </c>
      <c r="C85" s="11">
        <v>1488</v>
      </c>
      <c r="D85" s="11">
        <v>1593</v>
      </c>
      <c r="E85" s="11">
        <v>1911</v>
      </c>
      <c r="F85" s="11">
        <v>1915</v>
      </c>
      <c r="G85" s="11">
        <v>1831</v>
      </c>
      <c r="H85" s="11">
        <f ca="1">H74*H86</f>
        <v>1925.3585254036277</v>
      </c>
      <c r="I85" s="11">
        <f t="shared" ref="I85:L85" ca="1" si="39">I74*I86</f>
        <v>1904.2750476440444</v>
      </c>
      <c r="J85" s="11">
        <f t="shared" ca="1" si="39"/>
        <v>1930.8816300785627</v>
      </c>
      <c r="K85" s="11">
        <f t="shared" ca="1" si="39"/>
        <v>1968.0944958146156</v>
      </c>
      <c r="L85" s="11">
        <f t="shared" ca="1" si="39"/>
        <v>1984.5014642041988</v>
      </c>
    </row>
    <row r="86" spans="1:12" x14ac:dyDescent="0.2">
      <c r="B86" s="9" t="s">
        <v>27</v>
      </c>
      <c r="C86" s="12">
        <f>C85/C74</f>
        <v>4.5414314054631463E-2</v>
      </c>
      <c r="D86" s="12">
        <f t="shared" ref="D86:G86" si="40">D85/D74</f>
        <v>4.9570575056011951E-2</v>
      </c>
      <c r="E86" s="12">
        <f t="shared" si="40"/>
        <v>5.937733035048471E-2</v>
      </c>
      <c r="F86" s="12">
        <f t="shared" si="40"/>
        <v>5.4164898882760569E-2</v>
      </c>
      <c r="G86" s="12">
        <f t="shared" si="40"/>
        <v>5.3492652429226677E-2</v>
      </c>
      <c r="H86" s="12">
        <f>AVERAGE(E86:G86)</f>
        <v>5.5678293887490654E-2</v>
      </c>
      <c r="I86" s="12">
        <f t="shared" ref="I86:L86" si="41">AVERAGE(F86:H86)</f>
        <v>5.4445281733159302E-2</v>
      </c>
      <c r="J86" s="12">
        <f t="shared" si="41"/>
        <v>5.4538742683292209E-2</v>
      </c>
      <c r="K86" s="12">
        <f t="shared" si="41"/>
        <v>5.4887439434647384E-2</v>
      </c>
      <c r="L86" s="12">
        <f t="shared" si="41"/>
        <v>5.4623821283699636E-2</v>
      </c>
    </row>
    <row r="87" spans="1:12" x14ac:dyDescent="0.2">
      <c r="B87" s="9" t="s">
        <v>35</v>
      </c>
      <c r="C87" s="12">
        <f>C85/C89</f>
        <v>0.94356372859860493</v>
      </c>
      <c r="D87" s="12">
        <f t="shared" ref="D87:L87" si="42">D85/D89</f>
        <v>0.93761035903472634</v>
      </c>
      <c r="E87" s="12">
        <f t="shared" si="42"/>
        <v>1.273151232511659</v>
      </c>
      <c r="F87" s="12">
        <f t="shared" si="42"/>
        <v>1.1946350592638801</v>
      </c>
      <c r="G87" s="12">
        <f t="shared" si="42"/>
        <v>1.0468839336763864</v>
      </c>
      <c r="H87" s="12">
        <f t="shared" ca="1" si="42"/>
        <v>1.1674619481036701</v>
      </c>
      <c r="I87" s="12">
        <f t="shared" ca="1" si="42"/>
        <v>1.1332623817961531</v>
      </c>
      <c r="J87" s="12">
        <f t="shared" ca="1" si="42"/>
        <v>1.1143111325204662</v>
      </c>
      <c r="K87" s="12">
        <f t="shared" ca="1" si="42"/>
        <v>1.1381248051613757</v>
      </c>
      <c r="L87" s="12">
        <f t="shared" ca="1" si="42"/>
        <v>1.1284897262014146</v>
      </c>
    </row>
    <row r="89" spans="1:12" x14ac:dyDescent="0.2">
      <c r="B89" s="4" t="s">
        <v>36</v>
      </c>
      <c r="C89" s="11">
        <v>1577</v>
      </c>
      <c r="D89" s="11">
        <v>1699</v>
      </c>
      <c r="E89" s="11">
        <v>1501</v>
      </c>
      <c r="F89" s="11">
        <v>1603</v>
      </c>
      <c r="G89" s="11">
        <v>1749</v>
      </c>
      <c r="H89" s="11">
        <f ca="1">H74*H90</f>
        <v>1649.183109163449</v>
      </c>
      <c r="I89" s="11">
        <f t="shared" ref="I89:L89" ca="1" si="43">I74*I90</f>
        <v>1680.3478860966711</v>
      </c>
      <c r="J89" s="11">
        <f t="shared" ca="1" si="43"/>
        <v>1732.8029611542077</v>
      </c>
      <c r="K89" s="11">
        <f t="shared" ca="1" si="43"/>
        <v>1729.2431259641669</v>
      </c>
      <c r="L89" s="11">
        <f t="shared" ca="1" si="43"/>
        <v>1758.5463280061813</v>
      </c>
    </row>
    <row r="90" spans="1:12" x14ac:dyDescent="0.2">
      <c r="B90" s="9" t="s">
        <v>27</v>
      </c>
      <c r="C90" s="12">
        <f>C89/C74</f>
        <v>4.8130627193651764E-2</v>
      </c>
      <c r="D90" s="12">
        <f t="shared" ref="D90:G90" si="44">D89/D74</f>
        <v>5.2869056509833208E-2</v>
      </c>
      <c r="E90" s="12">
        <f t="shared" si="44"/>
        <v>4.6638081034054188E-2</v>
      </c>
      <c r="F90" s="12">
        <f t="shared" si="44"/>
        <v>4.5340121623532736E-2</v>
      </c>
      <c r="G90" s="12">
        <f t="shared" si="44"/>
        <v>5.1097022992199599E-2</v>
      </c>
      <c r="H90" s="12">
        <f>AVERAGE(E90:G90)</f>
        <v>4.7691741883262175E-2</v>
      </c>
      <c r="I90" s="12">
        <f t="shared" ref="I90:L90" si="45">AVERAGE(F90:H90)</f>
        <v>4.8042962166331499E-2</v>
      </c>
      <c r="J90" s="12">
        <f t="shared" si="45"/>
        <v>4.8943909013931086E-2</v>
      </c>
      <c r="K90" s="12">
        <f t="shared" si="45"/>
        <v>4.8226204354508251E-2</v>
      </c>
      <c r="L90" s="12">
        <f t="shared" si="45"/>
        <v>4.8404358511590279E-2</v>
      </c>
    </row>
    <row r="92" spans="1:12" x14ac:dyDescent="0.2">
      <c r="B92" s="4" t="s">
        <v>37</v>
      </c>
      <c r="C92" s="11">
        <f>-305-509+408+120</f>
        <v>-286</v>
      </c>
      <c r="D92" s="11">
        <f>345+370-117+205-127</f>
        <v>676</v>
      </c>
      <c r="E92" s="11">
        <f>165-91+252+132+417</f>
        <v>875</v>
      </c>
      <c r="F92" s="11">
        <f>-122-903+518-244+227</f>
        <v>-524</v>
      </c>
      <c r="G92" s="11">
        <f>-467-1018+175-11+1342</f>
        <v>21</v>
      </c>
      <c r="H92" s="11">
        <f ca="1">H74*H93</f>
        <v>-245.64955021217804</v>
      </c>
      <c r="I92" s="11">
        <f t="shared" ref="I92:L92" ca="1" si="46">I74*I93</f>
        <v>-113.50179271527911</v>
      </c>
      <c r="J92" s="11">
        <f t="shared" ca="1" si="46"/>
        <v>-183.19602722342859</v>
      </c>
      <c r="K92" s="11">
        <f t="shared" ca="1" si="46"/>
        <v>-150.95054459394026</v>
      </c>
      <c r="L92" s="11">
        <f t="shared" ca="1" si="46"/>
        <v>-170.46678096540307</v>
      </c>
    </row>
    <row r="93" spans="1:12" x14ac:dyDescent="0.2">
      <c r="B93" s="9" t="s">
        <v>27</v>
      </c>
      <c r="C93" s="12">
        <f>C92/C74</f>
        <v>-8.7288264916831979E-3</v>
      </c>
      <c r="D93" s="12">
        <f t="shared" ref="D93:G93" si="47">D92/D74</f>
        <v>2.1035598705501618E-2</v>
      </c>
      <c r="E93" s="12">
        <f t="shared" si="47"/>
        <v>2.7187422321650511E-2</v>
      </c>
      <c r="F93" s="12">
        <f t="shared" si="47"/>
        <v>-1.4821100268703154E-2</v>
      </c>
      <c r="G93" s="12">
        <f t="shared" si="47"/>
        <v>6.1351485582400889E-4</v>
      </c>
      <c r="H93" s="12">
        <f>AVERAGE(F93:G93)</f>
        <v>-7.103792706439572E-3</v>
      </c>
      <c r="I93" s="12">
        <f t="shared" ref="I93:L93" si="48">AVERAGE(G93:H93)</f>
        <v>-3.2451389253077816E-3</v>
      </c>
      <c r="J93" s="12">
        <f t="shared" si="48"/>
        <v>-5.1744658158736773E-3</v>
      </c>
      <c r="K93" s="12">
        <f t="shared" si="48"/>
        <v>-4.2098023705907294E-3</v>
      </c>
      <c r="L93" s="12">
        <f t="shared" si="48"/>
        <v>-4.6921340932322038E-3</v>
      </c>
    </row>
    <row r="94" spans="1:12" x14ac:dyDescent="0.2">
      <c r="B94" s="9"/>
      <c r="C94" s="12"/>
      <c r="D94" s="12"/>
      <c r="E94" s="12"/>
      <c r="F94" s="12"/>
      <c r="G94" s="12"/>
      <c r="H94" s="12"/>
      <c r="I94" s="12"/>
      <c r="J94" s="12"/>
      <c r="K94" s="12"/>
      <c r="L94" s="12"/>
    </row>
    <row r="95" spans="1:12" x14ac:dyDescent="0.2">
      <c r="H95">
        <v>1</v>
      </c>
      <c r="I95">
        <v>2</v>
      </c>
      <c r="J95">
        <v>3</v>
      </c>
      <c r="K95">
        <v>4</v>
      </c>
      <c r="L95">
        <v>5</v>
      </c>
    </row>
    <row r="96" spans="1:12" x14ac:dyDescent="0.2">
      <c r="A96" s="2" t="s">
        <v>6</v>
      </c>
      <c r="B96" s="3" t="s">
        <v>38</v>
      </c>
      <c r="C96" s="3">
        <v>2018</v>
      </c>
      <c r="D96" s="3">
        <v>2019</v>
      </c>
      <c r="E96" s="3">
        <v>2020</v>
      </c>
      <c r="F96" s="3">
        <v>2021</v>
      </c>
      <c r="G96" s="3">
        <v>2022</v>
      </c>
      <c r="H96" s="3">
        <v>2023</v>
      </c>
      <c r="I96" s="3">
        <v>2024</v>
      </c>
      <c r="J96" s="3">
        <v>2025</v>
      </c>
      <c r="K96" s="3">
        <v>2026</v>
      </c>
      <c r="L96" s="3">
        <v>2027</v>
      </c>
    </row>
    <row r="98" spans="2:12" x14ac:dyDescent="0.2">
      <c r="B98" s="4" t="s">
        <v>39</v>
      </c>
      <c r="C98" s="11">
        <f>C74</f>
        <v>32765</v>
      </c>
      <c r="D98" s="11">
        <f t="shared" ref="D98:L98" si="49">D74</f>
        <v>32136</v>
      </c>
      <c r="E98" s="11">
        <f t="shared" si="49"/>
        <v>32184</v>
      </c>
      <c r="F98" s="11">
        <f t="shared" si="49"/>
        <v>35355</v>
      </c>
      <c r="G98" s="11">
        <f t="shared" si="49"/>
        <v>34229</v>
      </c>
      <c r="H98" s="11">
        <f t="shared" ca="1" si="49"/>
        <v>34580.056086025324</v>
      </c>
      <c r="I98" s="11">
        <f t="shared" ca="1" si="49"/>
        <v>34975.942579874034</v>
      </c>
      <c r="J98" s="11">
        <f t="shared" ca="1" si="49"/>
        <v>35403.853024101394</v>
      </c>
      <c r="K98" s="11">
        <f t="shared" ca="1" si="49"/>
        <v>35856.919471675465</v>
      </c>
      <c r="L98" s="11">
        <f t="shared" ca="1" si="49"/>
        <v>36330.330203324615</v>
      </c>
    </row>
    <row r="99" spans="2:12" x14ac:dyDescent="0.2">
      <c r="B99" s="9" t="s">
        <v>23</v>
      </c>
      <c r="D99" s="12">
        <f>D98/C98-1</f>
        <v>-1.9197314207233362E-2</v>
      </c>
      <c r="E99" s="12">
        <f t="shared" ref="E99:L99" si="50">E98/D98-1</f>
        <v>1.4936519790889058E-3</v>
      </c>
      <c r="F99" s="12">
        <f t="shared" si="50"/>
        <v>9.8527218493661417E-2</v>
      </c>
      <c r="G99" s="12">
        <f t="shared" si="50"/>
        <v>-3.1848394852213247E-2</v>
      </c>
      <c r="H99" s="12">
        <f t="shared" ca="1" si="50"/>
        <v>1.0256101143045981E-2</v>
      </c>
      <c r="I99" s="12">
        <f t="shared" ca="1" si="50"/>
        <v>1.1448405198182909E-2</v>
      </c>
      <c r="J99" s="12">
        <f t="shared" ca="1" si="50"/>
        <v>1.2234422081696561E-2</v>
      </c>
      <c r="K99" s="12">
        <f t="shared" ca="1" si="50"/>
        <v>1.2797094352008598E-2</v>
      </c>
      <c r="L99" s="12">
        <f t="shared" ca="1" si="50"/>
        <v>1.3202771978867656E-2</v>
      </c>
    </row>
    <row r="101" spans="2:12" x14ac:dyDescent="0.2">
      <c r="B101" s="4" t="s">
        <v>19</v>
      </c>
      <c r="C101" s="11">
        <f>C77</f>
        <v>7207</v>
      </c>
      <c r="D101" s="11">
        <f t="shared" ref="D101:G101" si="51">D77</f>
        <v>6174</v>
      </c>
      <c r="E101" s="11">
        <f t="shared" si="51"/>
        <v>7161</v>
      </c>
      <c r="F101" s="11">
        <f t="shared" si="51"/>
        <v>7369</v>
      </c>
      <c r="G101" s="11">
        <f t="shared" si="51"/>
        <v>6539</v>
      </c>
      <c r="H101" s="11">
        <f ca="1">H98*H102</f>
        <v>6570.2106563448115</v>
      </c>
      <c r="I101" s="11">
        <f t="shared" ref="I101:L101" ca="1" si="52">I98*I102</f>
        <v>6732.868946625752</v>
      </c>
      <c r="J101" s="11">
        <f t="shared" ca="1" si="52"/>
        <v>6903.751339699772</v>
      </c>
      <c r="K101" s="11">
        <f t="shared" ca="1" si="52"/>
        <v>7081.7415956559043</v>
      </c>
      <c r="L101" s="11">
        <f t="shared" ca="1" si="52"/>
        <v>7266.0660406649231</v>
      </c>
    </row>
    <row r="102" spans="2:12" x14ac:dyDescent="0.2">
      <c r="B102" s="9" t="s">
        <v>40</v>
      </c>
      <c r="C102" s="12">
        <f>C101/C98</f>
        <v>0.21996032351594688</v>
      </c>
      <c r="D102" s="12">
        <f t="shared" ref="D102:G102" si="53">D101/D98</f>
        <v>0.19212098581030621</v>
      </c>
      <c r="E102" s="12">
        <f t="shared" si="53"/>
        <v>0.22250186428038776</v>
      </c>
      <c r="F102" s="12">
        <f t="shared" si="53"/>
        <v>0.20842879366426248</v>
      </c>
      <c r="G102" s="12">
        <f t="shared" si="53"/>
        <v>0.19103684010634259</v>
      </c>
      <c r="H102" s="12">
        <f ca="1">OFFSET(H102, $C$17,0)</f>
        <v>0.19</v>
      </c>
      <c r="I102" s="12">
        <f t="shared" ref="I102:L102" ca="1" si="54">OFFSET(I102, $C$17,0)</f>
        <v>0.1925</v>
      </c>
      <c r="J102" s="12">
        <f t="shared" ca="1" si="54"/>
        <v>0.19500000000000001</v>
      </c>
      <c r="K102" s="12">
        <f t="shared" ca="1" si="54"/>
        <v>0.19750000000000001</v>
      </c>
      <c r="L102" s="12">
        <f t="shared" ca="1" si="54"/>
        <v>0.2</v>
      </c>
    </row>
    <row r="103" spans="2:12" x14ac:dyDescent="0.2">
      <c r="B103" t="s">
        <v>41</v>
      </c>
      <c r="H103" s="8">
        <f t="shared" ref="H103:K103" si="55">H104*$F$17</f>
        <v>0.18049999999999999</v>
      </c>
      <c r="I103" s="8">
        <f t="shared" si="55"/>
        <v>0.18287499999999998</v>
      </c>
      <c r="J103" s="8">
        <f t="shared" si="55"/>
        <v>0.18525</v>
      </c>
      <c r="K103" s="8">
        <f t="shared" si="55"/>
        <v>0.18762499999999999</v>
      </c>
      <c r="L103" s="8">
        <f>L104*$F$17</f>
        <v>0.19</v>
      </c>
    </row>
    <row r="104" spans="2:12" x14ac:dyDescent="0.2">
      <c r="B104" t="s">
        <v>25</v>
      </c>
      <c r="H104" s="8">
        <v>0.19</v>
      </c>
      <c r="I104" s="8">
        <f>H104-(H104-$L$104)/($L$96-H96)</f>
        <v>0.1925</v>
      </c>
      <c r="J104" s="8">
        <f t="shared" ref="J104:K104" si="56">I104-(I104-$L$104)/($L$96-I96)</f>
        <v>0.19500000000000001</v>
      </c>
      <c r="K104" s="8">
        <f t="shared" si="56"/>
        <v>0.19750000000000001</v>
      </c>
      <c r="L104" s="8">
        <f>H17</f>
        <v>0.2</v>
      </c>
    </row>
    <row r="105" spans="2:12" x14ac:dyDescent="0.2">
      <c r="B105" t="s">
        <v>26</v>
      </c>
      <c r="H105" s="8">
        <f t="shared" ref="H105:K105" si="57">H104*$J$17</f>
        <v>0.19950000000000001</v>
      </c>
      <c r="I105" s="8">
        <f t="shared" si="57"/>
        <v>0.20212500000000003</v>
      </c>
      <c r="J105" s="8">
        <f t="shared" si="57"/>
        <v>0.20475000000000002</v>
      </c>
      <c r="K105" s="8">
        <f t="shared" si="57"/>
        <v>0.20737500000000003</v>
      </c>
      <c r="L105" s="8">
        <f>L104*$J$17</f>
        <v>0.21000000000000002</v>
      </c>
    </row>
    <row r="107" spans="2:12" x14ac:dyDescent="0.2">
      <c r="B107" s="4" t="s">
        <v>31</v>
      </c>
      <c r="C107" s="11">
        <f>C80</f>
        <v>1637</v>
      </c>
      <c r="D107" s="11">
        <f t="shared" ref="D107:G107" si="58">D80</f>
        <v>1130</v>
      </c>
      <c r="E107" s="11">
        <f t="shared" si="58"/>
        <v>1337</v>
      </c>
      <c r="F107" s="11">
        <f t="shared" si="58"/>
        <v>1285</v>
      </c>
      <c r="G107" s="11">
        <f t="shared" si="58"/>
        <v>612</v>
      </c>
      <c r="H107" s="11">
        <f ca="1">H101*H108</f>
        <v>995.77502920581992</v>
      </c>
      <c r="I107" s="11">
        <f t="shared" ref="I107:L107" ca="1" si="59">I101*I108</f>
        <v>941.54800390396247</v>
      </c>
      <c r="J107" s="11">
        <f t="shared" ca="1" si="59"/>
        <v>885.96961888085968</v>
      </c>
      <c r="K107" s="11">
        <f t="shared" ca="1" si="59"/>
        <v>990.81638652902825</v>
      </c>
      <c r="L107" s="11">
        <f t="shared" ca="1" si="59"/>
        <v>988.39456196018875</v>
      </c>
    </row>
    <row r="108" spans="2:12" x14ac:dyDescent="0.2">
      <c r="B108" s="9" t="s">
        <v>32</v>
      </c>
      <c r="C108" s="12">
        <f>C107/C101</f>
        <v>0.22714028028305813</v>
      </c>
      <c r="D108" s="12">
        <f t="shared" ref="D108:G108" si="60">D107/D101</f>
        <v>0.1830255911888565</v>
      </c>
      <c r="E108" s="12">
        <f t="shared" si="60"/>
        <v>0.18670576735092864</v>
      </c>
      <c r="F108" s="12">
        <f t="shared" si="60"/>
        <v>0.17437915592346315</v>
      </c>
      <c r="G108" s="12">
        <f t="shared" si="60"/>
        <v>9.3592292399449453E-2</v>
      </c>
      <c r="H108" s="12">
        <f>AVERAGE(E108:G108)</f>
        <v>0.1515590718912804</v>
      </c>
      <c r="I108" s="12">
        <f t="shared" ref="I108:L108" si="61">AVERAGE(F108:H108)</f>
        <v>0.13984350673806434</v>
      </c>
      <c r="J108" s="12">
        <f t="shared" si="61"/>
        <v>0.12833162367626474</v>
      </c>
      <c r="K108" s="12">
        <f t="shared" si="61"/>
        <v>0.13991140076853648</v>
      </c>
      <c r="L108" s="12">
        <f t="shared" si="61"/>
        <v>0.13602884372762183</v>
      </c>
    </row>
    <row r="109" spans="2:12" x14ac:dyDescent="0.2">
      <c r="C109" s="12"/>
    </row>
    <row r="110" spans="2:12" x14ac:dyDescent="0.2">
      <c r="B110" s="10"/>
      <c r="C110" s="10"/>
      <c r="D110" s="10"/>
      <c r="E110" s="10"/>
      <c r="F110" s="10"/>
      <c r="G110" s="10"/>
      <c r="H110" s="10"/>
      <c r="I110" s="10"/>
      <c r="J110" s="10"/>
      <c r="K110" s="10"/>
      <c r="L110" s="10"/>
    </row>
    <row r="111" spans="2:12" x14ac:dyDescent="0.2">
      <c r="B111" s="4" t="s">
        <v>42</v>
      </c>
      <c r="H111" s="13">
        <f ca="1">H101-H107</f>
        <v>5574.4356271389915</v>
      </c>
      <c r="I111" s="13">
        <f t="shared" ref="I111:L111" ca="1" si="62">I101-I107</f>
        <v>5791.3209427217898</v>
      </c>
      <c r="J111" s="13">
        <f t="shared" ca="1" si="62"/>
        <v>6017.7817208189126</v>
      </c>
      <c r="K111" s="13">
        <f t="shared" ca="1" si="62"/>
        <v>6090.9252091268763</v>
      </c>
      <c r="L111" s="13">
        <f t="shared" ca="1" si="62"/>
        <v>6277.671478704734</v>
      </c>
    </row>
    <row r="113" spans="2:12" x14ac:dyDescent="0.2">
      <c r="B113" s="4" t="s">
        <v>34</v>
      </c>
      <c r="C113" s="11">
        <f>C85</f>
        <v>1488</v>
      </c>
      <c r="D113" s="11">
        <f t="shared" ref="D113:L113" si="63">D85</f>
        <v>1593</v>
      </c>
      <c r="E113" s="11">
        <f t="shared" si="63"/>
        <v>1911</v>
      </c>
      <c r="F113" s="11">
        <f t="shared" si="63"/>
        <v>1915</v>
      </c>
      <c r="G113" s="11">
        <f t="shared" si="63"/>
        <v>1831</v>
      </c>
      <c r="H113" s="11">
        <f t="shared" ca="1" si="63"/>
        <v>1925.3585254036277</v>
      </c>
      <c r="I113" s="11">
        <f t="shared" ca="1" si="63"/>
        <v>1904.2750476440444</v>
      </c>
      <c r="J113" s="11">
        <f t="shared" ca="1" si="63"/>
        <v>1930.8816300785627</v>
      </c>
      <c r="K113" s="11">
        <f t="shared" ca="1" si="63"/>
        <v>1968.0944958146156</v>
      </c>
      <c r="L113" s="11">
        <f t="shared" ca="1" si="63"/>
        <v>1984.5014642041988</v>
      </c>
    </row>
    <row r="114" spans="2:12" x14ac:dyDescent="0.2">
      <c r="B114" s="9" t="s">
        <v>40</v>
      </c>
      <c r="C114" s="12">
        <f>C113/C98</f>
        <v>4.5414314054631463E-2</v>
      </c>
      <c r="D114" s="12">
        <f t="shared" ref="D114:L114" si="64">D113/D98</f>
        <v>4.9570575056011951E-2</v>
      </c>
      <c r="E114" s="12">
        <f t="shared" si="64"/>
        <v>5.937733035048471E-2</v>
      </c>
      <c r="F114" s="12">
        <f t="shared" si="64"/>
        <v>5.4164898882760569E-2</v>
      </c>
      <c r="G114" s="12">
        <f t="shared" si="64"/>
        <v>5.3492652429226677E-2</v>
      </c>
      <c r="H114" s="12">
        <f t="shared" ca="1" si="64"/>
        <v>5.5678293887490654E-2</v>
      </c>
      <c r="I114" s="12">
        <f t="shared" ca="1" si="64"/>
        <v>5.4445281733159302E-2</v>
      </c>
      <c r="J114" s="12">
        <f t="shared" ca="1" si="64"/>
        <v>5.4538742683292209E-2</v>
      </c>
      <c r="K114" s="12">
        <f t="shared" ca="1" si="64"/>
        <v>5.4887439434647384E-2</v>
      </c>
      <c r="L114" s="12">
        <f t="shared" ca="1" si="64"/>
        <v>5.4623821283699636E-2</v>
      </c>
    </row>
    <row r="115" spans="2:12" x14ac:dyDescent="0.2">
      <c r="B115" s="9" t="s">
        <v>35</v>
      </c>
      <c r="C115" s="12">
        <f>C113/C117</f>
        <v>0.94356372859860493</v>
      </c>
      <c r="D115" s="12">
        <f t="shared" ref="D115:L115" si="65">D113/D117</f>
        <v>0.93761035903472634</v>
      </c>
      <c r="E115" s="12">
        <f t="shared" si="65"/>
        <v>1.273151232511659</v>
      </c>
      <c r="F115" s="12">
        <f t="shared" si="65"/>
        <v>1.1946350592638801</v>
      </c>
      <c r="G115" s="12">
        <f t="shared" si="65"/>
        <v>1.0468839336763864</v>
      </c>
      <c r="H115" s="12">
        <f t="shared" ca="1" si="65"/>
        <v>1.1674619481036701</v>
      </c>
      <c r="I115" s="12">
        <f t="shared" ca="1" si="65"/>
        <v>1.1332623817961531</v>
      </c>
      <c r="J115" s="12">
        <f t="shared" ca="1" si="65"/>
        <v>1.1143111325204662</v>
      </c>
      <c r="K115" s="12">
        <f t="shared" ca="1" si="65"/>
        <v>1.1381248051613757</v>
      </c>
      <c r="L115" s="12">
        <f t="shared" ca="1" si="65"/>
        <v>1.1284897262014146</v>
      </c>
    </row>
    <row r="117" spans="2:12" x14ac:dyDescent="0.2">
      <c r="B117" s="4" t="s">
        <v>36</v>
      </c>
      <c r="C117" s="11">
        <f>C89</f>
        <v>1577</v>
      </c>
      <c r="D117" s="11">
        <f t="shared" ref="D117:L117" si="66">D89</f>
        <v>1699</v>
      </c>
      <c r="E117" s="11">
        <f t="shared" si="66"/>
        <v>1501</v>
      </c>
      <c r="F117" s="11">
        <f t="shared" si="66"/>
        <v>1603</v>
      </c>
      <c r="G117" s="11">
        <f t="shared" si="66"/>
        <v>1749</v>
      </c>
      <c r="H117" s="11">
        <f t="shared" ca="1" si="66"/>
        <v>1649.183109163449</v>
      </c>
      <c r="I117" s="11">
        <f t="shared" ca="1" si="66"/>
        <v>1680.3478860966711</v>
      </c>
      <c r="J117" s="11">
        <f t="shared" ca="1" si="66"/>
        <v>1732.8029611542077</v>
      </c>
      <c r="K117" s="11">
        <f t="shared" ca="1" si="66"/>
        <v>1729.2431259641669</v>
      </c>
      <c r="L117" s="11">
        <f t="shared" ca="1" si="66"/>
        <v>1758.5463280061813</v>
      </c>
    </row>
    <row r="118" spans="2:12" x14ac:dyDescent="0.2">
      <c r="B118" s="9" t="s">
        <v>40</v>
      </c>
      <c r="C118" s="12">
        <f>C117/C98</f>
        <v>4.8130627193651764E-2</v>
      </c>
      <c r="D118" s="12">
        <f t="shared" ref="D118:L118" si="67">D117/D98</f>
        <v>5.2869056509833208E-2</v>
      </c>
      <c r="E118" s="12">
        <f t="shared" si="67"/>
        <v>4.6638081034054188E-2</v>
      </c>
      <c r="F118" s="12">
        <f t="shared" si="67"/>
        <v>4.5340121623532736E-2</v>
      </c>
      <c r="G118" s="12">
        <f t="shared" si="67"/>
        <v>5.1097022992199599E-2</v>
      </c>
      <c r="H118" s="12">
        <f t="shared" ca="1" si="67"/>
        <v>4.7691741883262175E-2</v>
      </c>
      <c r="I118" s="12">
        <f t="shared" ca="1" si="67"/>
        <v>4.8042962166331499E-2</v>
      </c>
      <c r="J118" s="12">
        <f t="shared" ca="1" si="67"/>
        <v>4.8943909013931086E-2</v>
      </c>
      <c r="K118" s="12">
        <f t="shared" ca="1" si="67"/>
        <v>4.8226204354508251E-2</v>
      </c>
      <c r="L118" s="12">
        <f t="shared" ca="1" si="67"/>
        <v>4.8404358511590279E-2</v>
      </c>
    </row>
    <row r="120" spans="2:12" x14ac:dyDescent="0.2">
      <c r="B120" s="4" t="s">
        <v>37</v>
      </c>
      <c r="C120" s="11">
        <f>C92</f>
        <v>-286</v>
      </c>
      <c r="D120" s="11">
        <f t="shared" ref="D120:L120" si="68">D92</f>
        <v>676</v>
      </c>
      <c r="E120" s="11">
        <f t="shared" si="68"/>
        <v>875</v>
      </c>
      <c r="F120" s="11">
        <f t="shared" si="68"/>
        <v>-524</v>
      </c>
      <c r="G120" s="11">
        <f t="shared" si="68"/>
        <v>21</v>
      </c>
      <c r="H120" s="11">
        <f t="shared" ca="1" si="68"/>
        <v>-245.64955021217804</v>
      </c>
      <c r="I120" s="11">
        <f t="shared" ca="1" si="68"/>
        <v>-113.50179271527911</v>
      </c>
      <c r="J120" s="11">
        <f t="shared" ca="1" si="68"/>
        <v>-183.19602722342859</v>
      </c>
      <c r="K120" s="11">
        <f t="shared" ca="1" si="68"/>
        <v>-150.95054459394026</v>
      </c>
      <c r="L120" s="11">
        <f t="shared" ca="1" si="68"/>
        <v>-170.46678096540307</v>
      </c>
    </row>
    <row r="121" spans="2:12" x14ac:dyDescent="0.2">
      <c r="B121" s="9" t="s">
        <v>40</v>
      </c>
      <c r="C121" s="12">
        <f>C120/C98</f>
        <v>-8.7288264916831979E-3</v>
      </c>
      <c r="D121" s="12">
        <f t="shared" ref="D121:L121" si="69">D120/D98</f>
        <v>2.1035598705501618E-2</v>
      </c>
      <c r="E121" s="12">
        <f t="shared" si="69"/>
        <v>2.7187422321650511E-2</v>
      </c>
      <c r="F121" s="12">
        <f t="shared" si="69"/>
        <v>-1.4821100268703154E-2</v>
      </c>
      <c r="G121" s="12">
        <f t="shared" si="69"/>
        <v>6.1351485582400889E-4</v>
      </c>
      <c r="H121" s="12">
        <f t="shared" ca="1" si="69"/>
        <v>-7.103792706439572E-3</v>
      </c>
      <c r="I121" s="12">
        <f t="shared" ca="1" si="69"/>
        <v>-3.2451389253077816E-3</v>
      </c>
      <c r="J121" s="12">
        <f t="shared" ca="1" si="69"/>
        <v>-5.1744658158736773E-3</v>
      </c>
      <c r="K121" s="12">
        <f t="shared" ca="1" si="69"/>
        <v>-4.2098023705907294E-3</v>
      </c>
      <c r="L121" s="12">
        <f t="shared" ca="1" si="69"/>
        <v>-4.6921340932322038E-3</v>
      </c>
    </row>
    <row r="123" spans="2:12" x14ac:dyDescent="0.2">
      <c r="B123" s="10"/>
      <c r="C123" s="10"/>
      <c r="D123" s="10"/>
      <c r="E123" s="10"/>
      <c r="F123" s="10"/>
      <c r="G123" s="10"/>
      <c r="H123" s="10"/>
      <c r="I123" s="10"/>
      <c r="J123" s="10"/>
      <c r="K123" s="10"/>
      <c r="L123" s="10"/>
    </row>
    <row r="124" spans="2:12" x14ac:dyDescent="0.2">
      <c r="B124" s="4" t="s">
        <v>43</v>
      </c>
      <c r="H124" s="13">
        <f ca="1">H111+H113-H117-H120</f>
        <v>6096.2605935913489</v>
      </c>
      <c r="I124" s="13">
        <f t="shared" ref="I124:L124" ca="1" si="70">I111+I113-I117-I120</f>
        <v>6128.7498969844428</v>
      </c>
      <c r="J124" s="13">
        <f t="shared" ca="1" si="70"/>
        <v>6399.0564169666959</v>
      </c>
      <c r="K124" s="13">
        <f t="shared" ca="1" si="70"/>
        <v>6480.7271235712651</v>
      </c>
      <c r="L124" s="13">
        <f t="shared" ca="1" si="70"/>
        <v>6674.0933958681535</v>
      </c>
    </row>
    <row r="125" spans="2:12" x14ac:dyDescent="0.2">
      <c r="B125" s="4" t="s">
        <v>44</v>
      </c>
      <c r="H125" s="13">
        <f t="shared" ref="H125:K125" ca="1" si="71">H124/(1+$C$21)^H95</f>
        <v>5655.9700562880889</v>
      </c>
      <c r="I125" s="13">
        <f t="shared" ca="1" si="71"/>
        <v>5275.4444646237143</v>
      </c>
      <c r="J125" s="13">
        <f t="shared" ca="1" si="71"/>
        <v>5110.3032692709257</v>
      </c>
      <c r="K125" s="13">
        <f t="shared" ca="1" si="71"/>
        <v>4801.7334549384095</v>
      </c>
      <c r="L125" s="13">
        <f ca="1">L124/(1+$C$21)^L95</f>
        <v>4587.8601520306356</v>
      </c>
    </row>
    <row r="127" spans="2:12" x14ac:dyDescent="0.2">
      <c r="B127" s="4" t="s">
        <v>45</v>
      </c>
      <c r="L127" s="13">
        <f ca="1">L124*(1+C21)/(C21-C22)</f>
        <v>98752.323298411531</v>
      </c>
    </row>
    <row r="128" spans="2:12" x14ac:dyDescent="0.2">
      <c r="B128" s="4" t="s">
        <v>46</v>
      </c>
      <c r="L128" s="13">
        <f ca="1">L127/(1+C21)^L95</f>
        <v>67883.654319508569</v>
      </c>
    </row>
    <row r="130" spans="2:12" x14ac:dyDescent="0.2">
      <c r="B130" s="4" t="s">
        <v>60</v>
      </c>
      <c r="L130" s="11">
        <f ca="1">SUM(L128,H125:L125)</f>
        <v>93314.965716660343</v>
      </c>
    </row>
    <row r="131" spans="2:12" x14ac:dyDescent="0.2">
      <c r="B131" s="4" t="s">
        <v>61</v>
      </c>
      <c r="L131" s="11">
        <v>3590</v>
      </c>
    </row>
    <row r="132" spans="2:12" x14ac:dyDescent="0.2">
      <c r="B132" s="4" t="s">
        <v>62</v>
      </c>
      <c r="L132" s="11">
        <f>MMM_WACC!D16</f>
        <v>16630</v>
      </c>
    </row>
    <row r="133" spans="2:12" x14ac:dyDescent="0.2">
      <c r="B133" s="4" t="s">
        <v>63</v>
      </c>
      <c r="L133" s="11">
        <f ca="1">L130+L131-L132</f>
        <v>80274.965716660343</v>
      </c>
    </row>
    <row r="134" spans="2:12" x14ac:dyDescent="0.2">
      <c r="B134" s="4" t="s">
        <v>64</v>
      </c>
      <c r="L134" s="11">
        <v>567.6</v>
      </c>
    </row>
    <row r="135" spans="2:12" x14ac:dyDescent="0.2">
      <c r="B135" s="4" t="s">
        <v>4</v>
      </c>
      <c r="L135" s="11">
        <f ca="1">L133/L134</f>
        <v>141.42876271434167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2C35B-B764-C142-AD4E-35C2872DF2EA}">
  <dimension ref="A1:D23"/>
  <sheetViews>
    <sheetView showGridLines="0" zoomScale="140" zoomScaleNormal="140" workbookViewId="0">
      <selection activeCell="D23" sqref="D23"/>
    </sheetView>
  </sheetViews>
  <sheetFormatPr baseColWidth="10" defaultRowHeight="16" x14ac:dyDescent="0.2"/>
  <sheetData>
    <row r="1" spans="1:4" ht="24" x14ac:dyDescent="0.3">
      <c r="A1" s="15" t="s">
        <v>1</v>
      </c>
    </row>
    <row r="3" spans="1:4" ht="19" x14ac:dyDescent="0.25">
      <c r="A3" s="16" t="s">
        <v>47</v>
      </c>
    </row>
    <row r="4" spans="1:4" ht="19" x14ac:dyDescent="0.25">
      <c r="A4" s="16"/>
    </row>
    <row r="5" spans="1:4" ht="19" x14ac:dyDescent="0.25">
      <c r="A5" s="16" t="s">
        <v>48</v>
      </c>
    </row>
    <row r="7" spans="1:4" ht="19" x14ac:dyDescent="0.25">
      <c r="A7" s="17" t="s">
        <v>20</v>
      </c>
    </row>
    <row r="8" spans="1:4" ht="19" x14ac:dyDescent="0.25">
      <c r="A8" s="18"/>
    </row>
    <row r="9" spans="1:4" ht="19" x14ac:dyDescent="0.25">
      <c r="A9" s="18" t="s">
        <v>49</v>
      </c>
      <c r="D9" s="19">
        <v>66690</v>
      </c>
    </row>
    <row r="10" spans="1:4" ht="19" x14ac:dyDescent="0.25">
      <c r="A10" s="18" t="s">
        <v>50</v>
      </c>
      <c r="D10" s="1">
        <f>D9/D21</f>
        <v>0.8004080652904465</v>
      </c>
    </row>
    <row r="11" spans="1:4" ht="19" x14ac:dyDescent="0.25">
      <c r="A11" s="18" t="s">
        <v>51</v>
      </c>
      <c r="D11" s="1">
        <f>D12+D13*D14</f>
        <v>8.5208000000000006E-2</v>
      </c>
    </row>
    <row r="12" spans="1:4" ht="19" x14ac:dyDescent="0.25">
      <c r="A12" s="18" t="s">
        <v>52</v>
      </c>
      <c r="D12" s="1">
        <v>3.4618999999999997E-2</v>
      </c>
    </row>
    <row r="13" spans="1:4" ht="19" x14ac:dyDescent="0.25">
      <c r="A13" s="18" t="s">
        <v>53</v>
      </c>
      <c r="D13" s="20">
        <v>0.99</v>
      </c>
    </row>
    <row r="14" spans="1:4" ht="19" x14ac:dyDescent="0.25">
      <c r="A14" s="18" t="s">
        <v>54</v>
      </c>
      <c r="D14" s="1">
        <v>5.11E-2</v>
      </c>
    </row>
    <row r="15" spans="1:4" ht="19" x14ac:dyDescent="0.25">
      <c r="A15" s="18"/>
    </row>
    <row r="16" spans="1:4" ht="19" x14ac:dyDescent="0.25">
      <c r="A16" s="18" t="s">
        <v>55</v>
      </c>
      <c r="D16" s="19">
        <v>16630</v>
      </c>
    </row>
    <row r="17" spans="1:4" ht="19" x14ac:dyDescent="0.25">
      <c r="A17" s="18" t="s">
        <v>56</v>
      </c>
      <c r="D17" s="1">
        <f>D16/D9</f>
        <v>0.24936272304693358</v>
      </c>
    </row>
    <row r="18" spans="1:4" ht="19" x14ac:dyDescent="0.25">
      <c r="A18" s="18" t="s">
        <v>57</v>
      </c>
      <c r="D18" s="1">
        <v>4.5499999999999999E-2</v>
      </c>
    </row>
    <row r="19" spans="1:4" ht="19" x14ac:dyDescent="0.25">
      <c r="A19" s="18" t="s">
        <v>58</v>
      </c>
      <c r="D19" s="12">
        <v>0.15</v>
      </c>
    </row>
    <row r="20" spans="1:4" ht="19" x14ac:dyDescent="0.25">
      <c r="A20" s="18"/>
    </row>
    <row r="21" spans="1:4" ht="19" x14ac:dyDescent="0.25">
      <c r="A21" s="18" t="s">
        <v>59</v>
      </c>
      <c r="D21" s="19">
        <f>D9+D16</f>
        <v>83320</v>
      </c>
    </row>
    <row r="22" spans="1:4" ht="19" x14ac:dyDescent="0.25">
      <c r="A22" s="18"/>
    </row>
    <row r="23" spans="1:4" ht="19" x14ac:dyDescent="0.25">
      <c r="A23" s="18" t="s">
        <v>20</v>
      </c>
      <c r="D23" s="1">
        <f>(D10*D11)+(D17*D18*(1-D19))</f>
        <v>7.7845273741108514E-2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MMM_DCF</vt:lpstr>
      <vt:lpstr>MMM_WACC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Shalil Gunputh</dc:creator>
  <cp:lastModifiedBy>Shalil Gunputh</cp:lastModifiedBy>
  <dcterms:created xsi:type="dcterms:W3CDTF">2023-01-24T16:29:34Z</dcterms:created>
  <dcterms:modified xsi:type="dcterms:W3CDTF">2023-01-25T15:08:47Z</dcterms:modified>
</cp:coreProperties>
</file>