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odel - Booking DCF" sheetId="2" r:id="rId5"/>
    <sheet name="WACC - WACC" sheetId="3" r:id="rId6"/>
    <sheet name="Sheet 2 - Booking Metrics for C" sheetId="4" r:id="rId7"/>
  </sheets>
</workbook>
</file>

<file path=xl/sharedStrings.xml><?xml version="1.0" encoding="utf-8"?>
<sst xmlns="http://schemas.openxmlformats.org/spreadsheetml/2006/main" uniqueCount="84">
  <si>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</si>
  <si>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</si>
  <si>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</si>
  <si>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</si>
  <si>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Model</t>
  </si>
  <si>
    <t>Booking DCF</t>
  </si>
  <si>
    <t>Model - Booking DCF</t>
  </si>
  <si>
    <t>Ticker</t>
  </si>
  <si>
    <t>BKNG</t>
  </si>
  <si>
    <t>Implied Share Price</t>
  </si>
  <si>
    <t>Date</t>
  </si>
  <si>
    <t xml:space="preserve">Current Share Price </t>
  </si>
  <si>
    <t>Upside (Downside)</t>
  </si>
  <si>
    <t>X</t>
  </si>
  <si>
    <t xml:space="preserve">Assumptions </t>
  </si>
  <si>
    <t>Switches</t>
  </si>
  <si>
    <t>Conservative</t>
  </si>
  <si>
    <t>Street/ Base</t>
  </si>
  <si>
    <t>Optimistic</t>
  </si>
  <si>
    <t>Gross Agency Bookings</t>
  </si>
  <si>
    <t>Gross Merchant Bookings</t>
  </si>
  <si>
    <t>Agency Revenues</t>
  </si>
  <si>
    <t>Merchant Revenues</t>
  </si>
  <si>
    <t>Advertising &amp; Other Revenues</t>
  </si>
  <si>
    <t>EBIT</t>
  </si>
  <si>
    <t>Step</t>
  </si>
  <si>
    <t>WACC</t>
  </si>
  <si>
    <t>TGV</t>
  </si>
  <si>
    <t>Revenue Build</t>
  </si>
  <si>
    <t xml:space="preserve">% growth </t>
  </si>
  <si>
    <t xml:space="preserve">   Conservative</t>
  </si>
  <si>
    <t xml:space="preserve">   Street/Base Case</t>
  </si>
  <si>
    <t xml:space="preserve">   Optimistic</t>
  </si>
  <si>
    <t>Gross/Revenue Ratio</t>
  </si>
  <si>
    <t>Total Gross Bookings</t>
  </si>
  <si>
    <t xml:space="preserve">% Ratio </t>
  </si>
  <si>
    <t>Agency Commission Rate</t>
  </si>
  <si>
    <t>Merchant Commission Rate</t>
  </si>
  <si>
    <t>Total Revenues</t>
  </si>
  <si>
    <t>% Commission Average</t>
  </si>
  <si>
    <t>Income Statement</t>
  </si>
  <si>
    <t>Revenue</t>
  </si>
  <si>
    <t xml:space="preserve">% of sales </t>
  </si>
  <si>
    <t>Taxes</t>
  </si>
  <si>
    <t>% of EBIT</t>
  </si>
  <si>
    <t>Cash Flow Items</t>
  </si>
  <si>
    <t>D&amp;A</t>
  </si>
  <si>
    <t>% of sales</t>
  </si>
  <si>
    <t>% of CapEx</t>
  </si>
  <si>
    <t>Capital Expenditures</t>
  </si>
  <si>
    <t xml:space="preserve">Change in Net Working Capital </t>
  </si>
  <si>
    <t>% change in sales</t>
  </si>
  <si>
    <t>DCF</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</si>
  <si>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</si>
  <si>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</si>
  <si>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</si>
  <si>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</si>
  <si>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</si>
  <si>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</si>
  <si>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</si>
  <si>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</si>
  <si>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</si>
  <si>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</si>
  <si>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 xml:space="preserve">Implied Share Price </t>
  </si>
  <si>
    <t>WACC - WACC</t>
  </si>
  <si>
    <t>WACC = % of equity x cost of equity + % of debt x cost of debt x (1-Tax Rate)</t>
  </si>
  <si>
    <t xml:space="preserve">Cost of equity = Risk free rate + Beta x Market Risk Premium </t>
  </si>
  <si>
    <t xml:space="preserve">Market Cap </t>
  </si>
  <si>
    <t>% of equity</t>
  </si>
  <si>
    <t>Cost of Equity</t>
  </si>
  <si>
    <t>Risk Free Rate</t>
  </si>
  <si>
    <t>Beta</t>
  </si>
  <si>
    <t xml:space="preserve">Market Risk Premium </t>
  </si>
  <si>
    <t>Debt</t>
  </si>
  <si>
    <t>% of Debt</t>
  </si>
  <si>
    <t>Cost of Debt</t>
  </si>
  <si>
    <t>Tax Rate</t>
  </si>
  <si>
    <t xml:space="preserve">Total </t>
  </si>
  <si>
    <t>Sheet 2</t>
  </si>
  <si>
    <t>Booking Metrics for Calculations</t>
  </si>
  <si>
    <t>Sheet 2 - Booking Metrics for C</t>
  </si>
  <si>
    <t>Shares Outstanding</t>
  </si>
  <si>
    <t>EPS</t>
  </si>
  <si>
    <t xml:space="preserve">Dec 2022
95.83
105.03
85.79
8
0
0
Dec 2023
120.13
130
103.42
10
1
1
Dec 2024
147.18
154.37
132.28
5
1
0
Dec 2025
174.53
</t>
  </si>
</sst>
</file>

<file path=xl/styles.xml><?xml version="1.0" encoding="utf-8"?>
<styleSheet xmlns="http://schemas.openxmlformats.org/spreadsheetml/2006/main">
  <numFmts count="9">
    <numFmt numFmtId="0" formatCode="General"/>
    <numFmt numFmtId="59" formatCode="[$$-409]0.00"/>
    <numFmt numFmtId="60" formatCode="dd/mm/yyyy"/>
    <numFmt numFmtId="61" formatCode="0%_);\(0%\)"/>
    <numFmt numFmtId="62" formatCode="0.0%_);\(0.0%\)"/>
    <numFmt numFmtId="63" formatCode="0.0%"/>
    <numFmt numFmtId="64" formatCode="#,##0%_);\(#,##0%\)"/>
    <numFmt numFmtId="65" formatCode="0.0#%"/>
    <numFmt numFmtId="66" formatCode="#,##0.0#####"/>
  </numFmts>
  <fonts count="25">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sz val="11"/>
      <color indexed="8"/>
      <name val="Calibri"/>
    </font>
    <font>
      <b val="1"/>
      <sz val="11"/>
      <color indexed="8"/>
      <name val="Calibri"/>
    </font>
    <font>
      <sz val="12"/>
      <color indexed="8"/>
      <name val="Calibri"/>
    </font>
    <font>
      <b val="1"/>
      <sz val="11"/>
      <color indexed="15"/>
      <name val="Calibri"/>
    </font>
    <font>
      <i val="1"/>
      <sz val="12"/>
      <color indexed="8"/>
      <name val="Calibri"/>
    </font>
    <font>
      <sz val="11"/>
      <color indexed="17"/>
      <name val="Calibri"/>
    </font>
    <font>
      <i val="1"/>
      <sz val="11"/>
      <color indexed="8"/>
      <name val="Calibri"/>
    </font>
    <font>
      <b val="1"/>
      <i val="1"/>
      <sz val="11"/>
      <color indexed="8"/>
      <name val="Calibri"/>
    </font>
    <font>
      <sz val="11"/>
      <color indexed="18"/>
      <name val="Calibri"/>
    </font>
    <font>
      <i val="1"/>
      <sz val="11"/>
      <color indexed="17"/>
      <name val="Calibri"/>
    </font>
    <font>
      <b val="1"/>
      <i val="1"/>
      <sz val="11"/>
      <color indexed="17"/>
      <name val="Calibri"/>
    </font>
    <font>
      <sz val="11"/>
      <color indexed="20"/>
      <name val="Calibri"/>
    </font>
    <font>
      <b val="1"/>
      <sz val="12"/>
      <color indexed="8"/>
      <name val="Calibri"/>
    </font>
    <font>
      <b val="1"/>
      <sz val="12"/>
      <color indexed="8"/>
      <name val="Helvetica Neue"/>
    </font>
    <font>
      <b val="1"/>
      <sz val="12"/>
      <color indexed="15"/>
      <name val="Calibri"/>
    </font>
    <font>
      <b val="1"/>
      <sz val="10"/>
      <color indexed="8"/>
      <name val="Helvetica Neue"/>
    </font>
    <font>
      <sz val="10"/>
      <color indexed="8"/>
      <name val="Calibri"/>
    </font>
    <font>
      <b val="1"/>
      <sz val="10"/>
      <color indexed="8"/>
      <name val="Calibri"/>
    </font>
    <font>
      <outline val="1"/>
      <sz val="10"/>
      <color indexed="22"/>
      <name val="Calibri"/>
    </font>
    <font>
      <outline val="1"/>
      <sz val="10"/>
      <color indexed="23"/>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59">
    <border>
      <left/>
      <right/>
      <top/>
      <bottom/>
      <diagonal/>
    </border>
    <border>
      <left>
        <color indexed="8"/>
      </left>
      <right>
        <color indexed="8"/>
      </right>
      <top>
        <color indexed="8"/>
      </top>
      <bottom/>
      <diagonal/>
    </border>
    <border>
      <left>
        <color indexed="8"/>
      </left>
      <right/>
      <top/>
      <bottom style="dotted">
        <color indexed="12"/>
      </bottom>
      <diagonal/>
    </border>
    <border>
      <left/>
      <right/>
      <top/>
      <bottom/>
      <diagonal/>
    </border>
    <border>
      <left/>
      <right/>
      <top/>
      <bottom style="hair">
        <color indexed="12"/>
      </bottom>
      <diagonal/>
    </border>
    <border>
      <left>
        <color indexed="8"/>
      </left>
      <right>
        <color indexed="8"/>
      </right>
      <top/>
      <bottom/>
      <diagonal/>
    </border>
    <border>
      <left>
        <color indexed="8"/>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hair">
        <color indexed="12"/>
      </right>
      <top/>
      <bottom/>
      <diagonal/>
    </border>
    <border>
      <left style="hair">
        <color indexed="12"/>
      </left>
      <right style="hair">
        <color indexed="12"/>
      </right>
      <top style="hair">
        <color indexed="12"/>
      </top>
      <bottom style="hair">
        <color indexed="12"/>
      </bottom>
      <diagonal/>
    </border>
    <border>
      <left style="hair">
        <color indexed="12"/>
      </left>
      <right/>
      <top/>
      <bottom/>
      <diagonal/>
    </border>
    <border>
      <left style="dotted">
        <color indexed="12"/>
      </left>
      <right style="dotted">
        <color indexed="12"/>
      </right>
      <top style="hair">
        <color indexed="12"/>
      </top>
      <bottom style="dotted">
        <color indexed="12"/>
      </bottom>
      <diagonal/>
    </border>
    <border>
      <left>
        <color indexed="8"/>
      </left>
      <right/>
      <top style="dotted">
        <color indexed="12"/>
      </top>
      <bottom/>
      <diagonal/>
    </border>
    <border>
      <left/>
      <right/>
      <top style="hair">
        <color indexed="12"/>
      </top>
      <bottom/>
      <diagonal/>
    </border>
    <border>
      <left>
        <color indexed="8"/>
      </left>
      <right/>
      <top/>
      <bottom/>
      <diagonal/>
    </border>
    <border>
      <left/>
      <right/>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bottom/>
      <diagonal/>
    </border>
    <border>
      <left>
        <color indexed="8"/>
      </left>
      <right style="dotted">
        <color indexed="12"/>
      </right>
      <top/>
      <bottom>
        <color indexed="8"/>
      </bottom>
      <diagonal/>
    </border>
    <border>
      <left>
        <color indexed="8"/>
      </left>
      <right style="dotted">
        <color indexed="12"/>
      </right>
      <top>
        <color indexed="8"/>
      </top>
      <bottom>
        <color indexed="8"/>
      </bottom>
      <diagonal/>
    </border>
    <border>
      <left>
        <color indexed="8"/>
      </left>
      <right>
        <color indexed="8"/>
      </right>
      <top>
        <color indexed="8"/>
      </top>
      <bottom>
        <color indexed="8"/>
      </bottom>
      <diagonal/>
    </border>
    <border>
      <left>
        <color indexed="8"/>
      </left>
      <right/>
      <top style="hair">
        <color indexed="12"/>
      </top>
      <bottom style="dotted">
        <color indexed="12"/>
      </bottom>
      <diagonal/>
    </border>
    <border>
      <left/>
      <right/>
      <top style="hair">
        <color indexed="12"/>
      </top>
      <bottom style="dotted">
        <color indexed="12"/>
      </bottom>
      <diagonal/>
    </border>
    <border>
      <left style="dotted">
        <color indexed="12"/>
      </left>
      <right style="dotted">
        <color indexed="12"/>
      </right>
      <top style="hair">
        <color indexed="12"/>
      </top>
      <bottom style="hair">
        <color indexed="12"/>
      </bottom>
      <diagonal/>
    </border>
    <border>
      <left/>
      <right/>
      <top style="dotted">
        <color indexed="12"/>
      </top>
      <bottom/>
      <diagonal/>
    </border>
    <border>
      <left>
        <color indexed="8"/>
      </left>
      <right/>
      <top style="hair">
        <color indexed="12"/>
      </top>
      <bottom/>
      <diagonal/>
    </border>
    <border>
      <left/>
      <right style="dotted">
        <color indexed="12"/>
      </right>
      <top/>
      <bottom/>
      <diagonal/>
    </border>
    <border>
      <left>
        <color indexed="8"/>
      </left>
      <right>
        <color indexed="8"/>
      </right>
      <top/>
      <bottom style="hair">
        <color indexed="12"/>
      </bottom>
      <diagonal/>
    </border>
    <border>
      <left>
        <color indexed="8"/>
      </left>
      <right/>
      <top/>
      <bottom style="hair">
        <color indexed="12"/>
      </bottom>
      <diagonal/>
    </border>
    <border>
      <left/>
      <right/>
      <top style="hair">
        <color indexed="12"/>
      </top>
      <bottom style="hair">
        <color indexed="12"/>
      </bottom>
      <diagonal/>
    </border>
    <border>
      <left>
        <color indexed="8"/>
      </left>
      <right>
        <color indexed="8"/>
      </right>
      <top style="hair">
        <color indexed="12"/>
      </top>
      <bottom/>
      <diagonal/>
    </border>
    <border>
      <left>
        <color indexed="8"/>
      </left>
      <right>
        <color indexed="8"/>
      </right>
      <top/>
      <bottom style="thin">
        <color indexed="12"/>
      </bottom>
      <diagonal/>
    </border>
    <border>
      <left>
        <color indexed="8"/>
      </left>
      <right/>
      <top/>
      <bottom style="thin">
        <color indexed="12"/>
      </bottom>
      <diagonal/>
    </border>
    <border>
      <left/>
      <right/>
      <top/>
      <bottom style="thin">
        <color indexed="12"/>
      </bottom>
      <diagonal/>
    </border>
    <border>
      <left>
        <color indexed="8"/>
      </left>
      <right>
        <color indexed="8"/>
      </right>
      <top style="thin">
        <color indexed="12"/>
      </top>
      <bottom/>
      <diagonal/>
    </border>
    <border>
      <left>
        <color indexed="8"/>
      </left>
      <right/>
      <top style="thin">
        <color indexed="12"/>
      </top>
      <bottom/>
      <diagonal/>
    </border>
    <border>
      <left/>
      <right/>
      <top style="thin">
        <color indexed="12"/>
      </top>
      <bottom/>
      <diagonal/>
    </border>
    <border>
      <left>
        <color indexed="8"/>
      </left>
      <right>
        <color indexed="8"/>
      </right>
      <top/>
      <bottom style="dotted">
        <color indexed="12"/>
      </bottom>
      <diagonal/>
    </border>
    <border>
      <left>
        <color indexed="8"/>
      </left>
      <right>
        <color indexed="8"/>
      </right>
      <top style="dotted">
        <color indexed="12"/>
      </top>
      <bottom/>
      <diagonal/>
    </border>
    <border>
      <left/>
      <right/>
      <top style="hair">
        <color indexed="12"/>
      </top>
      <bottom style="thin">
        <color indexed="12"/>
      </bottom>
      <diagonal/>
    </border>
    <border>
      <left/>
      <right/>
      <top style="hair">
        <color indexed="12"/>
      </top>
      <bottom style="thin">
        <color indexed="19"/>
      </bottom>
      <diagonal/>
    </border>
    <border>
      <left/>
      <right/>
      <top style="thin">
        <color indexed="19"/>
      </top>
      <bottom/>
      <diagonal/>
    </border>
    <border>
      <left>
        <color indexed="8"/>
      </left>
      <right>
        <color indexed="8"/>
      </right>
      <top/>
      <bottom>
        <color indexed="8"/>
      </bottom>
      <diagonal/>
    </border>
    <border>
      <left>
        <color indexed="8"/>
      </left>
      <right>
        <color indexed="8"/>
      </right>
      <top>
        <color indexed="8"/>
      </top>
      <bottom style="thin">
        <color indexed="19"/>
      </bottom>
      <diagonal/>
    </border>
    <border>
      <left>
        <color indexed="8"/>
      </left>
      <right/>
      <top/>
      <bottom style="thin">
        <color indexed="19"/>
      </bottom>
      <diagonal/>
    </border>
    <border>
      <left/>
      <right/>
      <top/>
      <bottom style="thin">
        <color indexed="19"/>
      </bottom>
      <diagonal/>
    </border>
    <border>
      <left>
        <color indexed="8"/>
      </left>
      <right>
        <color indexed="8"/>
      </right>
      <top style="thin">
        <color indexed="19"/>
      </top>
      <bottom>
        <color indexed="8"/>
      </bottom>
      <diagonal/>
    </border>
    <border>
      <left>
        <color indexed="8"/>
      </left>
      <right/>
      <top style="thin">
        <color indexed="19"/>
      </top>
      <bottom>
        <color indexed="8"/>
      </bottom>
      <diagonal/>
    </border>
    <border>
      <left/>
      <right/>
      <top style="thin">
        <color indexed="19"/>
      </top>
      <bottom>
        <color indexed="8"/>
      </bottom>
      <diagonal/>
    </border>
    <border>
      <left/>
      <right>
        <color indexed="8"/>
      </right>
      <top style="thin">
        <color indexed="19"/>
      </top>
      <bottom>
        <color indexed="8"/>
      </bottom>
      <diagonal/>
    </border>
    <border>
      <left>
        <color indexed="8"/>
      </left>
      <right/>
      <top>
        <color indexed="8"/>
      </top>
      <bottom/>
      <diagonal/>
    </border>
    <border>
      <left/>
      <right/>
      <top>
        <color indexed="8"/>
      </top>
      <bottom/>
      <diagonal/>
    </border>
    <border>
      <left>
        <color indexed="8"/>
      </left>
      <right/>
      <top style="thin">
        <color indexed="19"/>
      </top>
      <bottom/>
      <diagonal/>
    </border>
    <border>
      <left>
        <color indexed="8"/>
      </left>
      <right/>
      <top>
        <color indexed="8"/>
      </top>
      <bottom>
        <color indexed="8"/>
      </bottom>
      <diagonal/>
    </border>
    <border>
      <left/>
      <right/>
      <top>
        <color indexed="8"/>
      </top>
      <bottom>
        <color indexed="8"/>
      </bottom>
      <diagonal/>
    </border>
    <border>
      <left/>
      <right>
        <color indexed="8"/>
      </right>
      <top>
        <color indexed="8"/>
      </top>
      <bottom>
        <color indexed="8"/>
      </bottom>
      <diagonal/>
    </border>
    <border>
      <left/>
      <right/>
      <top/>
      <bottom style="thin">
        <color indexed="21"/>
      </bottom>
      <diagonal/>
    </border>
    <border>
      <left/>
      <right/>
      <top style="thin">
        <color indexed="21"/>
      </top>
      <bottom/>
      <diagonal/>
    </border>
  </borders>
  <cellStyleXfs count="1">
    <xf numFmtId="0" fontId="0" applyNumberFormat="0" applyFont="1" applyFill="0" applyBorder="0" applyAlignment="1" applyProtection="0">
      <alignment vertical="top" wrapText="1"/>
    </xf>
  </cellStyleXfs>
  <cellXfs count="22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6"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5" borderId="3" applyNumberFormat="0" applyFont="1" applyFill="0" applyBorder="1" applyAlignment="1" applyProtection="0">
      <alignment vertical="top"/>
    </xf>
    <xf numFmtId="0" fontId="5" borderId="4" applyNumberFormat="0" applyFont="1" applyFill="0" applyBorder="1" applyAlignment="1" applyProtection="0">
      <alignment vertical="top"/>
    </xf>
    <xf numFmtId="0" fontId="5" borderId="5" applyNumberFormat="0" applyFont="1" applyFill="0" applyBorder="1" applyAlignment="1" applyProtection="0">
      <alignment vertical="top"/>
    </xf>
    <xf numFmtId="49" fontId="6" borderId="6" applyNumberFormat="1" applyFont="1" applyFill="0" applyBorder="1" applyAlignment="1" applyProtection="0">
      <alignment vertical="top"/>
    </xf>
    <xf numFmtId="49" fontId="5" fillId="4" borderId="7" applyNumberFormat="1" applyFont="1" applyFill="1" applyBorder="1" applyAlignment="1" applyProtection="0">
      <alignment vertical="top"/>
    </xf>
    <xf numFmtId="0" fontId="5" borderId="8" applyNumberFormat="0" applyFont="1" applyFill="0" applyBorder="1" applyAlignment="1" applyProtection="0">
      <alignment vertical="top"/>
    </xf>
    <xf numFmtId="49" fontId="7" borderId="9" applyNumberFormat="1" applyFont="1" applyFill="0" applyBorder="1" applyAlignment="1" applyProtection="0">
      <alignment vertical="top"/>
    </xf>
    <xf numFmtId="59" fontId="7" fillId="5" borderId="10" applyNumberFormat="1" applyFont="1" applyFill="1" applyBorder="1" applyAlignment="1" applyProtection="0">
      <alignment horizontal="right" vertical="top" wrapText="1"/>
    </xf>
    <xf numFmtId="0" fontId="7" borderId="11" applyNumberFormat="0" applyFont="1" applyFill="0" applyBorder="1" applyAlignment="1" applyProtection="0">
      <alignment vertical="top" wrapText="1"/>
    </xf>
    <xf numFmtId="0" fontId="7" borderId="3" applyNumberFormat="0" applyFont="1" applyFill="0" applyBorder="1" applyAlignment="1" applyProtection="0">
      <alignment vertical="top" wrapText="1"/>
    </xf>
    <xf numFmtId="0" fontId="7" borderId="4" applyNumberFormat="0" applyFont="1" applyFill="0" applyBorder="1" applyAlignment="1" applyProtection="0">
      <alignment vertical="top" wrapText="1"/>
    </xf>
    <xf numFmtId="60" fontId="5" fillId="5" borderId="12" applyNumberFormat="1" applyFont="1" applyFill="1" applyBorder="1" applyAlignment="1" applyProtection="0">
      <alignment horizontal="left" vertical="top"/>
    </xf>
    <xf numFmtId="61" fontId="7" fillId="5" borderId="10" applyNumberFormat="1" applyFont="1" applyFill="1" applyBorder="1" applyAlignment="1" applyProtection="0">
      <alignment horizontal="right" vertical="top" wrapText="1"/>
    </xf>
    <xf numFmtId="0" fontId="5" borderId="11"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13" applyNumberFormat="0" applyFont="1" applyFill="0" applyBorder="1" applyAlignment="1" applyProtection="0">
      <alignment vertical="top"/>
    </xf>
    <xf numFmtId="0" fontId="5" borderId="14" applyNumberFormat="0" applyFont="1" applyFill="0" applyBorder="1" applyAlignment="1" applyProtection="0">
      <alignment vertical="top"/>
    </xf>
    <xf numFmtId="0" fontId="5" borderId="15" applyNumberFormat="0" applyFont="1" applyFill="0" applyBorder="1" applyAlignment="1" applyProtection="0">
      <alignment vertical="top"/>
    </xf>
    <xf numFmtId="49" fontId="5" borderId="5" applyNumberFormat="1" applyFont="1" applyFill="0" applyBorder="1" applyAlignment="1" applyProtection="0">
      <alignment vertical="top"/>
    </xf>
    <xf numFmtId="49" fontId="8" fillId="6" borderId="5" applyNumberFormat="1" applyFont="1" applyFill="1" applyBorder="1" applyAlignment="1" applyProtection="0">
      <alignment vertical="top"/>
    </xf>
    <xf numFmtId="0" fontId="8" fillId="6" borderId="5" applyNumberFormat="0" applyFont="1" applyFill="1" applyBorder="1" applyAlignment="1" applyProtection="0">
      <alignment vertical="top"/>
    </xf>
    <xf numFmtId="0" fontId="8" fillId="6" borderId="15" applyNumberFormat="0" applyFont="1" applyFill="1" applyBorder="1" applyAlignment="1" applyProtection="0">
      <alignment vertical="top"/>
    </xf>
    <xf numFmtId="0" fontId="8" fillId="6" borderId="3" applyNumberFormat="0" applyFont="1" applyFill="1" applyBorder="1" applyAlignment="1" applyProtection="0">
      <alignment vertical="top"/>
    </xf>
    <xf numFmtId="49" fontId="6" borderId="5" applyNumberFormat="1" applyFont="1" applyFill="0" applyBorder="1" applyAlignment="1" applyProtection="0">
      <alignment vertical="top"/>
    </xf>
    <xf numFmtId="49" fontId="6" borderId="16" applyNumberFormat="1" applyFont="1" applyFill="0" applyBorder="1" applyAlignment="1" applyProtection="0">
      <alignment vertical="top"/>
    </xf>
    <xf numFmtId="0" fontId="0" borderId="3" applyNumberFormat="0" applyFont="1" applyFill="0" applyBorder="1" applyAlignment="1" applyProtection="0">
      <alignment vertical="top" wrapText="1"/>
    </xf>
    <xf numFmtId="0" fontId="5" fillId="4" borderId="17" applyNumberFormat="1" applyFont="1" applyFill="1" applyBorder="1" applyAlignment="1" applyProtection="0">
      <alignment vertical="top"/>
    </xf>
    <xf numFmtId="0" fontId="5" borderId="18" applyNumberFormat="0" applyFont="1" applyFill="0" applyBorder="1" applyAlignment="1" applyProtection="0">
      <alignment vertical="top"/>
    </xf>
    <xf numFmtId="62" fontId="5" fillId="4" borderId="17" applyNumberFormat="1" applyFont="1" applyFill="1" applyBorder="1" applyAlignment="1" applyProtection="0">
      <alignment vertical="top"/>
    </xf>
    <xf numFmtId="61" fontId="5" borderId="18" applyNumberFormat="1" applyFont="1" applyFill="0" applyBorder="1" applyAlignment="1" applyProtection="0">
      <alignment vertical="top"/>
    </xf>
    <xf numFmtId="61" fontId="5" fillId="4" borderId="17" applyNumberFormat="1" applyFont="1" applyFill="1" applyBorder="1" applyAlignment="1" applyProtection="0">
      <alignment vertical="top"/>
    </xf>
    <xf numFmtId="63" fontId="5" fillId="4" borderId="17" applyNumberFormat="1" applyFont="1" applyFill="1" applyBorder="1" applyAlignment="1" applyProtection="0">
      <alignment vertical="top"/>
    </xf>
    <xf numFmtId="9" fontId="5" fillId="4" borderId="17" applyNumberFormat="1" applyFont="1" applyFill="1" applyBorder="1" applyAlignment="1" applyProtection="0">
      <alignment vertical="top"/>
    </xf>
    <xf numFmtId="49" fontId="6" borderId="19" applyNumberFormat="1" applyFont="1" applyFill="0" applyBorder="1" applyAlignment="1" applyProtection="0">
      <alignment vertical="top"/>
    </xf>
    <xf numFmtId="49" fontId="6" borderId="20" applyNumberFormat="1" applyFont="1" applyFill="0" applyBorder="1" applyAlignment="1" applyProtection="0">
      <alignment vertical="top"/>
    </xf>
    <xf numFmtId="0" fontId="5" fillId="4" borderId="7" applyNumberFormat="1" applyFont="1" applyFill="1" applyBorder="1" applyAlignment="1" applyProtection="0">
      <alignment vertical="top"/>
    </xf>
    <xf numFmtId="63" fontId="5" fillId="4" borderId="7" applyNumberFormat="1" applyFont="1" applyFill="1" applyBorder="1" applyAlignment="1" applyProtection="0">
      <alignment vertical="top"/>
    </xf>
    <xf numFmtId="9" fontId="5" fillId="4" borderId="7" applyNumberFormat="1" applyFont="1" applyFill="1" applyBorder="1" applyAlignment="1" applyProtection="0">
      <alignment vertical="top"/>
    </xf>
    <xf numFmtId="0" fontId="6" borderId="21" applyNumberFormat="0" applyFont="1" applyFill="0" applyBorder="1" applyAlignment="1" applyProtection="0">
      <alignment vertical="top"/>
    </xf>
    <xf numFmtId="0" fontId="5" borderId="22" applyNumberFormat="0" applyFont="1" applyFill="0" applyBorder="1" applyAlignment="1" applyProtection="0">
      <alignment vertical="top"/>
    </xf>
    <xf numFmtId="9" fontId="5" borderId="23" applyNumberFormat="1" applyFont="1" applyFill="0" applyBorder="1" applyAlignment="1" applyProtection="0">
      <alignment vertical="top"/>
    </xf>
    <xf numFmtId="49" fontId="7" borderId="16" applyNumberFormat="1" applyFont="1" applyFill="0" applyBorder="1" applyAlignment="1" applyProtection="0">
      <alignment vertical="top" wrapText="1"/>
    </xf>
    <xf numFmtId="10" fontId="5" fillId="4" borderId="7" applyNumberFormat="1" applyFont="1" applyFill="1" applyBorder="1" applyAlignment="1" applyProtection="0">
      <alignment vertical="top"/>
    </xf>
    <xf numFmtId="10" fontId="5" fillId="4" borderId="17" applyNumberFormat="1" applyFont="1" applyFill="1" applyBorder="1" applyAlignment="1" applyProtection="0">
      <alignment vertical="top"/>
    </xf>
    <xf numFmtId="10" fontId="9" fillId="5" borderId="17" applyNumberFormat="1" applyFont="1" applyFill="1" applyBorder="1" applyAlignment="1" applyProtection="0">
      <alignment horizontal="center" vertical="top" wrapText="1"/>
    </xf>
    <xf numFmtId="63" fontId="5" fillId="4" borderId="24" applyNumberFormat="1" applyFont="1" applyFill="1" applyBorder="1" applyAlignment="1" applyProtection="0">
      <alignment vertical="top"/>
    </xf>
    <xf numFmtId="0" fontId="5" borderId="25" applyNumberFormat="0" applyFont="1" applyFill="0" applyBorder="1" applyAlignment="1" applyProtection="0">
      <alignment vertical="top"/>
    </xf>
    <xf numFmtId="0" fontId="5" borderId="26" applyNumberFormat="0" applyFont="1" applyFill="0" applyBorder="1" applyAlignment="1" applyProtection="0">
      <alignment vertical="top"/>
    </xf>
    <xf numFmtId="0" fontId="8" fillId="6" borderId="3" applyNumberFormat="1" applyFont="1" applyFill="1" applyBorder="1" applyAlignment="1" applyProtection="0">
      <alignment vertical="top"/>
    </xf>
    <xf numFmtId="37" fontId="5" borderId="3" applyNumberFormat="1" applyFont="1" applyFill="0" applyBorder="1" applyAlignment="1" applyProtection="0">
      <alignment vertical="top"/>
    </xf>
    <xf numFmtId="0" fontId="5" borderId="3" applyNumberFormat="0" applyFont="1" applyFill="0" applyBorder="1" applyAlignment="1" applyProtection="0">
      <alignment vertical="top" wrapText="1"/>
    </xf>
    <xf numFmtId="37" fontId="10" borderId="3" applyNumberFormat="1" applyFont="1" applyFill="0" applyBorder="1" applyAlignment="1" applyProtection="0">
      <alignment vertical="top"/>
    </xf>
    <xf numFmtId="0" fontId="11" borderId="5" applyNumberFormat="0" applyFont="1" applyFill="0" applyBorder="1" applyAlignment="1" applyProtection="0">
      <alignment vertical="top"/>
    </xf>
    <xf numFmtId="49" fontId="12" borderId="5" applyNumberFormat="1" applyFont="1" applyFill="0" applyBorder="1" applyAlignment="1" applyProtection="0">
      <alignment vertical="top"/>
    </xf>
    <xf numFmtId="0" fontId="11" borderId="15" applyNumberFormat="0" applyFont="1" applyFill="0" applyBorder="1" applyAlignment="1" applyProtection="0">
      <alignment vertical="top"/>
    </xf>
    <xf numFmtId="0" fontId="11" borderId="3" applyNumberFormat="0" applyFont="1" applyFill="0" applyBorder="1" applyAlignment="1" applyProtection="0">
      <alignment vertical="top"/>
    </xf>
    <xf numFmtId="37" fontId="11" borderId="3" applyNumberFormat="1" applyFont="1" applyFill="0" applyBorder="1" applyAlignment="1" applyProtection="0">
      <alignment vertical="top"/>
    </xf>
    <xf numFmtId="64" fontId="11" borderId="3" applyNumberFormat="1" applyFont="1" applyFill="0" applyBorder="1" applyAlignment="1" applyProtection="0">
      <alignment vertical="top"/>
    </xf>
    <xf numFmtId="64" fontId="11" borderId="16" applyNumberFormat="1" applyFont="1" applyFill="0" applyBorder="1" applyAlignment="1" applyProtection="0">
      <alignment vertical="top"/>
    </xf>
    <xf numFmtId="37" fontId="10" borderId="27" applyNumberFormat="1" applyFont="1" applyFill="0" applyBorder="1" applyAlignment="1" applyProtection="0">
      <alignment vertical="top"/>
    </xf>
    <xf numFmtId="61" fontId="11" fillId="4" borderId="17" applyNumberFormat="1" applyFont="1" applyFill="1" applyBorder="1" applyAlignment="1" applyProtection="0">
      <alignment vertical="top"/>
    </xf>
    <xf numFmtId="61" fontId="11" fillId="4" borderId="7" applyNumberFormat="1" applyFont="1" applyFill="1" applyBorder="1" applyAlignment="1" applyProtection="0">
      <alignment vertical="top"/>
    </xf>
    <xf numFmtId="0" fontId="11" borderId="28" applyNumberFormat="0" applyFont="1" applyFill="0" applyBorder="1" applyAlignment="1" applyProtection="0">
      <alignment vertical="top"/>
    </xf>
    <xf numFmtId="0" fontId="12" borderId="28" applyNumberFormat="0" applyFont="1" applyFill="0" applyBorder="1" applyAlignment="1" applyProtection="0">
      <alignment vertical="top"/>
    </xf>
    <xf numFmtId="0" fontId="11" borderId="29" applyNumberFormat="0" applyFont="1" applyFill="0" applyBorder="1" applyAlignment="1" applyProtection="0">
      <alignment vertical="top"/>
    </xf>
    <xf numFmtId="0" fontId="11" borderId="4" applyNumberFormat="0" applyFont="1" applyFill="0" applyBorder="1" applyAlignment="1" applyProtection="0">
      <alignment vertical="top"/>
    </xf>
    <xf numFmtId="37" fontId="11" borderId="4" applyNumberFormat="1" applyFont="1" applyFill="0" applyBorder="1" applyAlignment="1" applyProtection="0">
      <alignment vertical="top"/>
    </xf>
    <xf numFmtId="64" fontId="11" borderId="4" applyNumberFormat="1" applyFont="1" applyFill="0" applyBorder="1" applyAlignment="1" applyProtection="0">
      <alignment vertical="top"/>
    </xf>
    <xf numFmtId="64" fontId="11" borderId="30" applyNumberFormat="1" applyFont="1" applyFill="0" applyBorder="1" applyAlignment="1" applyProtection="0">
      <alignment vertical="top"/>
    </xf>
    <xf numFmtId="0" fontId="5" borderId="28" applyNumberFormat="0" applyFont="1" applyFill="0" applyBorder="1" applyAlignment="1" applyProtection="0">
      <alignment vertical="top"/>
    </xf>
    <xf numFmtId="49" fontId="6" borderId="28" applyNumberFormat="1" applyFont="1" applyFill="0" applyBorder="1" applyAlignment="1" applyProtection="0">
      <alignment vertical="top"/>
    </xf>
    <xf numFmtId="0" fontId="5" borderId="29" applyNumberFormat="0" applyFont="1" applyFill="0" applyBorder="1" applyAlignment="1" applyProtection="0">
      <alignment vertical="top"/>
    </xf>
    <xf numFmtId="37" fontId="13" borderId="4" applyNumberFormat="1" applyFont="1" applyFill="0" applyBorder="1" applyAlignment="1" applyProtection="0">
      <alignment vertical="top"/>
    </xf>
    <xf numFmtId="37" fontId="5" borderId="4" applyNumberFormat="1" applyFont="1" applyFill="0" applyBorder="1" applyAlignment="1" applyProtection="0">
      <alignment vertical="top"/>
    </xf>
    <xf numFmtId="0" fontId="5" borderId="31" applyNumberFormat="0" applyFont="1" applyFill="0" applyBorder="1" applyAlignment="1" applyProtection="0">
      <alignment vertical="top"/>
    </xf>
    <xf numFmtId="49" fontId="6" borderId="31" applyNumberFormat="1" applyFont="1" applyFill="0" applyBorder="1" applyAlignment="1" applyProtection="0">
      <alignment vertical="top"/>
    </xf>
    <xf numFmtId="37" fontId="10" borderId="14" applyNumberFormat="1" applyFont="1" applyFill="0" applyBorder="1" applyAlignment="1" applyProtection="0">
      <alignment vertical="top"/>
    </xf>
    <xf numFmtId="37" fontId="5" borderId="14" applyNumberFormat="1" applyFont="1" applyFill="0" applyBorder="1" applyAlignment="1" applyProtection="0">
      <alignment vertical="top"/>
    </xf>
    <xf numFmtId="37" fontId="14" borderId="3" applyNumberFormat="1" applyFont="1" applyFill="0" applyBorder="1" applyAlignment="1" applyProtection="0">
      <alignment vertical="top"/>
    </xf>
    <xf numFmtId="37" fontId="13" borderId="3" applyNumberFormat="1" applyFont="1" applyFill="0" applyBorder="1" applyAlignment="1" applyProtection="0">
      <alignment vertical="top"/>
    </xf>
    <xf numFmtId="37" fontId="13" borderId="14" applyNumberFormat="1" applyFont="1" applyFill="0" applyBorder="1" applyAlignment="1" applyProtection="0">
      <alignment vertical="top"/>
    </xf>
    <xf numFmtId="64" fontId="11" borderId="14" applyNumberFormat="1" applyFont="1" applyFill="0" applyBorder="1" applyAlignment="1" applyProtection="0">
      <alignment vertical="top"/>
    </xf>
    <xf numFmtId="0" fontId="6" borderId="28" applyNumberFormat="0" applyFont="1" applyFill="0" applyBorder="1" applyAlignment="1" applyProtection="0">
      <alignment vertical="top"/>
    </xf>
    <xf numFmtId="37" fontId="10" borderId="4" applyNumberFormat="1" applyFont="1" applyFill="0" applyBorder="1" applyAlignment="1" applyProtection="0">
      <alignment vertical="top"/>
    </xf>
    <xf numFmtId="37" fontId="5" borderId="30" applyNumberFormat="1" applyFont="1" applyFill="0" applyBorder="1" applyAlignment="1" applyProtection="0">
      <alignment vertical="top"/>
    </xf>
    <xf numFmtId="0" fontId="6" borderId="31" applyNumberFormat="0" applyFont="1" applyFill="0" applyBorder="1" applyAlignment="1" applyProtection="0">
      <alignment vertical="top"/>
    </xf>
    <xf numFmtId="0" fontId="6" borderId="26" applyNumberFormat="0" applyFont="1" applyFill="0" applyBorder="1" applyAlignment="1" applyProtection="0">
      <alignment vertical="top"/>
    </xf>
    <xf numFmtId="0" fontId="6" borderId="14" applyNumberFormat="0" applyFont="1" applyFill="0" applyBorder="1" applyAlignment="1" applyProtection="0">
      <alignment vertical="top"/>
    </xf>
    <xf numFmtId="37" fontId="6" borderId="14" applyNumberFormat="1" applyFont="1" applyFill="0" applyBorder="1" applyAlignment="1" applyProtection="0">
      <alignment vertical="top"/>
    </xf>
    <xf numFmtId="0" fontId="12" borderId="32" applyNumberFormat="0" applyFont="1" applyFill="0" applyBorder="1" applyAlignment="1" applyProtection="0">
      <alignment vertical="top"/>
    </xf>
    <xf numFmtId="49" fontId="12" borderId="32" applyNumberFormat="1" applyFont="1" applyFill="0" applyBorder="1" applyAlignment="1" applyProtection="0">
      <alignment vertical="top"/>
    </xf>
    <xf numFmtId="0" fontId="12" borderId="33" applyNumberFormat="0" applyFont="1" applyFill="0" applyBorder="1" applyAlignment="1" applyProtection="0">
      <alignment vertical="top"/>
    </xf>
    <xf numFmtId="0" fontId="12" borderId="34" applyNumberFormat="0" applyFont="1" applyFill="0" applyBorder="1" applyAlignment="1" applyProtection="0">
      <alignment vertical="top"/>
    </xf>
    <xf numFmtId="37" fontId="15" borderId="34" applyNumberFormat="1" applyFont="1" applyFill="0" applyBorder="1" applyAlignment="1" applyProtection="0">
      <alignment vertical="top"/>
    </xf>
    <xf numFmtId="64" fontId="11" borderId="34" applyNumberFormat="1" applyFont="1" applyFill="0" applyBorder="1" applyAlignment="1" applyProtection="0">
      <alignment vertical="top"/>
    </xf>
    <xf numFmtId="0" fontId="5" borderId="35" applyNumberFormat="0" applyFont="1" applyFill="0" applyBorder="1" applyAlignment="1" applyProtection="0">
      <alignment vertical="top"/>
    </xf>
    <xf numFmtId="0" fontId="6" borderId="35" applyNumberFormat="0" applyFont="1" applyFill="0" applyBorder="1" applyAlignment="1" applyProtection="0">
      <alignment vertical="top"/>
    </xf>
    <xf numFmtId="0" fontId="5" borderId="36" applyNumberFormat="0" applyFont="1" applyFill="0" applyBorder="1" applyAlignment="1" applyProtection="0">
      <alignment vertical="top"/>
    </xf>
    <xf numFmtId="0" fontId="5" borderId="37" applyNumberFormat="0" applyFont="1" applyFill="0" applyBorder="1" applyAlignment="1" applyProtection="0">
      <alignment vertical="top"/>
    </xf>
    <xf numFmtId="37" fontId="10" borderId="37" applyNumberFormat="1" applyFont="1" applyFill="0" applyBorder="1" applyAlignment="1" applyProtection="0">
      <alignment vertical="top"/>
    </xf>
    <xf numFmtId="37" fontId="5" borderId="37" applyNumberFormat="1" applyFont="1" applyFill="0" applyBorder="1" applyAlignment="1" applyProtection="0">
      <alignment vertical="top"/>
    </xf>
    <xf numFmtId="62" fontId="11" fillId="4" borderId="17" applyNumberFormat="1" applyFont="1" applyFill="1" applyBorder="1" applyAlignment="1" applyProtection="0">
      <alignment vertical="top"/>
    </xf>
    <xf numFmtId="62" fontId="11" fillId="4" borderId="7" applyNumberFormat="1" applyFont="1" applyFill="1" applyBorder="1" applyAlignment="1" applyProtection="0">
      <alignment vertical="top"/>
    </xf>
    <xf numFmtId="37" fontId="14" borderId="4" applyNumberFormat="1" applyFont="1" applyFill="0" applyBorder="1" applyAlignment="1" applyProtection="0">
      <alignment vertical="top"/>
    </xf>
    <xf numFmtId="0" fontId="11" borderId="38" applyNumberFormat="0" applyFont="1" applyFill="0" applyBorder="1" applyAlignment="1" applyProtection="0">
      <alignment vertical="top"/>
    </xf>
    <xf numFmtId="0" fontId="12" borderId="38" applyNumberFormat="0" applyFont="1" applyFill="0" applyBorder="1" applyAlignment="1" applyProtection="0">
      <alignment vertical="top"/>
    </xf>
    <xf numFmtId="0" fontId="11" borderId="2" applyNumberFormat="0" applyFont="1" applyFill="0" applyBorder="1" applyAlignment="1" applyProtection="0">
      <alignment vertical="top"/>
    </xf>
    <xf numFmtId="0" fontId="11" borderId="16" applyNumberFormat="0" applyFont="1" applyFill="0" applyBorder="1" applyAlignment="1" applyProtection="0">
      <alignment vertical="top"/>
    </xf>
    <xf numFmtId="37" fontId="14" borderId="16" applyNumberFormat="1" applyFont="1" applyFill="0" applyBorder="1" applyAlignment="1" applyProtection="0">
      <alignment vertical="top"/>
    </xf>
    <xf numFmtId="64" fontId="11" borderId="23" applyNumberFormat="1" applyFont="1" applyFill="0" applyBorder="1" applyAlignment="1" applyProtection="0">
      <alignment vertical="top"/>
    </xf>
    <xf numFmtId="0" fontId="5" borderId="38" applyNumberFormat="0" applyFont="1" applyFill="0" applyBorder="1" applyAlignment="1" applyProtection="0">
      <alignment vertical="top"/>
    </xf>
    <xf numFmtId="49" fontId="6" borderId="38" applyNumberFormat="1" applyFont="1" applyFill="0" applyBorder="1" applyAlignment="1" applyProtection="0">
      <alignment vertical="top"/>
    </xf>
    <xf numFmtId="0" fontId="5" borderId="16" applyNumberFormat="0" applyFont="1" applyFill="0" applyBorder="1" applyAlignment="1" applyProtection="0">
      <alignment vertical="top"/>
    </xf>
    <xf numFmtId="37" fontId="5" borderId="16" applyNumberFormat="1" applyFont="1" applyFill="0" applyBorder="1" applyAlignment="1" applyProtection="0">
      <alignment vertical="top"/>
    </xf>
    <xf numFmtId="0" fontId="5" borderId="39" applyNumberFormat="0" applyFont="1" applyFill="0" applyBorder="1" applyAlignment="1" applyProtection="0">
      <alignment vertical="top"/>
    </xf>
    <xf numFmtId="49" fontId="6" borderId="39" applyNumberFormat="1" applyFont="1" applyFill="0" applyBorder="1" applyAlignment="1" applyProtection="0">
      <alignment vertical="top"/>
    </xf>
    <xf numFmtId="64" fontId="11" borderId="25" applyNumberFormat="1" applyFont="1" applyFill="0" applyBorder="1" applyAlignment="1" applyProtection="0">
      <alignment vertical="top"/>
    </xf>
    <xf numFmtId="49" fontId="12" borderId="38" applyNumberFormat="1" applyFont="1" applyFill="0" applyBorder="1" applyAlignment="1" applyProtection="0">
      <alignment vertical="top"/>
    </xf>
    <xf numFmtId="0" fontId="12" borderId="39" applyNumberFormat="0" applyFont="1" applyFill="0" applyBorder="1" applyAlignment="1" applyProtection="0">
      <alignment vertical="top"/>
    </xf>
    <xf numFmtId="37" fontId="10" borderId="25" applyNumberFormat="1" applyFont="1" applyFill="0" applyBorder="1" applyAlignment="1" applyProtection="0">
      <alignment vertical="top"/>
    </xf>
    <xf numFmtId="37" fontId="5" borderId="25" applyNumberFormat="1" applyFont="1" applyFill="0" applyBorder="1" applyAlignment="1" applyProtection="0">
      <alignment vertical="top"/>
    </xf>
    <xf numFmtId="64" fontId="5" borderId="3" applyNumberFormat="1" applyFont="1" applyFill="0" applyBorder="1" applyAlignment="1" applyProtection="0">
      <alignment vertical="top"/>
    </xf>
    <xf numFmtId="0" fontId="5" borderId="32" applyNumberFormat="0" applyFont="1" applyFill="0" applyBorder="1" applyAlignment="1" applyProtection="0">
      <alignment vertical="top"/>
    </xf>
    <xf numFmtId="0" fontId="6" borderId="32" applyNumberFormat="0" applyFont="1" applyFill="0" applyBorder="1" applyAlignment="1" applyProtection="0">
      <alignment vertical="top"/>
    </xf>
    <xf numFmtId="0" fontId="5" borderId="33" applyNumberFormat="0" applyFont="1" applyFill="0" applyBorder="1" applyAlignment="1" applyProtection="0">
      <alignment vertical="top"/>
    </xf>
    <xf numFmtId="0" fontId="5" borderId="34" applyNumberFormat="0" applyFont="1" applyFill="0" applyBorder="1" applyAlignment="1" applyProtection="0">
      <alignment vertical="top"/>
    </xf>
    <xf numFmtId="37" fontId="5" borderId="34" applyNumberFormat="1" applyFont="1" applyFill="0" applyBorder="1" applyAlignment="1" applyProtection="0">
      <alignment vertical="top"/>
    </xf>
    <xf numFmtId="37" fontId="5" borderId="40" applyNumberFormat="1" applyFont="1" applyFill="0" applyBorder="1" applyAlignment="1" applyProtection="0">
      <alignment vertical="top"/>
    </xf>
    <xf numFmtId="37" fontId="5" borderId="41" applyNumberFormat="1" applyFont="1" applyFill="0" applyBorder="1" applyAlignment="1" applyProtection="0">
      <alignment vertical="top"/>
    </xf>
    <xf numFmtId="49" fontId="6" borderId="35" applyNumberFormat="1" applyFont="1" applyFill="0" applyBorder="1" applyAlignment="1" applyProtection="0">
      <alignment vertical="top"/>
    </xf>
    <xf numFmtId="0" fontId="6" borderId="36" applyNumberFormat="0" applyFont="1" applyFill="0" applyBorder="1" applyAlignment="1" applyProtection="0">
      <alignment vertical="top"/>
    </xf>
    <xf numFmtId="0" fontId="6" borderId="37" applyNumberFormat="0" applyFont="1" applyFill="0" applyBorder="1" applyAlignment="1" applyProtection="0">
      <alignment vertical="top"/>
    </xf>
    <xf numFmtId="37" fontId="6" borderId="37" applyNumberFormat="1" applyFont="1" applyFill="0" applyBorder="1" applyAlignment="1" applyProtection="0">
      <alignment vertical="top"/>
    </xf>
    <xf numFmtId="37" fontId="6" borderId="42" applyNumberFormat="1" applyFont="1" applyFill="0" applyBorder="1" applyAlignment="1" applyProtection="0">
      <alignment vertical="top"/>
    </xf>
    <xf numFmtId="64" fontId="12" borderId="3" applyNumberFormat="1" applyFont="1" applyFill="0" applyBorder="1" applyAlignment="1" applyProtection="0">
      <alignment vertical="top"/>
    </xf>
    <xf numFmtId="0" fontId="8" borderId="3" applyNumberFormat="0" applyFont="1" applyFill="0" applyBorder="1" applyAlignment="1" applyProtection="0">
      <alignment vertical="top"/>
    </xf>
    <xf numFmtId="37" fontId="16" borderId="3" applyNumberFormat="1" applyFont="1" applyFill="0" applyBorder="1" applyAlignment="1" applyProtection="0">
      <alignment vertical="top"/>
    </xf>
    <xf numFmtId="0" fontId="16" borderId="3" applyNumberFormat="0" applyFont="1" applyFill="0" applyBorder="1" applyAlignment="1" applyProtection="0">
      <alignment vertical="top"/>
    </xf>
    <xf numFmtId="3" fontId="5" borderId="3" applyNumberFormat="1" applyFont="1" applyFill="0" applyBorder="1" applyAlignment="1" applyProtection="0">
      <alignment vertical="top"/>
    </xf>
    <xf numFmtId="0" fontId="5" borderId="43" applyNumberFormat="0" applyFont="1" applyFill="0" applyBorder="1" applyAlignment="1" applyProtection="0">
      <alignment vertical="top"/>
    </xf>
    <xf numFmtId="0" fontId="6" borderId="43" applyNumberFormat="0" applyFont="1" applyFill="0" applyBorder="1" applyAlignment="1" applyProtection="0">
      <alignment vertical="top"/>
    </xf>
    <xf numFmtId="49" fontId="6" borderId="1" applyNumberFormat="1" applyFont="1" applyFill="0" applyBorder="1" applyAlignment="1" applyProtection="0">
      <alignment vertical="top"/>
    </xf>
    <xf numFmtId="0" fontId="11" borderId="43" applyNumberFormat="0" applyFont="1" applyFill="0" applyBorder="1" applyAlignment="1" applyProtection="0">
      <alignment vertical="top"/>
    </xf>
    <xf numFmtId="49" fontId="12" borderId="43" applyNumberFormat="1" applyFont="1" applyFill="0" applyBorder="1" applyAlignment="1" applyProtection="0">
      <alignment vertical="top"/>
    </xf>
    <xf numFmtId="0" fontId="5" borderId="21" applyNumberFormat="0" applyFont="1" applyFill="0" applyBorder="1" applyAlignment="1" applyProtection="0">
      <alignment vertical="top"/>
    </xf>
    <xf numFmtId="49" fontId="5" borderId="1" applyNumberFormat="1" applyFont="1" applyFill="0" applyBorder="1" applyAlignment="1" applyProtection="0">
      <alignment vertical="top"/>
    </xf>
    <xf numFmtId="49" fontId="8" fillId="6" borderId="1" applyNumberFormat="1" applyFont="1" applyFill="1" applyBorder="1" applyAlignment="1" applyProtection="0">
      <alignment vertical="top"/>
    </xf>
    <xf numFmtId="49" fontId="6" borderId="21" applyNumberFormat="1" applyFont="1" applyFill="0" applyBorder="1" applyAlignment="1" applyProtection="0">
      <alignment vertical="top"/>
    </xf>
    <xf numFmtId="3" fontId="10" borderId="3" applyNumberFormat="1" applyFont="1" applyFill="0" applyBorder="1" applyAlignment="1" applyProtection="0">
      <alignment vertical="top"/>
    </xf>
    <xf numFmtId="0" fontId="11" borderId="21" applyNumberFormat="0" applyFont="1" applyFill="0" applyBorder="1" applyAlignment="1" applyProtection="0">
      <alignment vertical="top"/>
    </xf>
    <xf numFmtId="49" fontId="12" borderId="21" applyNumberFormat="1" applyFont="1" applyFill="0" applyBorder="1" applyAlignment="1" applyProtection="0">
      <alignment vertical="top"/>
    </xf>
    <xf numFmtId="3" fontId="16" borderId="3" applyNumberFormat="1" applyFont="1" applyFill="0" applyBorder="1" applyAlignment="1" applyProtection="0">
      <alignment vertical="top"/>
    </xf>
    <xf numFmtId="64" fontId="5" borderId="14" applyNumberFormat="1" applyFont="1" applyFill="0" applyBorder="1" applyAlignment="1" applyProtection="0">
      <alignment vertical="top"/>
    </xf>
    <xf numFmtId="0" fontId="5" borderId="44" applyNumberFormat="0" applyFont="1" applyFill="0" applyBorder="1" applyAlignment="1" applyProtection="0">
      <alignment vertical="top"/>
    </xf>
    <xf numFmtId="0" fontId="6" borderId="44" applyNumberFormat="0" applyFont="1" applyFill="0" applyBorder="1" applyAlignment="1" applyProtection="0">
      <alignment vertical="top"/>
    </xf>
    <xf numFmtId="0" fontId="5" borderId="45" applyNumberFormat="0" applyFont="1" applyFill="0" applyBorder="1" applyAlignment="1" applyProtection="0">
      <alignment vertical="top"/>
    </xf>
    <xf numFmtId="0" fontId="5" borderId="46" applyNumberFormat="0" applyFont="1" applyFill="0" applyBorder="1" applyAlignment="1" applyProtection="0">
      <alignment vertical="top"/>
    </xf>
    <xf numFmtId="64" fontId="5" borderId="46" applyNumberFormat="1" applyFont="1" applyFill="0" applyBorder="1" applyAlignment="1" applyProtection="0">
      <alignment vertical="top"/>
    </xf>
    <xf numFmtId="0" fontId="5" borderId="47" applyNumberFormat="0" applyFont="1" applyFill="0" applyBorder="1" applyAlignment="1" applyProtection="0">
      <alignment vertical="top"/>
    </xf>
    <xf numFmtId="49" fontId="6" borderId="47" applyNumberFormat="1" applyFont="1" applyFill="0" applyBorder="1" applyAlignment="1" applyProtection="0">
      <alignment vertical="top"/>
    </xf>
    <xf numFmtId="0" fontId="5" borderId="48" applyNumberFormat="0" applyFont="1" applyFill="0" applyBorder="1" applyAlignment="1" applyProtection="0">
      <alignment vertical="top"/>
    </xf>
    <xf numFmtId="0" fontId="5" borderId="49" applyNumberFormat="0" applyFont="1" applyFill="0" applyBorder="1" applyAlignment="1" applyProtection="0">
      <alignment vertical="top"/>
    </xf>
    <xf numFmtId="37" fontId="6" borderId="49" applyNumberFormat="1" applyFont="1" applyFill="0" applyBorder="1" applyAlignment="1" applyProtection="0">
      <alignment vertical="top"/>
    </xf>
    <xf numFmtId="37" fontId="6" borderId="50" applyNumberFormat="1" applyFont="1" applyFill="0" applyBorder="1" applyAlignment="1" applyProtection="0">
      <alignment vertical="top"/>
    </xf>
    <xf numFmtId="0" fontId="5" borderId="51" applyNumberFormat="0" applyFont="1" applyFill="0" applyBorder="1" applyAlignment="1" applyProtection="0">
      <alignment vertical="top"/>
    </xf>
    <xf numFmtId="0" fontId="5" borderId="52" applyNumberFormat="0" applyFont="1" applyFill="0" applyBorder="1" applyAlignment="1" applyProtection="0">
      <alignment vertical="top"/>
    </xf>
    <xf numFmtId="64" fontId="5" borderId="52" applyNumberFormat="1" applyFont="1" applyFill="0" applyBorder="1" applyAlignment="1" applyProtection="0">
      <alignment vertical="top"/>
    </xf>
    <xf numFmtId="49" fontId="12" borderId="1" applyNumberFormat="1" applyFont="1" applyFill="0" applyBorder="1" applyAlignment="1" applyProtection="0">
      <alignment vertical="top"/>
    </xf>
    <xf numFmtId="64" fontId="11" borderId="27" applyNumberFormat="1" applyFont="1" applyFill="0" applyBorder="1" applyAlignment="1" applyProtection="0">
      <alignment vertical="top"/>
    </xf>
    <xf numFmtId="3" fontId="5" borderId="16" applyNumberFormat="1" applyFont="1" applyFill="0" applyBorder="1" applyAlignment="1" applyProtection="0">
      <alignment vertical="top"/>
    </xf>
    <xf numFmtId="64" fontId="5" borderId="27" applyNumberFormat="1" applyFont="1" applyFill="0" applyBorder="1" applyAlignment="1" applyProtection="0">
      <alignment vertical="top"/>
    </xf>
    <xf numFmtId="64" fontId="5" borderId="41" applyNumberFormat="1" applyFont="1" applyFill="0" applyBorder="1" applyAlignment="1" applyProtection="0">
      <alignment vertical="top"/>
    </xf>
    <xf numFmtId="0" fontId="5" borderId="41" applyNumberFormat="0" applyFont="1" applyFill="0" applyBorder="1" applyAlignment="1" applyProtection="0">
      <alignment vertical="top"/>
    </xf>
    <xf numFmtId="0" fontId="6" borderId="47" applyNumberFormat="0" applyFont="1" applyFill="0" applyBorder="1" applyAlignment="1" applyProtection="0">
      <alignment vertical="top"/>
    </xf>
    <xf numFmtId="0" fontId="6" borderId="53" applyNumberFormat="0" applyFont="1" applyFill="0" applyBorder="1" applyAlignment="1" applyProtection="0">
      <alignment vertical="top"/>
    </xf>
    <xf numFmtId="0" fontId="6" borderId="42" applyNumberFormat="0" applyFont="1" applyFill="0" applyBorder="1" applyAlignment="1" applyProtection="0">
      <alignment vertical="top"/>
    </xf>
    <xf numFmtId="64" fontId="6" borderId="42" applyNumberFormat="1" applyFont="1" applyFill="0" applyBorder="1" applyAlignment="1" applyProtection="0">
      <alignment vertical="top"/>
    </xf>
    <xf numFmtId="49" fontId="6" borderId="44" applyNumberFormat="1" applyFont="1" applyFill="0" applyBorder="1" applyAlignment="1" applyProtection="0">
      <alignment vertical="top"/>
    </xf>
    <xf numFmtId="37" fontId="5" borderId="46" applyNumberFormat="1" applyFont="1" applyFill="0" applyBorder="1" applyAlignment="1" applyProtection="0">
      <alignment vertical="top"/>
    </xf>
    <xf numFmtId="64" fontId="5" borderId="49" applyNumberFormat="1" applyFont="1" applyFill="0" applyBorder="1" applyAlignment="1" applyProtection="0">
      <alignment vertical="top"/>
    </xf>
    <xf numFmtId="0" fontId="5" borderId="50" applyNumberFormat="0" applyFont="1" applyFill="0" applyBorder="1" applyAlignment="1" applyProtection="0">
      <alignment vertical="top"/>
    </xf>
    <xf numFmtId="0" fontId="5" borderId="54" applyNumberFormat="0" applyFont="1" applyFill="0" applyBorder="1" applyAlignment="1" applyProtection="0">
      <alignment vertical="top"/>
    </xf>
    <xf numFmtId="0" fontId="5" borderId="55" applyNumberFormat="0" applyFont="1" applyFill="0" applyBorder="1" applyAlignment="1" applyProtection="0">
      <alignment vertical="top"/>
    </xf>
    <xf numFmtId="64" fontId="5" borderId="55" applyNumberFormat="1" applyFont="1" applyFill="0" applyBorder="1" applyAlignment="1" applyProtection="0">
      <alignment vertical="top"/>
    </xf>
    <xf numFmtId="3" fontId="5" borderId="56" applyNumberFormat="1" applyFont="1" applyFill="0" applyBorder="1" applyAlignment="1" applyProtection="0">
      <alignment vertical="top"/>
    </xf>
    <xf numFmtId="0" fontId="5" borderId="56" applyNumberFormat="0" applyFont="1" applyFill="0" applyBorder="1" applyAlignment="1" applyProtection="0">
      <alignment vertical="top"/>
    </xf>
    <xf numFmtId="0" fontId="17" borderId="1" applyNumberFormat="0" applyFont="1" applyFill="0" applyBorder="1" applyAlignment="1" applyProtection="0">
      <alignment vertical="top"/>
    </xf>
    <xf numFmtId="49" fontId="17" borderId="1" applyNumberFormat="1" applyFont="1" applyFill="0" applyBorder="1" applyAlignment="1" applyProtection="0">
      <alignment vertical="top"/>
    </xf>
    <xf numFmtId="3" fontId="17" borderId="1" applyNumberFormat="1" applyFont="1" applyFill="0" applyBorder="1" applyAlignment="1" applyProtection="0">
      <alignment vertical="top"/>
    </xf>
    <xf numFmtId="0" fontId="17" borderId="5" applyNumberFormat="0" applyFont="1" applyFill="0" applyBorder="1" applyAlignment="1" applyProtection="0">
      <alignment vertical="top"/>
    </xf>
    <xf numFmtId="49" fontId="17" borderId="5" applyNumberFormat="1" applyFont="1" applyFill="0" applyBorder="1" applyAlignment="1" applyProtection="0">
      <alignment vertical="top"/>
    </xf>
    <xf numFmtId="3" fontId="17" borderId="5" applyNumberFormat="1" applyFont="1" applyFill="0" applyBorder="1" applyAlignment="1" applyProtection="0">
      <alignment vertical="top"/>
    </xf>
    <xf numFmtId="0" fontId="17" borderId="5" applyNumberFormat="1" applyFont="1" applyFill="0" applyBorder="1" applyAlignment="1" applyProtection="0">
      <alignment vertical="top"/>
    </xf>
    <xf numFmtId="0" fontId="0" applyNumberFormat="1" applyFont="1" applyFill="0" applyBorder="0" applyAlignment="1" applyProtection="0">
      <alignment vertical="top" wrapText="1"/>
    </xf>
    <xf numFmtId="0" fontId="18" applyNumberFormat="0" applyFont="1" applyFill="0" applyBorder="0" applyAlignment="1" applyProtection="0">
      <alignment horizontal="left" vertical="center"/>
    </xf>
    <xf numFmtId="49" fontId="7" borderId="3" applyNumberFormat="1" applyFont="1" applyFill="0" applyBorder="1" applyAlignment="1" applyProtection="0">
      <alignment vertical="top"/>
    </xf>
    <xf numFmtId="49" fontId="19" fillId="6" borderId="3" applyNumberFormat="1" applyFont="1" applyFill="1" applyBorder="1" applyAlignment="1" applyProtection="0">
      <alignment vertical="top" wrapText="1"/>
    </xf>
    <xf numFmtId="49" fontId="20" borderId="3" applyNumberFormat="1" applyFont="1" applyFill="0" applyBorder="1" applyAlignment="1" applyProtection="0">
      <alignment vertical="top" wrapText="1"/>
    </xf>
    <xf numFmtId="37" fontId="0" borderId="3" applyNumberFormat="1" applyFont="1" applyFill="0" applyBorder="1" applyAlignment="1" applyProtection="0">
      <alignment vertical="top" wrapText="1"/>
    </xf>
    <xf numFmtId="64" fontId="0" borderId="3" applyNumberFormat="1" applyFont="1" applyFill="0" applyBorder="1" applyAlignment="1" applyProtection="0">
      <alignment vertical="top" wrapText="1"/>
    </xf>
    <xf numFmtId="10"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20" borderId="3" applyNumberFormat="1" applyFont="1" applyFill="0" applyBorder="1" applyAlignment="1" applyProtection="0">
      <alignment vertical="top"/>
    </xf>
    <xf numFmtId="0" fontId="20" borderId="3" applyNumberFormat="0" applyFont="1" applyFill="0" applyBorder="1" applyAlignment="1" applyProtection="0">
      <alignment vertical="top" wrapText="1"/>
    </xf>
    <xf numFmtId="9" fontId="0" borderId="3" applyNumberFormat="1" applyFont="1" applyFill="0" applyBorder="1" applyAlignment="1" applyProtection="0">
      <alignment vertical="top" wrapText="1"/>
    </xf>
    <xf numFmtId="65"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7" applyNumberFormat="0" applyFont="1" applyFill="0" applyBorder="0" applyAlignment="1" applyProtection="0">
      <alignment horizontal="left" vertical="center"/>
    </xf>
    <xf numFmtId="0" fontId="21" borderId="3" applyNumberFormat="0" applyFont="1" applyFill="0" applyBorder="1" applyAlignment="1" applyProtection="0">
      <alignment vertical="top" wrapText="1"/>
    </xf>
    <xf numFmtId="49" fontId="22" borderId="3" applyNumberFormat="1" applyFont="1" applyFill="0" applyBorder="1" applyAlignment="1" applyProtection="0">
      <alignment vertical="top" wrapText="1"/>
    </xf>
    <xf numFmtId="59" fontId="21" borderId="57" applyNumberFormat="1" applyFont="1" applyFill="0" applyBorder="1" applyAlignment="1" applyProtection="0">
      <alignment vertical="top" wrapText="1"/>
    </xf>
    <xf numFmtId="66" fontId="23" borderId="58" applyNumberFormat="1" applyFont="1" applyFill="0" applyBorder="1" applyAlignment="1" applyProtection="0">
      <alignment vertical="top" wrapText="1" readingOrder="1"/>
    </xf>
    <xf numFmtId="0" fontId="22" borderId="3" applyNumberFormat="0" applyFont="1" applyFill="0" applyBorder="1" applyAlignment="1" applyProtection="0">
      <alignment vertical="top" wrapText="1"/>
    </xf>
    <xf numFmtId="0" fontId="21" borderId="3" applyNumberFormat="1" applyFont="1" applyFill="0" applyBorder="1" applyAlignment="1" applyProtection="0">
      <alignment vertical="top" wrapText="1"/>
    </xf>
    <xf numFmtId="1" fontId="21" borderId="3" applyNumberFormat="1" applyFont="1" applyFill="0" applyBorder="1" applyAlignment="1" applyProtection="0">
      <alignment vertical="top" wrapText="1"/>
    </xf>
    <xf numFmtId="49" fontId="24" borderId="3" applyNumberFormat="1" applyFont="1" applyFill="0"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ed220b"/>
      <rgbColor rgb="ffa5a5a5"/>
      <rgbColor rgb="ff98185e"/>
      <rgbColor rgb="ffdee2e6"/>
      <rgbColor rgb="ff212529"/>
      <rgbColor rgb="ff2b2b2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26</v>
      </c>
      <c r="C11" s="3"/>
      <c r="D11" s="3"/>
    </row>
    <row r="12">
      <c r="B12" s="4"/>
      <c r="C12" t="s" s="4">
        <v>26</v>
      </c>
      <c r="D12" t="s" s="5">
        <v>64</v>
      </c>
    </row>
    <row r="13">
      <c r="B13" t="s" s="3">
        <v>78</v>
      </c>
      <c r="C13" s="3"/>
      <c r="D13" s="3"/>
    </row>
    <row r="14">
      <c r="B14" s="4"/>
      <c r="C14" t="s" s="4">
        <v>79</v>
      </c>
      <c r="D14" t="s" s="5">
        <v>80</v>
      </c>
    </row>
  </sheetData>
  <mergeCells count="1">
    <mergeCell ref="B3:D3"/>
  </mergeCells>
  <hyperlinks>
    <hyperlink ref="D10" location="'Model - Booking DCF'!R2C1" tooltip="" display="Model - Booking DCF"/>
    <hyperlink ref="D12" location="'WACC - WACC'!R2C1" tooltip="" display="WACC - WACC"/>
    <hyperlink ref="D14" location="'Sheet 2 - Booking Metrics for C'!R2C1" tooltip="" display="Sheet 2 - Booking Metrics for C"/>
  </hyperlinks>
</worksheet>
</file>

<file path=xl/worksheets/sheet2.xml><?xml version="1.0" encoding="utf-8"?>
<worksheet xmlns:r="http://schemas.openxmlformats.org/officeDocument/2006/relationships" xmlns="http://schemas.openxmlformats.org/spreadsheetml/2006/main">
  <sheetPr>
    <pageSetUpPr fitToPage="1"/>
  </sheetPr>
  <dimension ref="A2:T137"/>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2.5" style="6" customWidth="1"/>
    <col min="2" max="2" width="25.4219" style="6" customWidth="1"/>
    <col min="3" max="20" width="16.3516" style="6" customWidth="1"/>
    <col min="21" max="256" width="16.3516" style="6" customWidth="1"/>
  </cols>
  <sheetData>
    <row r="1" ht="31" customHeight="1">
      <c r="A1" t="s" s="7">
        <v>5</v>
      </c>
      <c r="B1" s="7"/>
      <c r="C1" s="7"/>
      <c r="D1" s="7"/>
      <c r="E1" s="7"/>
      <c r="F1" s="7"/>
      <c r="G1" s="7"/>
      <c r="H1" s="7"/>
      <c r="I1" s="7"/>
      <c r="J1" s="7"/>
      <c r="K1" s="7"/>
      <c r="L1" s="7"/>
      <c r="M1" s="7"/>
      <c r="N1" s="7"/>
      <c r="O1" s="7"/>
      <c r="P1" s="7"/>
      <c r="Q1" s="7"/>
      <c r="R1" s="7"/>
      <c r="S1" s="7"/>
      <c r="T1" s="7"/>
    </row>
    <row r="2" ht="21.5" customHeight="1">
      <c r="A2" s="8"/>
      <c r="B2" s="9"/>
      <c r="C2" s="10"/>
      <c r="D2" s="11"/>
      <c r="E2" s="11"/>
      <c r="F2" s="12"/>
      <c r="G2" s="11"/>
      <c r="H2" s="11"/>
      <c r="I2" s="11"/>
      <c r="J2" s="11"/>
      <c r="K2" s="11"/>
      <c r="L2" s="11"/>
      <c r="M2" s="11"/>
      <c r="N2" s="11"/>
      <c r="O2" s="11"/>
      <c r="P2" s="11"/>
      <c r="Q2" s="11"/>
      <c r="R2" s="11"/>
      <c r="S2" s="11"/>
      <c r="T2" s="11"/>
    </row>
    <row r="3" ht="23" customHeight="1">
      <c r="A3" s="13"/>
      <c r="B3" t="s" s="14">
        <v>7</v>
      </c>
      <c r="C3" t="s" s="15">
        <v>8</v>
      </c>
      <c r="D3" s="16"/>
      <c r="E3" t="s" s="17">
        <v>9</v>
      </c>
      <c r="F3" s="18">
        <f>T135</f>
        <v>2496.3477085254</v>
      </c>
      <c r="G3" s="19"/>
      <c r="H3" s="20"/>
      <c r="I3" s="21"/>
      <c r="J3" s="11"/>
      <c r="K3" s="11"/>
      <c r="L3" s="11"/>
      <c r="M3" s="11"/>
      <c r="N3" s="11"/>
      <c r="O3" s="11"/>
      <c r="P3" s="11"/>
      <c r="Q3" s="11"/>
      <c r="R3" s="11"/>
      <c r="S3" s="11"/>
      <c r="T3" s="11"/>
    </row>
    <row r="4" ht="23" customHeight="1">
      <c r="A4" s="13"/>
      <c r="B4" t="s" s="14">
        <v>10</v>
      </c>
      <c r="C4" s="22">
        <v>43348</v>
      </c>
      <c r="D4" s="16"/>
      <c r="E4" t="s" s="17">
        <v>11</v>
      </c>
      <c r="F4" s="18">
        <v>1814.85</v>
      </c>
      <c r="G4" s="19"/>
      <c r="H4" t="s" s="17">
        <v>12</v>
      </c>
      <c r="I4" s="23">
        <f>F3/F4-1</f>
        <v>0.375511865181916</v>
      </c>
      <c r="J4" s="24"/>
      <c r="K4" s="11"/>
      <c r="L4" s="11"/>
      <c r="M4" s="11"/>
      <c r="N4" s="11"/>
      <c r="O4" s="11"/>
      <c r="P4" s="11"/>
      <c r="Q4" s="11"/>
      <c r="R4" s="11"/>
      <c r="S4" s="11"/>
      <c r="T4" s="11"/>
    </row>
    <row r="5" ht="21.5" customHeight="1">
      <c r="A5" s="13"/>
      <c r="B5" s="25"/>
      <c r="C5" s="26"/>
      <c r="D5" s="11"/>
      <c r="E5" s="11"/>
      <c r="F5" s="27"/>
      <c r="G5" s="11"/>
      <c r="H5" s="11"/>
      <c r="I5" s="27"/>
      <c r="J5" s="11"/>
      <c r="K5" s="11"/>
      <c r="L5" s="11"/>
      <c r="M5" s="11"/>
      <c r="N5" s="11"/>
      <c r="O5" s="11"/>
      <c r="P5" s="11"/>
      <c r="Q5" s="11"/>
      <c r="R5" s="11"/>
      <c r="S5" s="11"/>
      <c r="T5" s="11"/>
    </row>
    <row r="6" ht="21" customHeight="1">
      <c r="A6" s="13"/>
      <c r="B6" s="25"/>
      <c r="C6" s="28"/>
      <c r="D6" s="11"/>
      <c r="E6" s="11"/>
      <c r="F6" s="11"/>
      <c r="G6" s="11"/>
      <c r="H6" s="11"/>
      <c r="I6" s="11"/>
      <c r="J6" s="11"/>
      <c r="K6" s="11"/>
      <c r="L6" s="11"/>
      <c r="M6" s="11"/>
      <c r="N6" s="11"/>
      <c r="O6" s="11"/>
      <c r="P6" s="11"/>
      <c r="Q6" s="11"/>
      <c r="R6" s="11"/>
      <c r="S6" s="11"/>
      <c r="T6" s="11"/>
    </row>
    <row r="7" ht="21" customHeight="1">
      <c r="A7" t="s" s="29">
        <v>13</v>
      </c>
      <c r="B7" t="s" s="30">
        <v>14</v>
      </c>
      <c r="C7" s="31"/>
      <c r="D7" s="32"/>
      <c r="E7" s="33"/>
      <c r="F7" s="33"/>
      <c r="G7" s="33"/>
      <c r="H7" s="33"/>
      <c r="I7" s="33"/>
      <c r="J7" s="33"/>
      <c r="K7" s="33"/>
      <c r="L7" s="33"/>
      <c r="M7" s="33"/>
      <c r="N7" s="33"/>
      <c r="O7" s="33"/>
      <c r="P7" s="33"/>
      <c r="Q7" s="33"/>
      <c r="R7" s="33"/>
      <c r="S7" s="33"/>
      <c r="T7" s="33"/>
    </row>
    <row r="8" ht="21.5" customHeight="1">
      <c r="A8" s="13"/>
      <c r="B8" t="s" s="34">
        <v>15</v>
      </c>
      <c r="C8" s="10"/>
      <c r="D8" s="11"/>
      <c r="E8" t="s" s="35">
        <v>16</v>
      </c>
      <c r="F8" s="11"/>
      <c r="G8" t="s" s="35">
        <v>17</v>
      </c>
      <c r="H8" s="36"/>
      <c r="I8" t="s" s="35">
        <v>18</v>
      </c>
      <c r="J8" s="11"/>
      <c r="K8" s="36"/>
      <c r="L8" s="11"/>
      <c r="M8" s="11"/>
      <c r="N8" s="11"/>
      <c r="O8" s="11"/>
      <c r="P8" s="11"/>
      <c r="Q8" s="11"/>
      <c r="R8" s="11"/>
      <c r="S8" s="11"/>
      <c r="T8" s="11"/>
    </row>
    <row r="9" ht="22" customHeight="1">
      <c r="A9" s="13"/>
      <c r="B9" t="s" s="14">
        <v>19</v>
      </c>
      <c r="C9" s="37">
        <v>2</v>
      </c>
      <c r="D9" s="38"/>
      <c r="E9" s="39">
        <v>0.8</v>
      </c>
      <c r="F9" s="40"/>
      <c r="G9" s="41">
        <v>0.03</v>
      </c>
      <c r="H9" s="40"/>
      <c r="I9" s="39">
        <v>1.2</v>
      </c>
      <c r="J9" s="16"/>
      <c r="K9" s="11"/>
      <c r="L9" s="11"/>
      <c r="M9" s="11"/>
      <c r="N9" s="11"/>
      <c r="O9" s="11"/>
      <c r="P9" s="11"/>
      <c r="Q9" s="11"/>
      <c r="R9" s="11"/>
      <c r="S9" s="11"/>
      <c r="T9" s="11"/>
    </row>
    <row r="10" ht="22" customHeight="1">
      <c r="A10" s="13"/>
      <c r="B10" t="s" s="14">
        <v>20</v>
      </c>
      <c r="C10" s="37">
        <v>2</v>
      </c>
      <c r="D10" s="38"/>
      <c r="E10" s="42">
        <v>0.9</v>
      </c>
      <c r="F10" s="38"/>
      <c r="G10" s="43">
        <v>0.15</v>
      </c>
      <c r="H10" s="38"/>
      <c r="I10" s="42">
        <v>1.1</v>
      </c>
      <c r="J10" s="16"/>
      <c r="K10" s="11"/>
      <c r="L10" s="11"/>
      <c r="M10" s="11"/>
      <c r="N10" s="11"/>
      <c r="O10" s="11"/>
      <c r="P10" s="11"/>
      <c r="Q10" s="11"/>
      <c r="R10" s="11"/>
      <c r="S10" s="11"/>
      <c r="T10" s="11"/>
    </row>
    <row r="11" ht="22" customHeight="1">
      <c r="A11" s="13"/>
      <c r="B11" t="s" s="44">
        <v>21</v>
      </c>
      <c r="C11" s="37">
        <v>2</v>
      </c>
      <c r="D11" s="38"/>
      <c r="E11" s="42">
        <v>1.1</v>
      </c>
      <c r="F11" s="38"/>
      <c r="G11" s="41">
        <v>-0.02</v>
      </c>
      <c r="H11" s="38"/>
      <c r="I11" s="42">
        <v>0.9</v>
      </c>
      <c r="J11" s="16"/>
      <c r="K11" s="11"/>
      <c r="L11" s="11"/>
      <c r="M11" s="11"/>
      <c r="N11" s="11"/>
      <c r="O11" s="11"/>
      <c r="P11" s="11"/>
      <c r="Q11" s="11"/>
      <c r="R11" s="11"/>
      <c r="S11" s="11"/>
      <c r="T11" s="11"/>
    </row>
    <row r="12" ht="22" customHeight="1">
      <c r="A12" s="13"/>
      <c r="B12" t="s" s="45">
        <v>22</v>
      </c>
      <c r="C12" s="37">
        <v>2</v>
      </c>
      <c r="D12" s="38"/>
      <c r="E12" s="42">
        <v>0.9</v>
      </c>
      <c r="F12" s="38"/>
      <c r="G12" s="43">
        <v>0.05</v>
      </c>
      <c r="H12" s="38"/>
      <c r="I12" s="42">
        <v>1.1</v>
      </c>
      <c r="J12" s="16"/>
      <c r="K12" s="11"/>
      <c r="L12" s="11"/>
      <c r="M12" s="11"/>
      <c r="N12" s="11"/>
      <c r="O12" s="11"/>
      <c r="P12" s="11"/>
      <c r="Q12" s="11"/>
      <c r="R12" s="11"/>
      <c r="S12" s="11"/>
      <c r="T12" s="11"/>
    </row>
    <row r="13" ht="22" customHeight="1">
      <c r="A13" s="13"/>
      <c r="B13" t="s" s="45">
        <v>23</v>
      </c>
      <c r="C13" s="46">
        <v>2</v>
      </c>
      <c r="D13" s="38"/>
      <c r="E13" s="47">
        <v>0.8</v>
      </c>
      <c r="F13" s="38"/>
      <c r="G13" s="48">
        <v>0.15</v>
      </c>
      <c r="H13" s="38"/>
      <c r="I13" s="47">
        <v>1.2</v>
      </c>
      <c r="J13" s="16"/>
      <c r="K13" s="11"/>
      <c r="L13" s="11"/>
      <c r="M13" s="11"/>
      <c r="N13" s="11"/>
      <c r="O13" s="11"/>
      <c r="P13" s="11"/>
      <c r="Q13" s="11"/>
      <c r="R13" s="11"/>
      <c r="S13" s="11"/>
      <c r="T13" s="11"/>
    </row>
    <row r="14" ht="22" customHeight="1">
      <c r="A14" s="13"/>
      <c r="B14" s="49"/>
      <c r="C14" s="50"/>
      <c r="D14" s="11"/>
      <c r="E14" s="51"/>
      <c r="F14" s="11"/>
      <c r="G14" s="51"/>
      <c r="H14" s="11"/>
      <c r="I14" s="51"/>
      <c r="J14" s="11"/>
      <c r="K14" s="11"/>
      <c r="L14" s="11"/>
      <c r="M14" s="11"/>
      <c r="N14" s="11"/>
      <c r="O14" s="11"/>
      <c r="P14" s="11"/>
      <c r="Q14" s="11"/>
      <c r="R14" s="11"/>
      <c r="S14" s="11"/>
      <c r="T14" s="11"/>
    </row>
    <row r="15" ht="23" customHeight="1">
      <c r="A15" s="13"/>
      <c r="B15" t="s" s="45">
        <v>24</v>
      </c>
      <c r="C15" s="37">
        <v>2</v>
      </c>
      <c r="D15" s="38"/>
      <c r="E15" s="42">
        <v>0.9</v>
      </c>
      <c r="F15" s="38"/>
      <c r="G15" s="43">
        <v>0.25</v>
      </c>
      <c r="H15" s="38"/>
      <c r="I15" s="42">
        <v>1.1</v>
      </c>
      <c r="J15" s="16"/>
      <c r="K15" t="s" s="52">
        <v>25</v>
      </c>
      <c r="L15" s="11"/>
      <c r="M15" s="11"/>
      <c r="N15" s="11"/>
      <c r="O15" s="11"/>
      <c r="P15" s="11"/>
      <c r="Q15" s="11"/>
      <c r="R15" s="11"/>
      <c r="S15" s="11"/>
      <c r="T15" s="11"/>
    </row>
    <row r="16" ht="23" customHeight="1">
      <c r="A16" s="13"/>
      <c r="B16" t="s" s="45">
        <v>26</v>
      </c>
      <c r="C16" s="37">
        <v>2</v>
      </c>
      <c r="D16" s="38"/>
      <c r="E16" s="53">
        <f>G16+$K$16</f>
        <v>0.0890992219304397</v>
      </c>
      <c r="F16" s="38"/>
      <c r="G16" s="54">
        <f>'WACC - WACC'!B21</f>
        <v>0.0840992219304397</v>
      </c>
      <c r="H16" s="38"/>
      <c r="I16" s="54">
        <f>G16-$K$16</f>
        <v>0.07909922193043969</v>
      </c>
      <c r="J16" s="38"/>
      <c r="K16" s="55">
        <v>0.005</v>
      </c>
      <c r="L16" s="16"/>
      <c r="M16" s="11"/>
      <c r="N16" s="11"/>
      <c r="O16" s="11"/>
      <c r="P16" s="11"/>
      <c r="Q16" s="11"/>
      <c r="R16" s="11"/>
      <c r="S16" s="11"/>
      <c r="T16" s="11"/>
    </row>
    <row r="17" ht="23" customHeight="1">
      <c r="A17" s="13"/>
      <c r="B17" t="s" s="45">
        <v>27</v>
      </c>
      <c r="C17" s="46">
        <v>2</v>
      </c>
      <c r="D17" s="38"/>
      <c r="E17" s="56">
        <f>G17-$K$17</f>
        <v>0.015</v>
      </c>
      <c r="F17" s="38"/>
      <c r="G17" s="48">
        <v>0.02</v>
      </c>
      <c r="H17" s="38"/>
      <c r="I17" s="47">
        <f>G17+$K$17</f>
        <v>0.025</v>
      </c>
      <c r="J17" s="38"/>
      <c r="K17" s="55">
        <v>0.005</v>
      </c>
      <c r="L17" s="16"/>
      <c r="M17" s="11"/>
      <c r="N17" s="11"/>
      <c r="O17" s="11"/>
      <c r="P17" s="11"/>
      <c r="Q17" s="11"/>
      <c r="R17" s="11"/>
      <c r="S17" s="11"/>
      <c r="T17" s="11"/>
    </row>
    <row r="18" ht="22" customHeight="1">
      <c r="A18" s="13"/>
      <c r="B18" s="49"/>
      <c r="C18" s="50"/>
      <c r="D18" s="11"/>
      <c r="E18" s="27"/>
      <c r="F18" s="11"/>
      <c r="G18" s="27"/>
      <c r="H18" s="11"/>
      <c r="I18" s="27"/>
      <c r="J18" s="11"/>
      <c r="K18" s="57"/>
      <c r="L18" s="11"/>
      <c r="M18" s="11"/>
      <c r="N18" s="11"/>
      <c r="O18" s="11"/>
      <c r="P18" s="11"/>
      <c r="Q18" s="11"/>
      <c r="R18" s="11"/>
      <c r="S18" s="11"/>
      <c r="T18" s="11"/>
    </row>
    <row r="19" ht="22" customHeight="1">
      <c r="A19" s="13"/>
      <c r="B19" t="s" s="45">
        <v>26</v>
      </c>
      <c r="C19" s="54">
        <f>CHOOSE(C16,E16,G16,I16)</f>
        <v>0.0840992219304397</v>
      </c>
      <c r="D19" s="16"/>
      <c r="E19" s="11"/>
      <c r="F19" s="11"/>
      <c r="G19" s="11"/>
      <c r="H19" s="11"/>
      <c r="I19" s="11"/>
      <c r="J19" s="11"/>
      <c r="K19" s="11"/>
      <c r="L19" s="11"/>
      <c r="M19" s="11"/>
      <c r="N19" s="11"/>
      <c r="O19" s="11"/>
      <c r="P19" s="11"/>
      <c r="Q19" s="11"/>
      <c r="R19" s="11"/>
      <c r="S19" s="11"/>
      <c r="T19" s="11"/>
    </row>
    <row r="20" ht="22" customHeight="1">
      <c r="A20" s="13"/>
      <c r="B20" t="s" s="45">
        <v>27</v>
      </c>
      <c r="C20" s="48">
        <f>CHOOSE(C17,E17,G17,I17)</f>
        <v>0.02</v>
      </c>
      <c r="D20" s="16"/>
      <c r="E20" s="11"/>
      <c r="F20" s="11"/>
      <c r="G20" s="11"/>
      <c r="H20" s="11"/>
      <c r="I20" s="11"/>
      <c r="J20" s="11"/>
      <c r="K20" s="11"/>
      <c r="L20" s="11"/>
      <c r="M20" s="11"/>
      <c r="N20" s="11"/>
      <c r="O20" s="11"/>
      <c r="P20" s="11"/>
      <c r="Q20" s="11"/>
      <c r="R20" s="11"/>
      <c r="S20" s="11"/>
      <c r="T20" s="11"/>
    </row>
    <row r="21" ht="21.5" customHeight="1">
      <c r="A21" s="13"/>
      <c r="B21" s="9"/>
      <c r="C21" s="58"/>
      <c r="D21" s="11"/>
      <c r="E21" s="11"/>
      <c r="F21" s="11"/>
      <c r="G21" s="11"/>
      <c r="H21" s="11"/>
      <c r="I21" s="11"/>
      <c r="J21" s="11"/>
      <c r="K21" s="11"/>
      <c r="L21" s="11"/>
      <c r="M21" s="11"/>
      <c r="N21" s="11"/>
      <c r="O21" s="11"/>
      <c r="P21" s="11"/>
      <c r="Q21" s="11"/>
      <c r="R21" s="11"/>
      <c r="S21" s="11"/>
      <c r="T21" s="11"/>
    </row>
    <row r="22" ht="21" customHeight="1">
      <c r="A22" t="s" s="29">
        <v>13</v>
      </c>
      <c r="B22" t="s" s="30">
        <v>28</v>
      </c>
      <c r="C22" s="31"/>
      <c r="D22" s="32"/>
      <c r="E22" s="59">
        <v>2016</v>
      </c>
      <c r="F22" s="59">
        <v>2017</v>
      </c>
      <c r="G22" s="59">
        <v>2018</v>
      </c>
      <c r="H22" s="59">
        <v>2019</v>
      </c>
      <c r="I22" s="59">
        <v>2020</v>
      </c>
      <c r="J22" s="59">
        <v>2021</v>
      </c>
      <c r="K22" s="59">
        <v>2022</v>
      </c>
      <c r="L22" s="59">
        <v>2023</v>
      </c>
      <c r="M22" s="59">
        <v>2024</v>
      </c>
      <c r="N22" s="59">
        <v>2025</v>
      </c>
      <c r="O22" s="59">
        <v>2026</v>
      </c>
      <c r="P22" s="59">
        <v>2027</v>
      </c>
      <c r="Q22" s="59">
        <v>2028</v>
      </c>
      <c r="R22" s="59">
        <v>2029</v>
      </c>
      <c r="S22" s="59">
        <v>2030</v>
      </c>
      <c r="T22" s="59">
        <v>2031</v>
      </c>
    </row>
    <row r="23" ht="21" customHeight="1">
      <c r="A23" s="13"/>
      <c r="B23" s="25"/>
      <c r="C23" s="28"/>
      <c r="D23" s="11"/>
      <c r="E23" s="60"/>
      <c r="F23" s="60"/>
      <c r="G23" s="60"/>
      <c r="H23" s="60"/>
      <c r="I23" s="60"/>
      <c r="J23" s="61"/>
      <c r="K23" s="60"/>
      <c r="L23" s="60"/>
      <c r="M23" s="60"/>
      <c r="N23" s="60"/>
      <c r="O23" s="60"/>
      <c r="P23" s="60"/>
      <c r="Q23" s="60"/>
      <c r="R23" s="60"/>
      <c r="S23" s="60"/>
      <c r="T23" s="60"/>
    </row>
    <row r="24" ht="21" customHeight="1">
      <c r="A24" s="13"/>
      <c r="B24" t="s" s="34">
        <v>19</v>
      </c>
      <c r="C24" s="28"/>
      <c r="D24" s="11"/>
      <c r="E24" s="62">
        <v>58638</v>
      </c>
      <c r="F24" s="62">
        <v>69697</v>
      </c>
      <c r="G24" s="62">
        <v>73919</v>
      </c>
      <c r="H24" s="62">
        <v>70651</v>
      </c>
      <c r="I24" s="62">
        <v>24475</v>
      </c>
      <c r="J24" s="62">
        <v>50741</v>
      </c>
      <c r="K24" s="60">
        <f>K41*K30</f>
        <v>72441.3330757606</v>
      </c>
      <c r="L24" s="60">
        <f>L41*L30</f>
        <v>80019.8811332381</v>
      </c>
      <c r="M24" s="60">
        <f>L24*(1+M25)</f>
        <v>87321.695286646107</v>
      </c>
      <c r="N24" s="60">
        <f>M24*(1+N25)</f>
        <v>94525.7351477944</v>
      </c>
      <c r="O24" s="60">
        <f>N24*(1+O25)</f>
        <v>101497.008114944</v>
      </c>
      <c r="P24" s="60">
        <f>O24*(1+P25)</f>
        <v>108094.313642415</v>
      </c>
      <c r="Q24" s="60">
        <f>P24*(1+Q25)</f>
        <v>114174.618784801</v>
      </c>
      <c r="R24" s="60">
        <f>Q24*(1+R25)</f>
        <v>119597.913177079</v>
      </c>
      <c r="S24" s="60">
        <f>R24*(1+S25)</f>
        <v>124232.332312691</v>
      </c>
      <c r="T24" s="60">
        <f>S24*(1+T25)</f>
        <v>127959.302282072</v>
      </c>
    </row>
    <row r="25" ht="21.5" customHeight="1">
      <c r="A25" s="63"/>
      <c r="B25" t="s" s="64">
        <v>29</v>
      </c>
      <c r="C25" s="65"/>
      <c r="D25" s="66"/>
      <c r="E25" s="67"/>
      <c r="F25" s="68">
        <f>F24/E24-1</f>
        <v>0.188597837579726</v>
      </c>
      <c r="G25" s="68">
        <f>G24/F24-1</f>
        <v>0.0605764954015237</v>
      </c>
      <c r="H25" s="68">
        <f>H24/G24-1</f>
        <v>-0.0442105547964664</v>
      </c>
      <c r="I25" s="68">
        <f>I24/H24-1</f>
        <v>-0.653578859464126</v>
      </c>
      <c r="J25" s="68">
        <f>J24/I24-1</f>
        <v>1.07317671092952</v>
      </c>
      <c r="K25" s="69">
        <f>K24/J24-1</f>
        <v>0.427668612675363</v>
      </c>
      <c r="L25" s="69">
        <f>L24/K24-1</f>
        <v>0.104616352787872</v>
      </c>
      <c r="M25" s="69">
        <f>OFFSET(M25,$C$9,0)</f>
        <v>0.09125</v>
      </c>
      <c r="N25" s="69">
        <f>OFFSET(N25,$C$9,0)</f>
        <v>0.0825</v>
      </c>
      <c r="O25" s="69">
        <f>OFFSET(O25,$C$9,0)</f>
        <v>0.07375</v>
      </c>
      <c r="P25" s="69">
        <f>OFFSET(P25,$C$9,0)</f>
        <v>0.065</v>
      </c>
      <c r="Q25" s="69">
        <f>OFFSET(Q25,$C$9,0)</f>
        <v>0.05625</v>
      </c>
      <c r="R25" s="69">
        <f>OFFSET(R25,$C$9,0)</f>
        <v>0.0475</v>
      </c>
      <c r="S25" s="69">
        <f>OFFSET(S25,$C$9,0)</f>
        <v>0.03875</v>
      </c>
      <c r="T25" s="69">
        <f>OFFSET(T25,$C$9,0)</f>
        <v>0.03</v>
      </c>
    </row>
    <row r="26" ht="22" customHeight="1">
      <c r="A26" s="13"/>
      <c r="B26" t="s" s="34">
        <v>30</v>
      </c>
      <c r="C26" s="28"/>
      <c r="D26" s="11"/>
      <c r="E26" s="62"/>
      <c r="F26" s="62"/>
      <c r="G26" s="62"/>
      <c r="H26" s="62"/>
      <c r="I26" s="62"/>
      <c r="J26" s="70"/>
      <c r="K26" s="71">
        <f>K27</f>
        <v>0.43</v>
      </c>
      <c r="L26" s="71">
        <f>L27</f>
        <v>0.1</v>
      </c>
      <c r="M26" s="71">
        <f>M27*$E$9</f>
        <v>0.073</v>
      </c>
      <c r="N26" s="71">
        <f>N27*$E$9</f>
        <v>0.066</v>
      </c>
      <c r="O26" s="71">
        <f>O27*$E$9</f>
        <v>0.059</v>
      </c>
      <c r="P26" s="71">
        <f>P27*$E$9</f>
        <v>0.052</v>
      </c>
      <c r="Q26" s="71">
        <f>Q27*$E$9</f>
        <v>0.045</v>
      </c>
      <c r="R26" s="71">
        <f>R27*$E$9</f>
        <v>0.038</v>
      </c>
      <c r="S26" s="71">
        <f>S27*$E$9</f>
        <v>0.031</v>
      </c>
      <c r="T26" s="71">
        <f>T27*$E$9</f>
        <v>0.024</v>
      </c>
    </row>
    <row r="27" ht="22" customHeight="1">
      <c r="A27" s="13"/>
      <c r="B27" t="s" s="34">
        <v>31</v>
      </c>
      <c r="C27" s="28"/>
      <c r="D27" s="11"/>
      <c r="E27" s="62"/>
      <c r="F27" s="62"/>
      <c r="G27" s="62"/>
      <c r="H27" s="62"/>
      <c r="I27" s="62"/>
      <c r="J27" s="70"/>
      <c r="K27" s="71">
        <v>0.43</v>
      </c>
      <c r="L27" s="71">
        <v>0.1</v>
      </c>
      <c r="M27" s="71">
        <f>L27-(L27-$T$27)/($T$22-L22)</f>
        <v>0.09125</v>
      </c>
      <c r="N27" s="71">
        <f>M27-(M27-$T$27)/($T$22-M22)</f>
        <v>0.0825</v>
      </c>
      <c r="O27" s="71">
        <f>N27-(N27-$T$27)/($T$22-N22)</f>
        <v>0.07375</v>
      </c>
      <c r="P27" s="71">
        <f>O27-(O27-$T$27)/($T$22-O22)</f>
        <v>0.065</v>
      </c>
      <c r="Q27" s="71">
        <f>P27-(P27-$T$27)/($T$22-P22)</f>
        <v>0.05625</v>
      </c>
      <c r="R27" s="71">
        <f>Q27-(Q27-$T$27)/($T$22-Q22)</f>
        <v>0.0475</v>
      </c>
      <c r="S27" s="71">
        <f>R27-(R27-$T$27)/($T$22-R22)</f>
        <v>0.03875</v>
      </c>
      <c r="T27" s="71">
        <f>G9</f>
        <v>0.03</v>
      </c>
    </row>
    <row r="28" ht="22" customHeight="1">
      <c r="A28" s="13"/>
      <c r="B28" t="s" s="34">
        <v>32</v>
      </c>
      <c r="C28" s="28"/>
      <c r="D28" s="11"/>
      <c r="E28" s="62"/>
      <c r="F28" s="62"/>
      <c r="G28" s="62"/>
      <c r="H28" s="62"/>
      <c r="I28" s="62"/>
      <c r="J28" s="70"/>
      <c r="K28" s="72">
        <f>K27</f>
        <v>0.43</v>
      </c>
      <c r="L28" s="72">
        <f>L27</f>
        <v>0.1</v>
      </c>
      <c r="M28" s="72">
        <f>M27*$I$9</f>
        <v>0.1095</v>
      </c>
      <c r="N28" s="72">
        <f>N27*$I$9</f>
        <v>0.099</v>
      </c>
      <c r="O28" s="72">
        <f>O27*$I$9</f>
        <v>0.0885</v>
      </c>
      <c r="P28" s="72">
        <f>P27*$I$9</f>
        <v>0.078</v>
      </c>
      <c r="Q28" s="72">
        <f>Q27*$I$9</f>
        <v>0.0675</v>
      </c>
      <c r="R28" s="72">
        <f>R27*$I$9</f>
        <v>0.057</v>
      </c>
      <c r="S28" s="72">
        <f>S27*$I$9</f>
        <v>0.0465</v>
      </c>
      <c r="T28" s="72">
        <f>T27*$I$9</f>
        <v>0.036</v>
      </c>
    </row>
    <row r="29" ht="22" customHeight="1">
      <c r="A29" s="73"/>
      <c r="B29" s="74"/>
      <c r="C29" s="75"/>
      <c r="D29" s="76"/>
      <c r="E29" s="77"/>
      <c r="F29" s="78"/>
      <c r="G29" s="78"/>
      <c r="H29" s="78"/>
      <c r="I29" s="78"/>
      <c r="J29" s="78"/>
      <c r="K29" s="79"/>
      <c r="L29" s="79"/>
      <c r="M29" s="79"/>
      <c r="N29" s="79"/>
      <c r="O29" s="79"/>
      <c r="P29" s="79"/>
      <c r="Q29" s="79"/>
      <c r="R29" s="79"/>
      <c r="S29" s="79"/>
      <c r="T29" s="79"/>
    </row>
    <row r="30" ht="19.9" customHeight="1" hidden="1">
      <c r="A30" s="80"/>
      <c r="B30" t="s" s="81">
        <v>33</v>
      </c>
      <c r="C30" s="82"/>
      <c r="D30" s="12"/>
      <c r="E30" s="83">
        <f>E24/E41</f>
        <v>7.3461723683294</v>
      </c>
      <c r="F30" s="83">
        <f>F24/F41</f>
        <v>7.17490220300597</v>
      </c>
      <c r="G30" s="83">
        <f>G24/G41</f>
        <v>7.05333969465649</v>
      </c>
      <c r="H30" s="83">
        <f>H24/H41</f>
        <v>6.98339428684393</v>
      </c>
      <c r="I30" s="83">
        <f>I24/I41</f>
        <v>5.6733889661567</v>
      </c>
      <c r="J30" s="83">
        <f>J24/J41</f>
        <v>7.61533843613988</v>
      </c>
      <c r="K30" s="83">
        <f>AVERAGE(J30,I30,H30)</f>
        <v>6.75737389638017</v>
      </c>
      <c r="L30" s="83">
        <f>AVERAGE(K30,J30,I30)</f>
        <v>6.68203376622558</v>
      </c>
      <c r="M30" s="84"/>
      <c r="N30" s="84"/>
      <c r="O30" s="84"/>
      <c r="P30" s="84"/>
      <c r="Q30" s="84"/>
      <c r="R30" s="84"/>
      <c r="S30" s="84"/>
      <c r="T30" s="84"/>
    </row>
    <row r="31" ht="21.5" customHeight="1">
      <c r="A31" s="85"/>
      <c r="B31" t="s" s="86">
        <v>20</v>
      </c>
      <c r="C31" s="58"/>
      <c r="D31" s="27"/>
      <c r="E31" s="87">
        <v>9449</v>
      </c>
      <c r="F31" s="87">
        <v>11529</v>
      </c>
      <c r="G31" s="87">
        <v>18812</v>
      </c>
      <c r="H31" s="87">
        <v>25791</v>
      </c>
      <c r="I31" s="87">
        <v>25845</v>
      </c>
      <c r="J31" s="87">
        <v>10920</v>
      </c>
      <c r="K31" s="88">
        <f>K48*K36</f>
        <v>36909.6324151125</v>
      </c>
      <c r="L31" s="88">
        <f>L48*L36</f>
        <v>45275.8280897182</v>
      </c>
      <c r="M31" s="88">
        <f>L31*(1+M32)</f>
        <v>50086.3848242508</v>
      </c>
      <c r="N31" s="88">
        <f>M31*(1+N32)</f>
        <v>55721.103116979</v>
      </c>
      <c r="O31" s="88">
        <f>N31*(1+O32)</f>
        <v>62337.9841121203</v>
      </c>
      <c r="P31" s="88">
        <f>O31*(1+P32)</f>
        <v>70130.232126135306</v>
      </c>
      <c r="Q31" s="88">
        <f>P31*(1+Q32)</f>
        <v>79334.8250926906</v>
      </c>
      <c r="R31" s="88">
        <f>Q31*(1+R32)</f>
        <v>90243.363542935607</v>
      </c>
      <c r="S31" s="88">
        <f>R31*(1+S32)</f>
        <v>103215.847052233</v>
      </c>
      <c r="T31" s="88">
        <f>S31*(1+T32)</f>
        <v>118698.224110068</v>
      </c>
    </row>
    <row r="32" ht="21.5" customHeight="1">
      <c r="A32" s="63"/>
      <c r="B32" t="s" s="64">
        <v>29</v>
      </c>
      <c r="C32" s="65"/>
      <c r="D32" s="66"/>
      <c r="E32" s="89"/>
      <c r="F32" s="68">
        <f>F31/E31-1</f>
        <v>0.220129114191978</v>
      </c>
      <c r="G32" s="68">
        <f>G31/F31-1</f>
        <v>0.631711336629369</v>
      </c>
      <c r="H32" s="68">
        <f>H31/G31-1</f>
        <v>0.370986604295131</v>
      </c>
      <c r="I32" s="68">
        <f>I31/H31-1</f>
        <v>0.00209375363498895</v>
      </c>
      <c r="J32" s="68">
        <f>J31/I31-1</f>
        <v>-0.577481137550784</v>
      </c>
      <c r="K32" s="69">
        <f>K31/J31-1</f>
        <v>2.3800029684169</v>
      </c>
      <c r="L32" s="69">
        <f>L31/K31-1</f>
        <v>0.226667000649408</v>
      </c>
      <c r="M32" s="69">
        <f>OFFSET(M32,$C$10,0)</f>
        <v>0.10625</v>
      </c>
      <c r="N32" s="69">
        <f>OFFSET(N32,$C$10,0)</f>
        <v>0.1125</v>
      </c>
      <c r="O32" s="69">
        <f>OFFSET(O32,$C$10,0)</f>
        <v>0.11875</v>
      </c>
      <c r="P32" s="69">
        <f>OFFSET(P32,$C$10,0)</f>
        <v>0.125</v>
      </c>
      <c r="Q32" s="69">
        <f>OFFSET(Q32,$C$10,0)</f>
        <v>0.13125</v>
      </c>
      <c r="R32" s="69">
        <f>OFFSET(R32,$C$10,0)</f>
        <v>0.1375</v>
      </c>
      <c r="S32" s="69">
        <f>OFFSET(S32,$C$10,0)</f>
        <v>0.14375</v>
      </c>
      <c r="T32" s="69">
        <f>OFFSET(T32,$C$10,0)</f>
        <v>0.15</v>
      </c>
    </row>
    <row r="33" ht="22" customHeight="1">
      <c r="A33" s="13"/>
      <c r="B33" t="s" s="34">
        <v>30</v>
      </c>
      <c r="C33" s="28"/>
      <c r="D33" s="11"/>
      <c r="E33" s="62"/>
      <c r="F33" s="62"/>
      <c r="G33" s="62"/>
      <c r="H33" s="62"/>
      <c r="I33" s="62"/>
      <c r="J33" s="70"/>
      <c r="K33" s="71">
        <f>K34</f>
        <v>0.43</v>
      </c>
      <c r="L33" s="71">
        <f>L34</f>
        <v>0.1</v>
      </c>
      <c r="M33" s="71">
        <f>M34*$E$9</f>
        <v>0.08500000000000001</v>
      </c>
      <c r="N33" s="71">
        <f>N34*$E$9</f>
        <v>0.09</v>
      </c>
      <c r="O33" s="71">
        <f>O34*$E$9</f>
        <v>0.095</v>
      </c>
      <c r="P33" s="71">
        <f>P34*$E$9</f>
        <v>0.1</v>
      </c>
      <c r="Q33" s="71">
        <f>Q34*$E$9</f>
        <v>0.105</v>
      </c>
      <c r="R33" s="71">
        <f>R34*$E$9</f>
        <v>0.11</v>
      </c>
      <c r="S33" s="71">
        <f>S34*$E$9</f>
        <v>0.115</v>
      </c>
      <c r="T33" s="71">
        <f>T34*$E$10</f>
        <v>0.135</v>
      </c>
    </row>
    <row r="34" ht="22" customHeight="1">
      <c r="A34" s="13"/>
      <c r="B34" t="s" s="34">
        <v>31</v>
      </c>
      <c r="C34" s="28"/>
      <c r="D34" s="11"/>
      <c r="E34" s="62"/>
      <c r="F34" s="62"/>
      <c r="G34" s="62"/>
      <c r="H34" s="62"/>
      <c r="I34" s="62"/>
      <c r="J34" s="70"/>
      <c r="K34" s="71">
        <v>0.43</v>
      </c>
      <c r="L34" s="71">
        <v>0.1</v>
      </c>
      <c r="M34" s="71">
        <f>L34-(L34-$T$34)/($T$22-L22)</f>
        <v>0.10625</v>
      </c>
      <c r="N34" s="71">
        <f>M34-(M34-$T$34)/($T$22-M22)</f>
        <v>0.1125</v>
      </c>
      <c r="O34" s="71">
        <f>N34-(N34-$T$34)/($T$22-N22)</f>
        <v>0.11875</v>
      </c>
      <c r="P34" s="71">
        <f>O34-(O34-$T$34)/($T$22-O22)</f>
        <v>0.125</v>
      </c>
      <c r="Q34" s="71">
        <f>P34-(P34-$T$34)/($T$22-P22)</f>
        <v>0.13125</v>
      </c>
      <c r="R34" s="71">
        <f>Q34-(Q34-$T$34)/($T$22-Q22)</f>
        <v>0.1375</v>
      </c>
      <c r="S34" s="71">
        <f>R34-(R34-$T$34)/($T$22-R22)</f>
        <v>0.14375</v>
      </c>
      <c r="T34" s="71">
        <f>G10</f>
        <v>0.15</v>
      </c>
    </row>
    <row r="35" ht="22" customHeight="1">
      <c r="A35" s="13"/>
      <c r="B35" t="s" s="34">
        <v>32</v>
      </c>
      <c r="C35" s="28"/>
      <c r="D35" s="11"/>
      <c r="E35" s="62"/>
      <c r="F35" s="62"/>
      <c r="G35" s="62"/>
      <c r="H35" s="62"/>
      <c r="I35" s="62"/>
      <c r="J35" s="70"/>
      <c r="K35" s="72">
        <f>K34</f>
        <v>0.43</v>
      </c>
      <c r="L35" s="72">
        <f>L34</f>
        <v>0.1</v>
      </c>
      <c r="M35" s="72">
        <f>M34*$I$9</f>
        <v>0.1275</v>
      </c>
      <c r="N35" s="72">
        <f>N34*$I$9</f>
        <v>0.135</v>
      </c>
      <c r="O35" s="72">
        <f>O34*$I$9</f>
        <v>0.1425</v>
      </c>
      <c r="P35" s="72">
        <f>P34*$I$9</f>
        <v>0.15</v>
      </c>
      <c r="Q35" s="72">
        <f>Q34*$I$9</f>
        <v>0.1575</v>
      </c>
      <c r="R35" s="72">
        <f>R34*$I$9</f>
        <v>0.165</v>
      </c>
      <c r="S35" s="72">
        <f>S34*$I$9</f>
        <v>0.1725</v>
      </c>
      <c r="T35" s="72">
        <f>T34*$I$10</f>
        <v>0.165</v>
      </c>
    </row>
    <row r="36" ht="19.9" customHeight="1" hidden="1">
      <c r="A36" s="63"/>
      <c r="B36" t="s" s="34">
        <v>33</v>
      </c>
      <c r="C36" s="65"/>
      <c r="D36" s="66"/>
      <c r="E36" s="90">
        <f>E31/E48</f>
        <v>4.61375826719173</v>
      </c>
      <c r="F36" s="90">
        <f>F31/F48</f>
        <v>5.40506329113924</v>
      </c>
      <c r="G36" s="90">
        <f>G31/G48</f>
        <v>6.2979578172079</v>
      </c>
      <c r="H36" s="90">
        <f>H31/H48</f>
        <v>6.73394255874674</v>
      </c>
      <c r="I36" s="90">
        <f>I31/I48</f>
        <v>12.2083136513935</v>
      </c>
      <c r="J36" s="90">
        <f>J31/J48</f>
        <v>2.95454545454545</v>
      </c>
      <c r="K36" s="91">
        <f>AVERAGE(J36,I36,H36)</f>
        <v>7.29893388822856</v>
      </c>
      <c r="L36" s="91">
        <f>AVERAGE(K36,J36,I36)</f>
        <v>7.48726433138917</v>
      </c>
      <c r="M36" s="92"/>
      <c r="N36" s="92"/>
      <c r="O36" s="92"/>
      <c r="P36" s="92"/>
      <c r="Q36" s="92"/>
      <c r="R36" s="92"/>
      <c r="S36" s="92"/>
      <c r="T36" s="92"/>
    </row>
    <row r="37" ht="22" customHeight="1">
      <c r="A37" s="80"/>
      <c r="B37" s="93"/>
      <c r="C37" s="82"/>
      <c r="D37" s="12"/>
      <c r="E37" s="94"/>
      <c r="F37" s="94"/>
      <c r="G37" s="94"/>
      <c r="H37" s="94"/>
      <c r="I37" s="94"/>
      <c r="J37" s="94"/>
      <c r="K37" s="95"/>
      <c r="L37" s="95"/>
      <c r="M37" s="95"/>
      <c r="N37" s="95"/>
      <c r="O37" s="95"/>
      <c r="P37" s="95"/>
      <c r="Q37" s="95"/>
      <c r="R37" s="95"/>
      <c r="S37" s="95"/>
      <c r="T37" s="95"/>
    </row>
    <row r="38" ht="21.5" customHeight="1">
      <c r="A38" s="96"/>
      <c r="B38" t="s" s="86">
        <v>34</v>
      </c>
      <c r="C38" s="97"/>
      <c r="D38" s="98"/>
      <c r="E38" s="99">
        <f>SUM(E31,E24)</f>
        <v>68087</v>
      </c>
      <c r="F38" s="99">
        <f>SUM(F31,F24)</f>
        <v>81226</v>
      </c>
      <c r="G38" s="99">
        <f>SUM(G31,G24)</f>
        <v>92731</v>
      </c>
      <c r="H38" s="99">
        <f>SUM(H31,H24)</f>
        <v>96442</v>
      </c>
      <c r="I38" s="99">
        <f>SUM(I31,I24)</f>
        <v>50320</v>
      </c>
      <c r="J38" s="99">
        <f>SUM(J31,J24)</f>
        <v>61661</v>
      </c>
      <c r="K38" s="99">
        <f>SUM(K31,K24)</f>
        <v>109350.965490873</v>
      </c>
      <c r="L38" s="99">
        <f>SUM(L31,L24)</f>
        <v>125295.709222956</v>
      </c>
      <c r="M38" s="99">
        <f>SUM(M31,M24)</f>
        <v>137408.080110897</v>
      </c>
      <c r="N38" s="99">
        <f>SUM(N31,N24)</f>
        <v>150246.838264773</v>
      </c>
      <c r="O38" s="99">
        <f>SUM(O31,O24)</f>
        <v>163834.992227064</v>
      </c>
      <c r="P38" s="99">
        <f>SUM(P31,P24)</f>
        <v>178224.54576855</v>
      </c>
      <c r="Q38" s="99">
        <f>SUM(Q31,Q24)</f>
        <v>193509.443877492</v>
      </c>
      <c r="R38" s="99">
        <f>SUM(R31,R24)</f>
        <v>209841.276720015</v>
      </c>
      <c r="S38" s="99">
        <f>SUM(S31,S24)</f>
        <v>227448.179364924</v>
      </c>
      <c r="T38" s="99">
        <f>SUM(T31,T24)</f>
        <v>246657.52639214</v>
      </c>
    </row>
    <row r="39" ht="21.5" customHeight="1">
      <c r="A39" s="100"/>
      <c r="B39" t="s" s="101">
        <v>29</v>
      </c>
      <c r="C39" s="102"/>
      <c r="D39" s="103"/>
      <c r="E39" s="104"/>
      <c r="F39" s="105">
        <f>F38/E38-1</f>
        <v>0.192973695419096</v>
      </c>
      <c r="G39" s="105">
        <f>G38/F38-1</f>
        <v>0.141641838820082</v>
      </c>
      <c r="H39" s="105">
        <f>H38/G38-1</f>
        <v>0.0400189796292502</v>
      </c>
      <c r="I39" s="105">
        <f>I38/H38-1</f>
        <v>-0.478235623483545</v>
      </c>
      <c r="J39" s="105">
        <f>J38/I38-1</f>
        <v>0.225377583465819</v>
      </c>
      <c r="K39" s="105">
        <f>K38/J38-1</f>
        <v>0.773421862942103</v>
      </c>
      <c r="L39" s="105">
        <f>L38/K38-1</f>
        <v>0.14581255556828</v>
      </c>
      <c r="M39" s="105">
        <f>M38/L38-1</f>
        <v>0.09667027676412911</v>
      </c>
      <c r="N39" s="105">
        <f>N38/M38-1</f>
        <v>0.0934352488115278</v>
      </c>
      <c r="O39" s="105">
        <f>O38/N38-1</f>
        <v>0.0904388679270923</v>
      </c>
      <c r="P39" s="105">
        <f>P38/O38-1</f>
        <v>0.0878295493891993</v>
      </c>
      <c r="Q39" s="105">
        <f>Q38/P38-1</f>
        <v>0.08576202589283979</v>
      </c>
      <c r="R39" s="105">
        <f>R38/Q38-1</f>
        <v>0.0843981178141489</v>
      </c>
      <c r="S39" s="105">
        <f>S38/R38-1</f>
        <v>0.0839058116692712</v>
      </c>
      <c r="T39" s="105">
        <f>T38/S38-1</f>
        <v>0.0844559278550918</v>
      </c>
    </row>
    <row r="40" ht="21.5" customHeight="1">
      <c r="A40" s="106"/>
      <c r="B40" s="107"/>
      <c r="C40" s="108"/>
      <c r="D40" s="109"/>
      <c r="E40" s="110"/>
      <c r="F40" s="110"/>
      <c r="G40" s="110"/>
      <c r="H40" s="110"/>
      <c r="I40" s="110"/>
      <c r="J40" s="110"/>
      <c r="K40" s="111"/>
      <c r="L40" s="111"/>
      <c r="M40" s="111"/>
      <c r="N40" s="111"/>
      <c r="O40" s="111"/>
      <c r="P40" s="111"/>
      <c r="Q40" s="111"/>
      <c r="R40" s="111"/>
      <c r="S40" s="111"/>
      <c r="T40" s="111"/>
    </row>
    <row r="41" ht="21" customHeight="1">
      <c r="A41" s="13"/>
      <c r="B41" t="s" s="34">
        <v>21</v>
      </c>
      <c r="C41" s="28"/>
      <c r="D41" s="11"/>
      <c r="E41" s="62">
        <v>7982.116</v>
      </c>
      <c r="F41" s="62">
        <v>9714</v>
      </c>
      <c r="G41" s="62">
        <v>10480</v>
      </c>
      <c r="H41" s="62">
        <v>10117</v>
      </c>
      <c r="I41" s="62">
        <v>4314</v>
      </c>
      <c r="J41" s="62">
        <v>6663</v>
      </c>
      <c r="K41" s="90">
        <f>K68*K47</f>
        <v>10720.3381352875</v>
      </c>
      <c r="L41" s="90">
        <f>L68*L47</f>
        <v>11975.3781457525</v>
      </c>
      <c r="M41" s="60">
        <f>L41*(1+M42)</f>
        <v>13172.1623287452</v>
      </c>
      <c r="N41" s="60">
        <f>M41*(1+N42)</f>
        <v>14262.8595382869</v>
      </c>
      <c r="O41" s="60">
        <f>N41*(1+O42)</f>
        <v>15199.4920316567</v>
      </c>
      <c r="P41" s="60">
        <f>O41*(1+P42)</f>
        <v>15937.2064842041</v>
      </c>
      <c r="Q41" s="60">
        <f>P41*(1+Q42)</f>
        <v>16437.660278108</v>
      </c>
      <c r="R41" s="60">
        <f>Q41*(1+R42)</f>
        <v>16672.1884389851</v>
      </c>
      <c r="S41" s="60">
        <f>R41*(1+S42)</f>
        <v>16624.4037277159</v>
      </c>
      <c r="T41" s="60">
        <f>S41*(1+T42)</f>
        <v>16291.9156531616</v>
      </c>
    </row>
    <row r="42" ht="21.5" customHeight="1">
      <c r="A42" s="63"/>
      <c r="B42" t="s" s="64">
        <v>29</v>
      </c>
      <c r="C42" s="65"/>
      <c r="D42" s="66"/>
      <c r="E42" s="89"/>
      <c r="F42" s="68">
        <f>F41/E41-1</f>
        <v>0.216970537636887</v>
      </c>
      <c r="G42" s="68">
        <f>G41/F41-1</f>
        <v>0.0788552604488367</v>
      </c>
      <c r="H42" s="68">
        <f>H41/G41-1</f>
        <v>-0.0346374045801527</v>
      </c>
      <c r="I42" s="68">
        <f>I41/H41-1</f>
        <v>-0.573589008599387</v>
      </c>
      <c r="J42" s="68">
        <f>J41/I41-1</f>
        <v>0.544506258692629</v>
      </c>
      <c r="K42" s="69">
        <f>K41/J41-1</f>
        <v>0.6089356348923159</v>
      </c>
      <c r="L42" s="69">
        <f>L41/K41-1</f>
        <v>0.117070935135326</v>
      </c>
      <c r="M42" s="69">
        <f>OFFSET(M42,$C$11,0)</f>
        <v>0.0999370682434103</v>
      </c>
      <c r="N42" s="69">
        <f>OFFSET(N42,$C$11,0)</f>
        <v>0.08280320135149449</v>
      </c>
      <c r="O42" s="69">
        <f>OFFSET(O42,$C$11,0)</f>
        <v>0.0656693344595788</v>
      </c>
      <c r="P42" s="69">
        <f>OFFSET(P42,$C$11,0)</f>
        <v>0.048535467567663</v>
      </c>
      <c r="Q42" s="69">
        <f>OFFSET(Q42,$C$11,0)</f>
        <v>0.0314016006757473</v>
      </c>
      <c r="R42" s="69">
        <f>OFFSET(R42,$C$11,0)</f>
        <v>0.0142677337838315</v>
      </c>
      <c r="S42" s="69">
        <f>OFFSET(S42,$C$11,0)</f>
        <v>-0.00286613310808425</v>
      </c>
      <c r="T42" s="69">
        <f>OFFSET(T42,$C$11,0)</f>
        <v>-0.02</v>
      </c>
    </row>
    <row r="43" ht="22" customHeight="1">
      <c r="A43" s="13"/>
      <c r="B43" t="s" s="34">
        <v>30</v>
      </c>
      <c r="C43" s="28"/>
      <c r="D43" s="11"/>
      <c r="E43" s="62"/>
      <c r="F43" s="62"/>
      <c r="G43" s="62"/>
      <c r="H43" s="62"/>
      <c r="I43" s="62"/>
      <c r="J43" s="70"/>
      <c r="K43" s="71">
        <f>K44</f>
        <v>0.6089356348923159</v>
      </c>
      <c r="L43" s="71">
        <f>L44</f>
        <v>0.117070935135326</v>
      </c>
      <c r="M43" s="71">
        <f>M44*$E$9</f>
        <v>0.07994965459472821</v>
      </c>
      <c r="N43" s="71">
        <f>N44*$E$9</f>
        <v>0.0662425610811956</v>
      </c>
      <c r="O43" s="71">
        <f>O44*$E$9</f>
        <v>0.052535467567663</v>
      </c>
      <c r="P43" s="71">
        <f>P44*$E$9</f>
        <v>0.0388283740541304</v>
      </c>
      <c r="Q43" s="71">
        <f>Q44*$E$9</f>
        <v>0.0251212805405978</v>
      </c>
      <c r="R43" s="71">
        <f>R44*$E$9</f>
        <v>0.0114141870270652</v>
      </c>
      <c r="S43" s="71">
        <f>S44*$E$9</f>
        <v>-0.0022929064864674</v>
      </c>
      <c r="T43" s="112">
        <f>T44*$E$11</f>
        <v>-0.022</v>
      </c>
    </row>
    <row r="44" ht="22" customHeight="1">
      <c r="A44" s="13"/>
      <c r="B44" t="s" s="34">
        <v>31</v>
      </c>
      <c r="C44" s="28"/>
      <c r="D44" s="11"/>
      <c r="E44" s="62"/>
      <c r="F44" s="62"/>
      <c r="G44" s="62"/>
      <c r="H44" s="62"/>
      <c r="I44" s="62"/>
      <c r="J44" s="70"/>
      <c r="K44" s="71">
        <f>K42</f>
        <v>0.6089356348923159</v>
      </c>
      <c r="L44" s="71">
        <f>L42</f>
        <v>0.117070935135326</v>
      </c>
      <c r="M44" s="71">
        <f>L44-(L44-$T$44)/($T$22-L22)</f>
        <v>0.0999370682434103</v>
      </c>
      <c r="N44" s="71">
        <f>M44-(M44-$T$44)/($T$22-M22)</f>
        <v>0.08280320135149449</v>
      </c>
      <c r="O44" s="71">
        <f>N44-(N44-$T$44)/($T$22-N22)</f>
        <v>0.0656693344595788</v>
      </c>
      <c r="P44" s="71">
        <f>O44-(O44-$T$44)/($T$22-O22)</f>
        <v>0.048535467567663</v>
      </c>
      <c r="Q44" s="71">
        <f>P44-(P44-$T$44)/($T$22-P22)</f>
        <v>0.0314016006757473</v>
      </c>
      <c r="R44" s="71">
        <f>Q44-(Q44-$T$44)/($T$22-Q22)</f>
        <v>0.0142677337838315</v>
      </c>
      <c r="S44" s="71">
        <f>R44-(R44-$T$44)/($T$22-R22)</f>
        <v>-0.00286613310808425</v>
      </c>
      <c r="T44" s="71">
        <f>G11</f>
        <v>-0.02</v>
      </c>
    </row>
    <row r="45" ht="22" customHeight="1">
      <c r="A45" s="13"/>
      <c r="B45" t="s" s="34">
        <v>32</v>
      </c>
      <c r="C45" s="28"/>
      <c r="D45" s="11"/>
      <c r="E45" s="62"/>
      <c r="F45" s="62"/>
      <c r="G45" s="62"/>
      <c r="H45" s="62"/>
      <c r="I45" s="62"/>
      <c r="J45" s="70"/>
      <c r="K45" s="72">
        <f>K44</f>
        <v>0.6089356348923159</v>
      </c>
      <c r="L45" s="72">
        <f>L44</f>
        <v>0.117070935135326</v>
      </c>
      <c r="M45" s="72">
        <f>M44*$I$9</f>
        <v>0.119924481892092</v>
      </c>
      <c r="N45" s="72">
        <f>N44*$I$9</f>
        <v>0.0993638416217934</v>
      </c>
      <c r="O45" s="72">
        <f>O44*$I$9</f>
        <v>0.0788032013514946</v>
      </c>
      <c r="P45" s="72">
        <f>P44*$I$9</f>
        <v>0.0582425610811956</v>
      </c>
      <c r="Q45" s="72">
        <f>Q44*$I$9</f>
        <v>0.0376819208108968</v>
      </c>
      <c r="R45" s="72">
        <f>R44*$I$9</f>
        <v>0.0171212805405978</v>
      </c>
      <c r="S45" s="72">
        <f>S44*$I$9</f>
        <v>-0.0034393597297011</v>
      </c>
      <c r="T45" s="113">
        <f>T44*$I$11</f>
        <v>-0.018</v>
      </c>
    </row>
    <row r="46" ht="22" customHeight="1">
      <c r="A46" s="73"/>
      <c r="B46" s="74"/>
      <c r="C46" s="75"/>
      <c r="D46" s="76"/>
      <c r="E46" s="114"/>
      <c r="F46" s="78"/>
      <c r="G46" s="78"/>
      <c r="H46" s="78"/>
      <c r="I46" s="78"/>
      <c r="J46" s="78"/>
      <c r="K46" s="79"/>
      <c r="L46" s="79"/>
      <c r="M46" s="79"/>
      <c r="N46" s="79"/>
      <c r="O46" s="79"/>
      <c r="P46" s="79"/>
      <c r="Q46" s="79"/>
      <c r="R46" s="79"/>
      <c r="S46" s="79"/>
      <c r="T46" s="79"/>
    </row>
    <row r="47" ht="19.9" customHeight="1" hidden="1">
      <c r="A47" s="80"/>
      <c r="B47" t="s" s="81">
        <v>35</v>
      </c>
      <c r="C47" s="82"/>
      <c r="D47" s="12"/>
      <c r="E47" s="78">
        <f>E41/E68</f>
        <v>0.743005821648056</v>
      </c>
      <c r="F47" s="78">
        <f>F41/F68</f>
        <v>0.766027915779513</v>
      </c>
      <c r="G47" s="78">
        <f>G41/G68</f>
        <v>0.721415295656364</v>
      </c>
      <c r="H47" s="78">
        <f>H41/H68</f>
        <v>0.671512013805921</v>
      </c>
      <c r="I47" s="78">
        <f>I41/I68</f>
        <v>0.634785167745733</v>
      </c>
      <c r="J47" s="78">
        <f>J41/J68</f>
        <v>0.608048914035408</v>
      </c>
      <c r="K47" s="78">
        <f>AVERAGE(H47:J47)</f>
        <v>0.638115365195687</v>
      </c>
      <c r="L47" s="78">
        <f>AVERAGE(I47:K47)</f>
        <v>0.626983148992276</v>
      </c>
      <c r="M47" s="84"/>
      <c r="N47" s="84"/>
      <c r="O47" s="84"/>
      <c r="P47" s="84"/>
      <c r="Q47" s="84"/>
      <c r="R47" s="84"/>
      <c r="S47" s="84"/>
      <c r="T47" s="84"/>
    </row>
    <row r="48" ht="21.5" customHeight="1">
      <c r="A48" s="85"/>
      <c r="B48" t="s" s="86">
        <v>22</v>
      </c>
      <c r="C48" s="58"/>
      <c r="D48" s="27"/>
      <c r="E48" s="87">
        <v>2048.005</v>
      </c>
      <c r="F48" s="87">
        <v>2133</v>
      </c>
      <c r="G48" s="87">
        <v>2987</v>
      </c>
      <c r="H48" s="87">
        <v>3830</v>
      </c>
      <c r="I48" s="87">
        <v>2117</v>
      </c>
      <c r="J48" s="87">
        <v>3696</v>
      </c>
      <c r="K48" s="91">
        <f>K68*K54</f>
        <v>5056.852545909330</v>
      </c>
      <c r="L48" s="91">
        <f>L68*L54</f>
        <v>6047.045500972430</v>
      </c>
      <c r="M48" s="88">
        <f>L48*(1+M49)</f>
        <v>7120.913669351350</v>
      </c>
      <c r="N48" s="88">
        <f>M48*(1+N49)</f>
        <v>8255.695925682099</v>
      </c>
      <c r="O48" s="88">
        <f>N48*(1+O49)</f>
        <v>9420.843486339751</v>
      </c>
      <c r="P48" s="88">
        <f>O48*(1+P49)</f>
        <v>10578.7221829239</v>
      </c>
      <c r="Q48" s="88">
        <f>P48*(1+Q49)</f>
        <v>11686.0979587001</v>
      </c>
      <c r="R48" s="88">
        <f>Q48*(1+R49)</f>
        <v>12696.3965000103</v>
      </c>
      <c r="S48" s="88">
        <f>R48*(1+S49)</f>
        <v>13562.6273666558</v>
      </c>
      <c r="T48" s="88">
        <f>S48*(1+T49)</f>
        <v>14240.7587349886</v>
      </c>
    </row>
    <row r="49" ht="21.5" customHeight="1">
      <c r="A49" s="63"/>
      <c r="B49" t="s" s="64">
        <v>29</v>
      </c>
      <c r="C49" s="65"/>
      <c r="D49" s="66"/>
      <c r="E49" s="89"/>
      <c r="F49" s="68">
        <f>F48/E48-1</f>
        <v>0.0415013635220617</v>
      </c>
      <c r="G49" s="68">
        <f>G48/F48-1</f>
        <v>0.400375058602907</v>
      </c>
      <c r="H49" s="68">
        <f>H48/G48-1</f>
        <v>0.28222296618681</v>
      </c>
      <c r="I49" s="68">
        <f>I48/H48-1</f>
        <v>-0.447258485639687</v>
      </c>
      <c r="J49" s="68">
        <f>J48/I48-1</f>
        <v>0.745866792631082</v>
      </c>
      <c r="K49" s="69">
        <f>K48/J48-1</f>
        <v>0.368196035148628</v>
      </c>
      <c r="L49" s="69">
        <f>L48/K48-1</f>
        <v>0.195812107644725</v>
      </c>
      <c r="M49" s="69">
        <f>OFFSET(M49,$C$12,0)</f>
        <v>0.177585594189134</v>
      </c>
      <c r="N49" s="69">
        <f>OFFSET(N49,$C$12,0)</f>
        <v>0.159359080733543</v>
      </c>
      <c r="O49" s="69">
        <f>OFFSET(O49,$C$12,0)</f>
        <v>0.141132567277953</v>
      </c>
      <c r="P49" s="69">
        <f>OFFSET(P49,$C$12,0)</f>
        <v>0.122906053822362</v>
      </c>
      <c r="Q49" s="69">
        <f>OFFSET(Q49,$C$12,0)</f>
        <v>0.104679540366772</v>
      </c>
      <c r="R49" s="69">
        <f>OFFSET(R49,$C$12,0)</f>
        <v>0.0864530269111813</v>
      </c>
      <c r="S49" s="69">
        <f>OFFSET(S49,$C$12,0)</f>
        <v>0.06822651345559071</v>
      </c>
      <c r="T49" s="69">
        <f>OFFSET(T49,$C$12,0)</f>
        <v>0.05</v>
      </c>
    </row>
    <row r="50" ht="22" customHeight="1">
      <c r="A50" s="13"/>
      <c r="B50" t="s" s="34">
        <v>30</v>
      </c>
      <c r="C50" s="28"/>
      <c r="D50" s="11"/>
      <c r="E50" s="62"/>
      <c r="F50" s="62"/>
      <c r="G50" s="62"/>
      <c r="H50" s="62"/>
      <c r="I50" s="62"/>
      <c r="J50" s="70"/>
      <c r="K50" s="71">
        <f>K51</f>
        <v>0.368196035148628</v>
      </c>
      <c r="L50" s="71">
        <f>L51</f>
        <v>0.195812107644725</v>
      </c>
      <c r="M50" s="112">
        <f>M51*$E$12</f>
        <v>0.159827034770221</v>
      </c>
      <c r="N50" s="112">
        <f>N51*$E$12</f>
        <v>0.143423172660189</v>
      </c>
      <c r="O50" s="112">
        <f>O51*$E$12</f>
        <v>0.127019310550158</v>
      </c>
      <c r="P50" s="112">
        <f>P51*$E$12</f>
        <v>0.110615448440126</v>
      </c>
      <c r="Q50" s="112">
        <f>Q51*$E$12</f>
        <v>0.0942115863300948</v>
      </c>
      <c r="R50" s="112">
        <f>R51*$E$12</f>
        <v>0.0778077242200632</v>
      </c>
      <c r="S50" s="112">
        <f>S51*$E$12</f>
        <v>0.0614038621100316</v>
      </c>
      <c r="T50" s="112">
        <f>T51*$E$12</f>
        <v>0.045</v>
      </c>
    </row>
    <row r="51" ht="22" customHeight="1">
      <c r="A51" s="13"/>
      <c r="B51" t="s" s="34">
        <v>31</v>
      </c>
      <c r="C51" s="28"/>
      <c r="D51" s="11"/>
      <c r="E51" s="62"/>
      <c r="F51" s="62"/>
      <c r="G51" s="62"/>
      <c r="H51" s="62"/>
      <c r="I51" s="62"/>
      <c r="J51" s="70"/>
      <c r="K51" s="71">
        <f>K49</f>
        <v>0.368196035148628</v>
      </c>
      <c r="L51" s="71">
        <f>L49</f>
        <v>0.195812107644725</v>
      </c>
      <c r="M51" s="71">
        <f>L51-(L51-$T$51)/($T$22-L22)</f>
        <v>0.177585594189134</v>
      </c>
      <c r="N51" s="71">
        <f>M51-(M51-$T$51)/($T$22-M22)</f>
        <v>0.159359080733543</v>
      </c>
      <c r="O51" s="71">
        <f>N51-(N51-$T$51)/($T$22-N22)</f>
        <v>0.141132567277953</v>
      </c>
      <c r="P51" s="71">
        <f>O51-(O51-$T$51)/($T$22-O22)</f>
        <v>0.122906053822362</v>
      </c>
      <c r="Q51" s="71">
        <f>P51-(P51-$T$51)/($T$22-P22)</f>
        <v>0.104679540366772</v>
      </c>
      <c r="R51" s="71">
        <f>Q51-(Q51-$T$51)/($T$22-Q22)</f>
        <v>0.0864530269111813</v>
      </c>
      <c r="S51" s="71">
        <f>R51-(R51-$T$51)/($T$22-R22)</f>
        <v>0.06822651345559071</v>
      </c>
      <c r="T51" s="71">
        <f>G12</f>
        <v>0.05</v>
      </c>
    </row>
    <row r="52" ht="22" customHeight="1">
      <c r="A52" s="13"/>
      <c r="B52" t="s" s="34">
        <v>32</v>
      </c>
      <c r="C52" s="28"/>
      <c r="D52" s="11"/>
      <c r="E52" s="62"/>
      <c r="F52" s="62"/>
      <c r="G52" s="62"/>
      <c r="H52" s="62"/>
      <c r="I52" s="62"/>
      <c r="J52" s="70"/>
      <c r="K52" s="72">
        <f>K51</f>
        <v>0.368196035148628</v>
      </c>
      <c r="L52" s="72">
        <f>L51</f>
        <v>0.195812107644725</v>
      </c>
      <c r="M52" s="113">
        <f>M51*$I$12</f>
        <v>0.195344153608047</v>
      </c>
      <c r="N52" s="113">
        <f>N51*$I$12</f>
        <v>0.175294988806897</v>
      </c>
      <c r="O52" s="113">
        <f>O51*$I$12</f>
        <v>0.155245824005748</v>
      </c>
      <c r="P52" s="113">
        <f>P51*$I$12</f>
        <v>0.135196659204598</v>
      </c>
      <c r="Q52" s="113">
        <f>Q51*$I$12</f>
        <v>0.115147494403449</v>
      </c>
      <c r="R52" s="113">
        <f>R51*$I$12</f>
        <v>0.0950983296022994</v>
      </c>
      <c r="S52" s="113">
        <f>S51*$I$12</f>
        <v>0.0750491648011498</v>
      </c>
      <c r="T52" s="113">
        <f>T51*$I$12</f>
        <v>0.055</v>
      </c>
    </row>
    <row r="53" ht="22" customHeight="1">
      <c r="A53" s="115"/>
      <c r="B53" s="116"/>
      <c r="C53" s="117"/>
      <c r="D53" s="118"/>
      <c r="E53" s="119"/>
      <c r="F53" s="69"/>
      <c r="G53" s="69"/>
      <c r="H53" s="69"/>
      <c r="I53" s="69"/>
      <c r="J53" s="69"/>
      <c r="K53" s="120"/>
      <c r="L53" s="120"/>
      <c r="M53" s="120"/>
      <c r="N53" s="120"/>
      <c r="O53" s="120"/>
      <c r="P53" s="120"/>
      <c r="Q53" s="120"/>
      <c r="R53" s="120"/>
      <c r="S53" s="120"/>
      <c r="T53" s="120"/>
    </row>
    <row r="54" ht="19.9" customHeight="1" hidden="1">
      <c r="A54" s="121"/>
      <c r="B54" t="s" s="122">
        <v>35</v>
      </c>
      <c r="C54" s="10"/>
      <c r="D54" s="123"/>
      <c r="E54" s="69">
        <f>E48/E68</f>
        <v>0.19063612177076</v>
      </c>
      <c r="F54" s="69">
        <f>F48/F68</f>
        <v>0.168204400283889</v>
      </c>
      <c r="G54" s="69">
        <f>G48/G68</f>
        <v>0.205617126729538</v>
      </c>
      <c r="H54" s="69">
        <f>H48/H68</f>
        <v>0.254214788264967</v>
      </c>
      <c r="I54" s="69">
        <f>I48/I68</f>
        <v>0.311506768687463</v>
      </c>
      <c r="J54" s="69">
        <f>J48/J68</f>
        <v>0.337287826245665</v>
      </c>
      <c r="K54" s="69">
        <f>AVERAGE(H54:J54)</f>
        <v>0.301003127732698</v>
      </c>
      <c r="L54" s="69">
        <f>AVERAGE(I54:K54)</f>
        <v>0.316599240888609</v>
      </c>
      <c r="M54" s="124"/>
      <c r="N54" s="124"/>
      <c r="O54" s="124"/>
      <c r="P54" s="124"/>
      <c r="Q54" s="124"/>
      <c r="R54" s="124"/>
      <c r="S54" s="124"/>
      <c r="T54" s="124"/>
    </row>
    <row r="55" ht="21.5" customHeight="1">
      <c r="A55" s="125"/>
      <c r="B55" t="s" s="126">
        <v>36</v>
      </c>
      <c r="C55" s="26"/>
      <c r="D55" s="57"/>
      <c r="E55" s="127">
        <f>E41/E24</f>
        <v>0.136125311231625</v>
      </c>
      <c r="F55" s="127">
        <f>F41/F24</f>
        <v>0.13937472201099</v>
      </c>
      <c r="G55" s="127">
        <f>G41/G24</f>
        <v>0.141776809751214</v>
      </c>
      <c r="H55" s="127">
        <f>H41/H24</f>
        <v>0.143196840809047</v>
      </c>
      <c r="I55" s="127">
        <f>I41/I24</f>
        <v>0.176261491317671</v>
      </c>
      <c r="J55" s="127">
        <f>J41/J24</f>
        <v>0.131313927593071</v>
      </c>
      <c r="K55" s="127">
        <f>K41/K24</f>
        <v>0.147986483408249</v>
      </c>
      <c r="L55" s="127">
        <f>L41/L24</f>
        <v>0.149655035425668</v>
      </c>
      <c r="M55" s="127">
        <f>M41/M24</f>
        <v>0.150846388008223</v>
      </c>
      <c r="N55" s="127">
        <f>N41/N24</f>
        <v>0.150888639120197</v>
      </c>
      <c r="O55" s="127">
        <f>O41/O24</f>
        <v>0.149753104194396</v>
      </c>
      <c r="P55" s="127">
        <f>P41/P24</f>
        <v>0.147437972888432</v>
      </c>
      <c r="Q55" s="127">
        <f>Q41/Q24</f>
        <v>0.14396947809469</v>
      </c>
      <c r="R55" s="127">
        <f>R41/R24</f>
        <v>0.139402001223048</v>
      </c>
      <c r="S55" s="127">
        <f>S41/S24</f>
        <v>0.133817045999527</v>
      </c>
      <c r="T55" s="127">
        <f>T41/T24</f>
        <v>0.127321072892754</v>
      </c>
    </row>
    <row r="56" ht="21" customHeight="1">
      <c r="A56" s="13"/>
      <c r="B56" t="s" s="64">
        <v>29</v>
      </c>
      <c r="C56" s="28"/>
      <c r="D56" s="11"/>
      <c r="E56" s="62"/>
      <c r="F56" s="68">
        <f>F55/E55-1</f>
        <v>0.0238707316807228</v>
      </c>
      <c r="G56" s="68">
        <f>G55/F55-1</f>
        <v>0.0172347446191469</v>
      </c>
      <c r="H56" s="68">
        <f>H55/G55-1</f>
        <v>0.0100159614278586</v>
      </c>
      <c r="I56" s="68">
        <f>I55/H55-1</f>
        <v>0.230903491458416</v>
      </c>
      <c r="J56" s="68">
        <f>J55/I55-1</f>
        <v>-0.255005012090771</v>
      </c>
      <c r="K56" s="68">
        <f>K55/J55-1</f>
        <v>0.126967155128012</v>
      </c>
      <c r="L56" s="68">
        <f>L55/K55-1</f>
        <v>0.0112750298472596</v>
      </c>
      <c r="M56" s="68">
        <f>M55/L55-1</f>
        <v>0.00796065818411257</v>
      </c>
      <c r="N56" s="68">
        <f>N55/M55-1</f>
        <v>0.000280093627244802</v>
      </c>
      <c r="O56" s="68">
        <f>O55/N55-1</f>
        <v>-0.0075256489317028</v>
      </c>
      <c r="P56" s="68">
        <f>P55/O55-1</f>
        <v>-0.0154596548660434</v>
      </c>
      <c r="Q56" s="68">
        <f>Q55/P55-1</f>
        <v>-0.023525111786274</v>
      </c>
      <c r="R56" s="68">
        <f>R55/Q55-1</f>
        <v>-0.0317253138101809</v>
      </c>
      <c r="S56" s="68">
        <f>S55/R55-1</f>
        <v>-0.0400636660487024</v>
      </c>
      <c r="T56" s="68">
        <f>T55/S55-1</f>
        <v>-0.0485436893203872</v>
      </c>
    </row>
    <row r="57" ht="21" customHeight="1">
      <c r="A57" s="13"/>
      <c r="B57" s="25"/>
      <c r="C57" s="28"/>
      <c r="D57" s="11"/>
      <c r="E57" s="62"/>
      <c r="F57" s="62"/>
      <c r="G57" s="62"/>
      <c r="H57" s="62"/>
      <c r="I57" s="62"/>
      <c r="J57" s="62"/>
      <c r="K57" s="60"/>
      <c r="L57" s="60"/>
      <c r="M57" s="60"/>
      <c r="N57" s="60"/>
      <c r="O57" s="60"/>
      <c r="P57" s="60"/>
      <c r="Q57" s="60"/>
      <c r="R57" s="60"/>
      <c r="S57" s="60"/>
      <c r="T57" s="60"/>
    </row>
    <row r="58" ht="21" customHeight="1">
      <c r="A58" s="13"/>
      <c r="B58" t="s" s="34">
        <v>37</v>
      </c>
      <c r="C58" s="28"/>
      <c r="D58" s="11"/>
      <c r="E58" s="68">
        <f>E48/E31</f>
        <v>0.216743041591703</v>
      </c>
      <c r="F58" s="68">
        <f>F48/F31</f>
        <v>0.185011709601874</v>
      </c>
      <c r="G58" s="68">
        <f>G48/G31</f>
        <v>0.158781628747608</v>
      </c>
      <c r="H58" s="68">
        <f>H48/H31</f>
        <v>0.148501415222364</v>
      </c>
      <c r="I58" s="68">
        <f>I48/I31</f>
        <v>0.08191139485393691</v>
      </c>
      <c r="J58" s="68">
        <f>J48/J31</f>
        <v>0.338461538461538</v>
      </c>
      <c r="K58" s="68">
        <f>K48/K31</f>
        <v>0.137006310142466</v>
      </c>
      <c r="L58" s="68">
        <f>L48/L31</f>
        <v>0.133560130341286</v>
      </c>
      <c r="M58" s="68">
        <f>M48/M31</f>
        <v>0.14217264221281</v>
      </c>
      <c r="N58" s="68">
        <f>N48/N31</f>
        <v>0.148161028118025</v>
      </c>
      <c r="O58" s="68">
        <f>O48/O31</f>
        <v>0.151125250848592</v>
      </c>
      <c r="P58" s="68">
        <f>P48/P31</f>
        <v>0.150843963611829</v>
      </c>
      <c r="Q58" s="68">
        <f>Q48/Q31</f>
        <v>0.147300985979949</v>
      </c>
      <c r="R58" s="68">
        <f>R48/R31</f>
        <v>0.140690639195531</v>
      </c>
      <c r="S58" s="68">
        <f>S48/S31</f>
        <v>0.131400630368245</v>
      </c>
      <c r="T58" s="68">
        <f>T48/T31</f>
        <v>0.119974488597093</v>
      </c>
    </row>
    <row r="59" ht="21.5" customHeight="1">
      <c r="A59" s="115"/>
      <c r="B59" t="s" s="128">
        <v>29</v>
      </c>
      <c r="C59" s="117"/>
      <c r="D59" s="118"/>
      <c r="E59" s="119"/>
      <c r="F59" s="69">
        <f>F58/E58-1</f>
        <v>-0.146400695297079</v>
      </c>
      <c r="G59" s="69">
        <f>G58/F58-1</f>
        <v>-0.141775247149007</v>
      </c>
      <c r="H59" s="69">
        <f>H58/G58-1</f>
        <v>-0.0647443511338768</v>
      </c>
      <c r="I59" s="69">
        <f>I58/H58-1</f>
        <v>-0.448413372146764</v>
      </c>
      <c r="J59" s="69">
        <f>J58/I58-1</f>
        <v>3.13204462047164</v>
      </c>
      <c r="K59" s="69">
        <f>K58/J58-1</f>
        <v>-0.595208629124532</v>
      </c>
      <c r="L59" s="69">
        <f>L58/K58-1</f>
        <v>-0.0251534385357615</v>
      </c>
      <c r="M59" s="69">
        <f>M58/L58-1</f>
        <v>0.06448415293932749</v>
      </c>
      <c r="N59" s="69">
        <f>N58/M58-1</f>
        <v>0.0421205220076823</v>
      </c>
      <c r="O59" s="69">
        <f>O58/N58-1</f>
        <v>0.020006764047329</v>
      </c>
      <c r="P59" s="69">
        <f>P58/O58-1</f>
        <v>-0.00186128549123014</v>
      </c>
      <c r="Q59" s="69">
        <f>Q58/P58-1</f>
        <v>-0.0234876991232957</v>
      </c>
      <c r="R59" s="69">
        <f>R58/Q58-1</f>
        <v>-0.0448764598583055</v>
      </c>
      <c r="S59" s="69">
        <f>S58/R58-1</f>
        <v>-0.0660314636453873</v>
      </c>
      <c r="T59" s="69">
        <f>T58/S58-1</f>
        <v>-0.0869565217391324</v>
      </c>
    </row>
    <row r="60" ht="21.5" customHeight="1">
      <c r="A60" s="125"/>
      <c r="B60" s="129"/>
      <c r="C60" s="26"/>
      <c r="D60" s="57"/>
      <c r="E60" s="130"/>
      <c r="F60" s="130"/>
      <c r="G60" s="130"/>
      <c r="H60" s="130"/>
      <c r="I60" s="130"/>
      <c r="J60" s="130"/>
      <c r="K60" s="131"/>
      <c r="L60" s="131"/>
      <c r="M60" s="131"/>
      <c r="N60" s="131"/>
      <c r="O60" s="131"/>
      <c r="P60" s="131"/>
      <c r="Q60" s="131"/>
      <c r="R60" s="131"/>
      <c r="S60" s="131"/>
      <c r="T60" s="131"/>
    </row>
    <row r="61" ht="21" customHeight="1">
      <c r="A61" s="13"/>
      <c r="B61" t="s" s="34">
        <v>23</v>
      </c>
      <c r="C61" s="28"/>
      <c r="D61" s="11"/>
      <c r="E61" s="62">
        <v>712.885</v>
      </c>
      <c r="F61" s="62">
        <v>834</v>
      </c>
      <c r="G61" s="62">
        <v>1060</v>
      </c>
      <c r="H61" s="62">
        <v>1119</v>
      </c>
      <c r="I61" s="62">
        <v>365</v>
      </c>
      <c r="J61" s="62">
        <v>599</v>
      </c>
      <c r="K61" s="90">
        <f>K68*K66</f>
        <v>1022.809318803120</v>
      </c>
      <c r="L61" s="90">
        <f>L68*L66</f>
        <v>1077.5763532751</v>
      </c>
      <c r="M61" s="60">
        <f>L61*(1+M62)</f>
        <v>1148.268036556870</v>
      </c>
      <c r="N61" s="60">
        <f>M61*(1+N62)</f>
        <v>1237.441694333960</v>
      </c>
      <c r="O61" s="60">
        <f>N61*(1+O62)</f>
        <v>1348.460085830730</v>
      </c>
      <c r="P61" s="60">
        <f>O61*(1+P62)</f>
        <v>1485.696707612080</v>
      </c>
      <c r="Q61" s="60">
        <f>P61*(1+Q62)</f>
        <v>1654.8130217503</v>
      </c>
      <c r="R61" s="60">
        <f>Q61*(1+R62)</f>
        <v>1863.131514484980</v>
      </c>
      <c r="S61" s="60">
        <f>R61*(1+S62)</f>
        <v>2120.137859429860</v>
      </c>
      <c r="T61" s="60">
        <f>S61*(1+T62)</f>
        <v>2438.158538344340</v>
      </c>
    </row>
    <row r="62" ht="21.5" customHeight="1">
      <c r="A62" s="13"/>
      <c r="B62" t="s" s="64">
        <v>29</v>
      </c>
      <c r="C62" s="28"/>
      <c r="D62" s="11"/>
      <c r="E62" s="60"/>
      <c r="F62" s="68">
        <f>F61/E61-1</f>
        <v>0.169894162452569</v>
      </c>
      <c r="G62" s="68">
        <f>G61/F61-1</f>
        <v>0.270983213429257</v>
      </c>
      <c r="H62" s="68">
        <f>H61/G61-1</f>
        <v>0.0556603773584906</v>
      </c>
      <c r="I62" s="68">
        <f>I61/H61-1</f>
        <v>-0.673815907059875</v>
      </c>
      <c r="J62" s="68">
        <f>J61/I61-1</f>
        <v>0.641095890410959</v>
      </c>
      <c r="K62" s="69">
        <f>K61/J61-1</f>
        <v>0.707528078135426</v>
      </c>
      <c r="L62" s="69">
        <f>L61/K61-1</f>
        <v>0.0535456936744258</v>
      </c>
      <c r="M62" s="69">
        <f>OFFSET(M62,$C$13,0)</f>
        <v>0.0656024819651226</v>
      </c>
      <c r="N62" s="69">
        <f>OFFSET(N62,$C$13,0)</f>
        <v>0.0776592702558194</v>
      </c>
      <c r="O62" s="69">
        <f>OFFSET(O62,$C$13,0)</f>
        <v>0.08971605854651619</v>
      </c>
      <c r="P62" s="69">
        <f>OFFSET(P62,$C$13,0)</f>
        <v>0.101772846837213</v>
      </c>
      <c r="Q62" s="69">
        <f>OFFSET(Q62,$C$13,0)</f>
        <v>0.11382963512791</v>
      </c>
      <c r="R62" s="69">
        <f>OFFSET(R62,$C$13,0)</f>
        <v>0.125886423418607</v>
      </c>
      <c r="S62" s="69">
        <f>OFFSET(S62,$C$13,0)</f>
        <v>0.137943211709304</v>
      </c>
      <c r="T62" s="69">
        <f>OFFSET(T62,$C$13,0)</f>
        <v>0.15</v>
      </c>
    </row>
    <row r="63" ht="22" customHeight="1">
      <c r="A63" s="13"/>
      <c r="B63" t="s" s="34">
        <v>30</v>
      </c>
      <c r="C63" s="28"/>
      <c r="D63" s="11"/>
      <c r="E63" s="62"/>
      <c r="F63" s="62"/>
      <c r="G63" s="62"/>
      <c r="H63" s="62"/>
      <c r="I63" s="62"/>
      <c r="J63" s="70"/>
      <c r="K63" s="71">
        <f>K64</f>
        <v>0.707528078135426</v>
      </c>
      <c r="L63" s="71">
        <f>L64</f>
        <v>0.0535456936744258</v>
      </c>
      <c r="M63" s="71">
        <f>M64*$E$13</f>
        <v>0.0524819855720981</v>
      </c>
      <c r="N63" s="71">
        <f>N64*$E$13</f>
        <v>0.0621274162046555</v>
      </c>
      <c r="O63" s="71">
        <f>O64*$E$13</f>
        <v>0.07177284683721299</v>
      </c>
      <c r="P63" s="71">
        <f>P64*$E$13</f>
        <v>0.0814182774697704</v>
      </c>
      <c r="Q63" s="71">
        <f>Q64*$E$13</f>
        <v>0.091063708102328</v>
      </c>
      <c r="R63" s="71">
        <f>R64*$E$13</f>
        <v>0.100709138734886</v>
      </c>
      <c r="S63" s="71">
        <f>S64*$E$13</f>
        <v>0.110354569367443</v>
      </c>
      <c r="T63" s="71">
        <f>T64*$E$13</f>
        <v>0.12</v>
      </c>
    </row>
    <row r="64" ht="22" customHeight="1">
      <c r="A64" s="13"/>
      <c r="B64" t="s" s="34">
        <v>31</v>
      </c>
      <c r="C64" s="28"/>
      <c r="D64" s="11"/>
      <c r="E64" s="62"/>
      <c r="F64" s="62"/>
      <c r="G64" s="62"/>
      <c r="H64" s="62"/>
      <c r="I64" s="62"/>
      <c r="J64" s="70"/>
      <c r="K64" s="71">
        <f>K62</f>
        <v>0.707528078135426</v>
      </c>
      <c r="L64" s="71">
        <f>L62</f>
        <v>0.0535456936744258</v>
      </c>
      <c r="M64" s="71">
        <f>L64-(L64-$T$64)/($T$22-L22)</f>
        <v>0.0656024819651226</v>
      </c>
      <c r="N64" s="71">
        <f>M64-(M64-$T$64)/($T$22-M22)</f>
        <v>0.0776592702558194</v>
      </c>
      <c r="O64" s="71">
        <f>N64-(N64-$T$64)/($T$22-N22)</f>
        <v>0.08971605854651619</v>
      </c>
      <c r="P64" s="71">
        <f>O64-(O64-$T$64)/($T$22-O22)</f>
        <v>0.101772846837213</v>
      </c>
      <c r="Q64" s="71">
        <f>P64-(P64-$T$64)/($T$22-P22)</f>
        <v>0.11382963512791</v>
      </c>
      <c r="R64" s="71">
        <f>Q64-(Q64-$T$64)/($T$22-Q22)</f>
        <v>0.125886423418607</v>
      </c>
      <c r="S64" s="71">
        <f>R64-(R64-$T$64)/($T$22-R22)</f>
        <v>0.137943211709304</v>
      </c>
      <c r="T64" s="71">
        <f>G13</f>
        <v>0.15</v>
      </c>
    </row>
    <row r="65" ht="22" customHeight="1">
      <c r="A65" s="13"/>
      <c r="B65" t="s" s="34">
        <v>32</v>
      </c>
      <c r="C65" s="28"/>
      <c r="D65" s="11"/>
      <c r="E65" s="62"/>
      <c r="F65" s="62"/>
      <c r="G65" s="62"/>
      <c r="H65" s="62"/>
      <c r="I65" s="62"/>
      <c r="J65" s="70"/>
      <c r="K65" s="72">
        <f>K64</f>
        <v>0.707528078135426</v>
      </c>
      <c r="L65" s="72">
        <f>L64</f>
        <v>0.0535456936744258</v>
      </c>
      <c r="M65" s="72">
        <f>M64*$I$13</f>
        <v>0.07872297835814709</v>
      </c>
      <c r="N65" s="72">
        <f>N64*$I$13</f>
        <v>0.0931911243069833</v>
      </c>
      <c r="O65" s="72">
        <f>O64*$I$13</f>
        <v>0.107659270255819</v>
      </c>
      <c r="P65" s="72">
        <f>P64*$I$13</f>
        <v>0.122127416204656</v>
      </c>
      <c r="Q65" s="72">
        <f>Q64*$I$13</f>
        <v>0.136595562153492</v>
      </c>
      <c r="R65" s="72">
        <f>R64*$I$13</f>
        <v>0.151063708102328</v>
      </c>
      <c r="S65" s="72">
        <f>S64*$I$13</f>
        <v>0.165531854051165</v>
      </c>
      <c r="T65" s="72">
        <f>T64*$I$13</f>
        <v>0.18</v>
      </c>
    </row>
    <row r="66" ht="19.9" customHeight="1" hidden="1">
      <c r="A66" s="13"/>
      <c r="B66" t="s" s="64">
        <v>35</v>
      </c>
      <c r="C66" s="28"/>
      <c r="D66" s="11"/>
      <c r="E66" s="132">
        <f>E61/E68</f>
        <v>0.0663580565811841</v>
      </c>
      <c r="F66" s="132">
        <f>F61/F68</f>
        <v>0.0657676839365981</v>
      </c>
      <c r="G66" s="132">
        <f>G61/G68</f>
        <v>0.0729675776140979</v>
      </c>
      <c r="H66" s="132">
        <f>H61/H68</f>
        <v>0.0742731979291119</v>
      </c>
      <c r="I66" s="132">
        <f>I61/I68</f>
        <v>0.053708063566804</v>
      </c>
      <c r="J66" s="132">
        <f>J61/J68</f>
        <v>0.0546632597189268</v>
      </c>
      <c r="K66" s="92">
        <f>AVERAGE(J66,I66,H66)</f>
        <v>0.0608815070716142</v>
      </c>
      <c r="L66" s="92">
        <f>AVERAGE(K66,J66,I66)</f>
        <v>0.056417610119115</v>
      </c>
      <c r="M66" s="92"/>
      <c r="N66" s="92"/>
      <c r="O66" s="92"/>
      <c r="P66" s="92"/>
      <c r="Q66" s="92"/>
      <c r="R66" s="92"/>
      <c r="S66" s="92"/>
      <c r="T66" s="92"/>
    </row>
    <row r="67" ht="22" customHeight="1">
      <c r="A67" s="133"/>
      <c r="B67" s="134"/>
      <c r="C67" s="135"/>
      <c r="D67" s="136"/>
      <c r="E67" s="137"/>
      <c r="F67" s="137"/>
      <c r="G67" s="137"/>
      <c r="H67" s="137"/>
      <c r="I67" s="137"/>
      <c r="J67" s="137"/>
      <c r="K67" s="138"/>
      <c r="L67" s="138"/>
      <c r="M67" s="138"/>
      <c r="N67" s="139"/>
      <c r="O67" s="139"/>
      <c r="P67" s="138"/>
      <c r="Q67" s="138"/>
      <c r="R67" s="138"/>
      <c r="S67" s="138"/>
      <c r="T67" s="138"/>
    </row>
    <row r="68" ht="21.5" customHeight="1">
      <c r="A68" s="107"/>
      <c r="B68" t="s" s="140">
        <v>38</v>
      </c>
      <c r="C68" s="141"/>
      <c r="D68" s="142"/>
      <c r="E68" s="143">
        <f>SUM(E61,E48,E41)</f>
        <v>10743.006</v>
      </c>
      <c r="F68" s="143">
        <f>SUM(F61,F48,F41)</f>
        <v>12681</v>
      </c>
      <c r="G68" s="143">
        <f>SUM(G61,G48,G41)</f>
        <v>14527</v>
      </c>
      <c r="H68" s="143">
        <f>SUM(H61,H48,H41)</f>
        <v>15066</v>
      </c>
      <c r="I68" s="143">
        <f>SUM(I61,I48,I41)</f>
        <v>6796</v>
      </c>
      <c r="J68" s="143">
        <f>SUM(J61,J48,J41)</f>
        <v>10958</v>
      </c>
      <c r="K68" s="143">
        <f>16800</f>
        <v>16800</v>
      </c>
      <c r="L68" s="143">
        <v>19100</v>
      </c>
      <c r="M68" s="143">
        <f>M61+M48+M41</f>
        <v>21441.3440346534</v>
      </c>
      <c r="N68" s="144">
        <f>N61+N48+N41</f>
        <v>23755.997158303</v>
      </c>
      <c r="O68" s="144">
        <f>O61+O48+O41</f>
        <v>25968.7956038272</v>
      </c>
      <c r="P68" s="143">
        <f>P61+P48+P41</f>
        <v>28001.6253747401</v>
      </c>
      <c r="Q68" s="143">
        <f>Q61+Q48+Q41</f>
        <v>29778.5712585584</v>
      </c>
      <c r="R68" s="143">
        <f>R61+R48+R41</f>
        <v>31231.7164534804</v>
      </c>
      <c r="S68" s="143">
        <f>S61+S48+S41</f>
        <v>32307.1689538016</v>
      </c>
      <c r="T68" s="143">
        <f>T61+T48+T41</f>
        <v>32970.8329264945</v>
      </c>
    </row>
    <row r="69" ht="21" customHeight="1">
      <c r="A69" s="13"/>
      <c r="B69" t="s" s="64">
        <v>29</v>
      </c>
      <c r="C69" s="28"/>
      <c r="D69" s="11"/>
      <c r="E69" s="60"/>
      <c r="F69" s="145">
        <f>F68/E68-1</f>
        <v>0.180395878025201</v>
      </c>
      <c r="G69" s="145">
        <f>G68/F68-1</f>
        <v>0.145572115763741</v>
      </c>
      <c r="H69" s="145">
        <f>H68/G68-1</f>
        <v>0.0371033248433951</v>
      </c>
      <c r="I69" s="145">
        <f>I68/H68-1</f>
        <v>-0.548918093720961</v>
      </c>
      <c r="J69" s="145">
        <f>J68/I68-1</f>
        <v>0.612419070041201</v>
      </c>
      <c r="K69" s="145">
        <f>K68/J68-1</f>
        <v>0.533126482934842</v>
      </c>
      <c r="L69" s="145">
        <f>L68/K68-1</f>
        <v>0.136904761904762</v>
      </c>
      <c r="M69" s="145">
        <f>M68/L68-1</f>
        <v>0.122583457311696</v>
      </c>
      <c r="N69" s="145">
        <f>N68/M68-1</f>
        <v>0.107952799969473</v>
      </c>
      <c r="O69" s="145">
        <f>O68/N68-1</f>
        <v>0.0931469401506811</v>
      </c>
      <c r="P69" s="145">
        <f>P68/O68-1</f>
        <v>0.07827970930670761</v>
      </c>
      <c r="Q69" s="145">
        <f>Q68/P68-1</f>
        <v>0.0634586692750079</v>
      </c>
      <c r="R69" s="145">
        <f>R68/Q68-1</f>
        <v>0.0487983517511561</v>
      </c>
      <c r="S69" s="145">
        <f>S68/R68-1</f>
        <v>0.0344346267975084</v>
      </c>
      <c r="T69" s="145">
        <f>T68/S68-1</f>
        <v>0.020542312873094</v>
      </c>
    </row>
    <row r="70" ht="21" customHeight="1">
      <c r="A70" s="13"/>
      <c r="B70" s="25"/>
      <c r="C70" s="28"/>
      <c r="D70" s="11"/>
      <c r="E70" s="60"/>
      <c r="F70" s="60"/>
      <c r="G70" s="60"/>
      <c r="H70" s="60"/>
      <c r="I70" s="60"/>
      <c r="J70" s="60"/>
      <c r="K70" s="60"/>
      <c r="L70" s="60"/>
      <c r="M70" s="60"/>
      <c r="N70" s="60"/>
      <c r="O70" s="60"/>
      <c r="P70" s="60"/>
      <c r="Q70" s="60"/>
      <c r="R70" s="60"/>
      <c r="S70" s="60"/>
      <c r="T70" s="60"/>
    </row>
    <row r="71" ht="21" customHeight="1">
      <c r="A71" s="13"/>
      <c r="B71" t="s" s="64">
        <v>39</v>
      </c>
      <c r="C71" s="28"/>
      <c r="D71" s="11"/>
      <c r="E71" s="68">
        <f>E68/E38</f>
        <v>0.157783512271065</v>
      </c>
      <c r="F71" s="68">
        <f>F68/F38</f>
        <v>0.156119961588654</v>
      </c>
      <c r="G71" s="68">
        <f>G68/G38</f>
        <v>0.156657428475914</v>
      </c>
      <c r="H71" s="68">
        <f>H68/H38</f>
        <v>0.156218245162896</v>
      </c>
      <c r="I71" s="68">
        <f>I68/I38</f>
        <v>0.135055643879173</v>
      </c>
      <c r="J71" s="68">
        <f>J68/J38</f>
        <v>0.177713627738765</v>
      </c>
      <c r="K71" s="68">
        <f>K68/K38</f>
        <v>0.153633760109802</v>
      </c>
      <c r="L71" s="68">
        <f>L68/L38</f>
        <v>0.152439378159492</v>
      </c>
      <c r="M71" s="68">
        <f>M68/M38</f>
        <v>0.156041362468269</v>
      </c>
      <c r="N71" s="68">
        <f>N68/N38</f>
        <v>0.158113125258842</v>
      </c>
      <c r="O71" s="68">
        <f>O68/O38</f>
        <v>0.158505794463226</v>
      </c>
      <c r="P71" s="68">
        <f>P68/P38</f>
        <v>0.157114303498376</v>
      </c>
      <c r="Q71" s="68">
        <f>Q68/Q38</f>
        <v>0.153886914570489</v>
      </c>
      <c r="R71" s="68">
        <f>R68/R38</f>
        <v>0.148834952501514</v>
      </c>
      <c r="S71" s="68">
        <f>S68/S38</f>
        <v>0.142041888591982</v>
      </c>
      <c r="T71" s="68">
        <f>T68/T38</f>
        <v>0.133670492073601</v>
      </c>
    </row>
    <row r="72" ht="21" customHeight="1">
      <c r="A72" s="13"/>
      <c r="B72" t="s" s="64">
        <v>29</v>
      </c>
      <c r="C72" s="28"/>
      <c r="D72" s="11"/>
      <c r="E72" s="60"/>
      <c r="F72" s="68">
        <f>F71/E71-1</f>
        <v>-0.0105432478873527</v>
      </c>
      <c r="G72" s="68">
        <f>G71/F71-1</f>
        <v>0.00344265321225303</v>
      </c>
      <c r="H72" s="68">
        <f>H71/G71-1</f>
        <v>-0.0028034630549647</v>
      </c>
      <c r="I72" s="68">
        <f>I71/H71-1</f>
        <v>-0.135468179543662</v>
      </c>
      <c r="J72" s="68">
        <f>J71/I71-1</f>
        <v>0.315854877547774</v>
      </c>
      <c r="K72" s="68">
        <f>K71/J71-1</f>
        <v>-0.135498149102892</v>
      </c>
      <c r="L72" s="68">
        <f>L71/K71-1</f>
        <v>-0.00777421544233751</v>
      </c>
      <c r="M72" s="68">
        <f>M71/L71-1</f>
        <v>0.0236289622292238</v>
      </c>
      <c r="N72" s="68">
        <f>N71/M71-1</f>
        <v>0.0132770103887954</v>
      </c>
      <c r="O72" s="68">
        <f>O71/N71-1</f>
        <v>0.00248347000757321</v>
      </c>
      <c r="P72" s="68">
        <f>P71/O71-1</f>
        <v>-0.00877880187006559</v>
      </c>
      <c r="Q72" s="68">
        <f>Q71/P71-1</f>
        <v>-0.0205416620640167</v>
      </c>
      <c r="R72" s="68">
        <f>R71/Q71-1</f>
        <v>-0.0328290555637914</v>
      </c>
      <c r="S72" s="68">
        <f>S71/R71-1</f>
        <v>-0.045641590200144</v>
      </c>
      <c r="T72" s="68">
        <f>T71/S71-1</f>
        <v>-0.0589361110399482</v>
      </c>
    </row>
    <row r="73" ht="21" customHeight="1">
      <c r="A73" s="13"/>
      <c r="B73" s="25"/>
      <c r="C73" s="28"/>
      <c r="D73" s="11"/>
      <c r="E73" s="60"/>
      <c r="F73" s="60"/>
      <c r="G73" s="60"/>
      <c r="H73" s="60"/>
      <c r="I73" s="60"/>
      <c r="J73" s="60"/>
      <c r="K73" s="60"/>
      <c r="L73" s="60"/>
      <c r="M73" s="60"/>
      <c r="N73" s="60"/>
      <c r="O73" s="60"/>
      <c r="P73" s="60"/>
      <c r="Q73" s="60"/>
      <c r="R73" s="60"/>
      <c r="S73" s="60"/>
      <c r="T73" s="60"/>
    </row>
    <row r="74" ht="21" customHeight="1">
      <c r="A74" t="s" s="29">
        <v>13</v>
      </c>
      <c r="B74" t="s" s="30">
        <v>40</v>
      </c>
      <c r="C74" s="31"/>
      <c r="D74" s="32"/>
      <c r="E74" s="59">
        <v>2016</v>
      </c>
      <c r="F74" s="59">
        <v>2017</v>
      </c>
      <c r="G74" s="59">
        <v>2018</v>
      </c>
      <c r="H74" s="59">
        <v>2019</v>
      </c>
      <c r="I74" s="59">
        <v>2020</v>
      </c>
      <c r="J74" s="59">
        <v>2021</v>
      </c>
      <c r="K74" s="59">
        <v>2022</v>
      </c>
      <c r="L74" s="59">
        <v>2023</v>
      </c>
      <c r="M74" s="59">
        <v>2024</v>
      </c>
      <c r="N74" s="59">
        <v>2025</v>
      </c>
      <c r="O74" s="146"/>
      <c r="P74" s="146"/>
      <c r="Q74" s="146"/>
      <c r="R74" s="146"/>
      <c r="S74" s="146"/>
      <c r="T74" s="146"/>
    </row>
    <row r="75" ht="21" customHeight="1">
      <c r="A75" s="13"/>
      <c r="B75" s="25"/>
      <c r="C75" s="28"/>
      <c r="D75" s="11"/>
      <c r="E75" s="11"/>
      <c r="F75" s="11"/>
      <c r="G75" s="11"/>
      <c r="H75" s="11"/>
      <c r="I75" s="11"/>
      <c r="J75" s="11"/>
      <c r="K75" s="11"/>
      <c r="L75" s="11"/>
      <c r="M75" s="11"/>
      <c r="N75" s="11"/>
      <c r="O75" s="11"/>
      <c r="P75" s="11"/>
      <c r="Q75" s="11"/>
      <c r="R75" s="11"/>
      <c r="S75" s="11"/>
      <c r="T75" s="11"/>
    </row>
    <row r="76" ht="21" customHeight="1">
      <c r="A76" s="13"/>
      <c r="B76" t="s" s="34">
        <v>41</v>
      </c>
      <c r="C76" s="28"/>
      <c r="D76" s="11"/>
      <c r="E76" s="147">
        <f>E68</f>
        <v>10743.006</v>
      </c>
      <c r="F76" s="147">
        <f>F68</f>
        <v>12681</v>
      </c>
      <c r="G76" s="147">
        <f>G68</f>
        <v>14527</v>
      </c>
      <c r="H76" s="147">
        <f>H68</f>
        <v>15066</v>
      </c>
      <c r="I76" s="147">
        <f>I68</f>
        <v>6796</v>
      </c>
      <c r="J76" s="147">
        <f>J68</f>
        <v>10958</v>
      </c>
      <c r="K76" s="147">
        <f>K68</f>
        <v>16800</v>
      </c>
      <c r="L76" s="147">
        <f>L68</f>
        <v>19100</v>
      </c>
      <c r="M76" s="147">
        <f>M68</f>
        <v>21441.3440346534</v>
      </c>
      <c r="N76" s="147">
        <f>N68</f>
        <v>23755.997158303</v>
      </c>
      <c r="O76" s="148"/>
      <c r="P76" s="148"/>
      <c r="Q76" s="148"/>
      <c r="R76" s="148"/>
      <c r="S76" s="148"/>
      <c r="T76" s="148"/>
    </row>
    <row r="77" ht="21" customHeight="1">
      <c r="A77" s="63"/>
      <c r="B77" t="s" s="64">
        <v>29</v>
      </c>
      <c r="C77" s="65"/>
      <c r="D77" s="66"/>
      <c r="E77" s="66"/>
      <c r="F77" s="68">
        <f>F76/E76-1</f>
        <v>0.180395878025201</v>
      </c>
      <c r="G77" s="68">
        <f>G76/F76-1</f>
        <v>0.145572115763741</v>
      </c>
      <c r="H77" s="68">
        <f>H76/G76-1</f>
        <v>0.0371033248433951</v>
      </c>
      <c r="I77" s="68">
        <f>I76/H76-1</f>
        <v>-0.548918093720961</v>
      </c>
      <c r="J77" s="68">
        <f>J76/I76-1</f>
        <v>0.612419070041201</v>
      </c>
      <c r="K77" s="68">
        <f>K76/J76-1</f>
        <v>0.533126482934842</v>
      </c>
      <c r="L77" s="68">
        <f>L76/K76-1</f>
        <v>0.136904761904762</v>
      </c>
      <c r="M77" s="68">
        <f>M76/L76-1</f>
        <v>0.122583457311696</v>
      </c>
      <c r="N77" s="68">
        <f>N76/M76-1</f>
        <v>0.107952799969473</v>
      </c>
      <c r="O77" s="68"/>
      <c r="P77" s="68"/>
      <c r="Q77" s="68"/>
      <c r="R77" s="68"/>
      <c r="S77" s="68"/>
      <c r="T77" s="68"/>
    </row>
    <row r="78" ht="21" customHeight="1">
      <c r="A78" s="13"/>
      <c r="B78" s="25"/>
      <c r="C78" s="28"/>
      <c r="D78" s="11"/>
      <c r="E78" s="11"/>
      <c r="F78" s="11"/>
      <c r="G78" s="11"/>
      <c r="H78" s="11"/>
      <c r="I78" s="11"/>
      <c r="J78" s="11"/>
      <c r="K78" s="11"/>
      <c r="L78" s="11"/>
      <c r="M78" s="11"/>
      <c r="N78" s="11"/>
      <c r="O78" s="11"/>
      <c r="P78" s="11"/>
      <c r="Q78" s="11"/>
      <c r="R78" s="11"/>
      <c r="S78" s="11"/>
      <c r="T78" s="11"/>
    </row>
    <row r="79" ht="21" customHeight="1">
      <c r="A79" s="13"/>
      <c r="B79" t="s" s="34">
        <v>24</v>
      </c>
      <c r="C79" s="28"/>
      <c r="D79" s="11"/>
      <c r="E79" s="149">
        <f>2134.987+578.251+207.9</f>
        <v>2921.138</v>
      </c>
      <c r="F79" s="149">
        <f>2341+2058+254</f>
        <v>4653</v>
      </c>
      <c r="G79" s="149">
        <v>5104</v>
      </c>
      <c r="H79" s="149">
        <v>6224</v>
      </c>
      <c r="I79" s="60">
        <v>923</v>
      </c>
      <c r="J79" s="149">
        <v>1799</v>
      </c>
      <c r="K79" s="149">
        <f>(1544+535+299)*2</f>
        <v>4756</v>
      </c>
      <c r="L79" s="149">
        <f>L76*L80</f>
        <v>3712.293302770790</v>
      </c>
      <c r="M79" s="149">
        <f>M76*M80</f>
        <v>4585.792028719390</v>
      </c>
      <c r="N79" s="149">
        <f>N76*N80</f>
        <v>5474.429306121</v>
      </c>
      <c r="O79" s="149"/>
      <c r="P79" s="149"/>
      <c r="Q79" s="149"/>
      <c r="R79" s="149"/>
      <c r="S79" s="149"/>
      <c r="T79" s="149"/>
    </row>
    <row r="80" ht="21" customHeight="1">
      <c r="A80" s="63"/>
      <c r="B80" t="s" s="64">
        <v>42</v>
      </c>
      <c r="C80" s="65"/>
      <c r="D80" s="66"/>
      <c r="E80" s="68">
        <f>E79/E76</f>
        <v>0.27191067379093</v>
      </c>
      <c r="F80" s="68">
        <f>F79/F76</f>
        <v>0.366926898509581</v>
      </c>
      <c r="G80" s="68">
        <f>G79/G76</f>
        <v>0.351345769945619</v>
      </c>
      <c r="H80" s="68">
        <f>H79/H76</f>
        <v>0.413115624585159</v>
      </c>
      <c r="I80" s="68">
        <f>I79/I76</f>
        <v>0.135815185403178</v>
      </c>
      <c r="J80" s="68">
        <f>J79/J76</f>
        <v>0.164172294214273</v>
      </c>
      <c r="K80" s="68">
        <f>K79/K76</f>
        <v>0.283095238095238</v>
      </c>
      <c r="L80" s="68">
        <f>AVERAGE(K80,J80,I80)</f>
        <v>0.19436090590423</v>
      </c>
      <c r="M80" s="68">
        <f>AVERAGE(L80,K80,J80)</f>
        <v>0.213876146071247</v>
      </c>
      <c r="N80" s="68">
        <f>AVERAGE(M80,L80,K80)</f>
        <v>0.230444096690238</v>
      </c>
      <c r="O80" s="68"/>
      <c r="P80" s="68"/>
      <c r="Q80" s="68"/>
      <c r="R80" s="68"/>
      <c r="S80" s="68"/>
      <c r="T80" s="68"/>
    </row>
    <row r="81" ht="21" customHeight="1">
      <c r="A81" s="150"/>
      <c r="B81" s="151"/>
      <c r="C81" s="28"/>
      <c r="D81" s="11"/>
      <c r="E81" s="11"/>
      <c r="F81" s="11"/>
      <c r="G81" s="11"/>
      <c r="H81" s="11"/>
      <c r="I81" s="11"/>
      <c r="J81" s="11"/>
      <c r="K81" s="11"/>
      <c r="L81" s="11"/>
      <c r="M81" s="11"/>
      <c r="N81" s="11"/>
      <c r="O81" s="11"/>
      <c r="P81" s="11"/>
      <c r="Q81" s="11"/>
      <c r="R81" s="11"/>
      <c r="S81" s="11"/>
      <c r="T81" s="11"/>
    </row>
    <row r="82" ht="21" customHeight="1">
      <c r="A82" s="8"/>
      <c r="B82" t="s" s="152">
        <v>43</v>
      </c>
      <c r="C82" s="28"/>
      <c r="D82" s="11"/>
      <c r="E82" s="149">
        <v>578.251</v>
      </c>
      <c r="F82" s="149">
        <v>2057.557</v>
      </c>
      <c r="G82" s="149">
        <v>837</v>
      </c>
      <c r="H82" s="149">
        <v>1093</v>
      </c>
      <c r="I82" s="60">
        <v>508</v>
      </c>
      <c r="J82" s="149">
        <v>300</v>
      </c>
      <c r="K82" s="149">
        <f>K79*K83</f>
        <v>808.52</v>
      </c>
      <c r="L82" s="149">
        <f>L79*L83</f>
        <v>631.0898614710341</v>
      </c>
      <c r="M82" s="149">
        <f>M79*M83</f>
        <v>779.5846448822959</v>
      </c>
      <c r="N82" s="149">
        <f>N79*N83</f>
        <v>930.652982040570</v>
      </c>
      <c r="O82" s="149"/>
      <c r="P82" s="149"/>
      <c r="Q82" s="149"/>
      <c r="R82" s="149"/>
      <c r="S82" s="149"/>
      <c r="T82" s="149"/>
    </row>
    <row r="83" ht="21" customHeight="1">
      <c r="A83" s="153"/>
      <c r="B83" t="s" s="154">
        <v>44</v>
      </c>
      <c r="C83" s="65"/>
      <c r="D83" s="66"/>
      <c r="E83" s="68">
        <f>E82/E79</f>
        <v>0.197954016551084</v>
      </c>
      <c r="F83" s="68">
        <f>F82/F79</f>
        <v>0.442200085966043</v>
      </c>
      <c r="G83" s="68">
        <f>G82/G79</f>
        <v>0.163989028213166</v>
      </c>
      <c r="H83" s="68">
        <f>H82/H79</f>
        <v>0.175610539845758</v>
      </c>
      <c r="I83" s="68">
        <f>I82/I79</f>
        <v>0.550379198266522</v>
      </c>
      <c r="J83" s="68">
        <f>J82/J79</f>
        <v>0.166759310728182</v>
      </c>
      <c r="K83" s="68">
        <v>0.17</v>
      </c>
      <c r="L83" s="68">
        <v>0.17</v>
      </c>
      <c r="M83" s="68">
        <v>0.17</v>
      </c>
      <c r="N83" s="68">
        <v>0.17</v>
      </c>
      <c r="O83" s="68"/>
      <c r="P83" s="68"/>
      <c r="Q83" s="68"/>
      <c r="R83" s="68"/>
      <c r="S83" s="68"/>
      <c r="T83" s="66"/>
    </row>
    <row r="84" ht="21" customHeight="1">
      <c r="A84" s="155"/>
      <c r="B84" s="49"/>
      <c r="C84" s="28"/>
      <c r="D84" s="11"/>
      <c r="E84" s="132"/>
      <c r="F84" s="132"/>
      <c r="G84" s="132"/>
      <c r="H84" s="132"/>
      <c r="I84" s="132"/>
      <c r="J84" s="132"/>
      <c r="K84" s="132"/>
      <c r="L84" s="132"/>
      <c r="M84" s="132"/>
      <c r="N84" s="132"/>
      <c r="O84" s="132"/>
      <c r="P84" s="132"/>
      <c r="Q84" s="132"/>
      <c r="R84" s="132"/>
      <c r="S84" s="132"/>
      <c r="T84" s="11"/>
    </row>
    <row r="85" ht="21" customHeight="1">
      <c r="A85" t="s" s="156">
        <v>13</v>
      </c>
      <c r="B85" t="s" s="157">
        <v>45</v>
      </c>
      <c r="C85" s="31"/>
      <c r="D85" s="32"/>
      <c r="E85" s="59">
        <v>2016</v>
      </c>
      <c r="F85" s="59">
        <v>2017</v>
      </c>
      <c r="G85" s="59">
        <v>2018</v>
      </c>
      <c r="H85" s="59">
        <v>2019</v>
      </c>
      <c r="I85" s="59">
        <v>2020</v>
      </c>
      <c r="J85" s="59">
        <v>2021</v>
      </c>
      <c r="K85" s="59">
        <v>2022</v>
      </c>
      <c r="L85" s="59">
        <v>2023</v>
      </c>
      <c r="M85" s="59">
        <v>2024</v>
      </c>
      <c r="N85" s="59">
        <v>2025</v>
      </c>
      <c r="O85" s="132"/>
      <c r="P85" s="132"/>
      <c r="Q85" s="132"/>
      <c r="R85" s="132"/>
      <c r="S85" s="132"/>
      <c r="T85" s="132"/>
    </row>
    <row r="86" ht="21" customHeight="1">
      <c r="A86" s="150"/>
      <c r="B86" s="151"/>
      <c r="C86" s="28"/>
      <c r="D86" s="11"/>
      <c r="E86" s="132"/>
      <c r="F86" s="132"/>
      <c r="G86" s="132"/>
      <c r="H86" s="132"/>
      <c r="I86" s="132"/>
      <c r="J86" s="132"/>
      <c r="K86" s="132"/>
      <c r="L86" s="132"/>
      <c r="M86" s="132"/>
      <c r="N86" s="132"/>
      <c r="O86" s="132"/>
      <c r="P86" s="132"/>
      <c r="Q86" s="132"/>
      <c r="R86" s="132"/>
      <c r="S86" s="132"/>
      <c r="T86" s="11"/>
    </row>
    <row r="87" ht="21" customHeight="1">
      <c r="A87" s="155"/>
      <c r="B87" t="s" s="158">
        <v>46</v>
      </c>
      <c r="C87" s="28"/>
      <c r="D87" s="11"/>
      <c r="E87" s="159">
        <v>309.135</v>
      </c>
      <c r="F87" s="159">
        <v>362.774</v>
      </c>
      <c r="G87" s="159">
        <v>426</v>
      </c>
      <c r="H87" s="159">
        <v>469</v>
      </c>
      <c r="I87" s="159">
        <v>458</v>
      </c>
      <c r="J87" s="159">
        <v>421</v>
      </c>
      <c r="K87" s="149">
        <f>218*2</f>
        <v>436</v>
      </c>
      <c r="L87" s="149">
        <f>L76*L88</f>
        <v>702.9642530740859</v>
      </c>
      <c r="M87" s="149">
        <f>M76*M88</f>
        <v>818.427527565141</v>
      </c>
      <c r="N87" s="149">
        <f>N76*N88</f>
        <v>941.802644900626</v>
      </c>
      <c r="O87" s="149"/>
      <c r="P87" s="132"/>
      <c r="Q87" s="132"/>
      <c r="R87" s="132"/>
      <c r="S87" s="132"/>
      <c r="T87" s="11"/>
    </row>
    <row r="88" ht="21" customHeight="1">
      <c r="A88" s="160"/>
      <c r="B88" t="s" s="161">
        <v>47</v>
      </c>
      <c r="C88" s="65"/>
      <c r="D88" s="66"/>
      <c r="E88" s="68">
        <f>E87/E76</f>
        <v>0.0287754656378299</v>
      </c>
      <c r="F88" s="68">
        <f>F87/F76</f>
        <v>0.0286076807822727</v>
      </c>
      <c r="G88" s="68">
        <f>G87/G76</f>
        <v>0.0293247057203827</v>
      </c>
      <c r="H88" s="68">
        <f>H87/H76</f>
        <v>0.031129696004248</v>
      </c>
      <c r="I88" s="68">
        <f>I87/I76</f>
        <v>0.0673925838728664</v>
      </c>
      <c r="J88" s="68">
        <f>J87/J76</f>
        <v>0.0384194196021172</v>
      </c>
      <c r="K88" s="68">
        <f>K87/K76</f>
        <v>0.025952380952381</v>
      </c>
      <c r="L88" s="68">
        <f>AVERAGE(K88,J88,I88,H88,G88,F88)</f>
        <v>0.0368044111557113</v>
      </c>
      <c r="M88" s="68">
        <f>AVERAGE(L88,K88,J88,I88,H88,G88)</f>
        <v>0.0381705328846178</v>
      </c>
      <c r="N88" s="68">
        <f>AVERAGE(M88,L88,K88,J88,I88,H88)</f>
        <v>0.0396448374119903</v>
      </c>
      <c r="O88" s="68"/>
      <c r="P88" s="68"/>
      <c r="Q88" s="68"/>
      <c r="R88" s="68"/>
      <c r="S88" s="68"/>
      <c r="T88" s="66"/>
    </row>
    <row r="89" ht="21" customHeight="1">
      <c r="A89" s="160"/>
      <c r="B89" t="s" s="161">
        <v>48</v>
      </c>
      <c r="C89" s="65"/>
      <c r="D89" s="66"/>
      <c r="E89" s="68">
        <f>E87/E91</f>
        <v>1.40515909090909</v>
      </c>
      <c r="F89" s="68">
        <f>F87/F91</f>
        <v>1.25963194444444</v>
      </c>
      <c r="G89" s="68">
        <f>G87/G91</f>
        <v>0.963800904977376</v>
      </c>
      <c r="H89" s="68">
        <f>H87/H91</f>
        <v>1.27445652173913</v>
      </c>
      <c r="I89" s="68">
        <f>I87/I91</f>
        <v>1.6013986013986</v>
      </c>
      <c r="J89" s="68">
        <f>J87/J91</f>
        <v>1.38486842105263</v>
      </c>
      <c r="K89" s="68">
        <f>K87/K91</f>
        <v>1.11794871794872</v>
      </c>
      <c r="L89" s="68">
        <f>L87/L91</f>
        <v>1.18672669673091</v>
      </c>
      <c r="M89" s="68">
        <f>M87/M91</f>
        <v>1.39699470801019</v>
      </c>
      <c r="N89" s="68">
        <f>N87/N91</f>
        <v>1.45840673102619</v>
      </c>
      <c r="O89" s="68"/>
      <c r="P89" s="68"/>
      <c r="Q89" s="68"/>
      <c r="R89" s="68"/>
      <c r="S89" s="68"/>
      <c r="T89" s="66"/>
    </row>
    <row r="90" ht="21" customHeight="1">
      <c r="A90" s="155"/>
      <c r="B90" s="49"/>
      <c r="C90" s="28"/>
      <c r="D90" s="11"/>
      <c r="E90" s="132"/>
      <c r="F90" s="132"/>
      <c r="G90" s="132"/>
      <c r="H90" s="132"/>
      <c r="I90" s="132"/>
      <c r="J90" s="132"/>
      <c r="K90" s="132"/>
      <c r="L90" s="132"/>
      <c r="M90" s="132"/>
      <c r="N90" s="132"/>
      <c r="O90" s="132"/>
      <c r="P90" s="132"/>
      <c r="Q90" s="132"/>
      <c r="R90" s="132"/>
      <c r="S90" s="132"/>
      <c r="T90" s="11"/>
    </row>
    <row r="91" ht="21" customHeight="1">
      <c r="A91" s="155"/>
      <c r="B91" t="s" s="158">
        <v>49</v>
      </c>
      <c r="C91" s="28"/>
      <c r="D91" s="11"/>
      <c r="E91" s="159">
        <v>220</v>
      </c>
      <c r="F91" s="159">
        <v>288</v>
      </c>
      <c r="G91" s="159">
        <v>442</v>
      </c>
      <c r="H91" s="159">
        <v>368</v>
      </c>
      <c r="I91" s="159">
        <v>286</v>
      </c>
      <c r="J91" s="159">
        <v>304</v>
      </c>
      <c r="K91" s="149">
        <f>195*2</f>
        <v>390</v>
      </c>
      <c r="L91" s="149">
        <f>L76*L92</f>
        <v>592.355640949640</v>
      </c>
      <c r="M91" s="149">
        <f>M76*M92</f>
        <v>585.848695683942</v>
      </c>
      <c r="N91" s="149">
        <f>N76*N92</f>
        <v>645.775026173898</v>
      </c>
      <c r="O91" s="132"/>
      <c r="P91" s="132"/>
      <c r="Q91" s="132"/>
      <c r="R91" s="132"/>
      <c r="S91" s="132"/>
      <c r="T91" s="11"/>
    </row>
    <row r="92" ht="21" customHeight="1">
      <c r="A92" s="160"/>
      <c r="B92" t="s" s="161">
        <v>42</v>
      </c>
      <c r="C92" s="65"/>
      <c r="D92" s="66"/>
      <c r="E92" s="68">
        <f>E91/E76</f>
        <v>0.0204784396471528</v>
      </c>
      <c r="F92" s="68">
        <f>F91/F76</f>
        <v>0.0227111426543648</v>
      </c>
      <c r="G92" s="68">
        <f>G91/G76</f>
        <v>0.0304261031183314</v>
      </c>
      <c r="H92" s="68">
        <f>H91/H76</f>
        <v>0.0244258595513076</v>
      </c>
      <c r="I92" s="68">
        <f>I91/I76</f>
        <v>0.0420835785756327</v>
      </c>
      <c r="J92" s="68">
        <f>J91/J76</f>
        <v>0.027742288738821</v>
      </c>
      <c r="K92" s="68">
        <f>K91/K76</f>
        <v>0.0232142857142857</v>
      </c>
      <c r="L92" s="68">
        <f>AVERAGE(K92,J92,I92)</f>
        <v>0.0310133843429131</v>
      </c>
      <c r="M92" s="68">
        <f>AVERAGE(L92,K92,J92)</f>
        <v>0.0273233195986733</v>
      </c>
      <c r="N92" s="68">
        <f>AVERAGE(M92,L92,K92)</f>
        <v>0.027183663218624</v>
      </c>
      <c r="O92" s="68"/>
      <c r="P92" s="68"/>
      <c r="Q92" s="68"/>
      <c r="R92" s="68"/>
      <c r="S92" s="68"/>
      <c r="T92" s="66"/>
    </row>
    <row r="93" ht="21" customHeight="1">
      <c r="A93" s="155"/>
      <c r="B93" s="49"/>
      <c r="C93" s="28"/>
      <c r="D93" s="11"/>
      <c r="E93" s="132"/>
      <c r="F93" s="132"/>
      <c r="G93" s="132"/>
      <c r="H93" s="132"/>
      <c r="I93" s="132"/>
      <c r="J93" s="132"/>
      <c r="K93" s="132"/>
      <c r="L93" s="132"/>
      <c r="M93" s="132"/>
      <c r="N93" s="132"/>
      <c r="O93" s="132"/>
      <c r="P93" s="132"/>
      <c r="Q93" s="132"/>
      <c r="R93" s="132"/>
      <c r="S93" s="132"/>
      <c r="T93" s="11"/>
    </row>
    <row r="94" ht="21" customHeight="1">
      <c r="A94" s="155"/>
      <c r="B94" t="s" s="158">
        <v>50</v>
      </c>
      <c r="C94" s="28"/>
      <c r="D94" s="11"/>
      <c r="E94" s="62">
        <v>-429</v>
      </c>
      <c r="F94" s="62">
        <v>-2994</v>
      </c>
      <c r="G94" s="159">
        <v>685</v>
      </c>
      <c r="H94" s="159">
        <v>385</v>
      </c>
      <c r="I94" s="62">
        <v>-4494</v>
      </c>
      <c r="J94" s="159">
        <v>2062</v>
      </c>
      <c r="K94" s="149"/>
      <c r="L94" s="132"/>
      <c r="M94" s="132"/>
      <c r="N94" s="132"/>
      <c r="O94" s="132"/>
      <c r="P94" s="132"/>
      <c r="Q94" s="132"/>
      <c r="R94" s="132"/>
      <c r="S94" s="132"/>
      <c r="T94" s="11"/>
    </row>
    <row r="95" ht="21" customHeight="1">
      <c r="A95" s="160"/>
      <c r="B95" t="s" s="161">
        <v>42</v>
      </c>
      <c r="C95" s="65"/>
      <c r="D95" s="66"/>
      <c r="E95" s="68">
        <f>E94/E76</f>
        <v>-0.0399329573119479</v>
      </c>
      <c r="F95" s="68">
        <f>F94/F76</f>
        <v>-0.236101253844334</v>
      </c>
      <c r="G95" s="68">
        <f>G94/G76</f>
        <v>0.0471535760996765</v>
      </c>
      <c r="H95" s="68">
        <f>H94/H76</f>
        <v>0.0255542280631886</v>
      </c>
      <c r="I95" s="68">
        <f>I94/I76</f>
        <v>-0.661271336080047</v>
      </c>
      <c r="J95" s="68">
        <f>J94/J76</f>
        <v>0.188173024274503</v>
      </c>
      <c r="K95" s="68"/>
      <c r="L95" s="68"/>
      <c r="M95" s="68"/>
      <c r="N95" s="68"/>
      <c r="O95" s="68"/>
      <c r="P95" s="68"/>
      <c r="Q95" s="68"/>
      <c r="R95" s="68"/>
      <c r="S95" s="68"/>
      <c r="T95" s="66"/>
    </row>
    <row r="96" ht="21" customHeight="1">
      <c r="A96" s="160"/>
      <c r="B96" t="s" s="161">
        <v>51</v>
      </c>
      <c r="C96" s="65"/>
      <c r="D96" s="66"/>
      <c r="E96" s="68"/>
      <c r="F96" s="68">
        <f>(F94-E94)/(F76-E76)</f>
        <v>-1.32353350939167</v>
      </c>
      <c r="G96" s="68">
        <f>(G94-F94)/(G76-F76)</f>
        <v>1.99295774647887</v>
      </c>
      <c r="H96" s="68">
        <f>(H94-G94)/(H76-G76)</f>
        <v>-0.556586270871985</v>
      </c>
      <c r="I96" s="68">
        <f>(I94-H94)/(I76-H76)</f>
        <v>0.589963724304716</v>
      </c>
      <c r="J96" s="68">
        <f>(J94-I94)/(J76-I76)</f>
        <v>1.57520422873618</v>
      </c>
      <c r="K96" s="68"/>
      <c r="L96" s="68"/>
      <c r="M96" s="68"/>
      <c r="N96" s="68"/>
      <c r="O96" s="68"/>
      <c r="P96" s="68"/>
      <c r="Q96" s="68"/>
      <c r="R96" s="68"/>
      <c r="S96" s="68"/>
      <c r="T96" s="66"/>
    </row>
    <row r="97" ht="21" customHeight="1">
      <c r="A97" s="155"/>
      <c r="B97" s="49"/>
      <c r="C97" s="28"/>
      <c r="D97" s="11"/>
      <c r="E97" s="60"/>
      <c r="F97" s="60"/>
      <c r="G97" s="60"/>
      <c r="H97" s="60"/>
      <c r="I97" s="60"/>
      <c r="J97" s="60"/>
      <c r="K97" s="132"/>
      <c r="L97" s="132"/>
      <c r="M97" s="132"/>
      <c r="N97" s="132"/>
      <c r="O97" s="132"/>
      <c r="P97" s="132"/>
      <c r="Q97" s="132"/>
      <c r="R97" s="132"/>
      <c r="S97" s="132"/>
      <c r="T97" s="11"/>
    </row>
    <row r="98" ht="21" customHeight="1">
      <c r="A98" s="155"/>
      <c r="B98" s="49"/>
      <c r="C98" s="28"/>
      <c r="D98" s="11"/>
      <c r="E98" s="60"/>
      <c r="F98" s="60"/>
      <c r="G98" s="60"/>
      <c r="H98" s="60"/>
      <c r="I98" s="60"/>
      <c r="J98" s="60"/>
      <c r="K98" s="60">
        <v>1</v>
      </c>
      <c r="L98" s="60">
        <v>2</v>
      </c>
      <c r="M98" s="60">
        <v>3</v>
      </c>
      <c r="N98" s="60">
        <v>4</v>
      </c>
      <c r="O98" s="60">
        <v>5</v>
      </c>
      <c r="P98" s="60">
        <v>6</v>
      </c>
      <c r="Q98" s="60">
        <v>7</v>
      </c>
      <c r="R98" s="60">
        <v>8</v>
      </c>
      <c r="S98" s="60">
        <v>9</v>
      </c>
      <c r="T98" s="60">
        <v>10</v>
      </c>
    </row>
    <row r="99" ht="21" customHeight="1">
      <c r="A99" t="s" s="156">
        <v>13</v>
      </c>
      <c r="B99" t="s" s="157">
        <v>52</v>
      </c>
      <c r="C99" s="31"/>
      <c r="D99" s="32"/>
      <c r="E99" s="59">
        <v>2016</v>
      </c>
      <c r="F99" s="59">
        <v>2017</v>
      </c>
      <c r="G99" s="59">
        <v>2018</v>
      </c>
      <c r="H99" s="59">
        <v>2019</v>
      </c>
      <c r="I99" s="59">
        <v>2020</v>
      </c>
      <c r="J99" s="59">
        <v>2021</v>
      </c>
      <c r="K99" s="59">
        <v>2022</v>
      </c>
      <c r="L99" s="59">
        <v>2023</v>
      </c>
      <c r="M99" s="59">
        <v>2024</v>
      </c>
      <c r="N99" s="59">
        <v>2025</v>
      </c>
      <c r="O99" s="59">
        <v>2026</v>
      </c>
      <c r="P99" s="59">
        <v>2027</v>
      </c>
      <c r="Q99" s="59">
        <v>2028</v>
      </c>
      <c r="R99" s="59">
        <v>2029</v>
      </c>
      <c r="S99" s="59">
        <v>2030</v>
      </c>
      <c r="T99" s="59">
        <v>2031</v>
      </c>
    </row>
    <row r="100" ht="21" customHeight="1">
      <c r="A100" s="150"/>
      <c r="B100" s="151"/>
      <c r="C100" s="28"/>
      <c r="D100" s="11"/>
      <c r="E100" s="132"/>
      <c r="F100" s="132"/>
      <c r="G100" s="132"/>
      <c r="H100" s="132"/>
      <c r="I100" s="132"/>
      <c r="J100" s="132"/>
      <c r="K100" s="132"/>
      <c r="L100" s="132"/>
      <c r="M100" s="132"/>
      <c r="N100" s="132"/>
      <c r="O100" s="132"/>
      <c r="P100" s="132"/>
      <c r="Q100" s="132"/>
      <c r="R100" s="132"/>
      <c r="S100" s="132"/>
      <c r="T100" s="11"/>
    </row>
    <row r="101" ht="21" customHeight="1">
      <c r="A101" s="8"/>
      <c r="B101" t="s" s="152">
        <v>41</v>
      </c>
      <c r="C101" s="28"/>
      <c r="D101" s="11"/>
      <c r="E101" s="147">
        <f>E68</f>
        <v>10743.006</v>
      </c>
      <c r="F101" s="147">
        <f>F68</f>
        <v>12681</v>
      </c>
      <c r="G101" s="147">
        <f>G68</f>
        <v>14527</v>
      </c>
      <c r="H101" s="147">
        <f>H68</f>
        <v>15066</v>
      </c>
      <c r="I101" s="147">
        <f>I68</f>
        <v>6796</v>
      </c>
      <c r="J101" s="147">
        <f>J68</f>
        <v>10958</v>
      </c>
      <c r="K101" s="147">
        <f>K68</f>
        <v>16800</v>
      </c>
      <c r="L101" s="147">
        <f>L68</f>
        <v>19100</v>
      </c>
      <c r="M101" s="147">
        <f>M68</f>
        <v>21441.3440346534</v>
      </c>
      <c r="N101" s="147">
        <f>N68</f>
        <v>23755.997158303</v>
      </c>
      <c r="O101" s="147">
        <f>O68</f>
        <v>25968.7956038272</v>
      </c>
      <c r="P101" s="147">
        <f>P68</f>
        <v>28001.6253747401</v>
      </c>
      <c r="Q101" s="147">
        <f>Q68</f>
        <v>29778.5712585584</v>
      </c>
      <c r="R101" s="147">
        <f>R68</f>
        <v>31231.7164534804</v>
      </c>
      <c r="S101" s="147">
        <f>S68</f>
        <v>32307.1689538016</v>
      </c>
      <c r="T101" s="147">
        <f>T68</f>
        <v>32970.8329264945</v>
      </c>
    </row>
    <row r="102" ht="21" customHeight="1">
      <c r="A102" s="150"/>
      <c r="B102" t="s" s="64">
        <v>29</v>
      </c>
      <c r="C102" s="28"/>
      <c r="D102" s="11"/>
      <c r="E102" s="132"/>
      <c r="F102" s="68">
        <f>F101/E101-1</f>
        <v>0.180395878025201</v>
      </c>
      <c r="G102" s="68">
        <f>G101/F101-1</f>
        <v>0.145572115763741</v>
      </c>
      <c r="H102" s="68">
        <f>H101/G101-1</f>
        <v>0.0371033248433951</v>
      </c>
      <c r="I102" s="68">
        <f>I101/H101-1</f>
        <v>-0.548918093720961</v>
      </c>
      <c r="J102" s="68">
        <f>J101/I101-1</f>
        <v>0.612419070041201</v>
      </c>
      <c r="K102" s="68">
        <f>K101/J101-1</f>
        <v>0.533126482934842</v>
      </c>
      <c r="L102" s="68">
        <f>L101/K101-1</f>
        <v>0.136904761904762</v>
      </c>
      <c r="M102" s="68">
        <f>M101/L101-1</f>
        <v>0.122583457311696</v>
      </c>
      <c r="N102" s="68">
        <f>N101/M101-1</f>
        <v>0.107952799969473</v>
      </c>
      <c r="O102" s="68">
        <f>O101/N101-1</f>
        <v>0.0931469401506811</v>
      </c>
      <c r="P102" s="68">
        <f>P101/O101-1</f>
        <v>0.07827970930670761</v>
      </c>
      <c r="Q102" s="68">
        <f>Q101/P101-1</f>
        <v>0.0634586692750079</v>
      </c>
      <c r="R102" s="68">
        <f>R101/Q101-1</f>
        <v>0.0487983517511561</v>
      </c>
      <c r="S102" s="68">
        <f>S101/R101-1</f>
        <v>0.0344346267975084</v>
      </c>
      <c r="T102" s="68">
        <f>T101/S101-1</f>
        <v>0.020542312873094</v>
      </c>
    </row>
    <row r="103" ht="21" customHeight="1">
      <c r="A103" s="155"/>
      <c r="B103" s="151"/>
      <c r="C103" s="28"/>
      <c r="D103" s="11"/>
      <c r="E103" s="132"/>
      <c r="F103" s="132"/>
      <c r="G103" s="132"/>
      <c r="H103" s="132"/>
      <c r="I103" s="132"/>
      <c r="J103" s="132"/>
      <c r="K103" s="132"/>
      <c r="L103" s="132"/>
      <c r="M103" s="132"/>
      <c r="N103" s="132"/>
      <c r="O103" s="132"/>
      <c r="P103" s="132"/>
      <c r="Q103" s="132"/>
      <c r="R103" s="132"/>
      <c r="S103" s="132"/>
      <c r="T103" s="11"/>
    </row>
    <row r="104" ht="21" customHeight="1">
      <c r="A104" s="8"/>
      <c r="B104" t="s" s="152">
        <v>24</v>
      </c>
      <c r="C104" s="28"/>
      <c r="D104" s="11"/>
      <c r="E104" s="162">
        <f>E79</f>
        <v>2921.138</v>
      </c>
      <c r="F104" s="162">
        <f>F79</f>
        <v>4653</v>
      </c>
      <c r="G104" s="162">
        <f>G79</f>
        <v>5104</v>
      </c>
      <c r="H104" s="162">
        <f>H79</f>
        <v>6224</v>
      </c>
      <c r="I104" s="162">
        <f>I79</f>
        <v>923</v>
      </c>
      <c r="J104" s="162">
        <f>J79</f>
        <v>1799</v>
      </c>
      <c r="K104" s="162">
        <f>K79</f>
        <v>4756</v>
      </c>
      <c r="L104" s="162">
        <f>L101*L105</f>
        <v>5328.104166666660</v>
      </c>
      <c r="M104" s="162">
        <f>M101*M105</f>
        <v>5892.540798094910</v>
      </c>
      <c r="N104" s="162">
        <f>N101*N105</f>
        <v>6430.380778415630</v>
      </c>
      <c r="O104" s="162">
        <f>O101*O105</f>
        <v>6921.920637734390</v>
      </c>
      <c r="P104" s="162">
        <f>P101*P105</f>
        <v>7347.926515746520</v>
      </c>
      <c r="Q104" s="162">
        <f>Q101*Q105</f>
        <v>7691.025041124090</v>
      </c>
      <c r="R104" s="162">
        <f>R101*R105</f>
        <v>7937.131749888970</v>
      </c>
      <c r="S104" s="162">
        <f>S101*S105</f>
        <v>8076.7922384504</v>
      </c>
      <c r="T104" s="162">
        <f>T101*T105</f>
        <v>8242.708231623630</v>
      </c>
    </row>
    <row r="105" ht="21.5" customHeight="1">
      <c r="A105" s="153"/>
      <c r="B105" t="s" s="64">
        <v>42</v>
      </c>
      <c r="C105" s="65"/>
      <c r="D105" s="66"/>
      <c r="E105" s="68">
        <f>E104/E101</f>
        <v>0.27191067379093</v>
      </c>
      <c r="F105" s="68">
        <f>F104/F101</f>
        <v>0.366926898509581</v>
      </c>
      <c r="G105" s="68">
        <f>G104/G101</f>
        <v>0.351345769945619</v>
      </c>
      <c r="H105" s="68">
        <f>H104/H101</f>
        <v>0.413115624585159</v>
      </c>
      <c r="I105" s="68">
        <f>I104/I101</f>
        <v>0.135815185403178</v>
      </c>
      <c r="J105" s="68">
        <f>J104/J101</f>
        <v>0.164172294214273</v>
      </c>
      <c r="K105" s="69">
        <f>K104/K101</f>
        <v>0.283095238095238</v>
      </c>
      <c r="L105" s="69">
        <f>OFFSET(L105,$C$15,0)</f>
        <v>0.278958333333333</v>
      </c>
      <c r="M105" s="69">
        <f>OFFSET(M105,$C$15,0)</f>
        <v>0.274821428571428</v>
      </c>
      <c r="N105" s="69">
        <f>OFFSET(N105,$C$15,0)</f>
        <v>0.270684523809523</v>
      </c>
      <c r="O105" s="69">
        <f>OFFSET(O105,$C$15,0)</f>
        <v>0.266547619047618</v>
      </c>
      <c r="P105" s="69">
        <f>OFFSET(P105,$C$15,0)</f>
        <v>0.262410714285714</v>
      </c>
      <c r="Q105" s="69">
        <f>OFFSET(Q105,$C$15,0)</f>
        <v>0.258273809523809</v>
      </c>
      <c r="R105" s="69">
        <f>OFFSET(R105,$C$15,0)</f>
        <v>0.254136904761905</v>
      </c>
      <c r="S105" s="69">
        <f>OFFSET(S105,$C$15,0)</f>
        <v>0.25</v>
      </c>
      <c r="T105" s="69">
        <f>OFFSET(T105,$C$15,0)</f>
        <v>0.25</v>
      </c>
    </row>
    <row r="106" ht="22" customHeight="1">
      <c r="A106" s="8"/>
      <c r="B106" t="s" s="34">
        <v>30</v>
      </c>
      <c r="C106" s="28"/>
      <c r="D106" s="11"/>
      <c r="E106" s="62"/>
      <c r="F106" s="62"/>
      <c r="G106" s="62"/>
      <c r="H106" s="62"/>
      <c r="I106" s="62"/>
      <c r="J106" s="70"/>
      <c r="K106" s="71">
        <f>K107</f>
        <v>0.283095238095238</v>
      </c>
      <c r="L106" s="71">
        <f>L107*$E$15</f>
        <v>0.2510625</v>
      </c>
      <c r="M106" s="71">
        <f>M107*$E$15</f>
        <v>0.247339285714285</v>
      </c>
      <c r="N106" s="71">
        <f>N107*$E$15</f>
        <v>0.243616071428571</v>
      </c>
      <c r="O106" s="71">
        <f>O107*$E$15</f>
        <v>0.239892857142856</v>
      </c>
      <c r="P106" s="71">
        <f>P107*$E$15</f>
        <v>0.236169642857143</v>
      </c>
      <c r="Q106" s="71">
        <f>Q107*$E$15</f>
        <v>0.232446428571428</v>
      </c>
      <c r="R106" s="71">
        <f>R107*$E$15</f>
        <v>0.228723214285715</v>
      </c>
      <c r="S106" s="71">
        <f>S107*$E$15</f>
        <v>0.225</v>
      </c>
      <c r="T106" s="71">
        <f>T107*$E$15</f>
        <v>0.225</v>
      </c>
    </row>
    <row r="107" ht="22" customHeight="1">
      <c r="A107" s="13"/>
      <c r="B107" t="s" s="34">
        <v>31</v>
      </c>
      <c r="C107" s="28"/>
      <c r="D107" s="11"/>
      <c r="E107" s="62"/>
      <c r="F107" s="62"/>
      <c r="G107" s="62"/>
      <c r="H107" s="62"/>
      <c r="I107" s="62"/>
      <c r="J107" s="70"/>
      <c r="K107" s="71">
        <f>K105</f>
        <v>0.283095238095238</v>
      </c>
      <c r="L107" s="71">
        <f>K107-(K107-$T$107)/($T$99-L99)</f>
        <v>0.278958333333333</v>
      </c>
      <c r="M107" s="71">
        <f>L107-(L107-$T$107)/($T$99-M99)</f>
        <v>0.274821428571428</v>
      </c>
      <c r="N107" s="71">
        <f>M107-(M107-$T$107)/($T$99-N99)</f>
        <v>0.270684523809523</v>
      </c>
      <c r="O107" s="71">
        <f>N107-(N107-$T$107)/($T$99-O99)</f>
        <v>0.266547619047618</v>
      </c>
      <c r="P107" s="71">
        <f>O107-(O107-$T$107)/($T$99-P99)</f>
        <v>0.262410714285714</v>
      </c>
      <c r="Q107" s="71">
        <f>P107-(P107-$T$107)/($T$99-Q99)</f>
        <v>0.258273809523809</v>
      </c>
      <c r="R107" s="71">
        <f>Q107-(Q107-$T$107)/($T$99-R99)</f>
        <v>0.254136904761905</v>
      </c>
      <c r="S107" s="71">
        <f>R107-(R107-$T$107)/($T$99-S99)</f>
        <v>0.25</v>
      </c>
      <c r="T107" s="71">
        <f>G15</f>
        <v>0.25</v>
      </c>
    </row>
    <row r="108" ht="22" customHeight="1">
      <c r="A108" s="13"/>
      <c r="B108" t="s" s="34">
        <v>32</v>
      </c>
      <c r="C108" s="28"/>
      <c r="D108" s="11"/>
      <c r="E108" s="62"/>
      <c r="F108" s="62"/>
      <c r="G108" s="62"/>
      <c r="H108" s="62"/>
      <c r="I108" s="62"/>
      <c r="J108" s="70"/>
      <c r="K108" s="72">
        <f>K107</f>
        <v>0.283095238095238</v>
      </c>
      <c r="L108" s="72">
        <f>L107*$I$15</f>
        <v>0.306854166666666</v>
      </c>
      <c r="M108" s="72">
        <f>M107*$I$15</f>
        <v>0.302303571428571</v>
      </c>
      <c r="N108" s="72">
        <f>N107*$I$15</f>
        <v>0.297752976190475</v>
      </c>
      <c r="O108" s="72">
        <f>O107*$I$15</f>
        <v>0.29320238095238</v>
      </c>
      <c r="P108" s="72">
        <f>P107*$I$15</f>
        <v>0.288651785714285</v>
      </c>
      <c r="Q108" s="72">
        <f>Q107*$I$15</f>
        <v>0.28410119047619</v>
      </c>
      <c r="R108" s="72">
        <f>R107*$I$15</f>
        <v>0.279550595238096</v>
      </c>
      <c r="S108" s="72">
        <f>S107*$I$15</f>
        <v>0.275</v>
      </c>
      <c r="T108" s="72">
        <f>T107*$I$15</f>
        <v>0.275</v>
      </c>
    </row>
    <row r="109" ht="21.5" customHeight="1">
      <c r="A109" s="150"/>
      <c r="B109" s="151"/>
      <c r="C109" s="28"/>
      <c r="D109" s="11"/>
      <c r="E109" s="132"/>
      <c r="F109" s="132"/>
      <c r="G109" s="132"/>
      <c r="H109" s="132"/>
      <c r="I109" s="132"/>
      <c r="J109" s="132"/>
      <c r="K109" s="163"/>
      <c r="L109" s="163"/>
      <c r="M109" s="163"/>
      <c r="N109" s="163"/>
      <c r="O109" s="163"/>
      <c r="P109" s="163"/>
      <c r="Q109" s="163"/>
      <c r="R109" s="163"/>
      <c r="S109" s="163"/>
      <c r="T109" s="27"/>
    </row>
    <row r="110" ht="21" customHeight="1">
      <c r="A110" s="155"/>
      <c r="B110" t="s" s="152">
        <v>43</v>
      </c>
      <c r="C110" s="28"/>
      <c r="D110" s="11"/>
      <c r="E110" s="162">
        <f>E82</f>
        <v>578.251</v>
      </c>
      <c r="F110" s="162">
        <f>F82</f>
        <v>2057.557</v>
      </c>
      <c r="G110" s="162">
        <f>G82</f>
        <v>837</v>
      </c>
      <c r="H110" s="162">
        <f>H82</f>
        <v>1093</v>
      </c>
      <c r="I110" s="162">
        <f>I82</f>
        <v>508</v>
      </c>
      <c r="J110" s="162">
        <f>J82</f>
        <v>300</v>
      </c>
      <c r="K110" s="162">
        <f>K82</f>
        <v>808.52</v>
      </c>
      <c r="L110" s="149">
        <f>L104*L111</f>
        <v>905.777708333332</v>
      </c>
      <c r="M110" s="149">
        <f>M104*M111</f>
        <v>1001.731935676130</v>
      </c>
      <c r="N110" s="149">
        <f>N104*N111</f>
        <v>1093.164732330660</v>
      </c>
      <c r="O110" s="149">
        <f>O104*O111</f>
        <v>1176.726508414850</v>
      </c>
      <c r="P110" s="149">
        <f>P104*P111</f>
        <v>1249.147507676910</v>
      </c>
      <c r="Q110" s="149">
        <f>Q104*Q111</f>
        <v>1307.4742569911</v>
      </c>
      <c r="R110" s="149">
        <f>R104*R111</f>
        <v>1349.312397481120</v>
      </c>
      <c r="S110" s="149">
        <f>S104*S111</f>
        <v>1373.054680536570</v>
      </c>
      <c r="T110" s="149">
        <f>T104*T111</f>
        <v>1401.260399376020</v>
      </c>
    </row>
    <row r="111" ht="21" customHeight="1">
      <c r="A111" s="160"/>
      <c r="B111" t="s" s="154">
        <v>44</v>
      </c>
      <c r="C111" s="65"/>
      <c r="D111" s="66"/>
      <c r="E111" s="68">
        <f>E110/E104</f>
        <v>0.197954016551084</v>
      </c>
      <c r="F111" s="68">
        <f>F110/F104</f>
        <v>0.442200085966043</v>
      </c>
      <c r="G111" s="68">
        <f>G110/G104</f>
        <v>0.163989028213166</v>
      </c>
      <c r="H111" s="68">
        <f>H110/H104</f>
        <v>0.175610539845758</v>
      </c>
      <c r="I111" s="68">
        <f>I110/I104</f>
        <v>0.550379198266522</v>
      </c>
      <c r="J111" s="68">
        <f>J110/J104</f>
        <v>0.166759310728182</v>
      </c>
      <c r="K111" s="68">
        <f>K110/K104</f>
        <v>0.17</v>
      </c>
      <c r="L111" s="68">
        <f>K111</f>
        <v>0.17</v>
      </c>
      <c r="M111" s="68">
        <f>L111</f>
        <v>0.17</v>
      </c>
      <c r="N111" s="68">
        <f>M111</f>
        <v>0.17</v>
      </c>
      <c r="O111" s="68">
        <f>N111</f>
        <v>0.17</v>
      </c>
      <c r="P111" s="68">
        <f>O111</f>
        <v>0.17</v>
      </c>
      <c r="Q111" s="68">
        <f>P111</f>
        <v>0.17</v>
      </c>
      <c r="R111" s="68">
        <f>Q111</f>
        <v>0.17</v>
      </c>
      <c r="S111" s="68">
        <f>R111</f>
        <v>0.17</v>
      </c>
      <c r="T111" s="68">
        <f>S111</f>
        <v>0.17</v>
      </c>
    </row>
    <row r="112" ht="21.15" customHeight="1">
      <c r="A112" s="164"/>
      <c r="B112" s="165"/>
      <c r="C112" s="166"/>
      <c r="D112" s="167"/>
      <c r="E112" s="168"/>
      <c r="F112" s="168"/>
      <c r="G112" s="168"/>
      <c r="H112" s="168"/>
      <c r="I112" s="168"/>
      <c r="J112" s="168"/>
      <c r="K112" s="168"/>
      <c r="L112" s="168"/>
      <c r="M112" s="168"/>
      <c r="N112" s="168"/>
      <c r="O112" s="168"/>
      <c r="P112" s="168"/>
      <c r="Q112" s="168"/>
      <c r="R112" s="168"/>
      <c r="S112" s="168"/>
      <c r="T112" s="167"/>
    </row>
    <row r="113" ht="21.15" customHeight="1">
      <c r="A113" s="169"/>
      <c r="B113" t="s" s="170">
        <v>53</v>
      </c>
      <c r="C113" s="171"/>
      <c r="D113" s="172"/>
      <c r="E113" s="173">
        <f>E104-E110</f>
        <v>2342.887</v>
      </c>
      <c r="F113" s="173">
        <f>F104-F110</f>
        <v>2595.443</v>
      </c>
      <c r="G113" s="173">
        <f>G104-G110</f>
        <v>4267</v>
      </c>
      <c r="H113" s="173">
        <f>H104-H110</f>
        <v>5131</v>
      </c>
      <c r="I113" s="173">
        <f>I104-I110</f>
        <v>415</v>
      </c>
      <c r="J113" s="173">
        <f>J104-J110</f>
        <v>1499</v>
      </c>
      <c r="K113" s="173">
        <f>K104-K110</f>
        <v>3947.48</v>
      </c>
      <c r="L113" s="173">
        <f>L104-L110</f>
        <v>4422.326458333330</v>
      </c>
      <c r="M113" s="173">
        <f>M104-M110</f>
        <v>4890.808862418780</v>
      </c>
      <c r="N113" s="173">
        <f>N104-N110</f>
        <v>5337.216046084970</v>
      </c>
      <c r="O113" s="173">
        <f>O104-O110</f>
        <v>5745.194129319540</v>
      </c>
      <c r="P113" s="173">
        <f>P104-P110</f>
        <v>6098.779008069610</v>
      </c>
      <c r="Q113" s="173">
        <f>Q104-Q110</f>
        <v>6383.550784132990</v>
      </c>
      <c r="R113" s="173">
        <f>R104-R110</f>
        <v>6587.819352407850</v>
      </c>
      <c r="S113" s="173">
        <f>S104-S110</f>
        <v>6703.737557913830</v>
      </c>
      <c r="T113" s="174">
        <f>T104-T110</f>
        <v>6841.447832247610</v>
      </c>
    </row>
    <row r="114" ht="21" customHeight="1">
      <c r="A114" s="155"/>
      <c r="B114" s="49"/>
      <c r="C114" s="175"/>
      <c r="D114" s="176"/>
      <c r="E114" s="177"/>
      <c r="F114" s="177"/>
      <c r="G114" s="177"/>
      <c r="H114" s="177"/>
      <c r="I114" s="177"/>
      <c r="J114" s="177"/>
      <c r="K114" s="177"/>
      <c r="L114" s="177"/>
      <c r="M114" s="177"/>
      <c r="N114" s="177"/>
      <c r="O114" s="177"/>
      <c r="P114" s="177"/>
      <c r="Q114" s="177"/>
      <c r="R114" s="177"/>
      <c r="S114" s="177"/>
      <c r="T114" s="176"/>
    </row>
    <row r="115" ht="21.5" customHeight="1">
      <c r="A115" s="155"/>
      <c r="B115" t="s" s="158">
        <v>46</v>
      </c>
      <c r="C115" s="28"/>
      <c r="D115" s="11"/>
      <c r="E115" s="147">
        <f>E87</f>
        <v>309.135</v>
      </c>
      <c r="F115" s="147">
        <f>F87</f>
        <v>362.774</v>
      </c>
      <c r="G115" s="147">
        <f>G87</f>
        <v>426</v>
      </c>
      <c r="H115" s="147">
        <f>H87</f>
        <v>469</v>
      </c>
      <c r="I115" s="147">
        <f>I87</f>
        <v>458</v>
      </c>
      <c r="J115" s="147">
        <f>J87</f>
        <v>421</v>
      </c>
      <c r="K115" s="147">
        <f>K87</f>
        <v>436</v>
      </c>
      <c r="L115" s="124">
        <f>L101*L116</f>
        <v>838.8999141875551</v>
      </c>
      <c r="M115" s="124">
        <f>M101*M116</f>
        <v>773.984362608747</v>
      </c>
      <c r="N115" s="124">
        <f>N101*N116</f>
        <v>839.1536479494169</v>
      </c>
      <c r="O115" s="124">
        <f>O101*O116</f>
        <v>998.440297967903</v>
      </c>
      <c r="P115" s="124">
        <f>P101*P116</f>
        <v>1025.506448951870</v>
      </c>
      <c r="Q115" s="124">
        <f>Q101*Q116</f>
        <v>1095.798451359220</v>
      </c>
      <c r="R115" s="124">
        <f>R101*R116</f>
        <v>1164.6204959513</v>
      </c>
      <c r="S115" s="124">
        <f>S101*S116</f>
        <v>1192.252979187020</v>
      </c>
      <c r="T115" s="124">
        <f>T101*T116</f>
        <v>1219.828065274710</v>
      </c>
    </row>
    <row r="116" ht="22" customHeight="1">
      <c r="A116" s="155"/>
      <c r="B116" t="s" s="178">
        <v>42</v>
      </c>
      <c r="C116" s="28"/>
      <c r="D116" s="11"/>
      <c r="E116" s="68">
        <f>E115/E101</f>
        <v>0.0287754656378299</v>
      </c>
      <c r="F116" s="68">
        <f>F115/F101</f>
        <v>0.0286076807822727</v>
      </c>
      <c r="G116" s="68">
        <f>G115/G101</f>
        <v>0.0293247057203827</v>
      </c>
      <c r="H116" s="68">
        <f>H115/H101</f>
        <v>0.031129696004248</v>
      </c>
      <c r="I116" s="68">
        <f>I115/I101</f>
        <v>0.0673925838728664</v>
      </c>
      <c r="J116" s="68">
        <f>J115/J101</f>
        <v>0.0384194196021172</v>
      </c>
      <c r="K116" s="179">
        <f>K115/K101</f>
        <v>0.025952380952381</v>
      </c>
      <c r="L116" s="72">
        <f>AVERAGE(K116,J116,I116)</f>
        <v>0.0439214614757882</v>
      </c>
      <c r="M116" s="72">
        <f>AVERAGE(L116,K116,J116)</f>
        <v>0.0360977540100955</v>
      </c>
      <c r="N116" s="72">
        <f>AVERAGE(M116,L116,K116)</f>
        <v>0.0353238654794216</v>
      </c>
      <c r="O116" s="72">
        <f>AVERAGE(N116,M116,L116)</f>
        <v>0.0384476936551018</v>
      </c>
      <c r="P116" s="72">
        <f>AVERAGE(O116,N116,M116)</f>
        <v>0.0366231043815396</v>
      </c>
      <c r="Q116" s="72">
        <f>AVERAGE(P116,O116,N116)</f>
        <v>0.036798221172021</v>
      </c>
      <c r="R116" s="72">
        <f>AVERAGE(Q116,P116,O116)</f>
        <v>0.0372896730695541</v>
      </c>
      <c r="S116" s="72">
        <f>AVERAGE(R116,Q116,P116)</f>
        <v>0.0369036662077049</v>
      </c>
      <c r="T116" s="72">
        <f>AVERAGE(S116,R116,Q116)</f>
        <v>0.0369971868164267</v>
      </c>
    </row>
    <row r="117" ht="21.5" customHeight="1">
      <c r="A117" s="155"/>
      <c r="B117" s="151"/>
      <c r="C117" s="28"/>
      <c r="D117" s="11"/>
      <c r="E117" s="132"/>
      <c r="F117" s="132"/>
      <c r="G117" s="132"/>
      <c r="H117" s="132"/>
      <c r="I117" s="132"/>
      <c r="J117" s="132"/>
      <c r="K117" s="132"/>
      <c r="L117" s="163"/>
      <c r="M117" s="163"/>
      <c r="N117" s="163"/>
      <c r="O117" s="163"/>
      <c r="P117" s="163"/>
      <c r="Q117" s="163"/>
      <c r="R117" s="163"/>
      <c r="S117" s="163"/>
      <c r="T117" s="27"/>
    </row>
    <row r="118" ht="21.5" customHeight="1">
      <c r="A118" s="155"/>
      <c r="B118" t="s" s="158">
        <v>49</v>
      </c>
      <c r="C118" s="28"/>
      <c r="D118" s="11"/>
      <c r="E118" s="147">
        <f>E91</f>
        <v>220</v>
      </c>
      <c r="F118" s="147">
        <f>F91</f>
        <v>288</v>
      </c>
      <c r="G118" s="147">
        <f>G91</f>
        <v>442</v>
      </c>
      <c r="H118" s="147">
        <f>H91</f>
        <v>368</v>
      </c>
      <c r="I118" s="147">
        <f>I91</f>
        <v>286</v>
      </c>
      <c r="J118" s="147">
        <f>J91</f>
        <v>304</v>
      </c>
      <c r="K118" s="147">
        <f>K91</f>
        <v>390</v>
      </c>
      <c r="L118" s="180">
        <f>L101*L119</f>
        <v>592.355640949640</v>
      </c>
      <c r="M118" s="180">
        <f>M101*M119</f>
        <v>585.848695683942</v>
      </c>
      <c r="N118" s="180">
        <f>N101*N119</f>
        <v>645.775026173898</v>
      </c>
      <c r="O118" s="180">
        <f>O101*O119</f>
        <v>740.286978249254</v>
      </c>
      <c r="P118" s="180">
        <f>P101*P119</f>
        <v>774.8401802891671</v>
      </c>
      <c r="Q118" s="180">
        <f>Q101*Q119</f>
        <v>827.464202811680</v>
      </c>
      <c r="R118" s="180">
        <f>R101*R119</f>
        <v>874.126635452310</v>
      </c>
      <c r="S118" s="180">
        <f>S101*S119</f>
        <v>898.644596464265</v>
      </c>
      <c r="T118" s="180">
        <f>T101*T119</f>
        <v>918.691646241290</v>
      </c>
    </row>
    <row r="119" ht="22" customHeight="1">
      <c r="A119" s="155"/>
      <c r="B119" t="s" s="178">
        <v>42</v>
      </c>
      <c r="C119" s="28"/>
      <c r="D119" s="11"/>
      <c r="E119" s="68">
        <f>E118/E101</f>
        <v>0.0204784396471528</v>
      </c>
      <c r="F119" s="68">
        <f>F118/F101</f>
        <v>0.0227111426543648</v>
      </c>
      <c r="G119" s="68">
        <f>G118/G101</f>
        <v>0.0304261031183314</v>
      </c>
      <c r="H119" s="68">
        <f>H118/H101</f>
        <v>0.0244258595513076</v>
      </c>
      <c r="I119" s="68">
        <f>I118/I101</f>
        <v>0.0420835785756327</v>
      </c>
      <c r="J119" s="68">
        <f>J118/J101</f>
        <v>0.027742288738821</v>
      </c>
      <c r="K119" s="179">
        <f>K118/K101</f>
        <v>0.0232142857142857</v>
      </c>
      <c r="L119" s="72">
        <f>AVERAGE(K119,J119,I119)</f>
        <v>0.0310133843429131</v>
      </c>
      <c r="M119" s="72">
        <f>AVERAGE(L119,K119,J119)</f>
        <v>0.0273233195986733</v>
      </c>
      <c r="N119" s="72">
        <f>AVERAGE(M119,L119,K119)</f>
        <v>0.027183663218624</v>
      </c>
      <c r="O119" s="72">
        <f>AVERAGE(N119,M119,L119)</f>
        <v>0.0285067890534035</v>
      </c>
      <c r="P119" s="72">
        <f>AVERAGE(O119,N119,M119)</f>
        <v>0.0276712572902336</v>
      </c>
      <c r="Q119" s="72">
        <f>AVERAGE(P119,O119,N119)</f>
        <v>0.0277872365207537</v>
      </c>
      <c r="R119" s="72">
        <f>AVERAGE(Q119,P119,O119)</f>
        <v>0.0279884276214636</v>
      </c>
      <c r="S119" s="72">
        <f>AVERAGE(R119,Q119,P119)</f>
        <v>0.0278156404774836</v>
      </c>
      <c r="T119" s="72">
        <f>AVERAGE(S119,R119,Q119)</f>
        <v>0.027863768206567</v>
      </c>
    </row>
    <row r="120" ht="21.5" customHeight="1">
      <c r="A120" s="155"/>
      <c r="B120" s="151"/>
      <c r="C120" s="28"/>
      <c r="D120" s="11"/>
      <c r="E120" s="132"/>
      <c r="F120" s="132"/>
      <c r="G120" s="132"/>
      <c r="H120" s="132"/>
      <c r="I120" s="132"/>
      <c r="J120" s="132"/>
      <c r="K120" s="132"/>
      <c r="L120" s="163"/>
      <c r="M120" s="163"/>
      <c r="N120" s="163"/>
      <c r="O120" s="163"/>
      <c r="P120" s="163"/>
      <c r="Q120" s="163"/>
      <c r="R120" s="163"/>
      <c r="S120" s="163"/>
      <c r="T120" s="27"/>
    </row>
    <row r="121" ht="21.5" customHeight="1">
      <c r="A121" s="155"/>
      <c r="B121" t="s" s="158">
        <v>50</v>
      </c>
      <c r="C121" s="28"/>
      <c r="D121" s="11"/>
      <c r="E121" s="147">
        <f>E94</f>
        <v>-429</v>
      </c>
      <c r="F121" s="147">
        <f>F94</f>
        <v>-2994</v>
      </c>
      <c r="G121" s="147">
        <f>G94</f>
        <v>685</v>
      </c>
      <c r="H121" s="147">
        <f>H94</f>
        <v>385</v>
      </c>
      <c r="I121" s="147">
        <f>I94</f>
        <v>-4494</v>
      </c>
      <c r="J121" s="147">
        <f>J94</f>
        <v>2062</v>
      </c>
      <c r="K121" s="149">
        <f>14924-10282</f>
        <v>4642</v>
      </c>
      <c r="L121" s="124">
        <f>L101*L122</f>
        <v>-473.989358242652</v>
      </c>
      <c r="M121" s="124">
        <f>M101*M122</f>
        <v>-840.718344529461</v>
      </c>
      <c r="N121" s="124">
        <f>N101*N122</f>
        <v>-1239.184726418890</v>
      </c>
      <c r="O121" s="180">
        <f>O101*O122</f>
        <v>1808.950842706980</v>
      </c>
      <c r="P121" s="180">
        <f>P101*P122</f>
        <v>1286.835880315740</v>
      </c>
      <c r="Q121" s="124">
        <f>Q101*Q122</f>
        <v>-3.42444140895832</v>
      </c>
      <c r="R121" s="180">
        <f>R101*R122</f>
        <v>150.700625967379</v>
      </c>
      <c r="S121" s="180">
        <f>S101*S122</f>
        <v>440.421731745267</v>
      </c>
      <c r="T121" s="180">
        <f>T101*T122</f>
        <v>883.334506391382</v>
      </c>
    </row>
    <row r="122" ht="22" customHeight="1">
      <c r="A122" s="155"/>
      <c r="B122" t="s" s="161">
        <v>42</v>
      </c>
      <c r="C122" s="28"/>
      <c r="D122" s="11"/>
      <c r="E122" s="132">
        <f>E121/E101</f>
        <v>-0.0399329573119479</v>
      </c>
      <c r="F122" s="132">
        <f>F121/F101</f>
        <v>-0.236101253844334</v>
      </c>
      <c r="G122" s="132">
        <f>G121/G101</f>
        <v>0.0471535760996765</v>
      </c>
      <c r="H122" s="132">
        <f>H121/H101</f>
        <v>0.0255542280631886</v>
      </c>
      <c r="I122" s="132">
        <f>I121/I101</f>
        <v>-0.661271336080047</v>
      </c>
      <c r="J122" s="132">
        <f>J121/J101</f>
        <v>0.188173024274503</v>
      </c>
      <c r="K122" s="181">
        <f>K121/K101</f>
        <v>0.276309523809524</v>
      </c>
      <c r="L122" s="72">
        <f>AVERAGE(K122,J122,I122,H122,G122)</f>
        <v>-0.024816196766631</v>
      </c>
      <c r="M122" s="72">
        <f>AVERAGE(L122,K122,J122,I122,H122)</f>
        <v>-0.0392101513398925</v>
      </c>
      <c r="N122" s="72">
        <f>AVERAGE(M122,L122,K122,J122,I122)</f>
        <v>-0.0521630272205087</v>
      </c>
      <c r="O122" s="72">
        <f>AVERAGE(N122,M122,L122,K122,J122)</f>
        <v>0.06965863455139901</v>
      </c>
      <c r="P122" s="72">
        <f>AVERAGE(O122,N122,M122,L122,K122)</f>
        <v>0.0459557566067782</v>
      </c>
      <c r="Q122" s="72">
        <f>AVERAGE(P122,O122,N122,M122,L122)</f>
        <v>-0.000114996833771</v>
      </c>
      <c r="R122" s="72">
        <f>AVERAGE(Q122,P122,O122,N122,M122)</f>
        <v>0.004825243152801</v>
      </c>
      <c r="S122" s="72">
        <f>AVERAGE(R122,Q122,P122,O122,N122)</f>
        <v>0.0136323220513397</v>
      </c>
      <c r="T122" s="72">
        <f>AVERAGE(S122,R122,Q122,P122,O122)</f>
        <v>0.0267913919057094</v>
      </c>
    </row>
    <row r="123" ht="21.65" customHeight="1">
      <c r="A123" s="164"/>
      <c r="B123" s="165"/>
      <c r="C123" s="166"/>
      <c r="D123" s="167"/>
      <c r="E123" s="168"/>
      <c r="F123" s="168"/>
      <c r="G123" s="168"/>
      <c r="H123" s="168"/>
      <c r="I123" s="168"/>
      <c r="J123" s="168"/>
      <c r="K123" s="168"/>
      <c r="L123" s="182"/>
      <c r="M123" s="182"/>
      <c r="N123" s="182"/>
      <c r="O123" s="182"/>
      <c r="P123" s="182"/>
      <c r="Q123" s="182"/>
      <c r="R123" s="182"/>
      <c r="S123" s="182"/>
      <c r="T123" s="183"/>
    </row>
    <row r="124" ht="21.15" customHeight="1">
      <c r="A124" s="184"/>
      <c r="B124" t="s" s="170">
        <v>54</v>
      </c>
      <c r="C124" s="185"/>
      <c r="D124" s="186"/>
      <c r="E124" s="187"/>
      <c r="F124" s="187"/>
      <c r="G124" s="187"/>
      <c r="H124" s="187"/>
      <c r="I124" s="187"/>
      <c r="J124" s="187"/>
      <c r="K124" s="144">
        <f>K113+K115-K118-K121</f>
        <v>-648.52</v>
      </c>
      <c r="L124" s="144">
        <f>L113+L115-L118-L121</f>
        <v>5142.8600898139</v>
      </c>
      <c r="M124" s="144">
        <f>M113+M115-M118-M121</f>
        <v>5919.662873873050</v>
      </c>
      <c r="N124" s="144">
        <f>N113+N115-N118-N121</f>
        <v>6769.779394279380</v>
      </c>
      <c r="O124" s="144">
        <f>O113+O115-O118-O121</f>
        <v>4194.396606331210</v>
      </c>
      <c r="P124" s="144">
        <f>P113+P115-P118-P121</f>
        <v>5062.609396416570</v>
      </c>
      <c r="Q124" s="144">
        <f>Q113+Q115-Q118-Q121</f>
        <v>6655.309474089490</v>
      </c>
      <c r="R124" s="144">
        <f>R113+R115-R118-R121</f>
        <v>6727.612586939460</v>
      </c>
      <c r="S124" s="144">
        <f>S113+S115-S118-S121</f>
        <v>6556.924208891320</v>
      </c>
      <c r="T124" s="144">
        <f>T113+T115-T118-T121</f>
        <v>6259.249744889650</v>
      </c>
    </row>
    <row r="125" ht="21.15" customHeight="1">
      <c r="A125" s="164"/>
      <c r="B125" t="s" s="188">
        <v>55</v>
      </c>
      <c r="C125" s="166"/>
      <c r="D125" s="167"/>
      <c r="E125" s="168"/>
      <c r="F125" s="168"/>
      <c r="G125" s="168"/>
      <c r="H125" s="168"/>
      <c r="I125" s="168"/>
      <c r="J125" s="168"/>
      <c r="K125" s="189">
        <f>K124/(1+$C$19)^K98</f>
        <v>-598.210926528653</v>
      </c>
      <c r="L125" s="189">
        <f>L124/(1+$C$19)^L98</f>
        <v>4375.892497664</v>
      </c>
      <c r="M125" s="189">
        <f>M124/(1+$C$19)^M98</f>
        <v>4646.114153720460</v>
      </c>
      <c r="N125" s="189">
        <f>N124/(1+$C$19)^N98</f>
        <v>4901.154417202850</v>
      </c>
      <c r="O125" s="189">
        <f>O124/(1+$C$19)^O98</f>
        <v>2801.072370453550</v>
      </c>
      <c r="P125" s="189">
        <f>P124/(1+$C$19)^P98</f>
        <v>3118.6039492446</v>
      </c>
      <c r="Q125" s="189">
        <f>Q124/(1+$C$19)^Q98</f>
        <v>3781.682171047580</v>
      </c>
      <c r="R125" s="189">
        <f>R124/(1+$C$19)^R98</f>
        <v>3526.214383919890</v>
      </c>
      <c r="S125" s="189">
        <f>S124/(1+$C$19)^S98</f>
        <v>3170.143118410260</v>
      </c>
      <c r="T125" s="189">
        <f>T124/(1+$C$19)^T98</f>
        <v>2791.463496784030</v>
      </c>
    </row>
    <row r="126" ht="21.15" customHeight="1">
      <c r="A126" s="169"/>
      <c r="B126" s="184"/>
      <c r="C126" s="171"/>
      <c r="D126" s="172"/>
      <c r="E126" s="190"/>
      <c r="F126" s="190"/>
      <c r="G126" s="190"/>
      <c r="H126" s="190"/>
      <c r="I126" s="190"/>
      <c r="J126" s="190"/>
      <c r="K126" s="190"/>
      <c r="L126" s="190"/>
      <c r="M126" s="190"/>
      <c r="N126" s="190"/>
      <c r="O126" s="190"/>
      <c r="P126" s="190"/>
      <c r="Q126" s="190"/>
      <c r="R126" s="190"/>
      <c r="S126" s="190"/>
      <c r="T126" s="191"/>
    </row>
    <row r="127" ht="21" customHeight="1">
      <c r="A127" s="155"/>
      <c r="B127" t="s" s="158">
        <v>56</v>
      </c>
      <c r="C127" s="192"/>
      <c r="D127" s="193"/>
      <c r="E127" s="194"/>
      <c r="F127" s="194"/>
      <c r="G127" s="194"/>
      <c r="H127" s="194"/>
      <c r="I127" s="194"/>
      <c r="J127" s="194"/>
      <c r="K127" s="194"/>
      <c r="L127" s="194"/>
      <c r="M127" s="194"/>
      <c r="N127" s="194"/>
      <c r="O127" s="194"/>
      <c r="P127" s="194"/>
      <c r="Q127" s="194"/>
      <c r="R127" s="194"/>
      <c r="S127" s="194"/>
      <c r="T127" s="195">
        <f>(T124*(1+C20))/($C$19-$C$20)</f>
        <v>99602.374997871506</v>
      </c>
    </row>
    <row r="128" ht="21" customHeight="1">
      <c r="A128" s="155"/>
      <c r="B128" t="s" s="158">
        <v>57</v>
      </c>
      <c r="C128" s="192"/>
      <c r="D128" s="193"/>
      <c r="E128" s="194"/>
      <c r="F128" s="194"/>
      <c r="G128" s="194"/>
      <c r="H128" s="194"/>
      <c r="I128" s="194"/>
      <c r="J128" s="194"/>
      <c r="K128" s="194"/>
      <c r="L128" s="194"/>
      <c r="M128" s="194"/>
      <c r="N128" s="194"/>
      <c r="O128" s="194"/>
      <c r="P128" s="194"/>
      <c r="Q128" s="194"/>
      <c r="R128" s="194"/>
      <c r="S128" s="194"/>
      <c r="T128" s="195">
        <f>T127/(1+$C$19)^T98</f>
        <v>44420.0831300197</v>
      </c>
    </row>
    <row r="129" ht="21" customHeight="1">
      <c r="A129" s="155"/>
      <c r="B129" s="49"/>
      <c r="C129" s="192"/>
      <c r="D129" s="193"/>
      <c r="E129" s="194"/>
      <c r="F129" s="194"/>
      <c r="G129" s="194"/>
      <c r="H129" s="194"/>
      <c r="I129" s="194"/>
      <c r="J129" s="194"/>
      <c r="K129" s="194"/>
      <c r="L129" s="194"/>
      <c r="M129" s="194"/>
      <c r="N129" s="194"/>
      <c r="O129" s="194"/>
      <c r="P129" s="194"/>
      <c r="Q129" s="194"/>
      <c r="R129" s="194"/>
      <c r="S129" s="194"/>
      <c r="T129" s="196"/>
    </row>
    <row r="130" ht="22" customHeight="1">
      <c r="A130" s="197"/>
      <c r="B130" t="s" s="198">
        <v>58</v>
      </c>
      <c r="C130" s="197"/>
      <c r="D130" s="197"/>
      <c r="E130" s="197"/>
      <c r="F130" s="197"/>
      <c r="G130" s="197"/>
      <c r="H130" s="197"/>
      <c r="I130" s="197"/>
      <c r="J130" s="197"/>
      <c r="K130" s="197"/>
      <c r="L130" s="197"/>
      <c r="M130" s="197"/>
      <c r="N130" s="197"/>
      <c r="O130" s="197"/>
      <c r="P130" s="197"/>
      <c r="Q130" s="197"/>
      <c r="R130" s="197"/>
      <c r="S130" s="197"/>
      <c r="T130" s="199">
        <f>SUM(T124,S124,R124,Q124,P124,O124,N124,M124,L124,K124,T128)</f>
        <v>97059.9675055437</v>
      </c>
    </row>
    <row r="131" ht="22" customHeight="1">
      <c r="A131" s="200"/>
      <c r="B131" t="s" s="201">
        <v>59</v>
      </c>
      <c r="C131" s="200"/>
      <c r="D131" s="200"/>
      <c r="E131" s="200"/>
      <c r="F131" s="200"/>
      <c r="G131" s="200"/>
      <c r="H131" s="200"/>
      <c r="I131" s="200"/>
      <c r="J131" s="200"/>
      <c r="K131" s="200"/>
      <c r="L131" s="200"/>
      <c r="M131" s="200"/>
      <c r="N131" s="200"/>
      <c r="O131" s="200"/>
      <c r="P131" s="200"/>
      <c r="Q131" s="200"/>
      <c r="R131" s="200"/>
      <c r="S131" s="200"/>
      <c r="T131" s="202">
        <v>11870</v>
      </c>
    </row>
    <row r="132" ht="22" customHeight="1">
      <c r="A132" s="200"/>
      <c r="B132" t="s" s="201">
        <v>60</v>
      </c>
      <c r="C132" s="200"/>
      <c r="D132" s="200"/>
      <c r="E132" s="200"/>
      <c r="F132" s="200"/>
      <c r="G132" s="200"/>
      <c r="H132" s="200"/>
      <c r="I132" s="200"/>
      <c r="J132" s="200"/>
      <c r="K132" s="200"/>
      <c r="L132" s="200"/>
      <c r="M132" s="200"/>
      <c r="N132" s="200"/>
      <c r="O132" s="200"/>
      <c r="P132" s="200"/>
      <c r="Q132" s="200"/>
      <c r="R132" s="200"/>
      <c r="S132" s="200"/>
      <c r="T132" s="202">
        <v>9800</v>
      </c>
    </row>
    <row r="133" ht="22" customHeight="1">
      <c r="A133" s="200"/>
      <c r="B133" t="s" s="201">
        <v>61</v>
      </c>
      <c r="C133" s="200"/>
      <c r="D133" s="200"/>
      <c r="E133" s="200"/>
      <c r="F133" s="200"/>
      <c r="G133" s="200"/>
      <c r="H133" s="200"/>
      <c r="I133" s="200"/>
      <c r="J133" s="200"/>
      <c r="K133" s="200"/>
      <c r="L133" s="200"/>
      <c r="M133" s="200"/>
      <c r="N133" s="200"/>
      <c r="O133" s="200"/>
      <c r="P133" s="200"/>
      <c r="Q133" s="200"/>
      <c r="R133" s="200"/>
      <c r="S133" s="200"/>
      <c r="T133" s="202">
        <f>T130+T131-T132</f>
        <v>99129.9675055437</v>
      </c>
    </row>
    <row r="134" ht="22" customHeight="1">
      <c r="A134" s="200"/>
      <c r="B134" t="s" s="201">
        <v>62</v>
      </c>
      <c r="C134" s="200"/>
      <c r="D134" s="200"/>
      <c r="E134" s="200"/>
      <c r="F134" s="200"/>
      <c r="G134" s="200"/>
      <c r="H134" s="200"/>
      <c r="I134" s="200"/>
      <c r="J134" s="200"/>
      <c r="K134" s="200"/>
      <c r="L134" s="200"/>
      <c r="M134" s="200"/>
      <c r="N134" s="200"/>
      <c r="O134" s="200"/>
      <c r="P134" s="200"/>
      <c r="Q134" s="200"/>
      <c r="R134" s="200"/>
      <c r="S134" s="200"/>
      <c r="T134" s="203">
        <v>39.71</v>
      </c>
    </row>
    <row r="135" ht="22" customHeight="1">
      <c r="A135" s="200"/>
      <c r="B135" t="s" s="201">
        <v>63</v>
      </c>
      <c r="C135" s="200"/>
      <c r="D135" s="200"/>
      <c r="E135" s="200"/>
      <c r="F135" s="200"/>
      <c r="G135" s="200"/>
      <c r="H135" s="200"/>
      <c r="I135" s="200"/>
      <c r="J135" s="200"/>
      <c r="K135" s="200"/>
      <c r="L135" s="200"/>
      <c r="M135" s="200"/>
      <c r="N135" s="200"/>
      <c r="O135" s="200"/>
      <c r="P135" s="200"/>
      <c r="Q135" s="200"/>
      <c r="R135" s="200"/>
      <c r="S135" s="200"/>
      <c r="T135" s="202">
        <f>T133/T134</f>
        <v>2496.3477085254</v>
      </c>
    </row>
    <row r="136" ht="22" customHeight="1">
      <c r="A136" s="200"/>
      <c r="B136" s="200"/>
      <c r="C136" s="200"/>
      <c r="D136" s="200"/>
      <c r="E136" s="200"/>
      <c r="F136" s="200"/>
      <c r="G136" s="200"/>
      <c r="H136" s="200"/>
      <c r="I136" s="200"/>
      <c r="J136" s="200"/>
      <c r="K136" s="200"/>
      <c r="L136" s="200"/>
      <c r="M136" s="200"/>
      <c r="N136" s="200"/>
      <c r="O136" s="200"/>
      <c r="P136" s="200"/>
      <c r="Q136" s="200"/>
      <c r="R136" s="200"/>
      <c r="S136" s="200"/>
      <c r="T136" s="200"/>
    </row>
    <row r="137" ht="22" customHeight="1">
      <c r="A137" s="200"/>
      <c r="B137" s="200"/>
      <c r="C137" s="200"/>
      <c r="D137" s="200"/>
      <c r="E137" s="200"/>
      <c r="F137" s="200"/>
      <c r="G137" s="200"/>
      <c r="H137" s="200"/>
      <c r="I137" s="200"/>
      <c r="J137" s="200"/>
      <c r="K137" s="200"/>
      <c r="L137" s="200"/>
      <c r="M137" s="200"/>
      <c r="N137" s="200"/>
      <c r="O137" s="200"/>
      <c r="P137" s="200"/>
      <c r="Q137" s="200"/>
      <c r="R137" s="200"/>
      <c r="S137" s="200"/>
      <c r="T137" s="200"/>
    </row>
  </sheetData>
  <mergeCells count="1">
    <mergeCell ref="A1:T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1"/>
  <sheetViews>
    <sheetView workbookViewId="0" showGridLines="0" defaultGridColor="1"/>
  </sheetViews>
  <sheetFormatPr defaultColWidth="16.3333" defaultRowHeight="19.9" customHeight="1" outlineLevelRow="0" outlineLevelCol="0"/>
  <cols>
    <col min="1" max="1" width="21.1875" style="204" customWidth="1"/>
    <col min="2" max="5" width="16.3516" style="204" customWidth="1"/>
    <col min="6" max="256" width="16.3516" style="204" customWidth="1"/>
  </cols>
  <sheetData>
    <row r="1" ht="28.65" customHeight="1">
      <c r="A1" t="s" s="205">
        <v>26</v>
      </c>
      <c r="B1" s="205"/>
      <c r="C1" s="205"/>
      <c r="D1" s="205"/>
      <c r="E1" s="205"/>
    </row>
    <row r="2" ht="19.7" customHeight="1">
      <c r="A2" s="36"/>
      <c r="B2" s="36"/>
      <c r="C2" s="36"/>
      <c r="D2" s="36"/>
      <c r="E2" s="36"/>
    </row>
    <row r="3" ht="22" customHeight="1">
      <c r="A3" t="s" s="206">
        <v>65</v>
      </c>
      <c r="B3" s="36"/>
      <c r="C3" s="36"/>
      <c r="D3" s="36"/>
      <c r="E3" s="36"/>
    </row>
    <row r="4" ht="22" customHeight="1">
      <c r="A4" t="s" s="206">
        <v>66</v>
      </c>
      <c r="B4" s="36"/>
      <c r="C4" s="36"/>
      <c r="D4" s="36"/>
      <c r="E4" s="36"/>
    </row>
    <row r="5" ht="19.7" customHeight="1">
      <c r="A5" s="36"/>
      <c r="B5" s="36"/>
      <c r="C5" s="36"/>
      <c r="D5" s="36"/>
      <c r="E5" s="36"/>
    </row>
    <row r="6" ht="22" customHeight="1">
      <c r="A6" t="s" s="207">
        <v>26</v>
      </c>
      <c r="B6" s="36"/>
      <c r="C6" s="36"/>
      <c r="D6" s="36"/>
      <c r="E6" s="36"/>
    </row>
    <row r="7" ht="19.7" customHeight="1">
      <c r="A7" t="s" s="208">
        <v>67</v>
      </c>
      <c r="B7" s="209">
        <v>72060.796100000007</v>
      </c>
      <c r="C7" s="36"/>
      <c r="D7" s="36"/>
      <c r="E7" s="36"/>
    </row>
    <row r="8" ht="19.7" customHeight="1">
      <c r="A8" t="s" s="208">
        <v>68</v>
      </c>
      <c r="B8" s="210">
        <f>B7/B19</f>
        <v>0.880284574950524</v>
      </c>
      <c r="C8" s="36"/>
      <c r="D8" s="36"/>
      <c r="E8" s="36"/>
    </row>
    <row r="9" ht="19.7" customHeight="1">
      <c r="A9" t="s" s="208">
        <v>69</v>
      </c>
      <c r="B9" s="211">
        <f>B10+B11*B12</f>
        <v>0.0919</v>
      </c>
      <c r="C9" s="36"/>
      <c r="D9" s="36"/>
      <c r="E9" s="36"/>
    </row>
    <row r="10" ht="19.7" customHeight="1">
      <c r="A10" t="s" s="208">
        <v>70</v>
      </c>
      <c r="B10" s="211">
        <v>0.0329</v>
      </c>
      <c r="C10" s="36"/>
      <c r="D10" s="36"/>
      <c r="E10" s="36"/>
    </row>
    <row r="11" ht="19.7" customHeight="1">
      <c r="A11" t="s" s="208">
        <v>71</v>
      </c>
      <c r="B11" s="212">
        <v>1.25</v>
      </c>
      <c r="C11" s="36"/>
      <c r="D11" s="36"/>
      <c r="E11" s="36"/>
    </row>
    <row r="12" ht="19.7" customHeight="1">
      <c r="A12" t="s" s="213">
        <v>72</v>
      </c>
      <c r="B12" s="211">
        <v>0.0472</v>
      </c>
      <c r="C12" s="36"/>
      <c r="D12" s="36"/>
      <c r="E12" s="36"/>
    </row>
    <row r="13" ht="19.7" customHeight="1">
      <c r="A13" s="214"/>
      <c r="B13" s="36"/>
      <c r="C13" s="36"/>
      <c r="D13" s="36"/>
      <c r="E13" s="36"/>
    </row>
    <row r="14" ht="19.7" customHeight="1">
      <c r="A14" t="s" s="208">
        <v>73</v>
      </c>
      <c r="B14" s="209">
        <v>9800</v>
      </c>
      <c r="C14" s="36"/>
      <c r="D14" s="36"/>
      <c r="E14" s="36"/>
    </row>
    <row r="15" ht="19.7" customHeight="1">
      <c r="A15" t="s" s="208">
        <v>74</v>
      </c>
      <c r="B15" s="215">
        <f>B14/B7</f>
        <v>0.135996277176849</v>
      </c>
      <c r="C15" s="36"/>
      <c r="D15" s="36"/>
      <c r="E15" s="36"/>
    </row>
    <row r="16" ht="19.7" customHeight="1">
      <c r="A16" t="s" s="208">
        <v>75</v>
      </c>
      <c r="B16" s="216">
        <v>0.0296</v>
      </c>
      <c r="C16" s="36"/>
      <c r="D16" s="36"/>
      <c r="E16" s="36"/>
    </row>
    <row r="17" ht="19.7" customHeight="1">
      <c r="A17" t="s" s="208">
        <v>76</v>
      </c>
      <c r="B17" s="216">
        <v>0.2048</v>
      </c>
      <c r="C17" s="36"/>
      <c r="D17" s="36"/>
      <c r="E17" s="36"/>
    </row>
    <row r="18" ht="19.7" customHeight="1">
      <c r="A18" s="214"/>
      <c r="B18" s="209"/>
      <c r="C18" s="36"/>
      <c r="D18" s="36"/>
      <c r="E18" s="36"/>
    </row>
    <row r="19" ht="19.7" customHeight="1">
      <c r="A19" t="s" s="208">
        <v>77</v>
      </c>
      <c r="B19" s="209">
        <f>B7+B14</f>
        <v>81860.796100000007</v>
      </c>
      <c r="C19" s="36"/>
      <c r="D19" s="36"/>
      <c r="E19" s="36"/>
    </row>
    <row r="20" ht="19.7" customHeight="1">
      <c r="A20" s="214"/>
      <c r="B20" s="36"/>
      <c r="C20" s="36"/>
      <c r="D20" s="36"/>
      <c r="E20" s="36"/>
    </row>
    <row r="21" ht="19.7" customHeight="1">
      <c r="A21" t="s" s="208">
        <v>26</v>
      </c>
      <c r="B21" s="211">
        <f>(B8*B9)+(B15*B16*(1-B17))</f>
        <v>0.0840992219304397</v>
      </c>
      <c r="C21" s="36"/>
      <c r="D21" s="36"/>
      <c r="E21" s="3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15"/>
  <sheetViews>
    <sheetView workbookViewId="0" showGridLines="0" defaultGridColor="1"/>
  </sheetViews>
  <sheetFormatPr defaultColWidth="16.3333" defaultRowHeight="19.9" customHeight="1" outlineLevelRow="0" outlineLevelCol="0"/>
  <cols>
    <col min="1" max="5" width="16.3516" style="217" customWidth="1"/>
    <col min="6" max="256" width="16.3516" style="217" customWidth="1"/>
  </cols>
  <sheetData>
    <row r="1" ht="28" customHeight="1">
      <c r="A1" t="s" s="218">
        <v>79</v>
      </c>
      <c r="B1" s="218"/>
      <c r="C1" s="218"/>
      <c r="D1" s="218"/>
      <c r="E1" s="218"/>
    </row>
    <row r="2" ht="21" customHeight="1">
      <c r="A2" s="219"/>
      <c r="B2" s="219"/>
      <c r="C2" s="219"/>
      <c r="D2" s="219"/>
      <c r="E2" s="219"/>
    </row>
    <row r="3" ht="21.5" customHeight="1">
      <c r="A3" t="s" s="220">
        <v>67</v>
      </c>
      <c r="B3" s="221">
        <v>72060.796100000007</v>
      </c>
      <c r="C3" s="219"/>
      <c r="D3" s="219"/>
      <c r="E3" s="219"/>
    </row>
    <row r="4" ht="21.5" customHeight="1">
      <c r="A4" t="s" s="220">
        <v>81</v>
      </c>
      <c r="B4" s="222">
        <v>39.706248</v>
      </c>
      <c r="C4" s="219"/>
      <c r="D4" s="219"/>
      <c r="E4" s="219"/>
    </row>
    <row r="5" ht="21" customHeight="1">
      <c r="A5" s="223"/>
      <c r="B5" s="219"/>
      <c r="C5" s="219"/>
      <c r="D5" s="219"/>
      <c r="E5" s="219"/>
    </row>
    <row r="6" ht="21" customHeight="1">
      <c r="A6" s="223"/>
      <c r="B6" s="219"/>
      <c r="C6" s="219"/>
      <c r="D6" s="219"/>
      <c r="E6" s="219"/>
    </row>
    <row r="7" ht="21" customHeight="1">
      <c r="A7" s="223"/>
      <c r="B7" s="219"/>
      <c r="C7" s="219"/>
      <c r="D7" s="219"/>
      <c r="E7" s="219"/>
    </row>
    <row r="8" ht="21" customHeight="1">
      <c r="A8" s="223"/>
      <c r="B8" s="224">
        <v>2022</v>
      </c>
      <c r="C8" s="224">
        <v>2023</v>
      </c>
      <c r="D8" s="224">
        <v>2024</v>
      </c>
      <c r="E8" s="224">
        <v>2025</v>
      </c>
    </row>
    <row r="9" ht="21" customHeight="1">
      <c r="A9" t="s" s="220">
        <v>82</v>
      </c>
      <c r="B9" s="224">
        <f>95.83</f>
        <v>95.83</v>
      </c>
      <c r="C9" s="224">
        <v>120.13</v>
      </c>
      <c r="D9" s="224">
        <v>147.18</v>
      </c>
      <c r="E9" s="224">
        <v>174.53</v>
      </c>
    </row>
    <row r="10" ht="21" customHeight="1">
      <c r="A10" t="s" s="220">
        <v>41</v>
      </c>
      <c r="B10" s="225">
        <f>B9*$B$4</f>
        <v>3805.04974584</v>
      </c>
      <c r="C10" s="225">
        <f>C9*$B$4</f>
        <v>4769.91157224</v>
      </c>
      <c r="D10" s="225">
        <f>D9*$B$4</f>
        <v>5843.96558064</v>
      </c>
      <c r="E10" s="225">
        <f>E9*$B$4</f>
        <v>6929.93146344</v>
      </c>
    </row>
    <row r="11" ht="21" customHeight="1">
      <c r="A11" s="219"/>
      <c r="B11" s="219"/>
      <c r="C11" s="219"/>
      <c r="D11" s="219"/>
      <c r="E11" s="219"/>
    </row>
    <row r="12" ht="21" customHeight="1">
      <c r="A12" s="219"/>
      <c r="B12" s="219"/>
      <c r="C12" s="219"/>
      <c r="D12" s="219"/>
      <c r="E12" s="219"/>
    </row>
    <row r="13" ht="21" customHeight="1">
      <c r="A13" s="219"/>
      <c r="B13" s="219"/>
      <c r="C13" s="219"/>
      <c r="D13" s="219"/>
      <c r="E13" s="219"/>
    </row>
    <row r="14" ht="21" customHeight="1">
      <c r="A14" s="219"/>
      <c r="B14" s="219"/>
      <c r="C14" s="219"/>
      <c r="D14" s="219"/>
      <c r="E14" s="219"/>
    </row>
    <row r="15" ht="296" customHeight="1">
      <c r="A15" s="219"/>
      <c r="B15" s="219"/>
      <c r="C15" t="s" s="226">
        <v>83</v>
      </c>
      <c r="D15" s="219"/>
      <c r="E15" s="2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