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Starbucks WACC" sheetId="2" r:id="rId5"/>
    <sheet name="Sheet 2 - WACC" sheetId="3" r:id="rId6"/>
  </sheets>
</workbook>
</file>

<file path=xl/sharedStrings.xml><?xml version="1.0" encoding="utf-8"?>
<sst xmlns="http://schemas.openxmlformats.org/spreadsheetml/2006/main" uniqueCount="73">
  <si>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</si>
  <si>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</si>
  <si>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</si>
  <si>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</si>
  <si>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</si>
  <si>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Starbucks WACC</t>
  </si>
  <si>
    <t>Sheet 1 - Starbucks WACC</t>
  </si>
  <si>
    <t>Ticker</t>
  </si>
  <si>
    <t>SBUX</t>
  </si>
  <si>
    <t xml:space="preserve">Implied Share Price </t>
  </si>
  <si>
    <t>Date</t>
  </si>
  <si>
    <t>Current Share Price</t>
  </si>
  <si>
    <t>X</t>
  </si>
  <si>
    <t>Assumptions</t>
  </si>
  <si>
    <t>WACC</t>
  </si>
  <si>
    <t>TGV</t>
  </si>
  <si>
    <t xml:space="preserve">Store Count </t>
  </si>
  <si>
    <t xml:space="preserve">Americas </t>
  </si>
  <si>
    <t>Company Operated</t>
  </si>
  <si>
    <t xml:space="preserve">Licensed Stores </t>
  </si>
  <si>
    <t>China/APAC</t>
  </si>
  <si>
    <t>EMEA</t>
  </si>
  <si>
    <t>All Other Segments</t>
  </si>
  <si>
    <t>Total Store Count</t>
  </si>
  <si>
    <t xml:space="preserve">% growth </t>
  </si>
  <si>
    <t>Revenue Build</t>
  </si>
  <si>
    <t>Foodservice &amp; Other</t>
  </si>
  <si>
    <t>% of revenue</t>
  </si>
  <si>
    <t xml:space="preserve">International </t>
  </si>
  <si>
    <t>Channel Development</t>
  </si>
  <si>
    <t>CPG</t>
  </si>
  <si>
    <t>Foodservice</t>
  </si>
  <si>
    <t>Total Revenues</t>
  </si>
  <si>
    <t>Average Revenue/Store</t>
  </si>
  <si>
    <t>- Americas</t>
  </si>
  <si>
    <t xml:space="preserve">- International </t>
  </si>
  <si>
    <t>Income Statement</t>
  </si>
  <si>
    <t>Revenue</t>
  </si>
  <si>
    <t>EBIT</t>
  </si>
  <si>
    <t>% of sales</t>
  </si>
  <si>
    <t>Taxes</t>
  </si>
  <si>
    <t>% of EBIT</t>
  </si>
  <si>
    <t>Cash Flow Items</t>
  </si>
  <si>
    <t>D&amp;A</t>
  </si>
  <si>
    <t>% of CapEx</t>
  </si>
  <si>
    <t>Capital Expenditures</t>
  </si>
  <si>
    <t>DCF</t>
  </si>
  <si>
    <t>EBIAT</t>
  </si>
  <si>
    <t xml:space="preserve">Change in Net Working Capital </t>
  </si>
  <si>
    <t>Unlevered Free Cash Flow</t>
  </si>
  <si>
    <t>Present Value of Free Cash Flow</t>
  </si>
  <si>
    <t xml:space="preserve">Terminal Value </t>
  </si>
  <si>
    <t xml:space="preserve">Present Value of Terminal Value </t>
  </si>
  <si>
    <t>Enterprise Value</t>
  </si>
  <si>
    <t xml:space="preserve">(+) Cash </t>
  </si>
  <si>
    <t>(-) Debt</t>
  </si>
  <si>
    <t>Equity Value</t>
  </si>
  <si>
    <t xml:space="preserve">Shares </t>
  </si>
  <si>
    <t>Sheet 2</t>
  </si>
  <si>
    <t>Sheet 2 - WACC</t>
  </si>
  <si>
    <t>WACC = % of equity x cost of equity + % of debt x cost of debt x (1-Tax Rate)</t>
  </si>
  <si>
    <t xml:space="preserve">Cost of equity = Risk free rate + Beta x Market Risk Premium </t>
  </si>
  <si>
    <t xml:space="preserve">Market Cap </t>
  </si>
  <si>
    <t xml:space="preserve">% of Equity </t>
  </si>
  <si>
    <t>Cost of Equity</t>
  </si>
  <si>
    <t>Risk Free Rate</t>
  </si>
  <si>
    <t>Beta</t>
  </si>
  <si>
    <t>Market Risk Premium</t>
  </si>
  <si>
    <t>Debt</t>
  </si>
  <si>
    <t>% of Debt</t>
  </si>
  <si>
    <t>Cost of Debt</t>
  </si>
  <si>
    <t>Tax Rate</t>
  </si>
  <si>
    <t xml:space="preserve">Total </t>
  </si>
</sst>
</file>

<file path=xl/styles.xml><?xml version="1.0" encoding="utf-8"?>
<styleSheet xmlns="http://schemas.openxmlformats.org/spreadsheetml/2006/main">
  <numFmts count="8">
    <numFmt numFmtId="0" formatCode="General"/>
    <numFmt numFmtId="59" formatCode="dd/mm/yyyy"/>
    <numFmt numFmtId="60" formatCode="[$$-409]0.00"/>
    <numFmt numFmtId="61" formatCode="0.0_);\(0.0\)"/>
    <numFmt numFmtId="62" formatCode="#,##0%_);\(#,##0%\)"/>
    <numFmt numFmtId="63" formatCode="0%_);\(0%\)"/>
    <numFmt numFmtId="64" formatCode="0_);\(0\)"/>
    <numFmt numFmtId="65" formatCode="#,##0.00%"/>
  </numFmts>
  <fonts count="16">
    <font>
      <sz val="10"/>
      <color indexed="8"/>
      <name val="Helvetica Neue"/>
    </font>
    <font>
      <sz val="12"/>
      <color indexed="8"/>
      <name val="Helvetica Neue"/>
    </font>
    <font>
      <sz val="14"/>
      <color indexed="8"/>
      <name val="Helvetica Neue"/>
    </font>
    <font>
      <u val="single"/>
      <sz val="12"/>
      <color indexed="11"/>
      <name val="Helvetica Neue"/>
    </font>
    <font>
      <b val="1"/>
      <sz val="14"/>
      <color indexed="8"/>
      <name val="Calibri"/>
    </font>
    <font>
      <b val="1"/>
      <sz val="11"/>
      <color indexed="8"/>
      <name val="Calibri"/>
    </font>
    <font>
      <sz val="11"/>
      <color indexed="8"/>
      <name val="Calibri"/>
    </font>
    <font>
      <sz val="11"/>
      <color indexed="15"/>
      <name val="Calibri"/>
    </font>
    <font>
      <b val="1"/>
      <i val="1"/>
      <sz val="11"/>
      <color indexed="8"/>
      <name val="Calibri"/>
    </font>
    <font>
      <i val="1"/>
      <sz val="11"/>
      <color indexed="8"/>
      <name val="Calibri"/>
    </font>
    <font>
      <i val="1"/>
      <sz val="10"/>
      <color indexed="8"/>
      <name val="Helvetica Neue"/>
    </font>
    <font>
      <b val="1"/>
      <sz val="12"/>
      <color indexed="8"/>
      <name val="Calibri"/>
    </font>
    <font>
      <b val="1"/>
      <sz val="14"/>
      <color indexed="8"/>
      <name val="Helvetica Neue"/>
    </font>
    <font>
      <sz val="12"/>
      <color indexed="8"/>
      <name val="Calibri"/>
    </font>
    <font>
      <b val="1"/>
      <sz val="12"/>
      <color indexed="15"/>
      <name val="Calibri"/>
    </font>
    <font>
      <i val="1"/>
      <sz val="12"/>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21"/>
        <bgColor auto="1"/>
      </patternFill>
    </fill>
    <fill>
      <patternFill patternType="solid">
        <fgColor indexed="22"/>
        <bgColor auto="1"/>
      </patternFill>
    </fill>
  </fills>
  <borders count="87">
    <border>
      <left/>
      <right/>
      <top/>
      <bottom/>
      <diagonal/>
    </border>
    <border>
      <left>
        <color indexed="8"/>
      </left>
      <right style="thin">
        <color indexed="12"/>
      </right>
      <top>
        <color indexed="8"/>
      </top>
      <bottom/>
      <diagonal/>
    </border>
    <border>
      <left style="thin">
        <color indexed="12"/>
      </left>
      <right>
        <color indexed="8"/>
      </right>
      <top>
        <color indexed="8"/>
      </top>
      <bottom/>
      <diagonal/>
    </border>
    <border>
      <left>
        <color indexed="8"/>
      </left>
      <right/>
      <top/>
      <bottom style="dotted">
        <color indexed="12"/>
      </bottom>
      <diagonal/>
    </border>
    <border>
      <left/>
      <right/>
      <top/>
      <bottom/>
      <diagonal/>
    </border>
    <border>
      <left/>
      <right/>
      <top/>
      <bottom style="dotted">
        <color indexed="12"/>
      </bottom>
      <diagonal/>
    </border>
    <border>
      <left>
        <color indexed="8"/>
      </left>
      <right style="thin">
        <color indexed="12"/>
      </right>
      <top/>
      <bottom/>
      <diagonal/>
    </border>
    <border>
      <left style="thin">
        <color indexed="12"/>
      </left>
      <right style="dotted">
        <color indexed="13"/>
      </right>
      <top/>
      <bottom/>
      <diagonal/>
    </border>
    <border>
      <left style="dotted">
        <color indexed="13"/>
      </left>
      <right style="dotted">
        <color indexed="13"/>
      </right>
      <top style="dotted">
        <color indexed="12"/>
      </top>
      <bottom style="dotted">
        <color indexed="12"/>
      </bottom>
      <diagonal/>
    </border>
    <border>
      <left style="dotted">
        <color indexed="13"/>
      </left>
      <right/>
      <top/>
      <bottom/>
      <diagonal/>
    </border>
    <border>
      <left/>
      <right style="dotted">
        <color indexed="13"/>
      </right>
      <top/>
      <bottom/>
      <diagonal/>
    </border>
    <border>
      <left style="dotted">
        <color indexed="13"/>
      </left>
      <right style="dotted">
        <color indexed="13"/>
      </right>
      <top style="dotted">
        <color indexed="12"/>
      </top>
      <bottom style="dotted">
        <color indexed="13"/>
      </bottom>
      <diagonal/>
    </border>
    <border>
      <left style="dotted">
        <color indexed="13"/>
      </left>
      <right style="dotted">
        <color indexed="13"/>
      </right>
      <top style="dotted">
        <color indexed="13"/>
      </top>
      <bottom style="dotted">
        <color indexed="13"/>
      </bottom>
      <diagonal/>
    </border>
    <border>
      <left style="thin">
        <color indexed="12"/>
      </left>
      <right>
        <color indexed="8"/>
      </right>
      <top/>
      <bottom/>
      <diagonal/>
    </border>
    <border>
      <left>
        <color indexed="8"/>
      </left>
      <right/>
      <top style="dotted">
        <color indexed="13"/>
      </top>
      <bottom/>
      <diagonal/>
    </border>
    <border>
      <left/>
      <right/>
      <top style="dotted">
        <color indexed="13"/>
      </top>
      <bottom/>
      <diagonal/>
    </border>
    <border>
      <left>
        <color indexed="8"/>
      </left>
      <right/>
      <top/>
      <bottom/>
      <diagonal/>
    </border>
    <border>
      <left style="thin">
        <color indexed="12"/>
      </left>
      <right style="thin">
        <color indexed="17"/>
      </right>
      <top/>
      <bottom/>
      <diagonal/>
    </border>
    <border>
      <left style="thin">
        <color indexed="17"/>
      </left>
      <right/>
      <top/>
      <bottom/>
      <diagonal/>
    </border>
    <border>
      <left>
        <color indexed="8"/>
      </left>
      <right/>
      <top/>
      <bottom>
        <color indexed="8"/>
      </bottom>
      <diagonal/>
    </border>
    <border>
      <left/>
      <right/>
      <top/>
      <bottom style="dotted">
        <color indexed="13"/>
      </bottom>
      <diagonal/>
    </border>
    <border>
      <left>
        <color indexed="8"/>
      </left>
      <right style="dotted">
        <color indexed="13"/>
      </right>
      <top>
        <color indexed="8"/>
      </top>
      <bottom>
        <color indexed="8"/>
      </bottom>
      <diagonal/>
    </border>
    <border>
      <left style="dotted">
        <color indexed="13"/>
      </left>
      <right style="dotted">
        <color indexed="13"/>
      </right>
      <top style="dotted">
        <color indexed="13"/>
      </top>
      <bottom style="hair">
        <color indexed="13"/>
      </bottom>
      <diagonal/>
    </border>
    <border>
      <left>
        <color indexed="8"/>
      </left>
      <right/>
      <top>
        <color indexed="8"/>
      </top>
      <bottom/>
      <diagonal/>
    </border>
    <border>
      <left/>
      <right/>
      <top style="hair">
        <color indexed="13"/>
      </top>
      <bottom/>
      <diagonal/>
    </border>
    <border>
      <left>
        <color indexed="8"/>
      </left>
      <right style="thin">
        <color indexed="12"/>
      </right>
      <top/>
      <bottom style="thin">
        <color indexed="19"/>
      </bottom>
      <diagonal/>
    </border>
    <border>
      <left style="thin">
        <color indexed="12"/>
      </left>
      <right>
        <color indexed="8"/>
      </right>
      <top/>
      <bottom style="thin">
        <color indexed="19"/>
      </bottom>
      <diagonal/>
    </border>
    <border>
      <left>
        <color indexed="8"/>
      </left>
      <right/>
      <top/>
      <bottom style="thin">
        <color indexed="19"/>
      </bottom>
      <diagonal/>
    </border>
    <border>
      <left/>
      <right/>
      <top/>
      <bottom style="thin">
        <color indexed="19"/>
      </bottom>
      <diagonal/>
    </border>
    <border>
      <left>
        <color indexed="8"/>
      </left>
      <right style="thin">
        <color indexed="12"/>
      </right>
      <top style="thin">
        <color indexed="19"/>
      </top>
      <bottom>
        <color indexed="8"/>
      </bottom>
      <diagonal/>
    </border>
    <border>
      <left style="thin">
        <color indexed="12"/>
      </left>
      <right>
        <color indexed="8"/>
      </right>
      <top style="thin">
        <color indexed="19"/>
      </top>
      <bottom>
        <color indexed="8"/>
      </bottom>
      <diagonal/>
    </border>
    <border>
      <left>
        <color indexed="8"/>
      </left>
      <right/>
      <top style="thin">
        <color indexed="19"/>
      </top>
      <bottom>
        <color indexed="8"/>
      </bottom>
      <diagonal/>
    </border>
    <border>
      <left/>
      <right/>
      <top style="thin">
        <color indexed="19"/>
      </top>
      <bottom>
        <color indexed="8"/>
      </bottom>
      <diagonal/>
    </border>
    <border>
      <left>
        <color indexed="8"/>
      </left>
      <right style="thin">
        <color indexed="12"/>
      </right>
      <top>
        <color indexed="8"/>
      </top>
      <bottom style="dotted">
        <color indexed="20"/>
      </bottom>
      <diagonal/>
    </border>
    <border>
      <left style="thin">
        <color indexed="12"/>
      </left>
      <right>
        <color indexed="8"/>
      </right>
      <top>
        <color indexed="8"/>
      </top>
      <bottom style="dotted">
        <color indexed="20"/>
      </bottom>
      <diagonal/>
    </border>
    <border>
      <left>
        <color indexed="8"/>
      </left>
      <right/>
      <top>
        <color indexed="8"/>
      </top>
      <bottom style="dotted">
        <color indexed="20"/>
      </bottom>
      <diagonal/>
    </border>
    <border>
      <left/>
      <right/>
      <top>
        <color indexed="8"/>
      </top>
      <bottom style="dotted">
        <color indexed="20"/>
      </bottom>
      <diagonal/>
    </border>
    <border>
      <left/>
      <right>
        <color indexed="8"/>
      </right>
      <top>
        <color indexed="8"/>
      </top>
      <bottom style="dotted">
        <color indexed="20"/>
      </bottom>
      <diagonal/>
    </border>
    <border>
      <left>
        <color indexed="8"/>
      </left>
      <right style="thin">
        <color indexed="12"/>
      </right>
      <top style="dotted">
        <color indexed="20"/>
      </top>
      <bottom/>
      <diagonal/>
    </border>
    <border>
      <left style="thin">
        <color indexed="12"/>
      </left>
      <right>
        <color indexed="8"/>
      </right>
      <top style="dotted">
        <color indexed="20"/>
      </top>
      <bottom/>
      <diagonal/>
    </border>
    <border>
      <left>
        <color indexed="8"/>
      </left>
      <right/>
      <top style="dotted">
        <color indexed="20"/>
      </top>
      <bottom/>
      <diagonal/>
    </border>
    <border>
      <left/>
      <right/>
      <top style="dotted">
        <color indexed="20"/>
      </top>
      <bottom/>
      <diagonal/>
    </border>
    <border>
      <left/>
      <right/>
      <top style="thin">
        <color indexed="19"/>
      </top>
      <bottom/>
      <diagonal/>
    </border>
    <border>
      <left>
        <color indexed="8"/>
      </left>
      <right style="thin">
        <color indexed="12"/>
      </right>
      <top>
        <color indexed="8"/>
      </top>
      <bottom>
        <color indexed="8"/>
      </bottom>
      <diagonal/>
    </border>
    <border>
      <left style="thin">
        <color indexed="12"/>
      </left>
      <right>
        <color indexed="8"/>
      </right>
      <top>
        <color indexed="8"/>
      </top>
      <bottom>
        <color indexed="8"/>
      </bottom>
      <diagonal/>
    </border>
    <border>
      <left>
        <color indexed="8"/>
      </left>
      <right/>
      <top>
        <color indexed="8"/>
      </top>
      <bottom>
        <color indexed="8"/>
      </bottom>
      <diagonal/>
    </border>
    <border>
      <left/>
      <right/>
      <top/>
      <bottom>
        <color indexed="8"/>
      </bottom>
      <diagonal/>
    </border>
    <border>
      <left/>
      <right/>
      <top>
        <color indexed="8"/>
      </top>
      <bottom>
        <color indexed="8"/>
      </bottom>
      <diagonal/>
    </border>
    <border>
      <left/>
      <right>
        <color indexed="8"/>
      </right>
      <top>
        <color indexed="8"/>
      </top>
      <bottom>
        <color indexed="8"/>
      </bottom>
      <diagonal/>
    </border>
    <border>
      <left>
        <color indexed="8"/>
      </left>
      <right style="thin">
        <color indexed="12"/>
      </right>
      <top style="thin">
        <color indexed="19"/>
      </top>
      <bottom/>
      <diagonal/>
    </border>
    <border>
      <left>
        <color indexed="8"/>
      </left>
      <right/>
      <top style="thin">
        <color indexed="19"/>
      </top>
      <bottom/>
      <diagonal/>
    </border>
    <border>
      <left>
        <color indexed="8"/>
      </left>
      <right style="thin">
        <color indexed="12"/>
      </right>
      <top/>
      <bottom>
        <color indexed="8"/>
      </bottom>
      <diagonal/>
    </border>
    <border>
      <left/>
      <right style="thin">
        <color indexed="12"/>
      </right>
      <top/>
      <bottom/>
      <diagonal/>
    </border>
    <border>
      <left/>
      <right style="thin">
        <color indexed="12"/>
      </right>
      <top/>
      <bottom style="thin">
        <color indexed="19"/>
      </bottom>
      <diagonal/>
    </border>
    <border>
      <left style="thin">
        <color indexed="12"/>
      </left>
      <right style="thin">
        <color indexed="17"/>
      </right>
      <top/>
      <bottom style="thin">
        <color indexed="19"/>
      </bottom>
      <diagonal/>
    </border>
    <border>
      <left style="thin">
        <color indexed="17"/>
      </left>
      <right/>
      <top/>
      <bottom style="thin">
        <color indexed="19"/>
      </bottom>
      <diagonal/>
    </border>
    <border>
      <left/>
      <right style="thin">
        <color indexed="12"/>
      </right>
      <top style="thin">
        <color indexed="19"/>
      </top>
      <bottom>
        <color indexed="8"/>
      </bottom>
      <diagonal/>
    </border>
    <border>
      <left style="thin">
        <color indexed="12"/>
      </left>
      <right style="thin">
        <color indexed="17"/>
      </right>
      <top style="thin">
        <color indexed="19"/>
      </top>
      <bottom>
        <color indexed="8"/>
      </bottom>
      <diagonal/>
    </border>
    <border>
      <left style="thin">
        <color indexed="17"/>
      </left>
      <right/>
      <top style="thin">
        <color indexed="19"/>
      </top>
      <bottom>
        <color indexed="8"/>
      </bottom>
      <diagonal/>
    </border>
    <border>
      <left style="thin">
        <color indexed="12"/>
      </left>
      <right style="thin">
        <color indexed="17"/>
      </right>
      <top>
        <color indexed="8"/>
      </top>
      <bottom>
        <color indexed="8"/>
      </bottom>
      <diagonal/>
    </border>
    <border>
      <left style="thin">
        <color indexed="17"/>
      </left>
      <right/>
      <top>
        <color indexed="8"/>
      </top>
      <bottom>
        <color indexed="8"/>
      </bottom>
      <diagonal/>
    </border>
    <border>
      <left style="thin">
        <color indexed="12"/>
      </left>
      <right style="thin">
        <color indexed="17"/>
      </right>
      <top>
        <color indexed="8"/>
      </top>
      <bottom style="dotted">
        <color indexed="20"/>
      </bottom>
      <diagonal/>
    </border>
    <border>
      <left style="thin">
        <color indexed="17"/>
      </left>
      <right/>
      <top>
        <color indexed="8"/>
      </top>
      <bottom style="dotted">
        <color indexed="20"/>
      </bottom>
      <diagonal/>
    </border>
    <border>
      <left/>
      <right style="thin">
        <color indexed="12"/>
      </right>
      <top style="dotted">
        <color indexed="20"/>
      </top>
      <bottom/>
      <diagonal/>
    </border>
    <border>
      <left style="thin">
        <color indexed="12"/>
      </left>
      <right style="thin">
        <color indexed="17"/>
      </right>
      <top style="dotted">
        <color indexed="20"/>
      </top>
      <bottom/>
      <diagonal/>
    </border>
    <border>
      <left style="thin">
        <color indexed="17"/>
      </left>
      <right/>
      <top style="dotted">
        <color indexed="20"/>
      </top>
      <bottom/>
      <diagonal/>
    </border>
    <border>
      <left style="thin">
        <color indexed="12"/>
      </left>
      <right>
        <color indexed="8"/>
      </right>
      <top/>
      <bottom>
        <color indexed="8"/>
      </bottom>
      <diagonal/>
    </border>
    <border>
      <left>
        <color indexed="8"/>
      </left>
      <right style="thin">
        <color indexed="12"/>
      </right>
      <top>
        <color indexed="8"/>
      </top>
      <bottom style="thin">
        <color indexed="19"/>
      </bottom>
      <diagonal/>
    </border>
    <border>
      <left style="thin">
        <color indexed="12"/>
      </left>
      <right>
        <color indexed="8"/>
      </right>
      <top>
        <color indexed="8"/>
      </top>
      <bottom style="thin">
        <color indexed="19"/>
      </bottom>
      <diagonal/>
    </border>
    <border>
      <left>
        <color indexed="8"/>
      </left>
      <right/>
      <top>
        <color indexed="8"/>
      </top>
      <bottom style="thin">
        <color indexed="19"/>
      </bottom>
      <diagonal/>
    </border>
    <border>
      <left/>
      <right/>
      <top>
        <color indexed="8"/>
      </top>
      <bottom style="thin">
        <color indexed="19"/>
      </bottom>
      <diagonal/>
    </border>
    <border>
      <left>
        <color indexed="8"/>
      </left>
      <right style="thin">
        <color indexed="12"/>
      </right>
      <top/>
      <bottom style="thin">
        <color indexed="13"/>
      </bottom>
      <diagonal/>
    </border>
    <border>
      <left style="thin">
        <color indexed="12"/>
      </left>
      <right>
        <color indexed="8"/>
      </right>
      <top/>
      <bottom style="thin">
        <color indexed="13"/>
      </bottom>
      <diagonal/>
    </border>
    <border>
      <left>
        <color indexed="8"/>
      </left>
      <right/>
      <top/>
      <bottom style="thin">
        <color indexed="13"/>
      </bottom>
      <diagonal/>
    </border>
    <border>
      <left/>
      <right/>
      <top/>
      <bottom style="thin">
        <color indexed="13"/>
      </bottom>
      <diagonal/>
    </border>
    <border>
      <left>
        <color indexed="8"/>
      </left>
      <right style="thin">
        <color indexed="12"/>
      </right>
      <top style="thin">
        <color indexed="13"/>
      </top>
      <bottom/>
      <diagonal/>
    </border>
    <border>
      <left style="thin">
        <color indexed="12"/>
      </left>
      <right>
        <color indexed="8"/>
      </right>
      <top style="thin">
        <color indexed="13"/>
      </top>
      <bottom/>
      <diagonal/>
    </border>
    <border>
      <left>
        <color indexed="8"/>
      </left>
      <right/>
      <top style="thin">
        <color indexed="13"/>
      </top>
      <bottom/>
      <diagonal/>
    </border>
    <border>
      <left/>
      <right/>
      <top style="thin">
        <color indexed="13"/>
      </top>
      <bottom/>
      <diagonal/>
    </border>
    <border>
      <left>
        <color indexed="8"/>
      </left>
      <right style="thin">
        <color indexed="12"/>
      </right>
      <top style="thin">
        <color indexed="13"/>
      </top>
      <bottom>
        <color indexed="8"/>
      </bottom>
      <diagonal/>
    </border>
    <border>
      <left style="thin">
        <color indexed="12"/>
      </left>
      <right>
        <color indexed="8"/>
      </right>
      <top style="thin">
        <color indexed="13"/>
      </top>
      <bottom>
        <color indexed="8"/>
      </bottom>
      <diagonal/>
    </border>
    <border>
      <left>
        <color indexed="8"/>
      </left>
      <right/>
      <top style="thin">
        <color indexed="13"/>
      </top>
      <bottom>
        <color indexed="8"/>
      </bottom>
      <diagonal/>
    </border>
    <border>
      <left/>
      <right/>
      <top style="thin">
        <color indexed="13"/>
      </top>
      <bottom>
        <color indexed="8"/>
      </bottom>
      <diagonal/>
    </border>
    <border>
      <left/>
      <right>
        <color indexed="8"/>
      </right>
      <top style="thin">
        <color indexed="13"/>
      </top>
      <bottom>
        <color indexed="8"/>
      </bottom>
      <diagonal/>
    </border>
    <border>
      <left>
        <color indexed="8"/>
      </left>
      <right>
        <color indexed="8"/>
      </right>
      <top>
        <color indexed="8"/>
      </top>
      <bottom>
        <color indexed="8"/>
      </bottom>
      <diagonal/>
    </border>
    <border>
      <left>
        <color indexed="8"/>
      </left>
      <right>
        <color indexed="8"/>
      </right>
      <top>
        <color indexed="8"/>
      </top>
      <bottom/>
      <diagonal/>
    </border>
    <border>
      <left>
        <color indexed="8"/>
      </left>
      <right>
        <color indexed="8"/>
      </right>
      <top/>
      <bottom/>
      <diagonal/>
    </border>
  </borders>
  <cellStyleXfs count="1">
    <xf numFmtId="0" fontId="0" applyNumberFormat="0" applyFont="1" applyFill="0" applyBorder="0" applyAlignment="1" applyProtection="0">
      <alignment vertical="top" wrapText="1"/>
    </xf>
  </cellStyleXfs>
  <cellXfs count="17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left" vertical="center"/>
    </xf>
    <xf numFmtId="0" fontId="5" borderId="1" applyNumberFormat="0" applyFont="1" applyFill="0" applyBorder="1" applyAlignment="1" applyProtection="0">
      <alignment vertical="top"/>
    </xf>
    <xf numFmtId="0" fontId="5" borderId="2" applyNumberFormat="0" applyFont="1" applyFill="0" applyBorder="1" applyAlignment="1" applyProtection="0">
      <alignment vertical="top"/>
    </xf>
    <xf numFmtId="0" fontId="6" borderId="3" applyNumberFormat="0" applyFont="1" applyFill="0" applyBorder="1" applyAlignment="1" applyProtection="0">
      <alignment vertical="top"/>
    </xf>
    <xf numFmtId="0" fontId="6" borderId="4" applyNumberFormat="0" applyFont="1" applyFill="0" applyBorder="1" applyAlignment="1" applyProtection="0">
      <alignment vertical="top"/>
    </xf>
    <xf numFmtId="0" fontId="6" borderId="5" applyNumberFormat="0" applyFont="1" applyFill="0" applyBorder="1" applyAlignment="1" applyProtection="0">
      <alignment vertical="top"/>
    </xf>
    <xf numFmtId="0" fontId="5" borderId="6" applyNumberFormat="0" applyFont="1" applyFill="0" applyBorder="1" applyAlignment="1" applyProtection="0">
      <alignment vertical="top"/>
    </xf>
    <xf numFmtId="49" fontId="5" borderId="7" applyNumberFormat="1" applyFont="1" applyFill="0" applyBorder="1" applyAlignment="1" applyProtection="0">
      <alignment vertical="top"/>
    </xf>
    <xf numFmtId="49" fontId="6" fillId="4" borderId="8" applyNumberFormat="1" applyFont="1" applyFill="1" applyBorder="1" applyAlignment="1" applyProtection="0">
      <alignment horizontal="right" vertical="top"/>
    </xf>
    <xf numFmtId="0" fontId="6" borderId="9" applyNumberFormat="0" applyFont="1" applyFill="0" applyBorder="1" applyAlignment="1" applyProtection="0">
      <alignment vertical="top"/>
    </xf>
    <xf numFmtId="49" fontId="5" borderId="10" applyNumberFormat="1" applyFont="1" applyFill="0" applyBorder="1" applyAlignment="1" applyProtection="0">
      <alignment vertical="top"/>
    </xf>
    <xf numFmtId="0" fontId="6" fillId="4" borderId="11" applyNumberFormat="1" applyFont="1" applyFill="1" applyBorder="1" applyAlignment="1" applyProtection="0">
      <alignment horizontal="right" vertical="top"/>
    </xf>
    <xf numFmtId="59" fontId="6" fillId="4" borderId="11" applyNumberFormat="1" applyFont="1" applyFill="1" applyBorder="1" applyAlignment="1" applyProtection="0">
      <alignment horizontal="right" vertical="top"/>
    </xf>
    <xf numFmtId="60" fontId="6" fillId="4" borderId="12" applyNumberFormat="1" applyFont="1" applyFill="1" applyBorder="1" applyAlignment="1" applyProtection="0">
      <alignment horizontal="right" vertical="top"/>
    </xf>
    <xf numFmtId="0" fontId="5" borderId="13" applyNumberFormat="0" applyFont="1" applyFill="0" applyBorder="1" applyAlignment="1" applyProtection="0">
      <alignment vertical="top"/>
    </xf>
    <xf numFmtId="0" fontId="6" borderId="14" applyNumberFormat="0" applyFont="1" applyFill="0" applyBorder="1" applyAlignment="1" applyProtection="0">
      <alignment vertical="top"/>
    </xf>
    <xf numFmtId="0" fontId="6" borderId="15" applyNumberFormat="0" applyFont="1" applyFill="0" applyBorder="1" applyAlignment="1" applyProtection="0">
      <alignment vertical="top"/>
    </xf>
    <xf numFmtId="0" fontId="6" borderId="16" applyNumberFormat="0" applyFont="1" applyFill="0" applyBorder="1" applyAlignment="1" applyProtection="0">
      <alignment vertical="top"/>
    </xf>
    <xf numFmtId="49" fontId="5" borderId="6" applyNumberFormat="1" applyFont="1" applyFill="0" applyBorder="1" applyAlignment="1" applyProtection="0">
      <alignment vertical="top"/>
    </xf>
    <xf numFmtId="49" fontId="7" fillId="5" borderId="17" applyNumberFormat="1" applyFont="1" applyFill="1" applyBorder="1" applyAlignment="1" applyProtection="0">
      <alignment vertical="top"/>
    </xf>
    <xf numFmtId="0" fontId="7" fillId="5" borderId="18" applyNumberFormat="0" applyFont="1" applyFill="1" applyBorder="1" applyAlignment="1" applyProtection="0">
      <alignment vertical="top"/>
    </xf>
    <xf numFmtId="0" fontId="7" fillId="5" borderId="4" applyNumberFormat="0" applyFont="1" applyFill="1" applyBorder="1" applyAlignment="1" applyProtection="0">
      <alignment vertical="top"/>
    </xf>
    <xf numFmtId="0" fontId="6" borderId="19" applyNumberFormat="0" applyFont="1" applyFill="0" applyBorder="1" applyAlignment="1" applyProtection="0">
      <alignment vertical="top"/>
    </xf>
    <xf numFmtId="0" fontId="6" borderId="20" applyNumberFormat="0" applyFont="1" applyFill="0" applyBorder="1" applyAlignment="1" applyProtection="0">
      <alignment vertical="top"/>
    </xf>
    <xf numFmtId="49" fontId="5" borderId="21" applyNumberFormat="1" applyFont="1" applyFill="0" applyBorder="1" applyAlignment="1" applyProtection="0">
      <alignment vertical="top"/>
    </xf>
    <xf numFmtId="10" fontId="6" fillId="6" borderId="12" applyNumberFormat="1" applyFont="1" applyFill="1" applyBorder="1" applyAlignment="1" applyProtection="0">
      <alignment vertical="top"/>
    </xf>
    <xf numFmtId="9" fontId="6" fillId="6" borderId="22" applyNumberFormat="1" applyFont="1" applyFill="1" applyBorder="1" applyAlignment="1" applyProtection="0">
      <alignment vertical="top"/>
    </xf>
    <xf numFmtId="0" fontId="6" borderId="23" applyNumberFormat="0" applyFont="1" applyFill="0" applyBorder="1" applyAlignment="1" applyProtection="0">
      <alignment vertical="top"/>
    </xf>
    <xf numFmtId="0" fontId="6" borderId="24" applyNumberFormat="0" applyFont="1" applyFill="0" applyBorder="1" applyAlignment="1" applyProtection="0">
      <alignment vertical="top"/>
    </xf>
    <xf numFmtId="0" fontId="7" fillId="5" borderId="4" applyNumberFormat="1" applyFont="1" applyFill="1" applyBorder="1" applyAlignment="1" applyProtection="0">
      <alignment vertical="top"/>
    </xf>
    <xf numFmtId="3" fontId="6" borderId="4" applyNumberFormat="1" applyFont="1" applyFill="0" applyBorder="1" applyAlignment="1" applyProtection="0">
      <alignment vertical="top"/>
    </xf>
    <xf numFmtId="0" fontId="5" borderId="25" applyNumberFormat="0" applyFont="1" applyFill="0" applyBorder="1" applyAlignment="1" applyProtection="0">
      <alignment vertical="top"/>
    </xf>
    <xf numFmtId="49" fontId="5" borderId="26" applyNumberFormat="1" applyFont="1" applyFill="0" applyBorder="1" applyAlignment="1" applyProtection="0">
      <alignment vertical="top"/>
    </xf>
    <xf numFmtId="0" fontId="6" borderId="27" applyNumberFormat="0" applyFont="1" applyFill="0" applyBorder="1" applyAlignment="1" applyProtection="0">
      <alignment vertical="top"/>
    </xf>
    <xf numFmtId="37" fontId="6" borderId="28" applyNumberFormat="1" applyFont="1" applyFill="0" applyBorder="1" applyAlignment="1" applyProtection="0">
      <alignment vertical="top"/>
    </xf>
    <xf numFmtId="0" fontId="5" borderId="29" applyNumberFormat="0" applyFont="1" applyFill="0" applyBorder="1" applyAlignment="1" applyProtection="0">
      <alignment vertical="top"/>
    </xf>
    <xf numFmtId="49" fontId="5" borderId="30" applyNumberFormat="1" applyFont="1" applyFill="0" applyBorder="1" applyAlignment="1" applyProtection="0">
      <alignment horizontal="center" vertical="top"/>
    </xf>
    <xf numFmtId="0" fontId="6" borderId="31" applyNumberFormat="0" applyFont="1" applyFill="0" applyBorder="1" applyAlignment="1" applyProtection="0">
      <alignment vertical="top"/>
    </xf>
    <xf numFmtId="37" fontId="6" borderId="32" applyNumberFormat="1" applyFont="1" applyFill="0" applyBorder="1" applyAlignment="1" applyProtection="0">
      <alignment vertical="top"/>
    </xf>
    <xf numFmtId="0" fontId="6" borderId="32" applyNumberFormat="1" applyFont="1" applyFill="0" applyBorder="1" applyAlignment="1" applyProtection="0">
      <alignment vertical="top"/>
    </xf>
    <xf numFmtId="3" fontId="6" borderId="32" applyNumberFormat="1" applyFont="1" applyFill="0" applyBorder="1" applyAlignment="1" applyProtection="0">
      <alignment vertical="top"/>
    </xf>
    <xf numFmtId="0" fontId="5" borderId="33" applyNumberFormat="0" applyFont="1" applyFill="0" applyBorder="1" applyAlignment="1" applyProtection="0">
      <alignment vertical="top"/>
    </xf>
    <xf numFmtId="49" fontId="5" borderId="34" applyNumberFormat="1" applyFont="1" applyFill="0" applyBorder="1" applyAlignment="1" applyProtection="0">
      <alignment horizontal="center" vertical="top"/>
    </xf>
    <xf numFmtId="0" fontId="6" borderId="35" applyNumberFormat="0" applyFont="1" applyFill="0" applyBorder="1" applyAlignment="1" applyProtection="0">
      <alignment vertical="top"/>
    </xf>
    <xf numFmtId="37" fontId="6" borderId="36" applyNumberFormat="1" applyFont="1" applyFill="0" applyBorder="1" applyAlignment="1" applyProtection="0">
      <alignment vertical="top"/>
    </xf>
    <xf numFmtId="0" fontId="6" borderId="36" applyNumberFormat="1" applyFont="1" applyFill="0" applyBorder="1" applyAlignment="1" applyProtection="0">
      <alignment vertical="top"/>
    </xf>
    <xf numFmtId="3" fontId="6" borderId="36" applyNumberFormat="1" applyFont="1" applyFill="0" applyBorder="1" applyAlignment="1" applyProtection="0">
      <alignment vertical="top"/>
    </xf>
    <xf numFmtId="37" fontId="6" borderId="37" applyNumberFormat="1" applyFont="1" applyFill="0" applyBorder="1" applyAlignment="1" applyProtection="0">
      <alignment vertical="top"/>
    </xf>
    <xf numFmtId="0" fontId="5" borderId="38" applyNumberFormat="0" applyFont="1" applyFill="0" applyBorder="1" applyAlignment="1" applyProtection="0">
      <alignment vertical="top"/>
    </xf>
    <xf numFmtId="0" fontId="5" borderId="39" applyNumberFormat="0" applyFont="1" applyFill="0" applyBorder="1" applyAlignment="1" applyProtection="0">
      <alignment vertical="top"/>
    </xf>
    <xf numFmtId="0" fontId="6" borderId="40" applyNumberFormat="0" applyFont="1" applyFill="0" applyBorder="1" applyAlignment="1" applyProtection="0">
      <alignment vertical="top"/>
    </xf>
    <xf numFmtId="37" fontId="6" borderId="41" applyNumberFormat="1" applyFont="1" applyFill="0" applyBorder="1" applyAlignment="1" applyProtection="0">
      <alignment vertical="top"/>
    </xf>
    <xf numFmtId="3" fontId="6" borderId="41" applyNumberFormat="1" applyFont="1" applyFill="0" applyBorder="1" applyAlignment="1" applyProtection="0">
      <alignment vertical="top"/>
    </xf>
    <xf numFmtId="0" fontId="6" borderId="41" applyNumberFormat="0" applyFont="1" applyFill="0" applyBorder="1" applyAlignment="1" applyProtection="0">
      <alignment vertical="top"/>
    </xf>
    <xf numFmtId="0" fontId="5" borderId="39" applyNumberFormat="0" applyFont="1" applyFill="0" applyBorder="1" applyAlignment="1" applyProtection="0">
      <alignment horizontal="center" vertical="top"/>
    </xf>
    <xf numFmtId="61" fontId="6" borderId="41" applyNumberFormat="1" applyFont="1" applyFill="0" applyBorder="1" applyAlignment="1" applyProtection="0">
      <alignment vertical="top"/>
    </xf>
    <xf numFmtId="49" fontId="5" borderId="13" applyNumberFormat="1" applyFont="1" applyFill="0" applyBorder="1" applyAlignment="1" applyProtection="0">
      <alignment vertical="top"/>
    </xf>
    <xf numFmtId="0" fontId="5" borderId="16" applyNumberFormat="0" applyFont="1" applyFill="0" applyBorder="1" applyAlignment="1" applyProtection="0">
      <alignment vertical="top"/>
    </xf>
    <xf numFmtId="37" fontId="5" borderId="4" applyNumberFormat="1" applyFont="1" applyFill="0" applyBorder="1" applyAlignment="1" applyProtection="0">
      <alignment vertical="top"/>
    </xf>
    <xf numFmtId="49" fontId="8" borderId="13" applyNumberFormat="1" applyFont="1" applyFill="0" applyBorder="1" applyAlignment="1" applyProtection="0">
      <alignment vertical="top"/>
    </xf>
    <xf numFmtId="62" fontId="6" borderId="4" applyNumberFormat="1" applyFont="1" applyFill="0" applyBorder="1" applyAlignment="1" applyProtection="0">
      <alignment vertical="top"/>
    </xf>
    <xf numFmtId="63" fontId="6" borderId="4" applyNumberFormat="1" applyFont="1" applyFill="0" applyBorder="1" applyAlignment="1" applyProtection="0">
      <alignment vertical="top"/>
    </xf>
    <xf numFmtId="37" fontId="6" borderId="42" applyNumberFormat="1" applyFont="1" applyFill="0" applyBorder="1" applyAlignment="1" applyProtection="0">
      <alignment vertical="top"/>
    </xf>
    <xf numFmtId="0" fontId="5" borderId="43" applyNumberFormat="0" applyFont="1" applyFill="0" applyBorder="1" applyAlignment="1" applyProtection="0">
      <alignment vertical="top"/>
    </xf>
    <xf numFmtId="49" fontId="5" borderId="44" applyNumberFormat="1" applyFont="1" applyFill="0" applyBorder="1" applyAlignment="1" applyProtection="0">
      <alignment horizontal="center" vertical="top"/>
    </xf>
    <xf numFmtId="0" fontId="6" borderId="45" applyNumberFormat="0" applyFont="1" applyFill="0" applyBorder="1" applyAlignment="1" applyProtection="0">
      <alignment vertical="top"/>
    </xf>
    <xf numFmtId="37" fontId="6" borderId="46" applyNumberFormat="1" applyFont="1" applyFill="0" applyBorder="1" applyAlignment="1" applyProtection="0">
      <alignment vertical="top"/>
    </xf>
    <xf numFmtId="37" fontId="6" borderId="47" applyNumberFormat="1" applyFont="1" applyFill="0" applyBorder="1" applyAlignment="1" applyProtection="0">
      <alignment vertical="top"/>
    </xf>
    <xf numFmtId="37" fontId="6" borderId="48" applyNumberFormat="1" applyFont="1" applyFill="0" applyBorder="1" applyAlignment="1" applyProtection="0">
      <alignment vertical="top"/>
    </xf>
    <xf numFmtId="64" fontId="6" borderId="36" applyNumberFormat="1" applyFont="1" applyFill="0" applyBorder="1" applyAlignment="1" applyProtection="0">
      <alignment vertical="top"/>
    </xf>
    <xf numFmtId="0" fontId="6" borderId="37" applyNumberFormat="1" applyFont="1" applyFill="0" applyBorder="1" applyAlignment="1" applyProtection="0">
      <alignment vertical="top"/>
    </xf>
    <xf numFmtId="49" fontId="8" borderId="39" applyNumberFormat="1" applyFont="1" applyFill="0" applyBorder="1" applyAlignment="1" applyProtection="0">
      <alignment vertical="top"/>
    </xf>
    <xf numFmtId="62" fontId="6" borderId="41" applyNumberFormat="1" applyFont="1" applyFill="0" applyBorder="1" applyAlignment="1" applyProtection="0">
      <alignment vertical="top"/>
    </xf>
    <xf numFmtId="0" fontId="5" borderId="49" applyNumberFormat="0" applyFont="1" applyFill="0" applyBorder="1" applyAlignment="1" applyProtection="0">
      <alignment vertical="top"/>
    </xf>
    <xf numFmtId="0" fontId="6" borderId="50" applyNumberFormat="0" applyFont="1" applyFill="0" applyBorder="1" applyAlignment="1" applyProtection="0">
      <alignment vertical="top"/>
    </xf>
    <xf numFmtId="0" fontId="5" borderId="51" applyNumberFormat="0" applyFont="1" applyFill="0" applyBorder="1" applyAlignment="1" applyProtection="0">
      <alignment vertical="top"/>
    </xf>
    <xf numFmtId="0" fontId="6" borderId="46" applyNumberFormat="1" applyFont="1" applyFill="0" applyBorder="1" applyAlignment="1" applyProtection="0">
      <alignment vertical="top"/>
    </xf>
    <xf numFmtId="0" fontId="5" fillId="7" borderId="52" applyNumberFormat="0" applyFont="1" applyFill="1" applyBorder="1" applyAlignment="1" applyProtection="0">
      <alignment vertical="top"/>
    </xf>
    <xf numFmtId="0" fontId="5" fillId="7" borderId="17" applyNumberFormat="0" applyFont="1" applyFill="1" applyBorder="1" applyAlignment="1" applyProtection="0">
      <alignment vertical="top"/>
    </xf>
    <xf numFmtId="0" fontId="6" borderId="18" applyNumberFormat="0" applyFont="1" applyFill="0" applyBorder="1" applyAlignment="1" applyProtection="0">
      <alignment vertical="top"/>
    </xf>
    <xf numFmtId="0" fontId="5" fillId="7" borderId="53" applyNumberFormat="0" applyFont="1" applyFill="1" applyBorder="1" applyAlignment="1" applyProtection="0">
      <alignment vertical="top"/>
    </xf>
    <xf numFmtId="49" fontId="5" fillId="7" borderId="54" applyNumberFormat="1" applyFont="1" applyFill="1" applyBorder="1" applyAlignment="1" applyProtection="0">
      <alignment vertical="top"/>
    </xf>
    <xf numFmtId="0" fontId="6" borderId="55" applyNumberFormat="0" applyFont="1" applyFill="0" applyBorder="1" applyAlignment="1" applyProtection="0">
      <alignment vertical="top"/>
    </xf>
    <xf numFmtId="0" fontId="6" borderId="28" applyNumberFormat="0" applyFont="1" applyFill="0" applyBorder="1" applyAlignment="1" applyProtection="0">
      <alignment vertical="top"/>
    </xf>
    <xf numFmtId="0" fontId="5" fillId="7" borderId="56" applyNumberFormat="0" applyFont="1" applyFill="1" applyBorder="1" applyAlignment="1" applyProtection="0">
      <alignment vertical="top"/>
    </xf>
    <xf numFmtId="49" fontId="5" fillId="7" borderId="57" applyNumberFormat="1" applyFont="1" applyFill="1" applyBorder="1" applyAlignment="1" applyProtection="0">
      <alignment horizontal="center" vertical="top"/>
    </xf>
    <xf numFmtId="0" fontId="6" borderId="58" applyNumberFormat="0" applyFont="1" applyFill="0" applyBorder="1" applyAlignment="1" applyProtection="0">
      <alignment vertical="top"/>
    </xf>
    <xf numFmtId="0" fontId="6" borderId="32" applyNumberFormat="0" applyFont="1" applyFill="0" applyBorder="1" applyAlignment="1" applyProtection="0">
      <alignment vertical="top"/>
    </xf>
    <xf numFmtId="0" fontId="5" fillId="7" borderId="43" applyNumberFormat="0" applyFont="1" applyFill="1" applyBorder="1" applyAlignment="1" applyProtection="0">
      <alignment vertical="top"/>
    </xf>
    <xf numFmtId="49" fontId="5" fillId="7" borderId="59" applyNumberFormat="1" applyFont="1" applyFill="1" applyBorder="1" applyAlignment="1" applyProtection="0">
      <alignment horizontal="center" vertical="top"/>
    </xf>
    <xf numFmtId="0" fontId="6" borderId="60" applyNumberFormat="0" applyFont="1" applyFill="0" applyBorder="1" applyAlignment="1" applyProtection="0">
      <alignment vertical="top"/>
    </xf>
    <xf numFmtId="0" fontId="6" borderId="47" applyNumberFormat="0" applyFont="1" applyFill="0" applyBorder="1" applyAlignment="1" applyProtection="0">
      <alignment vertical="top"/>
    </xf>
    <xf numFmtId="0" fontId="6" borderId="48" applyNumberFormat="0" applyFont="1" applyFill="0" applyBorder="1" applyAlignment="1" applyProtection="0">
      <alignment vertical="top"/>
    </xf>
    <xf numFmtId="0" fontId="5" fillId="7" borderId="33" applyNumberFormat="0" applyFont="1" applyFill="1" applyBorder="1" applyAlignment="1" applyProtection="0">
      <alignment vertical="top"/>
    </xf>
    <xf numFmtId="49" fontId="5" fillId="7" borderId="61" applyNumberFormat="1" applyFont="1" applyFill="1" applyBorder="1" applyAlignment="1" applyProtection="0">
      <alignment horizontal="center" vertical="top"/>
    </xf>
    <xf numFmtId="0" fontId="6" borderId="62" applyNumberFormat="0" applyFont="1" applyFill="0" applyBorder="1" applyAlignment="1" applyProtection="0">
      <alignment vertical="top"/>
    </xf>
    <xf numFmtId="0" fontId="6" borderId="36" applyNumberFormat="0" applyFont="1" applyFill="0" applyBorder="1" applyAlignment="1" applyProtection="0">
      <alignment vertical="top"/>
    </xf>
    <xf numFmtId="0" fontId="6" borderId="37" applyNumberFormat="0" applyFont="1" applyFill="0" applyBorder="1" applyAlignment="1" applyProtection="0">
      <alignment vertical="top"/>
    </xf>
    <xf numFmtId="0" fontId="5" fillId="7" borderId="63" applyNumberFormat="0" applyFont="1" applyFill="1" applyBorder="1" applyAlignment="1" applyProtection="0">
      <alignment vertical="top"/>
    </xf>
    <xf numFmtId="0" fontId="5" fillId="7" borderId="64" applyNumberFormat="0" applyFont="1" applyFill="1" applyBorder="1" applyAlignment="1" applyProtection="0">
      <alignment vertical="top"/>
    </xf>
    <xf numFmtId="0" fontId="6" borderId="65" applyNumberFormat="0" applyFont="1" applyFill="0" applyBorder="1" applyAlignment="1" applyProtection="0">
      <alignment vertical="top"/>
    </xf>
    <xf numFmtId="0" fontId="5" borderId="66" applyNumberFormat="0" applyFont="1" applyFill="0" applyBorder="1" applyAlignment="1" applyProtection="0">
      <alignment vertical="top"/>
    </xf>
    <xf numFmtId="0" fontId="6" borderId="46" applyNumberFormat="0" applyFont="1" applyFill="0" applyBorder="1" applyAlignment="1" applyProtection="0">
      <alignment vertical="top"/>
    </xf>
    <xf numFmtId="49" fontId="5" borderId="44" applyNumberFormat="1" applyFont="1" applyFill="0" applyBorder="1" applyAlignment="1" applyProtection="0">
      <alignment vertical="top"/>
    </xf>
    <xf numFmtId="0" fontId="5" borderId="45" applyNumberFormat="0" applyFont="1" applyFill="0" applyBorder="1" applyAlignment="1" applyProtection="0">
      <alignment vertical="top"/>
    </xf>
    <xf numFmtId="37" fontId="5" borderId="47" applyNumberFormat="1" applyFont="1" applyFill="0" applyBorder="1" applyAlignment="1" applyProtection="0">
      <alignment vertical="top"/>
    </xf>
    <xf numFmtId="37" fontId="5" borderId="48" applyNumberFormat="1" applyFont="1" applyFill="0" applyBorder="1" applyAlignment="1" applyProtection="0">
      <alignment vertical="top"/>
    </xf>
    <xf numFmtId="0" fontId="5" borderId="67" applyNumberFormat="0" applyFont="1" applyFill="0" applyBorder="1" applyAlignment="1" applyProtection="0">
      <alignment vertical="top"/>
    </xf>
    <xf numFmtId="49" fontId="8" borderId="68" applyNumberFormat="1" applyFont="1" applyFill="0" applyBorder="1" applyAlignment="1" applyProtection="0">
      <alignment vertical="top"/>
    </xf>
    <xf numFmtId="0" fontId="5" borderId="69" applyNumberFormat="0" applyFont="1" applyFill="0" applyBorder="1" applyAlignment="1" applyProtection="0">
      <alignment vertical="top"/>
    </xf>
    <xf numFmtId="37" fontId="5" borderId="70" applyNumberFormat="1" applyFont="1" applyFill="0" applyBorder="1" applyAlignment="1" applyProtection="0">
      <alignment vertical="top"/>
    </xf>
    <xf numFmtId="62" fontId="6" borderId="70" applyNumberFormat="1" applyFont="1" applyFill="0" applyBorder="1" applyAlignment="1" applyProtection="0">
      <alignment vertical="top"/>
    </xf>
    <xf numFmtId="0" fontId="6" borderId="48" applyNumberFormat="1" applyFont="1" applyFill="0" applyBorder="1" applyAlignment="1" applyProtection="0">
      <alignment vertical="top"/>
    </xf>
    <xf numFmtId="37" fontId="6" borderId="4" applyNumberFormat="1" applyFont="1" applyFill="0" applyBorder="1" applyAlignment="1" applyProtection="0">
      <alignment vertical="top"/>
    </xf>
    <xf numFmtId="0" fontId="0" borderId="4" applyNumberFormat="0" applyFont="1" applyFill="0" applyBorder="1" applyAlignment="1" applyProtection="0">
      <alignment vertical="top" wrapText="1"/>
    </xf>
    <xf numFmtId="0" fontId="8" borderId="6" applyNumberFormat="0" applyFont="1" applyFill="0" applyBorder="1" applyAlignment="1" applyProtection="0">
      <alignment vertical="top"/>
    </xf>
    <xf numFmtId="0" fontId="9" borderId="16" applyNumberFormat="0" applyFont="1" applyFill="0" applyBorder="1" applyAlignment="1" applyProtection="0">
      <alignment vertical="top"/>
    </xf>
    <xf numFmtId="0" fontId="9" borderId="4" applyNumberFormat="0" applyFont="1" applyFill="0" applyBorder="1" applyAlignment="1" applyProtection="0">
      <alignment vertical="top"/>
    </xf>
    <xf numFmtId="62" fontId="9" borderId="4" applyNumberFormat="1" applyFont="1" applyFill="0" applyBorder="1" applyAlignment="1" applyProtection="0">
      <alignment vertical="top"/>
    </xf>
    <xf numFmtId="0" fontId="10" borderId="4" applyNumberFormat="0" applyFont="1" applyFill="0" applyBorder="1" applyAlignment="1" applyProtection="0">
      <alignment vertical="top" wrapText="1"/>
    </xf>
    <xf numFmtId="0" fontId="6" borderId="4" applyNumberFormat="1" applyFont="1" applyFill="0" applyBorder="1" applyAlignment="1" applyProtection="0">
      <alignment vertical="top"/>
    </xf>
    <xf numFmtId="0" fontId="0" borderId="4" applyNumberFormat="1" applyFont="1" applyFill="0" applyBorder="1" applyAlignment="1" applyProtection="0">
      <alignment vertical="top" wrapText="1"/>
    </xf>
    <xf numFmtId="0" fontId="5" borderId="71" applyNumberFormat="0" applyFont="1" applyFill="0" applyBorder="1" applyAlignment="1" applyProtection="0">
      <alignment vertical="top"/>
    </xf>
    <xf numFmtId="49" fontId="8" borderId="72" applyNumberFormat="1" applyFont="1" applyFill="0" applyBorder="1" applyAlignment="1" applyProtection="0">
      <alignment vertical="top"/>
    </xf>
    <xf numFmtId="0" fontId="6" borderId="73" applyNumberFormat="0" applyFont="1" applyFill="0" applyBorder="1" applyAlignment="1" applyProtection="0">
      <alignment vertical="top"/>
    </xf>
    <xf numFmtId="62" fontId="9" borderId="74" applyNumberFormat="1" applyFont="1" applyFill="0" applyBorder="1" applyAlignment="1" applyProtection="0">
      <alignment vertical="top"/>
    </xf>
    <xf numFmtId="62" fontId="6" borderId="74" applyNumberFormat="1" applyFont="1" applyFill="0" applyBorder="1" applyAlignment="1" applyProtection="0">
      <alignment vertical="top"/>
    </xf>
    <xf numFmtId="0" fontId="5" borderId="75" applyNumberFormat="0" applyFont="1" applyFill="0" applyBorder="1" applyAlignment="1" applyProtection="0">
      <alignment vertical="top"/>
    </xf>
    <xf numFmtId="0" fontId="8" borderId="76" applyNumberFormat="0" applyFont="1" applyFill="0" applyBorder="1" applyAlignment="1" applyProtection="0">
      <alignment vertical="top"/>
    </xf>
    <xf numFmtId="0" fontId="6" borderId="77" applyNumberFormat="0" applyFont="1" applyFill="0" applyBorder="1" applyAlignment="1" applyProtection="0">
      <alignment vertical="top"/>
    </xf>
    <xf numFmtId="62" fontId="9" borderId="78" applyNumberFormat="1" applyFont="1" applyFill="0" applyBorder="1" applyAlignment="1" applyProtection="0">
      <alignment vertical="top"/>
    </xf>
    <xf numFmtId="0" fontId="6" borderId="78" applyNumberFormat="0" applyFont="1" applyFill="0" applyBorder="1" applyAlignment="1" applyProtection="0">
      <alignment vertical="top"/>
    </xf>
    <xf numFmtId="62" fontId="8" borderId="4" applyNumberFormat="1" applyFont="1" applyFill="0" applyBorder="1" applyAlignment="1" applyProtection="0">
      <alignment vertical="top"/>
    </xf>
    <xf numFmtId="0" fontId="8" borderId="13" applyNumberFormat="0" applyFont="1" applyFill="0" applyBorder="1" applyAlignment="1" applyProtection="0">
      <alignment vertical="top"/>
    </xf>
    <xf numFmtId="0" fontId="5" borderId="72" applyNumberFormat="0" applyFont="1" applyFill="0" applyBorder="1" applyAlignment="1" applyProtection="0">
      <alignment vertical="top"/>
    </xf>
    <xf numFmtId="0" fontId="6" borderId="74" applyNumberFormat="0" applyFont="1" applyFill="0" applyBorder="1" applyAlignment="1" applyProtection="0">
      <alignment vertical="top"/>
    </xf>
    <xf numFmtId="49" fontId="5" borderId="76" applyNumberFormat="1" applyFont="1" applyFill="0" applyBorder="1" applyAlignment="1" applyProtection="0">
      <alignment vertical="top"/>
    </xf>
    <xf numFmtId="62" fontId="6" borderId="78" applyNumberFormat="1" applyFont="1" applyFill="0" applyBorder="1" applyAlignment="1" applyProtection="0">
      <alignment vertical="top"/>
    </xf>
    <xf numFmtId="37" fontId="6" borderId="78" applyNumberFormat="1" applyFont="1" applyFill="0" applyBorder="1" applyAlignment="1" applyProtection="0">
      <alignment vertical="top"/>
    </xf>
    <xf numFmtId="49" fontId="5" borderId="72" applyNumberFormat="1" applyFont="1" applyFill="0" applyBorder="1" applyAlignment="1" applyProtection="0">
      <alignment vertical="top"/>
    </xf>
    <xf numFmtId="3" fontId="6" borderId="74" applyNumberFormat="1" applyFont="1" applyFill="0" applyBorder="1" applyAlignment="1" applyProtection="0">
      <alignment vertical="top"/>
    </xf>
    <xf numFmtId="0" fontId="5" borderId="79" applyNumberFormat="0" applyFont="1" applyFill="0" applyBorder="1" applyAlignment="1" applyProtection="0">
      <alignment vertical="top"/>
    </xf>
    <xf numFmtId="0" fontId="5" borderId="80" applyNumberFormat="0" applyFont="1" applyFill="0" applyBorder="1" applyAlignment="1" applyProtection="0">
      <alignment vertical="top"/>
    </xf>
    <xf numFmtId="0" fontId="6" borderId="81" applyNumberFormat="0" applyFont="1" applyFill="0" applyBorder="1" applyAlignment="1" applyProtection="0">
      <alignment vertical="top"/>
    </xf>
    <xf numFmtId="62" fontId="6" borderId="82" applyNumberFormat="1" applyFont="1" applyFill="0" applyBorder="1" applyAlignment="1" applyProtection="0">
      <alignment vertical="top"/>
    </xf>
    <xf numFmtId="0" fontId="6" borderId="82" applyNumberFormat="0" applyFont="1" applyFill="0" applyBorder="1" applyAlignment="1" applyProtection="0">
      <alignment vertical="top"/>
    </xf>
    <xf numFmtId="0" fontId="6" borderId="83" applyNumberFormat="0" applyFont="1" applyFill="0" applyBorder="1" applyAlignment="1" applyProtection="0">
      <alignment vertical="top"/>
    </xf>
    <xf numFmtId="62" fontId="6" borderId="47" applyNumberFormat="1" applyFont="1" applyFill="0" applyBorder="1" applyAlignment="1" applyProtection="0">
      <alignment vertical="top"/>
    </xf>
    <xf numFmtId="3" fontId="6" borderId="48" applyNumberFormat="1" applyFont="1" applyFill="0" applyBorder="1" applyAlignment="1" applyProtection="0">
      <alignment vertical="top"/>
    </xf>
    <xf numFmtId="0" fontId="5" borderId="44" applyNumberFormat="0" applyFont="1" applyFill="0" applyBorder="1" applyAlignment="1" applyProtection="0">
      <alignment vertical="top"/>
    </xf>
    <xf numFmtId="0" fontId="5" borderId="84" applyNumberFormat="0" applyFont="1" applyFill="0" applyBorder="1" applyAlignment="1" applyProtection="0">
      <alignment vertical="top"/>
    </xf>
    <xf numFmtId="49" fontId="11" borderId="85" applyNumberFormat="1" applyFont="1" applyFill="0" applyBorder="1" applyAlignment="1" applyProtection="0">
      <alignment vertical="top"/>
    </xf>
    <xf numFmtId="49" fontId="11" borderId="86" applyNumberFormat="1" applyFont="1" applyFill="0" applyBorder="1" applyAlignment="1" applyProtection="0">
      <alignment vertical="top"/>
    </xf>
    <xf numFmtId="0" fontId="11" borderId="86" applyNumberFormat="0" applyFont="1" applyFill="0" applyBorder="1" applyAlignment="1" applyProtection="0">
      <alignment vertical="top"/>
    </xf>
    <xf numFmtId="0" fontId="0" applyNumberFormat="1" applyFont="1" applyFill="0" applyBorder="0" applyAlignment="1" applyProtection="0">
      <alignment vertical="top" wrapText="1"/>
    </xf>
    <xf numFmtId="0" fontId="12" applyNumberFormat="0" applyFont="1" applyFill="0" applyBorder="0" applyAlignment="1" applyProtection="0">
      <alignment horizontal="left" vertical="center"/>
    </xf>
    <xf numFmtId="49" fontId="13"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13" borderId="4" applyNumberFormat="1" applyFont="1" applyFill="0" applyBorder="1" applyAlignment="1" applyProtection="0">
      <alignment vertical="top"/>
    </xf>
    <xf numFmtId="49" fontId="14" fillId="5" borderId="4" applyNumberFormat="1" applyFont="1" applyFill="1" applyBorder="1" applyAlignment="1" applyProtection="0">
      <alignment vertical="top" wrapText="1"/>
    </xf>
    <xf numFmtId="3" fontId="13" borderId="4" applyNumberFormat="1" applyFont="1" applyFill="0" applyBorder="1" applyAlignment="1" applyProtection="0">
      <alignment vertical="top" wrapText="1"/>
    </xf>
    <xf numFmtId="65" fontId="13" borderId="4" applyNumberFormat="1" applyFont="1" applyFill="0" applyBorder="1" applyAlignment="1" applyProtection="0">
      <alignment vertical="top" wrapText="1"/>
    </xf>
    <xf numFmtId="10" fontId="13" borderId="20" applyNumberFormat="1" applyFont="1" applyFill="0" applyBorder="1" applyAlignment="1" applyProtection="0">
      <alignment vertical="top" wrapText="1"/>
    </xf>
    <xf numFmtId="49" fontId="13" borderId="10" applyNumberFormat="1" applyFont="1" applyFill="0" applyBorder="1" applyAlignment="1" applyProtection="0">
      <alignment vertical="top" wrapText="1"/>
    </xf>
    <xf numFmtId="10" fontId="15" fillId="8" borderId="12" applyNumberFormat="1" applyFont="1" applyFill="1" applyBorder="1" applyAlignment="1" applyProtection="0">
      <alignment horizontal="right" vertical="top" wrapText="1"/>
    </xf>
    <xf numFmtId="49" fontId="0" borderId="9" applyNumberFormat="1" applyFont="1" applyFill="0" applyBorder="1" applyAlignment="1" applyProtection="0">
      <alignment vertical="top" wrapText="1"/>
    </xf>
    <xf numFmtId="2" fontId="15" fillId="8" borderId="12" applyNumberFormat="1" applyFont="1" applyFill="1" applyBorder="1" applyAlignment="1" applyProtection="0">
      <alignment horizontal="right" vertical="top" wrapText="1"/>
    </xf>
    <xf numFmtId="49" fontId="13" borderId="15" applyNumberFormat="1" applyFont="1" applyFill="0" applyBorder="1" applyAlignment="1" applyProtection="0">
      <alignment vertical="top" wrapText="1"/>
    </xf>
    <xf numFmtId="65" fontId="13" borderId="20" applyNumberFormat="1" applyFont="1" applyFill="0" applyBorder="1" applyAlignment="1" applyProtection="0">
      <alignment vertical="top" wrapText="1"/>
    </xf>
    <xf numFmtId="10" fontId="13" borderId="4"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5a5a5"/>
      <rgbColor rgb="ff515151"/>
      <rgbColor rgb="fffaf8d3"/>
      <rgbColor rgb="fffefefe"/>
      <rgbColor rgb="ff004c7f"/>
      <rgbColor rgb="ff3f3f3f"/>
      <rgbColor rgb="fffaf5d2"/>
      <rgbColor rgb="ff7c7c7c"/>
      <rgbColor rgb="ffbfbfbf"/>
      <rgbColor rgb="ffdbdbdb"/>
      <rgbColor rgb="fffaf4c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58</v>
      </c>
      <c r="C11" s="3"/>
      <c r="D11" s="3"/>
    </row>
    <row r="12">
      <c r="B12" s="4"/>
      <c r="C12" t="s" s="4">
        <v>14</v>
      </c>
      <c r="D12" t="s" s="5">
        <v>59</v>
      </c>
    </row>
  </sheetData>
  <mergeCells count="1">
    <mergeCell ref="B3:D3"/>
  </mergeCells>
  <hyperlinks>
    <hyperlink ref="D10" location="'Sheet 1 - Starbucks WACC'!R2C1" tooltip="" display="Sheet 1 - Starbucks WACC"/>
    <hyperlink ref="D12" location="'Sheet 2 - WACC'!R2C1" tooltip="" display="Sheet 2 - WACC"/>
  </hyperlinks>
</worksheet>
</file>

<file path=xl/worksheets/sheet2.xml><?xml version="1.0" encoding="utf-8"?>
<worksheet xmlns:r="http://schemas.openxmlformats.org/officeDocument/2006/relationships" xmlns="http://schemas.openxmlformats.org/spreadsheetml/2006/main">
  <sheetPr>
    <pageSetUpPr fitToPage="1"/>
  </sheetPr>
  <dimension ref="A2:S138"/>
  <sheetViews>
    <sheetView workbookViewId="0" showGridLines="0" defaultGridColor="1">
      <pane topLeftCell="C1" xSplit="2" ySplit="0" activePane="topRight" state="frozen"/>
    </sheetView>
  </sheetViews>
  <sheetFormatPr defaultColWidth="16.3333" defaultRowHeight="19.9" customHeight="1" outlineLevelRow="0" outlineLevelCol="0"/>
  <cols>
    <col min="1" max="1" width="3.22656" style="6" customWidth="1"/>
    <col min="2" max="2" width="20.3047" style="6" customWidth="1"/>
    <col min="3" max="19" width="16.3516" style="6" customWidth="1"/>
    <col min="20" max="256" width="16.3516" style="6" customWidth="1"/>
  </cols>
  <sheetData>
    <row r="1" ht="31" customHeight="1">
      <c r="A1" t="s" s="7">
        <v>5</v>
      </c>
      <c r="B1" s="7"/>
      <c r="C1" s="7"/>
      <c r="D1" s="7"/>
      <c r="E1" s="7"/>
      <c r="F1" s="7"/>
      <c r="G1" s="7"/>
      <c r="H1" s="7"/>
      <c r="I1" s="7"/>
      <c r="J1" s="7"/>
      <c r="K1" s="7"/>
      <c r="L1" s="7"/>
      <c r="M1" s="7"/>
      <c r="N1" s="7"/>
      <c r="O1" s="7"/>
      <c r="P1" s="7"/>
      <c r="Q1" s="7"/>
      <c r="R1" s="7"/>
      <c r="S1" s="7"/>
    </row>
    <row r="2" ht="21.15" customHeight="1">
      <c r="A2" s="8"/>
      <c r="B2" s="9"/>
      <c r="C2" s="10"/>
      <c r="D2" s="11"/>
      <c r="E2" s="11"/>
      <c r="F2" s="12"/>
      <c r="G2" s="11"/>
      <c r="H2" s="11"/>
      <c r="I2" s="11"/>
      <c r="J2" s="11"/>
      <c r="K2" s="11"/>
      <c r="L2" s="11"/>
      <c r="M2" s="11"/>
      <c r="N2" s="11"/>
      <c r="O2" s="11"/>
      <c r="P2" s="11"/>
      <c r="Q2" s="11"/>
      <c r="R2" s="11"/>
      <c r="S2" s="11"/>
    </row>
    <row r="3" ht="21.65" customHeight="1">
      <c r="A3" s="13"/>
      <c r="B3" t="s" s="14">
        <v>7</v>
      </c>
      <c r="C3" t="s" s="15">
        <v>8</v>
      </c>
      <c r="D3" s="16"/>
      <c r="E3" t="s" s="17">
        <v>9</v>
      </c>
      <c r="F3" s="18">
        <f>S137</f>
        <v>39.103354041087</v>
      </c>
      <c r="G3" s="16"/>
      <c r="H3" s="11"/>
      <c r="I3" s="11"/>
      <c r="J3" s="11"/>
      <c r="K3" s="11"/>
      <c r="L3" s="11"/>
      <c r="M3" s="11"/>
      <c r="N3" s="11"/>
      <c r="O3" s="11"/>
      <c r="P3" s="11"/>
      <c r="Q3" s="11"/>
      <c r="R3" s="11"/>
      <c r="S3" s="11"/>
    </row>
    <row r="4" ht="22" customHeight="1">
      <c r="A4" s="13"/>
      <c r="B4" t="s" s="14">
        <v>10</v>
      </c>
      <c r="C4" s="19">
        <v>43352</v>
      </c>
      <c r="D4" s="16"/>
      <c r="E4" t="s" s="17">
        <v>11</v>
      </c>
      <c r="F4" s="20">
        <v>88.69</v>
      </c>
      <c r="G4" s="16"/>
      <c r="H4" s="11"/>
      <c r="I4" s="11"/>
      <c r="J4" s="11"/>
      <c r="K4" s="11"/>
      <c r="L4" s="11"/>
      <c r="M4" s="11"/>
      <c r="N4" s="11"/>
      <c r="O4" s="11"/>
      <c r="P4" s="11"/>
      <c r="Q4" s="11"/>
      <c r="R4" s="11"/>
      <c r="S4" s="11"/>
    </row>
    <row r="5" ht="21.5" customHeight="1">
      <c r="A5" s="13"/>
      <c r="B5" s="21"/>
      <c r="C5" s="22"/>
      <c r="D5" s="11"/>
      <c r="E5" s="11"/>
      <c r="F5" s="23"/>
      <c r="G5" s="11"/>
      <c r="H5" s="11"/>
      <c r="I5" s="11"/>
      <c r="J5" s="11"/>
      <c r="K5" s="11"/>
      <c r="L5" s="11"/>
      <c r="M5" s="11"/>
      <c r="N5" s="11"/>
      <c r="O5" s="11"/>
      <c r="P5" s="11"/>
      <c r="Q5" s="11"/>
      <c r="R5" s="11"/>
      <c r="S5" s="11"/>
    </row>
    <row r="6" ht="21" customHeight="1">
      <c r="A6" s="13"/>
      <c r="B6" s="21"/>
      <c r="C6" s="24"/>
      <c r="D6" s="11"/>
      <c r="E6" s="11"/>
      <c r="F6" s="11"/>
      <c r="G6" s="11"/>
      <c r="H6" s="11"/>
      <c r="I6" s="11"/>
      <c r="J6" s="11"/>
      <c r="K6" s="11"/>
      <c r="L6" s="11"/>
      <c r="M6" s="11"/>
      <c r="N6" s="11"/>
      <c r="O6" s="11"/>
      <c r="P6" s="11"/>
      <c r="Q6" s="11"/>
      <c r="R6" s="11"/>
      <c r="S6" s="11"/>
    </row>
    <row r="7" ht="21" customHeight="1">
      <c r="A7" t="s" s="25">
        <v>12</v>
      </c>
      <c r="B7" t="s" s="26">
        <v>13</v>
      </c>
      <c r="C7" s="27"/>
      <c r="D7" s="28"/>
      <c r="E7" s="28"/>
      <c r="F7" s="28"/>
      <c r="G7" s="28"/>
      <c r="H7" s="28"/>
      <c r="I7" s="28"/>
      <c r="J7" s="28"/>
      <c r="K7" s="28"/>
      <c r="L7" s="28"/>
      <c r="M7" s="28"/>
      <c r="N7" s="28"/>
      <c r="O7" s="28"/>
      <c r="P7" s="28"/>
      <c r="Q7" s="28"/>
      <c r="R7" s="28"/>
      <c r="S7" s="28"/>
    </row>
    <row r="8" ht="21" customHeight="1">
      <c r="A8" s="13"/>
      <c r="B8" s="21"/>
      <c r="C8" s="24"/>
      <c r="D8" s="11"/>
      <c r="E8" s="11"/>
      <c r="F8" s="11"/>
      <c r="G8" s="11"/>
      <c r="H8" s="11"/>
      <c r="I8" s="11"/>
      <c r="J8" s="11"/>
      <c r="K8" s="11"/>
      <c r="L8" s="11"/>
      <c r="M8" s="11"/>
      <c r="N8" s="11"/>
      <c r="O8" s="11"/>
      <c r="P8" s="11"/>
      <c r="Q8" s="11"/>
      <c r="R8" s="11"/>
      <c r="S8" s="11"/>
    </row>
    <row r="9" ht="21.5" customHeight="1">
      <c r="A9" s="13"/>
      <c r="B9" s="21"/>
      <c r="C9" s="29"/>
      <c r="D9" s="30"/>
      <c r="E9" s="11"/>
      <c r="F9" s="11"/>
      <c r="G9" s="11"/>
      <c r="H9" s="11"/>
      <c r="I9" s="11"/>
      <c r="J9" s="11"/>
      <c r="K9" s="11"/>
      <c r="L9" s="11"/>
      <c r="M9" s="11"/>
      <c r="N9" s="11"/>
      <c r="O9" s="11"/>
      <c r="P9" s="11"/>
      <c r="Q9" s="11"/>
      <c r="R9" s="11"/>
      <c r="S9" s="11"/>
    </row>
    <row r="10" ht="22" customHeight="1">
      <c r="A10" s="13"/>
      <c r="B10" s="21"/>
      <c r="C10" t="s" s="31">
        <v>14</v>
      </c>
      <c r="D10" s="32">
        <f>'Sheet 2 - WACC'!B23</f>
        <v>0.06608593882821311</v>
      </c>
      <c r="E10" s="16"/>
      <c r="F10" s="11"/>
      <c r="G10" s="11"/>
      <c r="H10" s="11"/>
      <c r="I10" s="11"/>
      <c r="J10" s="11"/>
      <c r="K10" s="11"/>
      <c r="L10" s="11"/>
      <c r="M10" s="11"/>
      <c r="N10" s="11"/>
      <c r="O10" s="11"/>
      <c r="P10" s="11"/>
      <c r="Q10" s="11"/>
      <c r="R10" s="11"/>
      <c r="S10" s="11"/>
    </row>
    <row r="11" ht="22" customHeight="1">
      <c r="A11" s="13"/>
      <c r="B11" s="21"/>
      <c r="C11" t="s" s="31">
        <v>15</v>
      </c>
      <c r="D11" s="33">
        <v>0.02</v>
      </c>
      <c r="E11" s="16"/>
      <c r="F11" s="11"/>
      <c r="G11" s="11"/>
      <c r="H11" s="11"/>
      <c r="I11" s="11"/>
      <c r="J11" s="11"/>
      <c r="K11" s="11"/>
      <c r="L11" s="11"/>
      <c r="M11" s="11"/>
      <c r="N11" s="11"/>
      <c r="O11" s="11"/>
      <c r="P11" s="11"/>
      <c r="Q11" s="11"/>
      <c r="R11" s="11"/>
      <c r="S11" s="11"/>
    </row>
    <row r="12" ht="21.5" customHeight="1">
      <c r="A12" s="13"/>
      <c r="B12" s="21"/>
      <c r="C12" s="34"/>
      <c r="D12" s="35"/>
      <c r="E12" s="11"/>
      <c r="F12" s="11"/>
      <c r="G12" s="11"/>
      <c r="H12" s="11"/>
      <c r="I12" s="11"/>
      <c r="J12" s="11"/>
      <c r="K12" s="11"/>
      <c r="L12" s="11"/>
      <c r="M12" s="11"/>
      <c r="N12" s="11"/>
      <c r="O12" s="11"/>
      <c r="P12" s="11"/>
      <c r="Q12" s="11"/>
      <c r="R12" s="11"/>
      <c r="S12" s="11"/>
    </row>
    <row r="13" ht="21" customHeight="1">
      <c r="A13" s="13"/>
      <c r="B13" s="21"/>
      <c r="C13" s="24"/>
      <c r="D13" s="11"/>
      <c r="E13" s="11"/>
      <c r="F13" s="11"/>
      <c r="G13" s="11"/>
      <c r="H13" s="11"/>
      <c r="I13" s="11"/>
      <c r="J13" s="11"/>
      <c r="K13" s="11"/>
      <c r="L13" s="11"/>
      <c r="M13" s="11"/>
      <c r="N13" s="11"/>
      <c r="O13" s="11"/>
      <c r="P13" s="11"/>
      <c r="Q13" s="11"/>
      <c r="R13" s="11"/>
      <c r="S13" s="11"/>
    </row>
    <row r="14" ht="21" customHeight="1">
      <c r="A14" s="13"/>
      <c r="B14" s="21"/>
      <c r="C14" s="24"/>
      <c r="D14" s="11"/>
      <c r="E14" s="11"/>
      <c r="F14" s="11"/>
      <c r="G14" s="11"/>
      <c r="H14" s="11"/>
      <c r="I14" s="11"/>
      <c r="J14" s="11"/>
      <c r="K14" s="11"/>
      <c r="L14" s="11"/>
      <c r="M14" s="11"/>
      <c r="N14" s="11"/>
      <c r="O14" s="11"/>
      <c r="P14" s="11"/>
      <c r="Q14" s="11"/>
      <c r="R14" s="11"/>
      <c r="S14" s="11"/>
    </row>
    <row r="15" ht="21" customHeight="1">
      <c r="A15" t="s" s="25">
        <v>12</v>
      </c>
      <c r="B15" t="s" s="26">
        <v>16</v>
      </c>
      <c r="C15" s="27"/>
      <c r="D15" s="36">
        <v>2016</v>
      </c>
      <c r="E15" s="36">
        <v>2017</v>
      </c>
      <c r="F15" s="36">
        <v>2018</v>
      </c>
      <c r="G15" s="36">
        <v>2019</v>
      </c>
      <c r="H15" s="36">
        <v>2020</v>
      </c>
      <c r="I15" s="36">
        <v>2021</v>
      </c>
      <c r="J15" s="36">
        <v>2022</v>
      </c>
      <c r="K15" s="36">
        <v>2023</v>
      </c>
      <c r="L15" s="36">
        <v>2024</v>
      </c>
      <c r="M15" s="36">
        <v>2025</v>
      </c>
      <c r="N15" s="36">
        <v>2026</v>
      </c>
      <c r="O15" s="36">
        <v>2027</v>
      </c>
      <c r="P15" s="36">
        <v>2028</v>
      </c>
      <c r="Q15" s="36">
        <v>2029</v>
      </c>
      <c r="R15" s="36">
        <v>2030</v>
      </c>
      <c r="S15" s="36">
        <v>2031</v>
      </c>
    </row>
    <row r="16" ht="21" customHeight="1">
      <c r="A16" s="13"/>
      <c r="B16" s="21"/>
      <c r="C16" s="24"/>
      <c r="D16" s="11"/>
      <c r="E16" s="11"/>
      <c r="F16" s="11"/>
      <c r="G16" s="11"/>
      <c r="H16" s="37"/>
      <c r="I16" s="37"/>
      <c r="J16" s="37"/>
      <c r="K16" s="11"/>
      <c r="L16" s="11"/>
      <c r="M16" s="11"/>
      <c r="N16" s="11"/>
      <c r="O16" s="11"/>
      <c r="P16" s="11"/>
      <c r="Q16" s="11"/>
      <c r="R16" s="11"/>
      <c r="S16" s="11"/>
    </row>
    <row r="17" ht="21.35" customHeight="1">
      <c r="A17" s="38"/>
      <c r="B17" t="s" s="39">
        <v>17</v>
      </c>
      <c r="C17" s="40"/>
      <c r="D17" s="41">
        <f>D18+D19</f>
        <v>15607</v>
      </c>
      <c r="E17" s="41">
        <f>E18+E19</f>
        <v>16559</v>
      </c>
      <c r="F17" s="41">
        <f>F18+F19</f>
        <v>17454</v>
      </c>
      <c r="G17" s="41">
        <f>G18+G19</f>
        <v>18067</v>
      </c>
      <c r="H17" s="41">
        <f>H18+H19</f>
        <v>18354</v>
      </c>
      <c r="I17" s="41">
        <f>I18+I19</f>
        <v>18263</v>
      </c>
      <c r="J17" s="41">
        <f>J18+J19</f>
        <v>19654.5255672197</v>
      </c>
      <c r="K17" s="41">
        <f>K18+K19</f>
        <v>20833.7971012529</v>
      </c>
      <c r="L17" s="41">
        <f>L18+L19</f>
        <v>22083.8249273281</v>
      </c>
      <c r="M17" s="41">
        <f>M18+M19</f>
        <v>23408.8544229678</v>
      </c>
      <c r="N17" s="41">
        <f>N18+N19</f>
        <v>24813.3856883459</v>
      </c>
      <c r="O17" s="41">
        <f>O18+O19</f>
        <v>26302.1888296467</v>
      </c>
      <c r="P17" s="41">
        <f>P18+P19</f>
        <v>27880.3201594255</v>
      </c>
      <c r="Q17" s="41">
        <f>Q18+Q19</f>
        <v>29553.1393689911</v>
      </c>
      <c r="R17" s="41">
        <f>R18+R19</f>
        <v>31326.3277311306</v>
      </c>
      <c r="S17" s="41">
        <f>S18+S19</f>
        <v>31952.8542857532</v>
      </c>
    </row>
    <row r="18" ht="21.35" customHeight="1">
      <c r="A18" s="42"/>
      <c r="B18" t="s" s="43">
        <v>18</v>
      </c>
      <c r="C18" s="44"/>
      <c r="D18" s="45">
        <v>9019</v>
      </c>
      <c r="E18" s="45">
        <v>9413</v>
      </c>
      <c r="F18" s="45">
        <v>9684</v>
      </c>
      <c r="G18" s="46">
        <f>8791+1175+8</f>
        <v>9974</v>
      </c>
      <c r="H18" s="47">
        <f>8941+1159+9</f>
        <v>10109</v>
      </c>
      <c r="I18" s="47">
        <f>8947+908+6</f>
        <v>9861</v>
      </c>
      <c r="J18" s="47">
        <f>I18*(1+$J$34)</f>
        <v>10612.3460887233</v>
      </c>
      <c r="K18" s="47">
        <f>J18*(1+K34)</f>
        <v>11249.0868540467</v>
      </c>
      <c r="L18" s="47">
        <f>K18*(1+L34)</f>
        <v>11924.0320652895</v>
      </c>
      <c r="M18" s="47">
        <f>L18*(1+M34)</f>
        <v>12639.4739892069</v>
      </c>
      <c r="N18" s="47">
        <f>M18*(1+N34)</f>
        <v>13397.8424285593</v>
      </c>
      <c r="O18" s="47">
        <f>N18*(1+O34)</f>
        <v>14201.7129742729</v>
      </c>
      <c r="P18" s="47">
        <f>O18*(1+P34)</f>
        <v>15053.8157527293</v>
      </c>
      <c r="Q18" s="47">
        <f>P18*(1+Q34)</f>
        <v>15957.0446978931</v>
      </c>
      <c r="R18" s="47">
        <f>Q18*(1+R34)</f>
        <v>16914.4673797667</v>
      </c>
      <c r="S18" s="47">
        <f>R18*(1+S34)</f>
        <v>17252.756727362</v>
      </c>
    </row>
    <row r="19" ht="21.1" customHeight="1">
      <c r="A19" s="48"/>
      <c r="B19" t="s" s="49">
        <v>19</v>
      </c>
      <c r="C19" s="50"/>
      <c r="D19" s="51">
        <v>6588</v>
      </c>
      <c r="E19" s="51">
        <v>7146</v>
      </c>
      <c r="F19" s="51">
        <v>7770</v>
      </c>
      <c r="G19" s="52">
        <f>6250+748+663+432</f>
        <v>8093</v>
      </c>
      <c r="H19" s="53">
        <f>6387+444+752+662</f>
        <v>8245</v>
      </c>
      <c r="I19" s="53">
        <f>6497+468+746+691</f>
        <v>8402</v>
      </c>
      <c r="J19" s="53">
        <f>I19*(1+$J$34)</f>
        <v>9042.179478496440</v>
      </c>
      <c r="K19" s="51">
        <f>J19*(1+K34)</f>
        <v>9584.710247206231</v>
      </c>
      <c r="L19" s="51">
        <f>K19*(1+L34)</f>
        <v>10159.7928620386</v>
      </c>
      <c r="M19" s="51">
        <f>L19*(1+M34)</f>
        <v>10769.3804337609</v>
      </c>
      <c r="N19" s="51">
        <f>M19*(1+N34)</f>
        <v>11415.5432597866</v>
      </c>
      <c r="O19" s="51">
        <f>N19*(1+O34)</f>
        <v>12100.4758553738</v>
      </c>
      <c r="P19" s="51">
        <f>O19*(1+P34)</f>
        <v>12826.5044066962</v>
      </c>
      <c r="Q19" s="51">
        <f>P19*(1+Q34)</f>
        <v>13596.094671098</v>
      </c>
      <c r="R19" s="51">
        <f>Q19*(1+R34)</f>
        <v>14411.8603513639</v>
      </c>
      <c r="S19" s="54">
        <f>R19*(1+S34)</f>
        <v>14700.0975583912</v>
      </c>
    </row>
    <row r="20" ht="21.1" customHeight="1">
      <c r="A20" s="55"/>
      <c r="B20" s="56"/>
      <c r="C20" s="57"/>
      <c r="D20" s="58"/>
      <c r="E20" s="58"/>
      <c r="F20" s="58"/>
      <c r="G20" s="58"/>
      <c r="H20" s="58"/>
      <c r="I20" s="58"/>
      <c r="J20" s="59"/>
      <c r="K20" s="60"/>
      <c r="L20" s="60"/>
      <c r="M20" s="60"/>
      <c r="N20" s="60"/>
      <c r="O20" s="60"/>
      <c r="P20" s="60"/>
      <c r="Q20" s="60"/>
      <c r="R20" s="60"/>
      <c r="S20" s="60"/>
    </row>
    <row r="21" ht="21.35" customHeight="1">
      <c r="A21" s="38"/>
      <c r="B21" t="s" s="39">
        <v>20</v>
      </c>
      <c r="C21" s="40"/>
      <c r="D21" s="41">
        <f>D22+D23</f>
        <v>6443</v>
      </c>
      <c r="E21" s="41">
        <f>E22+E23</f>
        <v>7479</v>
      </c>
      <c r="F21" s="41">
        <f>F22+F23</f>
        <v>8530</v>
      </c>
      <c r="G21" s="41">
        <f>G22+G23</f>
        <v>8526</v>
      </c>
      <c r="H21" s="41">
        <f>H22+H23</f>
        <v>9396</v>
      </c>
      <c r="I21" s="41">
        <f>I22+I23</f>
        <v>10351</v>
      </c>
      <c r="J21" s="41">
        <f>J22+J23</f>
        <v>11139.6810023705</v>
      </c>
      <c r="K21" s="41">
        <f>K22+K23</f>
        <v>11808.0618625127</v>
      </c>
      <c r="L21" s="41">
        <f>L22+L23</f>
        <v>12516.5455742635</v>
      </c>
      <c r="M21" s="41">
        <f>M22+M23</f>
        <v>13267.5383087193</v>
      </c>
      <c r="N21" s="41">
        <f>N22+N23</f>
        <v>14063.5906072424</v>
      </c>
      <c r="O21" s="41">
        <f>O22+O23</f>
        <v>14907.406043677</v>
      </c>
      <c r="P21" s="41">
        <f>P22+P23</f>
        <v>15801.8504062976</v>
      </c>
      <c r="Q21" s="41">
        <f>Q22+Q23</f>
        <v>16749.9614306755</v>
      </c>
      <c r="R21" s="41">
        <f>R22+R23</f>
        <v>17754.959116516</v>
      </c>
      <c r="S21" s="41">
        <f>S22+S23</f>
        <v>18110.0582988464</v>
      </c>
    </row>
    <row r="22" ht="21.35" customHeight="1">
      <c r="A22" s="42"/>
      <c r="B22" t="s" s="43">
        <v>18</v>
      </c>
      <c r="C22" s="44"/>
      <c r="D22" s="45">
        <v>2811</v>
      </c>
      <c r="E22" s="45">
        <v>3070</v>
      </c>
      <c r="F22" s="45">
        <v>5159</v>
      </c>
      <c r="G22" s="47">
        <f>4123+1379</f>
        <v>5502</v>
      </c>
      <c r="H22" s="47">
        <f>4704+1464</f>
        <v>6168</v>
      </c>
      <c r="I22" s="47">
        <f>5358+1546</f>
        <v>6904</v>
      </c>
      <c r="J22" s="47">
        <f>I22*(1+$J$34)</f>
        <v>7430.041313918050</v>
      </c>
      <c r="K22" s="45">
        <f>J22*(1+K34)</f>
        <v>7875.843792753130</v>
      </c>
      <c r="L22" s="45">
        <f>K22*(1+L34)</f>
        <v>8348.394420318320</v>
      </c>
      <c r="M22" s="45">
        <f>L22*(1+M34)</f>
        <v>8849.298085537421</v>
      </c>
      <c r="N22" s="45">
        <f>M22*(1+N34)</f>
        <v>9380.255970669670</v>
      </c>
      <c r="O22" s="45">
        <f>N22*(1+O34)</f>
        <v>9943.071328909849</v>
      </c>
      <c r="P22" s="45">
        <f>O22*(1+P34)</f>
        <v>10539.6556086444</v>
      </c>
      <c r="Q22" s="45">
        <f>P22*(1+Q34)</f>
        <v>11172.0349451631</v>
      </c>
      <c r="R22" s="45">
        <f>Q22*(1+R34)</f>
        <v>11842.3570418729</v>
      </c>
      <c r="S22" s="45">
        <f>R22*(1+S34)</f>
        <v>12079.2041827104</v>
      </c>
    </row>
    <row r="23" ht="21.1" customHeight="1">
      <c r="A23" s="48"/>
      <c r="B23" t="s" s="49">
        <v>19</v>
      </c>
      <c r="C23" s="50"/>
      <c r="D23" s="51">
        <v>3632</v>
      </c>
      <c r="E23" s="53">
        <v>4409</v>
      </c>
      <c r="F23" s="53">
        <v>3371</v>
      </c>
      <c r="G23" s="53">
        <f>1334+480+421+397+392</f>
        <v>3024</v>
      </c>
      <c r="H23" s="53">
        <f>1468+501+458+405+396</f>
        <v>3228</v>
      </c>
      <c r="I23" s="53">
        <f>1611+523+487+425+401</f>
        <v>3447</v>
      </c>
      <c r="J23" s="53">
        <f>I23*(1+$J$34)</f>
        <v>3709.639688452420</v>
      </c>
      <c r="K23" s="51">
        <f>J23*(1+K34)</f>
        <v>3932.218069759570</v>
      </c>
      <c r="L23" s="51">
        <f>K23*(1+L34)</f>
        <v>4168.151153945140</v>
      </c>
      <c r="M23" s="51">
        <f>L23*(1+M34)</f>
        <v>4418.240223181850</v>
      </c>
      <c r="N23" s="51">
        <f>M23*(1+N34)</f>
        <v>4683.334636572760</v>
      </c>
      <c r="O23" s="51">
        <f>N23*(1+O34)</f>
        <v>4964.334714767130</v>
      </c>
      <c r="P23" s="51">
        <f>O23*(1+P34)</f>
        <v>5262.194797653160</v>
      </c>
      <c r="Q23" s="51">
        <f>P23*(1+Q34)</f>
        <v>5577.926485512350</v>
      </c>
      <c r="R23" s="51">
        <f>Q23*(1+R34)</f>
        <v>5912.602074643090</v>
      </c>
      <c r="S23" s="54">
        <f>R23*(1+S34)</f>
        <v>6030.854116135950</v>
      </c>
    </row>
    <row r="24" ht="21.1" customHeight="1">
      <c r="A24" s="55"/>
      <c r="B24" s="61"/>
      <c r="C24" s="57"/>
      <c r="D24" s="60"/>
      <c r="E24" s="60"/>
      <c r="F24" s="60"/>
      <c r="G24" s="60"/>
      <c r="H24" s="59"/>
      <c r="I24" s="59"/>
      <c r="J24" s="59"/>
      <c r="K24" s="60"/>
      <c r="L24" s="60"/>
      <c r="M24" s="60"/>
      <c r="N24" s="60"/>
      <c r="O24" s="60"/>
      <c r="P24" s="60"/>
      <c r="Q24" s="60"/>
      <c r="R24" s="60"/>
      <c r="S24" s="60"/>
    </row>
    <row r="25" ht="21.35" customHeight="1">
      <c r="A25" s="38"/>
      <c r="B25" t="s" s="39">
        <v>21</v>
      </c>
      <c r="C25" s="40"/>
      <c r="D25" s="41">
        <f>D26+D27</f>
        <v>2642</v>
      </c>
      <c r="E25" s="41">
        <f>E26+E27</f>
        <v>2974</v>
      </c>
      <c r="F25" s="41">
        <f>F26+F27</f>
        <v>3320</v>
      </c>
      <c r="G25" s="41">
        <f>G26+G27</f>
        <v>1489</v>
      </c>
      <c r="H25" s="41">
        <f>H26+H27</f>
        <v>288</v>
      </c>
      <c r="I25" s="41">
        <f>I26+I27</f>
        <v>298</v>
      </c>
      <c r="J25" s="41">
        <f>J26+J27</f>
        <v>320.705722993566</v>
      </c>
      <c r="K25" s="41">
        <f>K26+K27</f>
        <v>339.948066373180</v>
      </c>
      <c r="L25" s="41">
        <f>L26+L27</f>
        <v>360.344950355571</v>
      </c>
      <c r="M25" s="41">
        <f>M26+M27</f>
        <v>381.965647376905</v>
      </c>
      <c r="N25" s="41">
        <f>N26+N27</f>
        <v>404.883586219519</v>
      </c>
      <c r="O25" s="41">
        <f>O26+O27</f>
        <v>429.176601392690</v>
      </c>
      <c r="P25" s="41">
        <f>P26+P27</f>
        <v>454.927197476251</v>
      </c>
      <c r="Q25" s="41">
        <f>Q26+Q27</f>
        <v>482.222829324826</v>
      </c>
      <c r="R25" s="41">
        <f>R26+R27</f>
        <v>511.156199084316</v>
      </c>
      <c r="S25" s="41">
        <f>S26+S27</f>
        <v>521.379323066002</v>
      </c>
    </row>
    <row r="26" ht="21.35" customHeight="1">
      <c r="A26" s="42"/>
      <c r="B26" t="s" s="43">
        <v>18</v>
      </c>
      <c r="C26" s="44"/>
      <c r="D26" s="46">
        <v>523</v>
      </c>
      <c r="E26" s="46">
        <v>502</v>
      </c>
      <c r="F26" s="46">
        <v>490</v>
      </c>
      <c r="G26" s="46">
        <f>288</f>
        <v>288</v>
      </c>
      <c r="H26" s="47">
        <v>288</v>
      </c>
      <c r="I26" s="47">
        <v>298</v>
      </c>
      <c r="J26" s="47">
        <f>I26*(1+$J$34)</f>
        <v>320.705722993566</v>
      </c>
      <c r="K26" s="45">
        <f>J26*(1+K34)</f>
        <v>339.948066373180</v>
      </c>
      <c r="L26" s="45">
        <f>K26*(1+L34)</f>
        <v>360.344950355571</v>
      </c>
      <c r="M26" s="45">
        <f>L26*(1+M34)</f>
        <v>381.965647376905</v>
      </c>
      <c r="N26" s="45">
        <f>M26*(1+N34)</f>
        <v>404.883586219519</v>
      </c>
      <c r="O26" s="45">
        <f>N26*(1+O34)</f>
        <v>429.176601392690</v>
      </c>
      <c r="P26" s="45">
        <f>O26*(1+P34)</f>
        <v>454.927197476251</v>
      </c>
      <c r="Q26" s="45">
        <f>P26*(1+Q34)</f>
        <v>482.222829324826</v>
      </c>
      <c r="R26" s="45">
        <f>Q26*(1+R34)</f>
        <v>511.156199084316</v>
      </c>
      <c r="S26" s="45">
        <f>R26*(1+S34)</f>
        <v>521.379323066002</v>
      </c>
    </row>
    <row r="27" ht="21.1" customHeight="1">
      <c r="A27" s="48"/>
      <c r="B27" t="s" s="49">
        <v>19</v>
      </c>
      <c r="C27" s="50"/>
      <c r="D27" s="51">
        <v>2119</v>
      </c>
      <c r="E27" s="51">
        <v>2472</v>
      </c>
      <c r="F27" s="51">
        <v>2830</v>
      </c>
      <c r="G27" s="52">
        <f>707+494</f>
        <v>1201</v>
      </c>
      <c r="H27" s="53">
        <v>0</v>
      </c>
      <c r="I27" s="53">
        <v>0</v>
      </c>
      <c r="J27" s="53">
        <f>I27*(1+$J$34)</f>
        <v>0</v>
      </c>
      <c r="K27" s="52">
        <f>J27*(1+K34)</f>
        <v>0</v>
      </c>
      <c r="L27" s="51">
        <f>K27*(1+L34)</f>
        <v>0</v>
      </c>
      <c r="M27" s="51">
        <f>L27*(1+M34)</f>
        <v>0</v>
      </c>
      <c r="N27" s="51">
        <f>M27*(1+N34)</f>
        <v>0</v>
      </c>
      <c r="O27" s="51">
        <f>N27*(1+O34)</f>
        <v>0</v>
      </c>
      <c r="P27" s="51">
        <f>O27*(1+P34)</f>
        <v>0</v>
      </c>
      <c r="Q27" s="51">
        <f>P27*(1+Q34)</f>
        <v>0</v>
      </c>
      <c r="R27" s="51">
        <f>Q27*(1+R34)</f>
        <v>0</v>
      </c>
      <c r="S27" s="54">
        <f>R27*(1+S34)</f>
        <v>0</v>
      </c>
    </row>
    <row r="28" ht="21.1" customHeight="1">
      <c r="A28" s="55"/>
      <c r="B28" s="56"/>
      <c r="C28" s="57"/>
      <c r="D28" s="60"/>
      <c r="E28" s="60"/>
      <c r="F28" s="60"/>
      <c r="G28" s="60"/>
      <c r="H28" s="59"/>
      <c r="I28" s="59"/>
      <c r="J28" s="59"/>
      <c r="K28" s="60"/>
      <c r="L28" s="60"/>
      <c r="M28" s="60"/>
      <c r="N28" s="60"/>
      <c r="O28" s="60"/>
      <c r="P28" s="60"/>
      <c r="Q28" s="60"/>
      <c r="R28" s="60"/>
      <c r="S28" s="60"/>
    </row>
    <row r="29" ht="21.35" customHeight="1">
      <c r="A29" s="38"/>
      <c r="B29" t="s" s="39">
        <v>22</v>
      </c>
      <c r="C29" s="40"/>
      <c r="D29" s="41">
        <f>D30+D31</f>
        <v>393</v>
      </c>
      <c r="E29" s="41">
        <f>E30+E31</f>
        <v>327</v>
      </c>
      <c r="F29" s="41">
        <f>F30+F31</f>
        <v>20</v>
      </c>
      <c r="G29" s="41">
        <f>G30+G31</f>
        <v>3174</v>
      </c>
      <c r="H29" s="41">
        <f>H30+H31</f>
        <v>3355</v>
      </c>
      <c r="I29" s="41">
        <f>I30+I31</f>
        <v>3571</v>
      </c>
      <c r="J29" s="41">
        <f>J30+J31</f>
        <v>3843.087707416190</v>
      </c>
      <c r="K29" s="41">
        <f>K30+K31</f>
        <v>4073.672969861160</v>
      </c>
      <c r="L29" s="41">
        <f>L30+L31</f>
        <v>4318.093348052830</v>
      </c>
      <c r="M29" s="41">
        <f>M30+M31</f>
        <v>4577.178948935990</v>
      </c>
      <c r="N29" s="41">
        <f>N30+N31</f>
        <v>4851.809685872150</v>
      </c>
      <c r="O29" s="41">
        <f>O30+O31</f>
        <v>5142.918267024490</v>
      </c>
      <c r="P29" s="41">
        <f>P30+P31</f>
        <v>5451.493363045950</v>
      </c>
      <c r="Q29" s="41">
        <f>Q30+Q31</f>
        <v>5778.582964828710</v>
      </c>
      <c r="R29" s="41">
        <f>R30+R31</f>
        <v>6125.297942718430</v>
      </c>
      <c r="S29" s="41">
        <f>S30+S31</f>
        <v>6247.8039015728</v>
      </c>
    </row>
    <row r="30" ht="21.35" customHeight="1">
      <c r="A30" s="42"/>
      <c r="B30" t="s" s="43">
        <v>18</v>
      </c>
      <c r="C30" s="44"/>
      <c r="D30" s="46">
        <v>358</v>
      </c>
      <c r="E30" s="46">
        <v>290</v>
      </c>
      <c r="F30" s="46">
        <v>8</v>
      </c>
      <c r="G30" s="46">
        <v>70</v>
      </c>
      <c r="H30" s="47">
        <f>67+5</f>
        <v>72</v>
      </c>
      <c r="I30" s="47">
        <f>65+5</f>
        <v>70</v>
      </c>
      <c r="J30" s="47">
        <f>I30*(1+$J$34)</f>
        <v>75.3335590924484</v>
      </c>
      <c r="K30" s="45">
        <f>J30*(1+K34)</f>
        <v>79.8535726379953</v>
      </c>
      <c r="L30" s="45">
        <f>K30*(1+L34)</f>
        <v>84.644786996275</v>
      </c>
      <c r="M30" s="45">
        <f>L30*(1+M34)</f>
        <v>89.7234742160515</v>
      </c>
      <c r="N30" s="45">
        <f>M30*(1+N34)</f>
        <v>95.1068826690146</v>
      </c>
      <c r="O30" s="45">
        <f>N30*(1+O34)</f>
        <v>100.813295629155</v>
      </c>
      <c r="P30" s="45">
        <f>O30*(1+P34)</f>
        <v>106.862093366904</v>
      </c>
      <c r="Q30" s="45">
        <f>P30*(1+Q34)</f>
        <v>113.273818968918</v>
      </c>
      <c r="R30" s="45">
        <f>Q30*(1+R34)</f>
        <v>120.070248107053</v>
      </c>
      <c r="S30" s="45">
        <f>R30*(1+S34)</f>
        <v>122.471653069194</v>
      </c>
    </row>
    <row r="31" ht="21.1" customHeight="1">
      <c r="A31" s="48"/>
      <c r="B31" t="s" s="49">
        <v>19</v>
      </c>
      <c r="C31" s="50"/>
      <c r="D31" s="51">
        <v>35</v>
      </c>
      <c r="E31" s="52">
        <v>37</v>
      </c>
      <c r="F31" s="52">
        <v>12</v>
      </c>
      <c r="G31" s="52">
        <f>3104</f>
        <v>3104</v>
      </c>
      <c r="H31" s="53">
        <v>3283</v>
      </c>
      <c r="I31" s="53">
        <v>3501</v>
      </c>
      <c r="J31" s="53">
        <f>I31*(1+$J$34)</f>
        <v>3767.754148323740</v>
      </c>
      <c r="K31" s="51">
        <f>J31*(1+K34)</f>
        <v>3993.819397223160</v>
      </c>
      <c r="L31" s="51">
        <f>K31*(1+L34)</f>
        <v>4233.448561056550</v>
      </c>
      <c r="M31" s="51">
        <f>L31*(1+M34)</f>
        <v>4487.455474719940</v>
      </c>
      <c r="N31" s="51">
        <f>M31*(1+N34)</f>
        <v>4756.702803203140</v>
      </c>
      <c r="O31" s="51">
        <f>N31*(1+O34)</f>
        <v>5042.104971395330</v>
      </c>
      <c r="P31" s="51">
        <f>O31*(1+P34)</f>
        <v>5344.631269679050</v>
      </c>
      <c r="Q31" s="51">
        <f>P31*(1+Q34)</f>
        <v>5665.309145859790</v>
      </c>
      <c r="R31" s="51">
        <f>Q31*(1+R34)</f>
        <v>6005.227694611380</v>
      </c>
      <c r="S31" s="54">
        <f>R31*(1+S34)</f>
        <v>6125.332248503610</v>
      </c>
    </row>
    <row r="32" ht="21.1" customHeight="1">
      <c r="A32" s="55"/>
      <c r="B32" s="56"/>
      <c r="C32" s="57"/>
      <c r="D32" s="60"/>
      <c r="E32" s="60"/>
      <c r="F32" s="60"/>
      <c r="G32" s="60"/>
      <c r="H32" s="59"/>
      <c r="I32" s="59"/>
      <c r="J32" s="59"/>
      <c r="K32" s="60"/>
      <c r="L32" s="62"/>
      <c r="M32" s="62"/>
      <c r="N32" s="62"/>
      <c r="O32" s="62"/>
      <c r="P32" s="62"/>
      <c r="Q32" s="62"/>
      <c r="R32" s="62"/>
      <c r="S32" s="60"/>
    </row>
    <row r="33" ht="21" customHeight="1">
      <c r="A33" s="13"/>
      <c r="B33" t="s" s="63">
        <v>23</v>
      </c>
      <c r="C33" s="64"/>
      <c r="D33" s="65">
        <f>D29+D25+D21+D17</f>
        <v>25085</v>
      </c>
      <c r="E33" s="65">
        <f>E29+E25+E21+E17</f>
        <v>27339</v>
      </c>
      <c r="F33" s="65">
        <f>F29+F25+F21+F17</f>
        <v>29324</v>
      </c>
      <c r="G33" s="65">
        <f>G29+G25+G21+G17</f>
        <v>31256</v>
      </c>
      <c r="H33" s="65">
        <f>H29+H25+H21+H17</f>
        <v>31393</v>
      </c>
      <c r="I33" s="65">
        <f>I29+I25+I21+I17</f>
        <v>32483</v>
      </c>
      <c r="J33" s="65">
        <f>34958</f>
        <v>34958</v>
      </c>
      <c r="K33" s="65">
        <f>J33*(1+K34)</f>
        <v>37055.48</v>
      </c>
      <c r="L33" s="65">
        <f>K33*(1+L34)</f>
        <v>39278.8088</v>
      </c>
      <c r="M33" s="65">
        <f>L33*(1+M34)</f>
        <v>41635.537328</v>
      </c>
      <c r="N33" s="65">
        <f>M33*(1+N34)</f>
        <v>44133.66956768</v>
      </c>
      <c r="O33" s="65">
        <f>N33*(1+O34)</f>
        <v>46781.6897417408</v>
      </c>
      <c r="P33" s="65">
        <f>O33*(1+P34)</f>
        <v>49588.5911262452</v>
      </c>
      <c r="Q33" s="65">
        <f>P33*(1+Q34)</f>
        <v>52563.9065938199</v>
      </c>
      <c r="R33" s="65">
        <v>55000</v>
      </c>
      <c r="S33" s="65">
        <f>R33*(1+S34)</f>
        <v>56100</v>
      </c>
    </row>
    <row r="34" ht="21" customHeight="1">
      <c r="A34" s="13"/>
      <c r="B34" t="s" s="66">
        <v>24</v>
      </c>
      <c r="C34" s="24"/>
      <c r="D34" s="11"/>
      <c r="E34" s="67">
        <f>E33/D33-1</f>
        <v>0.08985449471795889</v>
      </c>
      <c r="F34" s="67">
        <f>F33/E33-1</f>
        <v>0.0726068985698087</v>
      </c>
      <c r="G34" s="67">
        <f>G33/F33-1</f>
        <v>0.0658845996453417</v>
      </c>
      <c r="H34" s="67">
        <f>H33/G33-1</f>
        <v>0.00438315843358075</v>
      </c>
      <c r="I34" s="67">
        <f>I33/H33-1</f>
        <v>0.0347211161723951</v>
      </c>
      <c r="J34" s="67">
        <f>J33/I33-1</f>
        <v>0.0761937013206908</v>
      </c>
      <c r="K34" s="67">
        <v>0.06</v>
      </c>
      <c r="L34" s="67">
        <v>0.06</v>
      </c>
      <c r="M34" s="67">
        <v>0.06</v>
      </c>
      <c r="N34" s="67">
        <v>0.06</v>
      </c>
      <c r="O34" s="67">
        <v>0.06</v>
      </c>
      <c r="P34" s="67">
        <v>0.06</v>
      </c>
      <c r="Q34" s="67">
        <v>0.06</v>
      </c>
      <c r="R34" s="67">
        <v>0.06</v>
      </c>
      <c r="S34" s="68">
        <v>0.02</v>
      </c>
    </row>
    <row r="35" ht="21" customHeight="1">
      <c r="A35" s="13"/>
      <c r="B35" s="21"/>
      <c r="C35" s="24"/>
      <c r="D35" s="11"/>
      <c r="E35" s="11"/>
      <c r="F35" s="11"/>
      <c r="G35" s="11"/>
      <c r="H35" s="11"/>
      <c r="I35" s="11"/>
      <c r="J35" s="11"/>
      <c r="K35" s="11"/>
      <c r="L35" s="11"/>
      <c r="M35" s="11"/>
      <c r="N35" s="11"/>
      <c r="O35" s="11"/>
      <c r="P35" s="11"/>
      <c r="Q35" s="11"/>
      <c r="R35" s="11"/>
      <c r="S35" s="11"/>
    </row>
    <row r="36" ht="21" customHeight="1">
      <c r="A36" t="s" s="25">
        <v>12</v>
      </c>
      <c r="B36" t="s" s="26">
        <v>25</v>
      </c>
      <c r="C36" s="27"/>
      <c r="D36" s="36">
        <v>2016</v>
      </c>
      <c r="E36" s="36">
        <v>2017</v>
      </c>
      <c r="F36" s="36">
        <v>2018</v>
      </c>
      <c r="G36" s="36">
        <v>2019</v>
      </c>
      <c r="H36" s="36">
        <v>2020</v>
      </c>
      <c r="I36" s="36">
        <v>2021</v>
      </c>
      <c r="J36" s="36">
        <v>2022</v>
      </c>
      <c r="K36" s="36">
        <v>2023</v>
      </c>
      <c r="L36" s="36">
        <v>2024</v>
      </c>
      <c r="M36" s="36">
        <v>2025</v>
      </c>
      <c r="N36" s="36">
        <v>2026</v>
      </c>
      <c r="O36" s="36">
        <v>2027</v>
      </c>
      <c r="P36" s="36">
        <v>2028</v>
      </c>
      <c r="Q36" s="36">
        <v>2029</v>
      </c>
      <c r="R36" s="36">
        <v>2030</v>
      </c>
      <c r="S36" s="36">
        <v>2031</v>
      </c>
    </row>
    <row r="37" ht="21" customHeight="1">
      <c r="A37" s="13"/>
      <c r="B37" s="21"/>
      <c r="C37" s="24"/>
      <c r="D37" s="11"/>
      <c r="E37" s="11"/>
      <c r="F37" s="11"/>
      <c r="G37" s="11"/>
      <c r="H37" s="11"/>
      <c r="I37" s="11"/>
      <c r="J37" s="11"/>
      <c r="K37" s="11"/>
      <c r="L37" s="11"/>
      <c r="M37" s="11"/>
      <c r="N37" s="11"/>
      <c r="O37" s="11"/>
      <c r="P37" s="11"/>
      <c r="Q37" s="11"/>
      <c r="R37" s="11"/>
      <c r="S37" s="11"/>
    </row>
    <row r="38" ht="21.35" customHeight="1">
      <c r="A38" s="38"/>
      <c r="B38" t="s" s="39">
        <v>17</v>
      </c>
      <c r="C38" s="40"/>
      <c r="D38" s="41">
        <f>SUM(D39,D40,D41)</f>
        <v>14795.1</v>
      </c>
      <c r="E38" s="41">
        <f>SUM(E39,E40,E41)</f>
        <v>15620</v>
      </c>
      <c r="F38" s="41">
        <f>SUM(F39,F40,F41)</f>
        <v>16732.2</v>
      </c>
      <c r="G38" s="41">
        <f>SUM(G39,G40,G41)</f>
        <v>18259</v>
      </c>
      <c r="H38" s="41">
        <f>SUM(H39,H40,H41)</f>
        <v>16296.2</v>
      </c>
      <c r="I38" s="41">
        <f>SUM(I39,I40,I41)</f>
        <v>20447.9</v>
      </c>
      <c r="J38" s="41">
        <f>J71*J42</f>
        <v>22060.6997192848</v>
      </c>
      <c r="K38" s="41">
        <f>K71*K42</f>
        <v>24439.606524988</v>
      </c>
      <c r="L38" s="41">
        <f>L71*L42</f>
        <v>26935.1485286296</v>
      </c>
      <c r="M38" s="41">
        <f>M71*M42</f>
        <v>29264.1561711691</v>
      </c>
      <c r="N38" s="41">
        <f>N71*N42</f>
        <v>31264.6094917772</v>
      </c>
      <c r="O38" s="41">
        <f>O71*O42</f>
        <v>33387.780990394</v>
      </c>
      <c r="P38" s="41">
        <f>P71*P42</f>
        <v>35567.7930400581</v>
      </c>
      <c r="Q38" s="41">
        <f>Q71*Q42</f>
        <v>37851.6826256609</v>
      </c>
      <c r="R38" s="41">
        <f>R71*R42</f>
        <v>40219.1250053845</v>
      </c>
      <c r="S38" s="41">
        <f>S71*S42</f>
        <v>41423.024728537</v>
      </c>
    </row>
    <row r="39" ht="21.35" customHeight="1">
      <c r="A39" s="42"/>
      <c r="B39" t="s" s="43">
        <v>18</v>
      </c>
      <c r="C39" s="44"/>
      <c r="D39" s="69">
        <v>13247.4</v>
      </c>
      <c r="E39" s="69">
        <v>13996.4</v>
      </c>
      <c r="F39" s="69">
        <v>14905.1</v>
      </c>
      <c r="G39" s="69">
        <v>16288.2</v>
      </c>
      <c r="H39" s="69">
        <v>14778.8</v>
      </c>
      <c r="I39" s="69">
        <v>18737.3</v>
      </c>
      <c r="J39" s="45">
        <f>(I39/$I$38)*$J$38</f>
        <v>20215.1785195622</v>
      </c>
      <c r="K39" s="45">
        <f>(J39/$J$38)*$K$38</f>
        <v>22395.0742785645</v>
      </c>
      <c r="L39" s="45">
        <f>(K39/K38)*L38</f>
        <v>24681.847941622</v>
      </c>
      <c r="M39" s="45">
        <f>(L39/L38)*M38</f>
        <v>26816.0189274228</v>
      </c>
      <c r="N39" s="45">
        <f>(M39/M38)*N38</f>
        <v>28649.1213000004</v>
      </c>
      <c r="O39" s="45">
        <f>(N39/N38)*O38</f>
        <v>30594.6756758059</v>
      </c>
      <c r="P39" s="45">
        <f>(O39/O38)*P38</f>
        <v>32592.3155203949</v>
      </c>
      <c r="Q39" s="45">
        <f>(P39/P38)*Q38</f>
        <v>34685.1428685488</v>
      </c>
      <c r="R39" s="45">
        <f>(Q39/Q38)*R38</f>
        <v>36854.5332754657</v>
      </c>
      <c r="S39" s="45">
        <f>(R39/R38)*S38</f>
        <v>37957.7189464943</v>
      </c>
    </row>
    <row r="40" ht="21" customHeight="1">
      <c r="A40" s="70"/>
      <c r="B40" t="s" s="71">
        <v>19</v>
      </c>
      <c r="C40" s="72"/>
      <c r="D40" s="73">
        <v>1518.2</v>
      </c>
      <c r="E40" s="73">
        <v>1617.3</v>
      </c>
      <c r="F40" s="73">
        <v>1814</v>
      </c>
      <c r="G40" s="73">
        <v>1958</v>
      </c>
      <c r="H40" s="73">
        <v>1509.9</v>
      </c>
      <c r="I40" s="73">
        <v>1702.2</v>
      </c>
      <c r="J40" s="74">
        <f>(I40/$I$38)*$J$38</f>
        <v>1836.458661386580</v>
      </c>
      <c r="K40" s="74">
        <f>(J40/$J$38)*$K$38</f>
        <v>2034.492452859930</v>
      </c>
      <c r="L40" s="74">
        <f>(K40/K38)*L38</f>
        <v>2242.235624461840</v>
      </c>
      <c r="M40" s="74">
        <f>(L40/L38)*M38</f>
        <v>2436.115524555770</v>
      </c>
      <c r="N40" s="74">
        <f>(M40/M38)*N38</f>
        <v>2602.644686099940</v>
      </c>
      <c r="O40" s="74">
        <f>(N40/N38)*O38</f>
        <v>2779.389609781370</v>
      </c>
      <c r="P40" s="74">
        <f>(O40/O38)*P38</f>
        <v>2960.866265620760</v>
      </c>
      <c r="Q40" s="74">
        <f>(P40/P38)*Q38</f>
        <v>3150.990280928590</v>
      </c>
      <c r="R40" s="74">
        <f>(Q40/Q38)*R38</f>
        <v>3348.069708095460</v>
      </c>
      <c r="S40" s="75">
        <f>(R40/R38)*S38</f>
        <v>3448.289198055320</v>
      </c>
    </row>
    <row r="41" ht="21.1" customHeight="1">
      <c r="A41" s="48"/>
      <c r="B41" t="s" s="49">
        <v>26</v>
      </c>
      <c r="C41" s="50"/>
      <c r="D41" s="51">
        <v>29.5</v>
      </c>
      <c r="E41" s="51">
        <v>6.3</v>
      </c>
      <c r="F41" s="51">
        <v>13.1</v>
      </c>
      <c r="G41" s="51">
        <v>12.8</v>
      </c>
      <c r="H41" s="76">
        <v>7.5</v>
      </c>
      <c r="I41" s="76">
        <v>8.4</v>
      </c>
      <c r="J41" s="76">
        <f>(I41/$I$38)*$J$38</f>
        <v>9.06253833606347</v>
      </c>
      <c r="K41" s="52">
        <f>(J41/$J$38)*$K$38</f>
        <v>10.0397935636373</v>
      </c>
      <c r="L41" s="52">
        <f>(K41/K38)*L38</f>
        <v>11.064962545811</v>
      </c>
      <c r="M41" s="52">
        <f>(L41/L38)*M38</f>
        <v>12.0217191906172</v>
      </c>
      <c r="N41" s="52">
        <f>(M41/M38)*N38</f>
        <v>12.843505676912</v>
      </c>
      <c r="O41" s="52">
        <f>(N41/N38)*O38</f>
        <v>13.7157048068168</v>
      </c>
      <c r="P41" s="52">
        <f>(O41/O38)*P38</f>
        <v>14.6112540425417</v>
      </c>
      <c r="Q41" s="52">
        <f>(P41/P38)*Q38</f>
        <v>15.5494761836449</v>
      </c>
      <c r="R41" s="52">
        <f>(Q41/Q38)*R38</f>
        <v>16.5220218235237</v>
      </c>
      <c r="S41" s="77">
        <f>(R41/R38)*S38</f>
        <v>17.0165839875836</v>
      </c>
    </row>
    <row r="42" ht="21.1" customHeight="1">
      <c r="A42" s="55"/>
      <c r="B42" t="s" s="78">
        <v>27</v>
      </c>
      <c r="C42" s="57"/>
      <c r="D42" s="79">
        <f>D38/D71</f>
        <v>0.694090768350238</v>
      </c>
      <c r="E42" s="79">
        <f>E38/E71</f>
        <v>0.697732592420534</v>
      </c>
      <c r="F42" s="79">
        <f>F38/F71</f>
        <v>0.676882623030401</v>
      </c>
      <c r="G42" s="79">
        <f>G38/G71</f>
        <v>0.688795334344326</v>
      </c>
      <c r="H42" s="79">
        <f>H38/H71</f>
        <v>0.6918919377916281</v>
      </c>
      <c r="I42" s="79">
        <f>I38/I71</f>
        <v>0.701724463357299</v>
      </c>
      <c r="J42" s="79">
        <f>AVERAGE(I42,H42,G42)</f>
        <v>0.694137245164418</v>
      </c>
      <c r="K42" s="79">
        <f>AVERAGE(J42,I42,H42)</f>
        <v>0.695917882104448</v>
      </c>
      <c r="L42" s="79">
        <f>AVERAGE(K42,J42,I42)</f>
        <v>0.697259863542055</v>
      </c>
      <c r="M42" s="79">
        <f>AVERAGE(L42,K42,J42)</f>
        <v>0.69577166360364</v>
      </c>
      <c r="N42" s="79">
        <f>AVERAGE(M42,L42,K42)</f>
        <v>0.696316469750048</v>
      </c>
      <c r="O42" s="79">
        <f>AVERAGE(N42,M42,L42)</f>
        <v>0.696449332298581</v>
      </c>
      <c r="P42" s="79">
        <f>AVERAGE(O42,N42,M42)</f>
        <v>0.696179155217423</v>
      </c>
      <c r="Q42" s="79">
        <f>AVERAGE(P42,O42,N42)</f>
        <v>0.696314985755351</v>
      </c>
      <c r="R42" s="79">
        <f>AVERAGE(Q42,P42,O42)</f>
        <v>0.696314491090452</v>
      </c>
      <c r="S42" s="79">
        <f>AVERAGE(R42,Q42,P42)</f>
        <v>0.696269544021075</v>
      </c>
    </row>
    <row r="43" ht="21" customHeight="1">
      <c r="A43" s="13"/>
      <c r="B43" s="21"/>
      <c r="C43" s="24"/>
      <c r="D43" s="11"/>
      <c r="E43" s="11"/>
      <c r="F43" s="11"/>
      <c r="G43" s="11"/>
      <c r="H43" s="11"/>
      <c r="I43" s="11"/>
      <c r="J43" s="11"/>
      <c r="K43" s="11"/>
      <c r="L43" s="11"/>
      <c r="M43" s="11"/>
      <c r="N43" s="11"/>
      <c r="O43" s="11"/>
      <c r="P43" s="11"/>
      <c r="Q43" s="11"/>
      <c r="R43" s="11"/>
      <c r="S43" s="11"/>
    </row>
    <row r="44" ht="21.35" customHeight="1">
      <c r="A44" s="38"/>
      <c r="B44" t="s" s="39">
        <v>28</v>
      </c>
      <c r="C44" s="40"/>
      <c r="D44" s="41">
        <f>SUM(D45,D46,D47)</f>
        <v>4588.2</v>
      </c>
      <c r="E44" s="41">
        <f>SUM(E45,E46,E47)</f>
        <v>4510.2</v>
      </c>
      <c r="F44" s="41">
        <f>SUM(F45,F46,F47)</f>
        <v>5690</v>
      </c>
      <c r="G44" s="41">
        <f>SUM(G45,G46,G47)</f>
        <v>6190.7</v>
      </c>
      <c r="H44" s="41">
        <f>SUM(H45,H46,H47)</f>
        <v>5230.6</v>
      </c>
      <c r="I44" s="41">
        <f>SUM(I45,I46,I47)</f>
        <v>6921.6</v>
      </c>
      <c r="J44" s="41">
        <f>J71*J48</f>
        <v>7343.062332325680</v>
      </c>
      <c r="K44" s="41">
        <f>K71*K48</f>
        <v>8084.971035557660</v>
      </c>
      <c r="L44" s="41">
        <f>L71*L48</f>
        <v>8998.232579366360</v>
      </c>
      <c r="M44" s="41">
        <f>M71*M48</f>
        <v>9732.711239160790</v>
      </c>
      <c r="N44" s="41">
        <f>N71*N48</f>
        <v>10395.1585509288</v>
      </c>
      <c r="O44" s="41">
        <f>O71*O48</f>
        <v>11119.7221905437</v>
      </c>
      <c r="P44" s="41">
        <f>P71*P48</f>
        <v>11833.6271240588</v>
      </c>
      <c r="Q44" s="41">
        <f>Q71*Q48</f>
        <v>12595.0667310873</v>
      </c>
      <c r="R44" s="41">
        <f>R71*R48</f>
        <v>13386.2901496526</v>
      </c>
      <c r="S44" s="41">
        <f>S71*S48</f>
        <v>13784.0372739029</v>
      </c>
    </row>
    <row r="45" ht="21.35" customHeight="1">
      <c r="A45" s="80"/>
      <c r="B45" t="s" s="43">
        <v>18</v>
      </c>
      <c r="C45" s="81"/>
      <c r="D45" s="69">
        <f>SUM(D52,D57,D62)</f>
        <v>3596.9</v>
      </c>
      <c r="E45" s="69">
        <f>SUM(E52,E57,E62)</f>
        <v>3654.3</v>
      </c>
      <c r="F45" s="69">
        <f>SUM(F52,F57,F62)</f>
        <v>4785.2</v>
      </c>
      <c r="G45" s="69">
        <v>5256.2</v>
      </c>
      <c r="H45" s="69">
        <v>4385.8</v>
      </c>
      <c r="I45" s="69">
        <v>5869.7</v>
      </c>
      <c r="J45" s="69">
        <f>(I45/$I$44)*$J$44</f>
        <v>6227.111213021850</v>
      </c>
      <c r="K45" s="69">
        <f>(J45/$J$44)*$K$44</f>
        <v>6856.269430104710</v>
      </c>
      <c r="L45" s="69">
        <f>(K45/K44)*L44</f>
        <v>7630.739391341120</v>
      </c>
      <c r="M45" s="69">
        <f>(L45/L44)*M44</f>
        <v>8253.596734931531</v>
      </c>
      <c r="N45" s="69">
        <f>(M45/M44)*N44</f>
        <v>8815.369588879270</v>
      </c>
      <c r="O45" s="69">
        <f>(N45/N44)*O44</f>
        <v>9429.818732927981</v>
      </c>
      <c r="P45" s="69">
        <f>(O45/O44)*P44</f>
        <v>10035.2290120908</v>
      </c>
      <c r="Q45" s="69">
        <f>(P45/P44)*Q44</f>
        <v>10680.9499525345</v>
      </c>
      <c r="R45" s="69">
        <f>(Q45/Q44)*R44</f>
        <v>11351.9283534754</v>
      </c>
      <c r="S45" s="69">
        <f>(R45/R44)*S44</f>
        <v>11689.2284423583</v>
      </c>
    </row>
    <row r="46" ht="21" customHeight="1">
      <c r="A46" s="82"/>
      <c r="B46" t="s" s="71">
        <v>19</v>
      </c>
      <c r="C46" s="29"/>
      <c r="D46" s="83">
        <f>SUM(D53,D58,D63)</f>
        <v>635.7</v>
      </c>
      <c r="E46" s="83">
        <f>SUM(E53,E58,E63)</f>
        <v>737.7</v>
      </c>
      <c r="F46" s="83">
        <f>SUM(F53,F58,F63)</f>
        <v>838.2</v>
      </c>
      <c r="G46" s="73">
        <v>917</v>
      </c>
      <c r="H46" s="73">
        <v>817.2</v>
      </c>
      <c r="I46" s="73">
        <v>981.4</v>
      </c>
      <c r="J46" s="73">
        <f>(I46/$I$44)*$J$44</f>
        <v>1041.158312087440</v>
      </c>
      <c r="K46" s="73">
        <f>(J46/$J$44)*$K$44</f>
        <v>1146.352082509290</v>
      </c>
      <c r="L46" s="73">
        <f>(K46/K44)*L44</f>
        <v>1275.841633927150</v>
      </c>
      <c r="M46" s="73">
        <f>(L46/L44)*M44</f>
        <v>1379.981913157710</v>
      </c>
      <c r="N46" s="73">
        <f>(M46/M44)*N44</f>
        <v>1473.909009749410</v>
      </c>
      <c r="O46" s="73">
        <f>(N46/N44)*O44</f>
        <v>1576.643457842060</v>
      </c>
      <c r="P46" s="73">
        <f>(O46/O44)*P44</f>
        <v>1677.866629038270</v>
      </c>
      <c r="Q46" s="73">
        <f>(P46/P44)*Q44</f>
        <v>1785.829647753270</v>
      </c>
      <c r="R46" s="73">
        <f>(Q46/Q44)*R44</f>
        <v>1898.015654309560</v>
      </c>
      <c r="S46" s="73">
        <f>(R46/R44)*S44</f>
        <v>1954.411433860420</v>
      </c>
    </row>
    <row r="47" ht="21.1" customHeight="1">
      <c r="A47" s="48"/>
      <c r="B47" t="s" s="49">
        <v>26</v>
      </c>
      <c r="C47" s="50"/>
      <c r="D47" s="51">
        <f>SUM(D54,D59,D64)</f>
        <v>355.6</v>
      </c>
      <c r="E47" s="51">
        <f>SUM(E54,E59,E64)</f>
        <v>118.2</v>
      </c>
      <c r="F47" s="51">
        <f>SUM(F54,F59,F64)</f>
        <v>66.59999999999999</v>
      </c>
      <c r="G47" s="51">
        <v>17.5</v>
      </c>
      <c r="H47" s="76">
        <v>27.6</v>
      </c>
      <c r="I47" s="76">
        <v>70.5</v>
      </c>
      <c r="J47" s="76">
        <f>(I47/$I$44)*$J$44</f>
        <v>74.79280721638931</v>
      </c>
      <c r="K47" s="52">
        <f>(J47/$J$44)*$K$44</f>
        <v>82.34952294365679</v>
      </c>
      <c r="L47" s="52">
        <f>(K47/K44)*L44</f>
        <v>91.6515540980883</v>
      </c>
      <c r="M47" s="52">
        <f>(L47/L44)*M44</f>
        <v>99.1325910715492</v>
      </c>
      <c r="N47" s="52">
        <f>(M47/M44)*N44</f>
        <v>105.879952300116</v>
      </c>
      <c r="O47" s="52">
        <f>(N47/N44)*O44</f>
        <v>113.259999773655</v>
      </c>
      <c r="P47" s="52">
        <f>(O47/O44)*P44</f>
        <v>120.531482929690</v>
      </c>
      <c r="Q47" s="52">
        <f>(P47/P44)*Q44</f>
        <v>128.287130799476</v>
      </c>
      <c r="R47" s="52">
        <f>(Q47/Q44)*R44</f>
        <v>136.346141867560</v>
      </c>
      <c r="S47" s="77">
        <f>(R47/R44)*S44</f>
        <v>140.397397684083</v>
      </c>
    </row>
    <row r="48" ht="21.1" customHeight="1">
      <c r="A48" s="55"/>
      <c r="B48" t="s" s="78">
        <v>27</v>
      </c>
      <c r="C48" s="57"/>
      <c r="D48" s="79">
        <f>D44/D71</f>
        <v>0.215248782593194</v>
      </c>
      <c r="E48" s="79">
        <f>E44/E71</f>
        <v>0.201466935872925</v>
      </c>
      <c r="F48" s="79">
        <f>F44/F71</f>
        <v>0.230182649325431</v>
      </c>
      <c r="G48" s="79">
        <f>G44/G71</f>
        <v>0.233535531865131</v>
      </c>
      <c r="H48" s="79">
        <f>H44/H71</f>
        <v>0.222076924056706</v>
      </c>
      <c r="I48" s="79">
        <f>I44/I71</f>
        <v>0.237533245251291</v>
      </c>
      <c r="J48" s="79">
        <f>AVERAGE(I48,H48,G48)</f>
        <v>0.231048567057709</v>
      </c>
      <c r="K48" s="79">
        <f>AVERAGE(J48,I48,H48)</f>
        <v>0.230219578788569</v>
      </c>
      <c r="L48" s="79">
        <f>AVERAGE(K48,J48,I48)</f>
        <v>0.232933797032523</v>
      </c>
      <c r="M48" s="79">
        <f>AVERAGE(L48,K48,J48)</f>
        <v>0.231400647626267</v>
      </c>
      <c r="N48" s="79">
        <f>AVERAGE(M48,L48,K48)</f>
        <v>0.231518007815786</v>
      </c>
      <c r="O48" s="79">
        <f>AVERAGE(N48,M48,L48)</f>
        <v>0.231950817491525</v>
      </c>
      <c r="P48" s="79">
        <f>AVERAGE(O48,N48,M48)</f>
        <v>0.231623157644526</v>
      </c>
      <c r="Q48" s="79">
        <f>AVERAGE(P48,O48,N48)</f>
        <v>0.231697327650612</v>
      </c>
      <c r="R48" s="79">
        <f>AVERAGE(Q48,P48,O48)</f>
        <v>0.231757100928888</v>
      </c>
      <c r="S48" s="79">
        <f>AVERAGE(R48,Q48,P48)</f>
        <v>0.231692528741342</v>
      </c>
    </row>
    <row r="49" ht="21" customHeight="1">
      <c r="A49" s="13"/>
      <c r="B49" s="21"/>
      <c r="C49" s="24"/>
      <c r="D49" s="11"/>
      <c r="E49" s="11"/>
      <c r="F49" s="11"/>
      <c r="G49" s="11"/>
      <c r="H49" s="11"/>
      <c r="I49" s="11"/>
      <c r="J49" s="11"/>
      <c r="K49" s="11"/>
      <c r="L49" s="11"/>
      <c r="M49" s="11"/>
      <c r="N49" s="11"/>
      <c r="O49" s="11"/>
      <c r="P49" s="11"/>
      <c r="Q49" s="11"/>
      <c r="R49" s="11"/>
      <c r="S49" s="11"/>
    </row>
    <row r="50" ht="19.9" customHeight="1" hidden="1">
      <c r="A50" s="84"/>
      <c r="B50" s="85"/>
      <c r="C50" s="86"/>
      <c r="D50" s="11"/>
      <c r="E50" s="11"/>
      <c r="F50" s="11"/>
      <c r="G50" s="11"/>
      <c r="H50" s="11"/>
      <c r="I50" s="11"/>
      <c r="J50" s="11"/>
      <c r="K50" s="11"/>
      <c r="L50" s="11"/>
      <c r="M50" s="11"/>
      <c r="N50" s="11"/>
      <c r="O50" s="11"/>
      <c r="P50" s="11"/>
      <c r="Q50" s="11"/>
      <c r="R50" s="11"/>
      <c r="S50" s="11"/>
    </row>
    <row r="51" ht="19.9" customHeight="1" hidden="1">
      <c r="A51" s="87"/>
      <c r="B51" t="s" s="88">
        <v>20</v>
      </c>
      <c r="C51" s="89"/>
      <c r="D51" s="41">
        <f>SUM(D52,D53,D54)</f>
        <v>2938.8</v>
      </c>
      <c r="E51" s="41">
        <f>SUM(E52,E53,E54)</f>
        <v>3240.2</v>
      </c>
      <c r="F51" s="41">
        <f>SUM(F52,F53,F54)</f>
        <v>4473.6</v>
      </c>
      <c r="G51" s="41">
        <f>SUM(G52,G53,G54)</f>
        <v>0</v>
      </c>
      <c r="H51" s="41">
        <f>SUM(H52,H53,H54)</f>
        <v>0</v>
      </c>
      <c r="I51" s="41">
        <f>SUM(I52,I53,I54)</f>
        <v>0</v>
      </c>
      <c r="J51" s="41">
        <f>SUM(J52,J53,J54)</f>
        <v>0</v>
      </c>
      <c r="K51" s="41">
        <f>SUM(K52,K53,K54)</f>
        <v>0</v>
      </c>
      <c r="L51" s="90"/>
      <c r="M51" s="90"/>
      <c r="N51" s="90"/>
      <c r="O51" s="90"/>
      <c r="P51" s="90"/>
      <c r="Q51" s="90"/>
      <c r="R51" s="90"/>
      <c r="S51" s="90"/>
    </row>
    <row r="52" ht="19.9" customHeight="1" hidden="1">
      <c r="A52" s="91"/>
      <c r="B52" t="s" s="92">
        <v>18</v>
      </c>
      <c r="C52" s="93"/>
      <c r="D52" s="69">
        <v>2640.4</v>
      </c>
      <c r="E52" s="69">
        <v>2906</v>
      </c>
      <c r="F52" s="69">
        <v>4096.9</v>
      </c>
      <c r="G52" s="94"/>
      <c r="H52" s="94"/>
      <c r="I52" s="94"/>
      <c r="J52" s="94"/>
      <c r="K52" s="94"/>
      <c r="L52" s="94"/>
      <c r="M52" s="94"/>
      <c r="N52" s="94"/>
      <c r="O52" s="94"/>
      <c r="P52" s="94"/>
      <c r="Q52" s="94"/>
      <c r="R52" s="94"/>
      <c r="S52" s="94"/>
    </row>
    <row r="53" ht="19.9" customHeight="1" hidden="1">
      <c r="A53" s="95"/>
      <c r="B53" t="s" s="96">
        <v>19</v>
      </c>
      <c r="C53" s="97"/>
      <c r="D53" s="73">
        <v>292.3</v>
      </c>
      <c r="E53" s="73">
        <v>327.4</v>
      </c>
      <c r="F53" s="73">
        <v>365.7</v>
      </c>
      <c r="G53" s="98"/>
      <c r="H53" s="98"/>
      <c r="I53" s="98"/>
      <c r="J53" s="98"/>
      <c r="K53" s="98"/>
      <c r="L53" s="98"/>
      <c r="M53" s="98"/>
      <c r="N53" s="98"/>
      <c r="O53" s="98"/>
      <c r="P53" s="98"/>
      <c r="Q53" s="98"/>
      <c r="R53" s="98"/>
      <c r="S53" s="99"/>
    </row>
    <row r="54" ht="19.9" customHeight="1" hidden="1">
      <c r="A54" s="100"/>
      <c r="B54" t="s" s="101">
        <v>26</v>
      </c>
      <c r="C54" s="102"/>
      <c r="D54" s="51">
        <v>6.1</v>
      </c>
      <c r="E54" s="51">
        <v>6.8</v>
      </c>
      <c r="F54" s="52">
        <v>11</v>
      </c>
      <c r="G54" s="103"/>
      <c r="H54" s="103"/>
      <c r="I54" s="103"/>
      <c r="J54" s="103"/>
      <c r="K54" s="103"/>
      <c r="L54" s="103"/>
      <c r="M54" s="103"/>
      <c r="N54" s="103"/>
      <c r="O54" s="103"/>
      <c r="P54" s="103"/>
      <c r="Q54" s="103"/>
      <c r="R54" s="103"/>
      <c r="S54" s="104"/>
    </row>
    <row r="55" ht="19.9" customHeight="1" hidden="1">
      <c r="A55" s="105"/>
      <c r="B55" s="106"/>
      <c r="C55" s="107"/>
      <c r="D55" s="60"/>
      <c r="E55" s="60"/>
      <c r="F55" s="60"/>
      <c r="G55" s="60"/>
      <c r="H55" s="60"/>
      <c r="I55" s="60"/>
      <c r="J55" s="60"/>
      <c r="K55" s="60"/>
      <c r="L55" s="60"/>
      <c r="M55" s="60"/>
      <c r="N55" s="60"/>
      <c r="O55" s="60"/>
      <c r="P55" s="60"/>
      <c r="Q55" s="60"/>
      <c r="R55" s="60"/>
      <c r="S55" s="60"/>
    </row>
    <row r="56" ht="19.9" customHeight="1" hidden="1">
      <c r="A56" s="87"/>
      <c r="B56" t="s" s="88">
        <v>21</v>
      </c>
      <c r="C56" s="89"/>
      <c r="D56" s="41">
        <f>SUM(D57,D58,D59)</f>
        <v>1125.1</v>
      </c>
      <c r="E56" s="41">
        <f>SUM(E57,E58,E59)</f>
        <v>958.7</v>
      </c>
      <c r="F56" s="41">
        <f>SUM(F57,F58,F59)</f>
        <v>1048</v>
      </c>
      <c r="G56" s="90"/>
      <c r="H56" s="90"/>
      <c r="I56" s="90"/>
      <c r="J56" s="90"/>
      <c r="K56" s="90"/>
      <c r="L56" s="90"/>
      <c r="M56" s="90"/>
      <c r="N56" s="90"/>
      <c r="O56" s="90"/>
      <c r="P56" s="90"/>
      <c r="Q56" s="90"/>
      <c r="R56" s="90"/>
      <c r="S56" s="90"/>
    </row>
    <row r="57" ht="19.9" customHeight="1" hidden="1">
      <c r="A57" s="91"/>
      <c r="B57" t="s" s="92">
        <v>18</v>
      </c>
      <c r="C57" s="93"/>
      <c r="D57" s="69">
        <v>732.2</v>
      </c>
      <c r="E57" s="69">
        <v>551</v>
      </c>
      <c r="F57" s="69">
        <v>575.6</v>
      </c>
      <c r="G57" s="94"/>
      <c r="H57" s="94"/>
      <c r="I57" s="94"/>
      <c r="J57" s="94"/>
      <c r="K57" s="94"/>
      <c r="L57" s="94"/>
      <c r="M57" s="94"/>
      <c r="N57" s="94"/>
      <c r="O57" s="94"/>
      <c r="P57" s="94"/>
      <c r="Q57" s="94"/>
      <c r="R57" s="94"/>
      <c r="S57" s="94"/>
    </row>
    <row r="58" ht="19.9" customHeight="1" hidden="1">
      <c r="A58" s="95"/>
      <c r="B58" t="s" s="96">
        <v>19</v>
      </c>
      <c r="C58" s="97"/>
      <c r="D58" s="73">
        <v>339.5</v>
      </c>
      <c r="E58" s="73">
        <v>407.7</v>
      </c>
      <c r="F58" s="73">
        <v>471.3</v>
      </c>
      <c r="G58" s="98"/>
      <c r="H58" s="98"/>
      <c r="I58" s="98"/>
      <c r="J58" s="98"/>
      <c r="K58" s="98"/>
      <c r="L58" s="98"/>
      <c r="M58" s="98"/>
      <c r="N58" s="98"/>
      <c r="O58" s="98"/>
      <c r="P58" s="98"/>
      <c r="Q58" s="98"/>
      <c r="R58" s="98"/>
      <c r="S58" s="99"/>
    </row>
    <row r="59" ht="19.9" customHeight="1" hidden="1">
      <c r="A59" s="100"/>
      <c r="B59" t="s" s="101">
        <v>26</v>
      </c>
      <c r="C59" s="102"/>
      <c r="D59" s="51">
        <v>53.4</v>
      </c>
      <c r="E59" s="51">
        <v>0</v>
      </c>
      <c r="F59" s="51">
        <v>1.1</v>
      </c>
      <c r="G59" s="103"/>
      <c r="H59" s="103"/>
      <c r="I59" s="103"/>
      <c r="J59" s="103"/>
      <c r="K59" s="103"/>
      <c r="L59" s="103"/>
      <c r="M59" s="103"/>
      <c r="N59" s="103"/>
      <c r="O59" s="103"/>
      <c r="P59" s="103"/>
      <c r="Q59" s="103"/>
      <c r="R59" s="103"/>
      <c r="S59" s="104"/>
    </row>
    <row r="60" ht="19.9" customHeight="1" hidden="1">
      <c r="A60" s="105"/>
      <c r="B60" s="106"/>
      <c r="C60" s="107"/>
      <c r="D60" s="60"/>
      <c r="E60" s="60"/>
      <c r="F60" s="60"/>
      <c r="G60" s="60"/>
      <c r="H60" s="60"/>
      <c r="I60" s="60"/>
      <c r="J60" s="60"/>
      <c r="K60" s="60"/>
      <c r="L60" s="60"/>
      <c r="M60" s="60"/>
      <c r="N60" s="60"/>
      <c r="O60" s="60"/>
      <c r="P60" s="60"/>
      <c r="Q60" s="60"/>
      <c r="R60" s="60"/>
      <c r="S60" s="60"/>
    </row>
    <row r="61" ht="19.9" customHeight="1" hidden="1">
      <c r="A61" s="87"/>
      <c r="B61" t="s" s="88">
        <v>22</v>
      </c>
      <c r="C61" s="89"/>
      <c r="D61" s="41">
        <f>SUM(D62,D63,D64)</f>
        <v>524.3</v>
      </c>
      <c r="E61" s="41">
        <f>SUM(E62,E63,E64)</f>
        <v>311.3</v>
      </c>
      <c r="F61" s="41">
        <f>SUM(F62,F63,F64)</f>
        <v>168.4</v>
      </c>
      <c r="G61" s="90"/>
      <c r="H61" s="90"/>
      <c r="I61" s="90"/>
      <c r="J61" s="90"/>
      <c r="K61" s="90"/>
      <c r="L61" s="90"/>
      <c r="M61" s="90"/>
      <c r="N61" s="90"/>
      <c r="O61" s="90"/>
      <c r="P61" s="90"/>
      <c r="Q61" s="90"/>
      <c r="R61" s="90"/>
      <c r="S61" s="90"/>
    </row>
    <row r="62" ht="19.9" customHeight="1" hidden="1">
      <c r="A62" s="91"/>
      <c r="B62" t="s" s="92">
        <v>18</v>
      </c>
      <c r="C62" s="93"/>
      <c r="D62" s="69">
        <v>224.3</v>
      </c>
      <c r="E62" s="69">
        <v>197.3</v>
      </c>
      <c r="F62" s="69">
        <v>112.7</v>
      </c>
      <c r="G62" s="94"/>
      <c r="H62" s="94"/>
      <c r="I62" s="94"/>
      <c r="J62" s="94"/>
      <c r="K62" s="94"/>
      <c r="L62" s="94"/>
      <c r="M62" s="94"/>
      <c r="N62" s="94"/>
      <c r="O62" s="94"/>
      <c r="P62" s="94"/>
      <c r="Q62" s="94"/>
      <c r="R62" s="94"/>
      <c r="S62" s="94"/>
    </row>
    <row r="63" ht="19.9" customHeight="1" hidden="1">
      <c r="A63" s="95"/>
      <c r="B63" t="s" s="96">
        <v>19</v>
      </c>
      <c r="C63" s="97"/>
      <c r="D63" s="73">
        <v>3.9</v>
      </c>
      <c r="E63" s="73">
        <v>2.6</v>
      </c>
      <c r="F63" s="73">
        <v>1.2</v>
      </c>
      <c r="G63" s="98"/>
      <c r="H63" s="98"/>
      <c r="I63" s="98"/>
      <c r="J63" s="98"/>
      <c r="K63" s="98"/>
      <c r="L63" s="98"/>
      <c r="M63" s="98"/>
      <c r="N63" s="98"/>
      <c r="O63" s="98"/>
      <c r="P63" s="98"/>
      <c r="Q63" s="98"/>
      <c r="R63" s="98"/>
      <c r="S63" s="99"/>
    </row>
    <row r="64" ht="19.9" customHeight="1" hidden="1">
      <c r="A64" s="100"/>
      <c r="B64" t="s" s="101">
        <v>26</v>
      </c>
      <c r="C64" s="102"/>
      <c r="D64" s="51">
        <v>296.1</v>
      </c>
      <c r="E64" s="51">
        <v>111.4</v>
      </c>
      <c r="F64" s="51">
        <v>54.5</v>
      </c>
      <c r="G64" s="103"/>
      <c r="H64" s="103"/>
      <c r="I64" s="103"/>
      <c r="J64" s="103"/>
      <c r="K64" s="103"/>
      <c r="L64" s="103"/>
      <c r="M64" s="103"/>
      <c r="N64" s="103"/>
      <c r="O64" s="103"/>
      <c r="P64" s="103"/>
      <c r="Q64" s="103"/>
      <c r="R64" s="103"/>
      <c r="S64" s="104"/>
    </row>
    <row r="65" ht="19.9" customHeight="1" hidden="1">
      <c r="A65" s="105"/>
      <c r="B65" s="106"/>
      <c r="C65" s="107"/>
      <c r="D65" s="60"/>
      <c r="E65" s="60"/>
      <c r="F65" s="60"/>
      <c r="G65" s="60"/>
      <c r="H65" s="60"/>
      <c r="I65" s="60"/>
      <c r="J65" s="60"/>
      <c r="K65" s="60"/>
      <c r="L65" s="60"/>
      <c r="M65" s="60"/>
      <c r="N65" s="60"/>
      <c r="O65" s="60"/>
      <c r="P65" s="60"/>
      <c r="Q65" s="60"/>
      <c r="R65" s="60"/>
      <c r="S65" s="60"/>
    </row>
    <row r="66" ht="21.35" customHeight="1">
      <c r="A66" s="38"/>
      <c r="B66" t="s" s="39">
        <v>29</v>
      </c>
      <c r="C66" s="40"/>
      <c r="D66" s="41">
        <f>D67+D68</f>
        <v>1932.5</v>
      </c>
      <c r="E66" s="41">
        <f>E67+E68</f>
        <v>2256.6</v>
      </c>
      <c r="F66" s="41">
        <f>F67+F68</f>
        <v>2297.3</v>
      </c>
      <c r="G66" s="41">
        <f>G67+G68</f>
        <v>2058.9</v>
      </c>
      <c r="H66" s="41">
        <f>H67+H68</f>
        <v>2026.3</v>
      </c>
      <c r="I66" s="41">
        <f>I67+I68</f>
        <v>1770</v>
      </c>
      <c r="J66" s="41">
        <f>J71*J69</f>
        <v>2377.704615056220</v>
      </c>
      <c r="K66" s="41">
        <f>K71*K69</f>
        <v>2593.943106121060</v>
      </c>
      <c r="L66" s="41">
        <f>L71*L69</f>
        <v>2696.618892004060</v>
      </c>
      <c r="M66" s="41">
        <f>M71*M69</f>
        <v>3063.1325896701</v>
      </c>
      <c r="N66" s="41">
        <f>N71*N69</f>
        <v>3240.231957294050</v>
      </c>
      <c r="O66" s="41">
        <f>O71*O69</f>
        <v>3432.4968190623</v>
      </c>
      <c r="P66" s="41">
        <f>P71*P69</f>
        <v>3688.579835883020</v>
      </c>
      <c r="Q66" s="41">
        <f>Q71*Q69</f>
        <v>3913.250643251840</v>
      </c>
      <c r="R66" s="41">
        <f>R71*R69</f>
        <v>4154.584844962940</v>
      </c>
      <c r="S66" s="41">
        <f>S71*S69</f>
        <v>4285.737997560060</v>
      </c>
    </row>
    <row r="67" ht="21.35" customHeight="1">
      <c r="A67" s="42"/>
      <c r="B67" t="s" s="43">
        <v>30</v>
      </c>
      <c r="C67" s="44"/>
      <c r="D67" s="45">
        <v>1488.2</v>
      </c>
      <c r="E67" s="45">
        <v>2256.6</v>
      </c>
      <c r="F67" s="45">
        <v>2297.3</v>
      </c>
      <c r="G67" s="45">
        <v>1992.6</v>
      </c>
      <c r="H67" s="45">
        <v>2026.3</v>
      </c>
      <c r="I67" s="45">
        <v>1770</v>
      </c>
      <c r="J67" s="45">
        <v>2378</v>
      </c>
      <c r="K67" s="45">
        <v>2594</v>
      </c>
      <c r="L67" s="45">
        <f>(K67/K66)*L66</f>
        <v>2696.678037907620</v>
      </c>
      <c r="M67" s="45">
        <f>(L67/L66)*M66</f>
        <v>3063.199774449260</v>
      </c>
      <c r="N67" s="45">
        <f>(M67/M66)*N66</f>
        <v>3240.303026456780</v>
      </c>
      <c r="O67" s="45">
        <f>(N67/N66)*O66</f>
        <v>3432.572105238790</v>
      </c>
      <c r="P67" s="45">
        <f>(O67/O66)*P66</f>
        <v>3688.660738819620</v>
      </c>
      <c r="Q67" s="45">
        <f>(P67/P66)*Q66</f>
        <v>3913.336473973360</v>
      </c>
      <c r="R67" s="45">
        <f>(Q67/Q66)*R66</f>
        <v>4154.675968953550</v>
      </c>
      <c r="S67" s="45">
        <f>(R67/R66)*S66</f>
        <v>4285.831998179530</v>
      </c>
    </row>
    <row r="68" ht="21.1" customHeight="1">
      <c r="A68" s="48"/>
      <c r="B68" t="s" s="49">
        <v>31</v>
      </c>
      <c r="C68" s="50"/>
      <c r="D68" s="51">
        <v>444.3</v>
      </c>
      <c r="E68" s="52">
        <v>0</v>
      </c>
      <c r="F68" s="52">
        <v>0</v>
      </c>
      <c r="G68" s="52">
        <v>66.3</v>
      </c>
      <c r="H68" s="52">
        <v>0</v>
      </c>
      <c r="I68" s="52">
        <v>0</v>
      </c>
      <c r="J68" s="52">
        <v>0</v>
      </c>
      <c r="K68" s="52">
        <v>0</v>
      </c>
      <c r="L68" s="51">
        <f>(K68/K66)*L66</f>
        <v>0</v>
      </c>
      <c r="M68" s="51">
        <f>(L68/L66)*M66</f>
        <v>0</v>
      </c>
      <c r="N68" s="51">
        <f>(M68/M66)*N66</f>
        <v>0</v>
      </c>
      <c r="O68" s="51">
        <f>(N68/N66)*O66</f>
        <v>0</v>
      </c>
      <c r="P68" s="51">
        <f>(O68/O66)*P66</f>
        <v>0</v>
      </c>
      <c r="Q68" s="51">
        <f>(P68/P66)*Q66</f>
        <v>0</v>
      </c>
      <c r="R68" s="51">
        <f>(Q68/Q66)*R66</f>
        <v>0</v>
      </c>
      <c r="S68" s="77">
        <f>(R68/R66)*S66</f>
        <v>0</v>
      </c>
    </row>
    <row r="69" ht="21.1" customHeight="1">
      <c r="A69" s="55"/>
      <c r="B69" t="s" s="78">
        <v>27</v>
      </c>
      <c r="C69" s="57"/>
      <c r="D69" s="79">
        <f>D66/D71</f>
        <v>0.09066044905656841</v>
      </c>
      <c r="E69" s="79">
        <f>E66/E71</f>
        <v>0.100800471706541</v>
      </c>
      <c r="F69" s="79">
        <f>F66/F71</f>
        <v>0.0929347276441676</v>
      </c>
      <c r="G69" s="79">
        <f>G66/G71</f>
        <v>0.0776691337905434</v>
      </c>
      <c r="H69" s="79">
        <f>H66/H71</f>
        <v>0.0860311381516658</v>
      </c>
      <c r="I69" s="79">
        <f>I66/I71</f>
        <v>0.0607422913914103</v>
      </c>
      <c r="J69" s="79">
        <f>AVERAGE(I69,H69,G69)</f>
        <v>0.0748141877778732</v>
      </c>
      <c r="K69" s="79">
        <f>AVERAGE(J69,I69,H69)</f>
        <v>0.07386253910698309</v>
      </c>
      <c r="L69" s="79">
        <f>AVERAGE(K69,J69,I69)</f>
        <v>0.06980633942542221</v>
      </c>
      <c r="M69" s="79">
        <f>AVERAGE(L69,K69,J69)</f>
        <v>0.0728276887700928</v>
      </c>
      <c r="N69" s="79">
        <f>AVERAGE(M69,L69,K69)</f>
        <v>0.072165522434166</v>
      </c>
      <c r="O69" s="79">
        <f>AVERAGE(N69,M69,L69)</f>
        <v>0.07159985020989371</v>
      </c>
      <c r="P69" s="79">
        <f>AVERAGE(O69,N69,M69)</f>
        <v>0.0721976871380508</v>
      </c>
      <c r="Q69" s="79">
        <f>AVERAGE(P69,O69,N69)</f>
        <v>0.0719876865940368</v>
      </c>
      <c r="R69" s="79">
        <f>AVERAGE(Q69,P69,O69)</f>
        <v>0.0719284079806604</v>
      </c>
      <c r="S69" s="79">
        <f>AVERAGE(R69,Q69,P69)</f>
        <v>0.07203792723758271</v>
      </c>
    </row>
    <row r="70" ht="21" customHeight="1">
      <c r="A70" s="82"/>
      <c r="B70" s="108"/>
      <c r="C70" s="29"/>
      <c r="D70" s="109"/>
      <c r="E70" s="109"/>
      <c r="F70" s="109"/>
      <c r="G70" s="109"/>
      <c r="H70" s="109"/>
      <c r="I70" s="109"/>
      <c r="J70" s="109"/>
      <c r="K70" s="109"/>
      <c r="L70" s="109"/>
      <c r="M70" s="109"/>
      <c r="N70" s="109"/>
      <c r="O70" s="109"/>
      <c r="P70" s="109"/>
      <c r="Q70" s="109"/>
      <c r="R70" s="109"/>
      <c r="S70" s="109"/>
    </row>
    <row r="71" ht="21" customHeight="1">
      <c r="A71" s="70"/>
      <c r="B71" t="s" s="110">
        <v>32</v>
      </c>
      <c r="C71" s="111"/>
      <c r="D71" s="112">
        <f>SUM(D73,D74,D75,D76)</f>
        <v>21315.8</v>
      </c>
      <c r="E71" s="112">
        <f>SUM(E73,E74,E75,E76)</f>
        <v>22386.8</v>
      </c>
      <c r="F71" s="112">
        <f>SUM(F73,F74,F75,F76)</f>
        <v>24719.5</v>
      </c>
      <c r="G71" s="112">
        <f>SUM(G73,G74,G75,G76)</f>
        <v>26508.6</v>
      </c>
      <c r="H71" s="112">
        <f>SUM(H73,H74,H75,H76)</f>
        <v>23553.1</v>
      </c>
      <c r="I71" s="112">
        <f>SUM(I73,I74,I75,I76)</f>
        <v>29139.5</v>
      </c>
      <c r="J71" s="112">
        <f>(23836.1/3)*4</f>
        <v>31781.4666666667</v>
      </c>
      <c r="K71" s="112">
        <f>J71*(1+K72)</f>
        <v>35118.5206666667</v>
      </c>
      <c r="L71" s="112">
        <v>38630</v>
      </c>
      <c r="M71" s="112">
        <v>42060</v>
      </c>
      <c r="N71" s="112">
        <v>44900</v>
      </c>
      <c r="O71" s="112">
        <v>47940</v>
      </c>
      <c r="P71" s="112">
        <v>51090</v>
      </c>
      <c r="Q71" s="112">
        <v>54360</v>
      </c>
      <c r="R71" s="112">
        <v>57760</v>
      </c>
      <c r="S71" s="113">
        <f>R71*(1+S72)</f>
        <v>59492.8</v>
      </c>
    </row>
    <row r="72" ht="21.35" customHeight="1">
      <c r="A72" s="114"/>
      <c r="B72" t="s" s="115">
        <v>24</v>
      </c>
      <c r="C72" s="116"/>
      <c r="D72" s="117"/>
      <c r="E72" s="118">
        <f>E71/D71-1</f>
        <v>0.0502444196323854</v>
      </c>
      <c r="F72" s="118">
        <f>F71/E71-1</f>
        <v>0.104199796308539</v>
      </c>
      <c r="G72" s="118">
        <f>G71/F71-1</f>
        <v>0.0723760593863144</v>
      </c>
      <c r="H72" s="118">
        <f>H71/G71-1</f>
        <v>-0.111492119538565</v>
      </c>
      <c r="I72" s="118">
        <f>I71/H71-1</f>
        <v>0.237183215797496</v>
      </c>
      <c r="J72" s="118">
        <f>J71/I71-1</f>
        <v>0.0906661633407128</v>
      </c>
      <c r="K72" s="118">
        <v>0.105</v>
      </c>
      <c r="L72" s="118">
        <f>L71/K71-1</f>
        <v>0.099989386417016</v>
      </c>
      <c r="M72" s="118">
        <f>M71/L71-1</f>
        <v>0.08879109500388301</v>
      </c>
      <c r="N72" s="118">
        <f>N71/M71-1</f>
        <v>0.0675225867807893</v>
      </c>
      <c r="O72" s="118">
        <f>O71/N71-1</f>
        <v>0.06770601336302901</v>
      </c>
      <c r="P72" s="118">
        <f>P71/O71-1</f>
        <v>0.0657071339173967</v>
      </c>
      <c r="Q72" s="118">
        <f>Q71/P71-1</f>
        <v>0.06400469759248389</v>
      </c>
      <c r="R72" s="118">
        <f>R71/Q71-1</f>
        <v>0.0625459896983076</v>
      </c>
      <c r="S72" s="118">
        <v>0.03</v>
      </c>
    </row>
    <row r="73" ht="21.35" customHeight="1">
      <c r="A73" s="42"/>
      <c r="B73" t="s" s="43">
        <v>18</v>
      </c>
      <c r="C73" s="44"/>
      <c r="D73" s="69">
        <f>D39+D45</f>
        <v>16844.3</v>
      </c>
      <c r="E73" s="45">
        <f>E39+E45</f>
        <v>17650.7</v>
      </c>
      <c r="F73" s="45">
        <f>F39+F45</f>
        <v>19690.3</v>
      </c>
      <c r="G73" s="45">
        <f>G39+G45</f>
        <v>21544.4</v>
      </c>
      <c r="H73" s="45">
        <f>H39+H45</f>
        <v>19164.6</v>
      </c>
      <c r="I73" s="45">
        <f>I39+I45</f>
        <v>24607</v>
      </c>
      <c r="J73" s="45">
        <f>J39+J45</f>
        <v>26442.2897325841</v>
      </c>
      <c r="K73" s="45">
        <f>K39+K45</f>
        <v>29251.3437086692</v>
      </c>
      <c r="L73" s="45">
        <f>(K73/K71)*L71</f>
        <v>32176.1676179723</v>
      </c>
      <c r="M73" s="45">
        <f>(L73/L71)*M71</f>
        <v>35033.1247738005</v>
      </c>
      <c r="N73" s="45">
        <f>(M73/M71)*N71</f>
        <v>37398.6519815417</v>
      </c>
      <c r="O73" s="45">
        <f>(N73/N71)*O71</f>
        <v>39930.7656123632</v>
      </c>
      <c r="P73" s="45">
        <f>(O73/O71)*P71</f>
        <v>42554.5017758789</v>
      </c>
      <c r="Q73" s="45">
        <f>(P73/P71)*Q71</f>
        <v>45278.1897932428</v>
      </c>
      <c r="R73" s="45">
        <f>(Q73/Q71)*R71</f>
        <v>48110.158985609</v>
      </c>
      <c r="S73" s="45">
        <f>(R73/R71)*S71</f>
        <v>49553.4637551773</v>
      </c>
    </row>
    <row r="74" ht="21" customHeight="1">
      <c r="A74" s="70"/>
      <c r="B74" t="s" s="71">
        <v>19</v>
      </c>
      <c r="C74" s="72"/>
      <c r="D74" s="73">
        <f>D40+D46</f>
        <v>2153.9</v>
      </c>
      <c r="E74" s="74">
        <f>E40+E46</f>
        <v>2355</v>
      </c>
      <c r="F74" s="74">
        <f>F40+F46</f>
        <v>2652.2</v>
      </c>
      <c r="G74" s="74">
        <f>G40+G46</f>
        <v>2875</v>
      </c>
      <c r="H74" s="74">
        <f>H40+H46</f>
        <v>2327.1</v>
      </c>
      <c r="I74" s="74">
        <f>I40+I46</f>
        <v>2683.6</v>
      </c>
      <c r="J74" s="74">
        <f>J40+J46</f>
        <v>2877.616973474020</v>
      </c>
      <c r="K74" s="74">
        <f>K40+K46</f>
        <v>3180.844535369220</v>
      </c>
      <c r="L74" s="74">
        <f>(K74/K71)*L71</f>
        <v>3498.895228748710</v>
      </c>
      <c r="M74" s="74">
        <f>(L74/L71)*M71</f>
        <v>3809.565967413170</v>
      </c>
      <c r="N74" s="74">
        <f>(M74/M71)*N71</f>
        <v>4066.797716044970</v>
      </c>
      <c r="O74" s="74">
        <f>(N74/N71)*O71</f>
        <v>4342.144376552250</v>
      </c>
      <c r="P74" s="74">
        <f>(O74/O71)*P71</f>
        <v>4627.454238591040</v>
      </c>
      <c r="Q74" s="74">
        <f>(P74/P71)*Q71</f>
        <v>4923.633047755120</v>
      </c>
      <c r="R74" s="74">
        <f>(Q74/Q71)*R71</f>
        <v>5231.586549638260</v>
      </c>
      <c r="S74" s="75">
        <f>(R74/R71)*S71</f>
        <v>5388.534146127410</v>
      </c>
    </row>
    <row r="75" ht="21" customHeight="1">
      <c r="A75" s="70"/>
      <c r="B75" t="s" s="71">
        <v>26</v>
      </c>
      <c r="C75" s="72"/>
      <c r="D75" s="74">
        <f>D41+D47</f>
        <v>385.1</v>
      </c>
      <c r="E75" s="74">
        <f>E41+E47</f>
        <v>124.5</v>
      </c>
      <c r="F75" s="74">
        <f>F41+F47</f>
        <v>79.7</v>
      </c>
      <c r="G75" s="74">
        <f>G41+G47</f>
        <v>30.3</v>
      </c>
      <c r="H75" s="74">
        <f>H41+H47</f>
        <v>35.1</v>
      </c>
      <c r="I75" s="74">
        <f>I41+I47</f>
        <v>78.90000000000001</v>
      </c>
      <c r="J75" s="74">
        <f>J41+J47</f>
        <v>83.8553455524528</v>
      </c>
      <c r="K75" s="74">
        <f>K41+K47</f>
        <v>92.3893165072941</v>
      </c>
      <c r="L75" s="74">
        <f>(K75/K71)*L71</f>
        <v>101.627267576346</v>
      </c>
      <c r="M75" s="74">
        <f>(L75/L71)*M71</f>
        <v>110.650863946702</v>
      </c>
      <c r="N75" s="74">
        <f>(M75/M71)*N71</f>
        <v>118.122296509913</v>
      </c>
      <c r="O75" s="74">
        <f>(N75/N71)*O71</f>
        <v>126.119886295885</v>
      </c>
      <c r="P75" s="74">
        <f>(O75/O71)*P71</f>
        <v>134.406862554376</v>
      </c>
      <c r="Q75" s="74">
        <f>(P75/P71)*Q71</f>
        <v>143.009533146523</v>
      </c>
      <c r="R75" s="74">
        <f>(Q75/Q71)*R71</f>
        <v>151.954205933465</v>
      </c>
      <c r="S75" s="119">
        <f>(R75/R71)*S71</f>
        <v>156.512832111469</v>
      </c>
    </row>
    <row r="76" ht="21.1" customHeight="1">
      <c r="A76" s="48"/>
      <c r="B76" t="s" s="49">
        <v>29</v>
      </c>
      <c r="C76" s="50"/>
      <c r="D76" s="51">
        <f>D66</f>
        <v>1932.5</v>
      </c>
      <c r="E76" s="51">
        <f>E66</f>
        <v>2256.6</v>
      </c>
      <c r="F76" s="51">
        <f>F66</f>
        <v>2297.3</v>
      </c>
      <c r="G76" s="51">
        <f>G66</f>
        <v>2058.9</v>
      </c>
      <c r="H76" s="51">
        <f>H66</f>
        <v>2026.3</v>
      </c>
      <c r="I76" s="51">
        <f>I66</f>
        <v>1770</v>
      </c>
      <c r="J76" s="51">
        <f>J66</f>
        <v>2377.704615056220</v>
      </c>
      <c r="K76" s="51">
        <f>K66</f>
        <v>2593.943106121060</v>
      </c>
      <c r="L76" s="51">
        <f>(K76/K71)*L71</f>
        <v>2853.309885702750</v>
      </c>
      <c r="M76" s="51">
        <f>(L76/L71)*M71</f>
        <v>3106.6583948397</v>
      </c>
      <c r="N76" s="51">
        <f>(M76/M71)*N71</f>
        <v>3316.428005903530</v>
      </c>
      <c r="O76" s="51">
        <f>(N76/N71)*O71</f>
        <v>3540.970124788760</v>
      </c>
      <c r="P76" s="51">
        <f>(O76/O71)*P71</f>
        <v>3773.637122975760</v>
      </c>
      <c r="Q76" s="51">
        <f>(P76/P71)*Q71</f>
        <v>4015.167625855590</v>
      </c>
      <c r="R76" s="51">
        <f>(Q76/Q71)*R71</f>
        <v>4266.300258819330</v>
      </c>
      <c r="S76" s="54">
        <f>(R76/R71)*S71</f>
        <v>4394.289266583910</v>
      </c>
    </row>
    <row r="77" ht="21.1" customHeight="1">
      <c r="A77" s="55"/>
      <c r="B77" s="56"/>
      <c r="C77" s="57"/>
      <c r="D77" s="60"/>
      <c r="E77" s="60"/>
      <c r="F77" s="60"/>
      <c r="G77" s="60"/>
      <c r="H77" s="60"/>
      <c r="I77" s="60"/>
      <c r="J77" s="60"/>
      <c r="K77" s="60"/>
      <c r="L77" s="60"/>
      <c r="M77" s="60"/>
      <c r="N77" s="60"/>
      <c r="O77" s="60"/>
      <c r="P77" s="60"/>
      <c r="Q77" s="60"/>
      <c r="R77" s="60"/>
      <c r="S77" s="60"/>
    </row>
    <row r="78" ht="21" customHeight="1">
      <c r="A78" s="13"/>
      <c r="B78" t="s" s="63">
        <v>33</v>
      </c>
      <c r="C78" s="24"/>
      <c r="D78" s="65">
        <f>(D71/D33)*1000000</f>
        <v>849742.874227626</v>
      </c>
      <c r="E78" s="65">
        <f>(E71/E33)*1000000</f>
        <v>818859.504736823</v>
      </c>
      <c r="F78" s="65">
        <f>(F71/F33)*1000000</f>
        <v>842978.447687901</v>
      </c>
      <c r="G78" s="65">
        <f>(G71/G33)*1000000</f>
        <v>848112.362426414</v>
      </c>
      <c r="H78" s="65">
        <f>(H71/H33)*1000000</f>
        <v>750265.982862422</v>
      </c>
      <c r="I78" s="65">
        <f>(I71/I33)*1000000</f>
        <v>897069.236215867</v>
      </c>
      <c r="J78" s="65">
        <f>(J71/J33)*1000000</f>
        <v>909132.8641989439</v>
      </c>
      <c r="K78" s="65">
        <f>(K71/K33)*1000000</f>
        <v>947728.12730173</v>
      </c>
      <c r="L78" s="65">
        <f>(L71/L33)*1000000</f>
        <v>983481.963434696</v>
      </c>
      <c r="M78" s="65">
        <f>(M71/M33)*1000000</f>
        <v>1010194.72064588</v>
      </c>
      <c r="N78" s="65">
        <f>(N71/N33)*1000000</f>
        <v>1017363.85031716</v>
      </c>
      <c r="O78" s="65">
        <f>(O71/O33)*1000000</f>
        <v>1024759.90637905</v>
      </c>
      <c r="P78" s="65">
        <f>(P71/P33)*1000000</f>
        <v>1030277.30451007</v>
      </c>
      <c r="Q78" s="65">
        <f>(Q71/Q33)*1000000</f>
        <v>1034169.7092657</v>
      </c>
      <c r="R78" s="65">
        <f>(R71/R33)*1000000</f>
        <v>1050181.81818182</v>
      </c>
      <c r="S78" s="65">
        <f>(S71/S33)*1000000</f>
        <v>1060477.71836007</v>
      </c>
    </row>
    <row r="79" ht="21" customHeight="1">
      <c r="A79" s="13"/>
      <c r="B79" t="s" s="63">
        <v>34</v>
      </c>
      <c r="C79" s="24"/>
      <c r="D79" s="120">
        <f>(D38/D17)*1000000</f>
        <v>947978.471198821</v>
      </c>
      <c r="E79" s="120">
        <f>(E38/E17)*1000000</f>
        <v>943293.677154418</v>
      </c>
      <c r="F79" s="120">
        <f>(F38/F17)*1000000</f>
        <v>958645.582674459</v>
      </c>
      <c r="G79" s="120">
        <f>(G38/G17)*1000000</f>
        <v>1010627.11020092</v>
      </c>
      <c r="H79" s="120">
        <f>(H38/H17)*1000000</f>
        <v>887882.750354146</v>
      </c>
      <c r="I79" s="120">
        <f>(I38/I17)*1000000</f>
        <v>1119635.32825932</v>
      </c>
      <c r="J79" s="120">
        <f>(J38/J17)*1000000</f>
        <v>1122423.41560654</v>
      </c>
      <c r="K79" s="120">
        <f>(K38/K17)*1000000</f>
        <v>1173074.99954093</v>
      </c>
      <c r="L79" s="120">
        <f>(L38/L17)*1000000</f>
        <v>1219677.68795786</v>
      </c>
      <c r="M79" s="120">
        <f>(M38/M17)*1000000</f>
        <v>1250131.92198147</v>
      </c>
      <c r="N79" s="120">
        <f>(N38/N17)*1000000</f>
        <v>1259989.66382331</v>
      </c>
      <c r="O79" s="120">
        <f>(O38/O17)*1000000</f>
        <v>1269391.73034758</v>
      </c>
      <c r="P79" s="120">
        <f>(P38/P17)*1000000</f>
        <v>1275731.15504679</v>
      </c>
      <c r="Q79" s="120">
        <f>(Q38/Q17)*1000000</f>
        <v>1280800.73501014</v>
      </c>
      <c r="R79" s="120">
        <f>(R38/R17)*1000000</f>
        <v>1283876.14886046</v>
      </c>
      <c r="S79" s="120">
        <f>(S38/S17)*1000000</f>
        <v>1296379.48328786</v>
      </c>
    </row>
    <row r="80" ht="21" customHeight="1">
      <c r="A80" s="13"/>
      <c r="B80" t="s" s="63">
        <v>35</v>
      </c>
      <c r="C80" s="24"/>
      <c r="D80" s="120">
        <f>D44/(D29+D25+D21)*1000000</f>
        <v>484089.470352395</v>
      </c>
      <c r="E80" s="120">
        <f>E44/(E29+E25+E21)*1000000</f>
        <v>418385.899814471</v>
      </c>
      <c r="F80" s="120">
        <f>F44/(F29+F25+F21)*1000000</f>
        <v>479359.730412805</v>
      </c>
      <c r="G80" s="120">
        <f>G44/(G29+G25+G21)*1000000</f>
        <v>469383.577223444</v>
      </c>
      <c r="H80" s="120">
        <f>H44/(H29+H25+H21)*1000000</f>
        <v>401150.394968939</v>
      </c>
      <c r="I80" s="120">
        <f>I44/(I29+I25+I21)*1000000</f>
        <v>486751.054852321</v>
      </c>
      <c r="J80" s="120">
        <f>J44/(J29+J25+J21)*1000000</f>
        <v>479829.751379643</v>
      </c>
      <c r="K80" s="120">
        <f>K44/(K29+K25+K21)*1000000</f>
        <v>498405.195442585</v>
      </c>
      <c r="L80" s="120">
        <f>L44/(L29+L25+L21)*1000000</f>
        <v>523305.671351475</v>
      </c>
      <c r="M80" s="120">
        <f>M44/(M29+M25+M21)*1000000</f>
        <v>533981.4869151911</v>
      </c>
      <c r="N80" s="120">
        <f>N44/(N29+N25+N21)*1000000</f>
        <v>538043.77905896</v>
      </c>
      <c r="O80" s="120">
        <f>O44/(O29+O25+O21)*1000000</f>
        <v>542968.41696845</v>
      </c>
      <c r="P80" s="120">
        <f>P44/(P29+P25+P21)*1000000</f>
        <v>545120.6658580051</v>
      </c>
      <c r="Q80" s="120">
        <f>Q44/(Q29+Q25+Q21)*1000000</f>
        <v>547355.357951603</v>
      </c>
      <c r="R80" s="120">
        <f>R44/(R29+R25+R21)*1000000</f>
        <v>548811.584137593</v>
      </c>
      <c r="S80" s="120">
        <f>S44/(S29+S25+S21)*1000000</f>
        <v>554037.680806757</v>
      </c>
    </row>
    <row r="81" ht="21" customHeight="1">
      <c r="A81" s="13"/>
      <c r="B81" s="21"/>
      <c r="C81" s="24"/>
      <c r="D81" s="11"/>
      <c r="E81" s="11"/>
      <c r="F81" s="11"/>
      <c r="G81" s="11"/>
      <c r="H81" s="11"/>
      <c r="I81" s="11"/>
      <c r="J81" s="11"/>
      <c r="K81" s="11"/>
      <c r="L81" s="11"/>
      <c r="M81" s="11"/>
      <c r="N81" s="11"/>
      <c r="O81" s="11"/>
      <c r="P81" s="11"/>
      <c r="Q81" s="11"/>
      <c r="R81" s="11"/>
      <c r="S81" s="11"/>
    </row>
    <row r="82" ht="21" customHeight="1">
      <c r="A82" s="13"/>
      <c r="B82" s="21"/>
      <c r="C82" s="24"/>
      <c r="D82" s="11"/>
      <c r="E82" s="11"/>
      <c r="F82" s="11"/>
      <c r="G82" s="11"/>
      <c r="H82" s="11"/>
      <c r="I82" s="11"/>
      <c r="J82" s="11"/>
      <c r="K82" s="11"/>
      <c r="L82" s="11"/>
      <c r="M82" s="11"/>
      <c r="N82" s="11"/>
      <c r="O82" s="11"/>
      <c r="P82" s="11"/>
      <c r="Q82" s="11"/>
      <c r="R82" s="11"/>
      <c r="S82" s="11"/>
    </row>
    <row r="83" ht="21" customHeight="1">
      <c r="A83" t="s" s="25">
        <v>12</v>
      </c>
      <c r="B83" t="s" s="26">
        <v>36</v>
      </c>
      <c r="C83" s="27"/>
      <c r="D83" s="36">
        <v>2016</v>
      </c>
      <c r="E83" s="36">
        <v>2017</v>
      </c>
      <c r="F83" s="36">
        <v>2018</v>
      </c>
      <c r="G83" s="36">
        <v>2019</v>
      </c>
      <c r="H83" s="36">
        <v>2020</v>
      </c>
      <c r="I83" s="36">
        <v>2021</v>
      </c>
      <c r="J83" s="36">
        <v>2022</v>
      </c>
      <c r="K83" s="36">
        <v>2023</v>
      </c>
      <c r="L83" s="36">
        <v>2024</v>
      </c>
      <c r="M83" s="36">
        <v>2025</v>
      </c>
      <c r="N83" s="121"/>
      <c r="O83" s="121"/>
      <c r="P83" s="121"/>
      <c r="Q83" s="121"/>
      <c r="R83" s="121"/>
      <c r="S83" s="121"/>
    </row>
    <row r="84" ht="21" customHeight="1">
      <c r="A84" s="13"/>
      <c r="B84" s="21"/>
      <c r="C84" s="24"/>
      <c r="D84" s="11"/>
      <c r="E84" s="11"/>
      <c r="F84" s="11"/>
      <c r="G84" s="11"/>
      <c r="H84" s="11"/>
      <c r="I84" s="11"/>
      <c r="J84" s="11"/>
      <c r="K84" s="11"/>
      <c r="L84" s="11"/>
      <c r="M84" s="11"/>
      <c r="N84" s="121"/>
      <c r="O84" s="121"/>
      <c r="P84" s="121"/>
      <c r="Q84" s="121"/>
      <c r="R84" s="121"/>
      <c r="S84" s="121"/>
    </row>
    <row r="85" ht="21" customHeight="1">
      <c r="A85" s="13"/>
      <c r="B85" t="s" s="63">
        <v>37</v>
      </c>
      <c r="C85" s="24"/>
      <c r="D85" s="120">
        <f>D71</f>
        <v>21315.8</v>
      </c>
      <c r="E85" s="120">
        <f>E71</f>
        <v>22386.8</v>
      </c>
      <c r="F85" s="120">
        <f>F71</f>
        <v>24719.5</v>
      </c>
      <c r="G85" s="120">
        <f>G71</f>
        <v>26508.6</v>
      </c>
      <c r="H85" s="120">
        <f>H71</f>
        <v>23553.1</v>
      </c>
      <c r="I85" s="120">
        <f>I71</f>
        <v>29139.5</v>
      </c>
      <c r="J85" s="120">
        <f>J71</f>
        <v>31781.4666666667</v>
      </c>
      <c r="K85" s="120">
        <f>K71</f>
        <v>35118.5206666667</v>
      </c>
      <c r="L85" s="120">
        <f>L71</f>
        <v>38630</v>
      </c>
      <c r="M85" s="120">
        <f>M71</f>
        <v>42060</v>
      </c>
      <c r="N85" s="121"/>
      <c r="O85" s="121"/>
      <c r="P85" s="121"/>
      <c r="Q85" s="121"/>
      <c r="R85" s="121"/>
      <c r="S85" s="121"/>
    </row>
    <row r="86" ht="21" customHeight="1">
      <c r="A86" s="122"/>
      <c r="B86" t="s" s="66">
        <v>24</v>
      </c>
      <c r="C86" s="123"/>
      <c r="D86" s="124"/>
      <c r="E86" s="125">
        <f>E85/D85-1</f>
        <v>0.0502444196323854</v>
      </c>
      <c r="F86" s="125">
        <f>F85/E85-1</f>
        <v>0.104199796308539</v>
      </c>
      <c r="G86" s="125">
        <f>G85/F85-1</f>
        <v>0.0723760593863144</v>
      </c>
      <c r="H86" s="125">
        <f>H85/G85-1</f>
        <v>-0.111492119538565</v>
      </c>
      <c r="I86" s="125">
        <f>I85/H85-1</f>
        <v>0.237183215797496</v>
      </c>
      <c r="J86" s="125">
        <f>J85/I85-1</f>
        <v>0.0906661633407128</v>
      </c>
      <c r="K86" s="125">
        <f>K85/J85-1</f>
        <v>0.105</v>
      </c>
      <c r="L86" s="125">
        <f>L85/K85-1</f>
        <v>0.099989386417016</v>
      </c>
      <c r="M86" s="125">
        <f>M85/L85-1</f>
        <v>0.08879109500388301</v>
      </c>
      <c r="N86" s="126"/>
      <c r="O86" s="126"/>
      <c r="P86" s="126"/>
      <c r="Q86" s="126"/>
      <c r="R86" s="126"/>
      <c r="S86" s="126"/>
    </row>
    <row r="87" ht="21" customHeight="1">
      <c r="A87" s="13"/>
      <c r="B87" s="21"/>
      <c r="C87" s="24"/>
      <c r="D87" s="11"/>
      <c r="E87" s="11"/>
      <c r="F87" s="11"/>
      <c r="G87" s="11"/>
      <c r="H87" s="11"/>
      <c r="I87" s="11"/>
      <c r="J87" s="11"/>
      <c r="K87" s="11"/>
      <c r="L87" s="11"/>
      <c r="M87" s="11"/>
      <c r="N87" s="121"/>
      <c r="O87" s="121"/>
      <c r="P87" s="121"/>
      <c r="Q87" s="121"/>
      <c r="R87" s="121"/>
      <c r="S87" s="121"/>
    </row>
    <row r="88" ht="21" customHeight="1">
      <c r="A88" s="13"/>
      <c r="B88" t="s" s="63">
        <v>38</v>
      </c>
      <c r="C88" s="24"/>
      <c r="D88" s="120">
        <v>4171.9</v>
      </c>
      <c r="E88" s="120">
        <v>4124.7</v>
      </c>
      <c r="F88" s="120">
        <v>3883.3</v>
      </c>
      <c r="G88" s="120">
        <v>4077.9</v>
      </c>
      <c r="H88" s="120">
        <v>1561.7</v>
      </c>
      <c r="I88" s="120">
        <v>4872.1</v>
      </c>
      <c r="J88" s="120">
        <v>5410</v>
      </c>
      <c r="K88" s="120">
        <v>6180</v>
      </c>
      <c r="L88" s="120">
        <v>6800</v>
      </c>
      <c r="M88" s="120">
        <v>7760</v>
      </c>
      <c r="N88" s="121"/>
      <c r="O88" s="121"/>
      <c r="P88" s="121"/>
      <c r="Q88" s="121"/>
      <c r="R88" s="121"/>
      <c r="S88" s="121"/>
    </row>
    <row r="89" ht="21" customHeight="1">
      <c r="A89" s="122"/>
      <c r="B89" t="s" s="66">
        <v>39</v>
      </c>
      <c r="C89" s="123"/>
      <c r="D89" s="125">
        <f>D88/D85</f>
        <v>0.195718668780904</v>
      </c>
      <c r="E89" s="125">
        <f>E88/E85</f>
        <v>0.184246966962674</v>
      </c>
      <c r="F89" s="125">
        <f>F88/F85</f>
        <v>0.157094601428022</v>
      </c>
      <c r="G89" s="125">
        <f>G88/G85</f>
        <v>0.153833095674611</v>
      </c>
      <c r="H89" s="125">
        <f>H88/H85</f>
        <v>0.06630549694095469</v>
      </c>
      <c r="I89" s="125">
        <f>I88/I85</f>
        <v>0.167199162648638</v>
      </c>
      <c r="J89" s="125">
        <f>J88/J85</f>
        <v>0.170224994860736</v>
      </c>
      <c r="K89" s="125">
        <f>K88/K85</f>
        <v>0.175975521823897</v>
      </c>
      <c r="L89" s="125">
        <f>L88/L85</f>
        <v>0.176028993010614</v>
      </c>
      <c r="M89" s="125">
        <f>M88/M85</f>
        <v>0.184498335710889</v>
      </c>
      <c r="N89" s="126"/>
      <c r="O89" s="126"/>
      <c r="P89" s="126"/>
      <c r="Q89" s="126"/>
      <c r="R89" s="126"/>
      <c r="S89" s="126"/>
    </row>
    <row r="90" ht="21" customHeight="1">
      <c r="A90" s="13"/>
      <c r="B90" s="21"/>
      <c r="C90" s="24"/>
      <c r="D90" s="11"/>
      <c r="E90" s="11"/>
      <c r="F90" s="11"/>
      <c r="G90" s="11"/>
      <c r="H90" s="11"/>
      <c r="I90" s="11"/>
      <c r="J90" s="11"/>
      <c r="K90" s="11"/>
      <c r="L90" s="11"/>
      <c r="M90" s="11"/>
      <c r="N90" s="121"/>
      <c r="O90" s="121"/>
      <c r="P90" s="121"/>
      <c r="Q90" s="121"/>
      <c r="R90" s="121"/>
      <c r="S90" s="121"/>
    </row>
    <row r="91" ht="21" customHeight="1">
      <c r="A91" s="13"/>
      <c r="B91" t="s" s="63">
        <v>40</v>
      </c>
      <c r="C91" s="24"/>
      <c r="D91" s="120">
        <v>1379.9</v>
      </c>
      <c r="E91" s="120">
        <v>1432.6</v>
      </c>
      <c r="F91" s="120">
        <v>1262</v>
      </c>
      <c r="G91" s="127">
        <v>871.6</v>
      </c>
      <c r="H91" s="127">
        <v>239.7</v>
      </c>
      <c r="I91" s="127">
        <v>1156.6</v>
      </c>
      <c r="J91" s="120">
        <f>J88*J92</f>
        <v>1449.592073247930</v>
      </c>
      <c r="K91" s="120">
        <f>K88*K92</f>
        <v>1591.212893395330</v>
      </c>
      <c r="L91" s="120">
        <f>L88*L92</f>
        <v>1649.025467996210</v>
      </c>
      <c r="M91" s="120">
        <f>M88*M92</f>
        <v>1775.158053521040</v>
      </c>
      <c r="N91" s="121"/>
      <c r="O91" s="121"/>
      <c r="P91" s="121"/>
      <c r="Q91" s="121"/>
      <c r="R91" s="121"/>
      <c r="S91" s="121"/>
    </row>
    <row r="92" ht="21" customHeight="1">
      <c r="A92" s="122"/>
      <c r="B92" t="s" s="66">
        <v>41</v>
      </c>
      <c r="C92" s="123"/>
      <c r="D92" s="125">
        <f>D91/D88</f>
        <v>0.330760564730698</v>
      </c>
      <c r="E92" s="125">
        <f>E91/E88</f>
        <v>0.347322229495478</v>
      </c>
      <c r="F92" s="125">
        <f>F91/F88</f>
        <v>0.324981330311848</v>
      </c>
      <c r="G92" s="125">
        <f>G91/G88</f>
        <v>0.213737462909831</v>
      </c>
      <c r="H92" s="125">
        <f>H91/H88</f>
        <v>0.153486585131587</v>
      </c>
      <c r="I92" s="125">
        <f>I91/I88</f>
        <v>0.237392500153938</v>
      </c>
      <c r="J92" s="125">
        <f>AVERAGE(I92,H92,G92,F92,E92,D92)</f>
        <v>0.267946778788897</v>
      </c>
      <c r="K92" s="125">
        <f>AVERAGE(J92,I92,H92,G92,F92,E92)</f>
        <v>0.257477814465263</v>
      </c>
      <c r="L92" s="125">
        <f>AVERAGE(K92,J92,I92,H92,G92,F92)</f>
        <v>0.242503745293561</v>
      </c>
      <c r="M92" s="125">
        <f>AVERAGE(L92,K92,J92,I92,H92,G92)</f>
        <v>0.228757481123846</v>
      </c>
      <c r="N92" s="126"/>
      <c r="O92" s="126"/>
      <c r="P92" s="126"/>
      <c r="Q92" s="126"/>
      <c r="R92" s="126"/>
      <c r="S92" s="126"/>
    </row>
    <row r="93" ht="21" customHeight="1">
      <c r="A93" s="13"/>
      <c r="B93" s="21"/>
      <c r="C93" s="24"/>
      <c r="D93" s="11"/>
      <c r="E93" s="11"/>
      <c r="F93" s="11"/>
      <c r="G93" s="11"/>
      <c r="H93" s="11"/>
      <c r="I93" s="11"/>
      <c r="J93" s="11"/>
      <c r="K93" s="11"/>
      <c r="L93" s="11"/>
      <c r="M93" s="11"/>
      <c r="N93" s="11"/>
      <c r="O93" s="11"/>
      <c r="P93" s="11"/>
      <c r="Q93" s="11"/>
      <c r="R93" s="11"/>
      <c r="S93" s="11"/>
    </row>
    <row r="94" ht="21" customHeight="1">
      <c r="A94" t="s" s="25">
        <v>12</v>
      </c>
      <c r="B94" t="s" s="26">
        <v>42</v>
      </c>
      <c r="C94" s="27"/>
      <c r="D94" s="36">
        <v>2016</v>
      </c>
      <c r="E94" s="36">
        <v>2017</v>
      </c>
      <c r="F94" s="36">
        <v>2018</v>
      </c>
      <c r="G94" s="36">
        <v>2019</v>
      </c>
      <c r="H94" s="36">
        <v>2020</v>
      </c>
      <c r="I94" s="36">
        <v>2021</v>
      </c>
      <c r="J94" s="36">
        <v>2022</v>
      </c>
      <c r="K94" s="36">
        <v>2023</v>
      </c>
      <c r="L94" s="36">
        <v>2024</v>
      </c>
      <c r="M94" s="36">
        <v>2025</v>
      </c>
      <c r="N94" s="121"/>
      <c r="O94" s="121"/>
      <c r="P94" s="121"/>
      <c r="Q94" s="121"/>
      <c r="R94" s="121"/>
      <c r="S94" s="121"/>
    </row>
    <row r="95" ht="21" customHeight="1">
      <c r="A95" s="13"/>
      <c r="B95" s="21"/>
      <c r="C95" s="24"/>
      <c r="D95" s="11"/>
      <c r="E95" s="11"/>
      <c r="F95" s="11"/>
      <c r="G95" s="11"/>
      <c r="H95" s="11"/>
      <c r="I95" s="11"/>
      <c r="J95" s="11"/>
      <c r="K95" s="11"/>
      <c r="L95" s="11"/>
      <c r="M95" s="11"/>
      <c r="N95" s="121"/>
      <c r="O95" s="121"/>
      <c r="P95" s="121"/>
      <c r="Q95" s="121"/>
      <c r="R95" s="121"/>
      <c r="S95" s="121"/>
    </row>
    <row r="96" ht="21" customHeight="1">
      <c r="A96" s="13"/>
      <c r="B96" t="s" s="63">
        <v>43</v>
      </c>
      <c r="C96" s="24"/>
      <c r="D96" s="120">
        <v>1030.1</v>
      </c>
      <c r="E96" s="120">
        <v>1067.1</v>
      </c>
      <c r="F96" s="120">
        <v>1305.9</v>
      </c>
      <c r="G96" s="120">
        <v>1449.3</v>
      </c>
      <c r="H96" s="120">
        <v>1503.2</v>
      </c>
      <c r="I96" s="120">
        <v>1524.1</v>
      </c>
      <c r="J96" s="120">
        <f>((386.4+391.3+391.3)/3)*4</f>
        <v>1558.666666666670</v>
      </c>
      <c r="K96" s="120">
        <f>K85*K97</f>
        <v>1933.492058224750</v>
      </c>
      <c r="L96" s="120">
        <f>L85*L97</f>
        <v>2013.949622286560</v>
      </c>
      <c r="M96" s="120">
        <f>M85*M97</f>
        <v>2190.397775951610</v>
      </c>
      <c r="N96" s="121"/>
      <c r="O96" s="121"/>
      <c r="P96" s="121"/>
      <c r="Q96" s="121"/>
      <c r="R96" s="121"/>
      <c r="S96" s="121"/>
    </row>
    <row r="97" ht="21" customHeight="1">
      <c r="A97" s="122"/>
      <c r="B97" t="s" s="66">
        <v>39</v>
      </c>
      <c r="C97" s="123"/>
      <c r="D97" s="125">
        <f>D96/D85</f>
        <v>0.0483256551478246</v>
      </c>
      <c r="E97" s="125">
        <f>E96/E85</f>
        <v>0.0476664820340558</v>
      </c>
      <c r="F97" s="125">
        <f>F96/F85</f>
        <v>0.0528287384453569</v>
      </c>
      <c r="G97" s="125">
        <f>G96/G85</f>
        <v>0.0546728231592766</v>
      </c>
      <c r="H97" s="125">
        <f>H96/H85</f>
        <v>0.0638217474557489</v>
      </c>
      <c r="I97" s="125">
        <f>I96/I85</f>
        <v>0.052303574186242</v>
      </c>
      <c r="J97" s="125">
        <f>J96/J85</f>
        <v>0.0490432579155148</v>
      </c>
      <c r="K97" s="125">
        <f>AVERAGE(J97,I97,H97)</f>
        <v>0.0550561931858352</v>
      </c>
      <c r="L97" s="125">
        <f>AVERAGE(K97,J97,I97)</f>
        <v>0.0521343417625307</v>
      </c>
      <c r="M97" s="125">
        <f>AVERAGE(L97,K97,J97)</f>
        <v>0.0520779309546269</v>
      </c>
      <c r="N97" s="126"/>
      <c r="O97" s="126"/>
      <c r="P97" s="126"/>
      <c r="Q97" s="126"/>
      <c r="R97" s="126"/>
      <c r="S97" s="126"/>
    </row>
    <row r="98" ht="21" customHeight="1">
      <c r="A98" s="13"/>
      <c r="B98" t="s" s="63">
        <v>44</v>
      </c>
      <c r="C98" s="24"/>
      <c r="D98" s="125">
        <f>D96/D100</f>
        <v>0.715198222592515</v>
      </c>
      <c r="E98" s="125">
        <f>E96/E100</f>
        <v>0.70231670396209</v>
      </c>
      <c r="F98" s="125">
        <f>F96/F100</f>
        <v>0.660746812386157</v>
      </c>
      <c r="G98" s="125">
        <f>G96/G100</f>
        <v>0.802225174360678</v>
      </c>
      <c r="H98" s="125">
        <f>H96/H100</f>
        <v>1.01321110811539</v>
      </c>
      <c r="I98" s="125">
        <f>I96/I100</f>
        <v>1.03680272108844</v>
      </c>
      <c r="J98" s="125">
        <f>J96/J100</f>
        <v>0.90242396171067</v>
      </c>
      <c r="K98" s="125">
        <f>K96/K100</f>
        <v>0.9844195373024111</v>
      </c>
      <c r="L98" s="125">
        <f>L96/L100</f>
        <v>0.973135557484284</v>
      </c>
      <c r="M98" s="125">
        <f>M96/M100</f>
        <v>0.953533054973132</v>
      </c>
      <c r="N98" s="125"/>
      <c r="O98" s="125"/>
      <c r="P98" s="121"/>
      <c r="Q98" s="121"/>
      <c r="R98" s="121"/>
      <c r="S98" s="121"/>
    </row>
    <row r="99" ht="21" customHeight="1">
      <c r="A99" s="13"/>
      <c r="B99" s="21"/>
      <c r="C99" s="24"/>
      <c r="D99" s="11"/>
      <c r="E99" s="11"/>
      <c r="F99" s="11"/>
      <c r="G99" s="11"/>
      <c r="H99" s="11"/>
      <c r="I99" s="11"/>
      <c r="J99" s="11"/>
      <c r="K99" s="11"/>
      <c r="L99" s="11"/>
      <c r="M99" s="11"/>
      <c r="N99" s="121"/>
      <c r="O99" s="121"/>
      <c r="P99" s="121"/>
      <c r="Q99" s="121"/>
      <c r="R99" s="121"/>
      <c r="S99" s="121"/>
    </row>
    <row r="100" ht="21" customHeight="1">
      <c r="A100" s="13"/>
      <c r="B100" t="s" s="63">
        <v>45</v>
      </c>
      <c r="C100" s="24"/>
      <c r="D100" s="120">
        <v>1440.3</v>
      </c>
      <c r="E100" s="120">
        <v>1519.4</v>
      </c>
      <c r="F100" s="120">
        <v>1976.4</v>
      </c>
      <c r="G100" s="120">
        <v>1806.6</v>
      </c>
      <c r="H100" s="120">
        <v>1483.6</v>
      </c>
      <c r="I100" s="120">
        <v>1470</v>
      </c>
      <c r="J100" s="120">
        <f>(1295.4/3)*4</f>
        <v>1727.2</v>
      </c>
      <c r="K100" s="120">
        <f>K85*K101</f>
        <v>1964.093544428290</v>
      </c>
      <c r="L100" s="120">
        <f>L85*L101</f>
        <v>2069.546844524880</v>
      </c>
      <c r="M100" s="120">
        <f>M85*M101</f>
        <v>2297.138798206980</v>
      </c>
      <c r="N100" s="120"/>
      <c r="O100" s="121"/>
      <c r="P100" s="121"/>
      <c r="Q100" s="121"/>
      <c r="R100" s="121"/>
      <c r="S100" s="121"/>
    </row>
    <row r="101" ht="21" customHeight="1">
      <c r="A101" s="122"/>
      <c r="B101" t="s" s="66">
        <v>39</v>
      </c>
      <c r="C101" s="123"/>
      <c r="D101" s="125">
        <f>D100/D85</f>
        <v>0.06756959626192779</v>
      </c>
      <c r="E101" s="125">
        <f>E100/E85</f>
        <v>0.0678703521718155</v>
      </c>
      <c r="F101" s="125">
        <f>F100/F85</f>
        <v>0.079953073484496</v>
      </c>
      <c r="G101" s="125">
        <f>G100/G85</f>
        <v>0.0681514678255359</v>
      </c>
      <c r="H101" s="125">
        <f>H100/H85</f>
        <v>0.06298958523506459</v>
      </c>
      <c r="I101" s="125">
        <f>I100/I85</f>
        <v>0.0504469877657475</v>
      </c>
      <c r="J101" s="125">
        <f>J100/J85</f>
        <v>0.0543461388398269</v>
      </c>
      <c r="K101" s="125">
        <f>AVERAGE(J101,I101,H101)</f>
        <v>0.0559275706135463</v>
      </c>
      <c r="L101" s="125">
        <f>AVERAGE(K101,J101,I101)</f>
        <v>0.0535735657397069</v>
      </c>
      <c r="M101" s="125">
        <f>AVERAGE(L101,K101,J101)</f>
        <v>0.0546157583976934</v>
      </c>
      <c r="N101" s="126"/>
      <c r="O101" s="126"/>
      <c r="P101" s="126"/>
      <c r="Q101" s="126"/>
      <c r="R101" s="126"/>
      <c r="S101" s="126"/>
    </row>
    <row r="102" ht="21" customHeight="1">
      <c r="A102" s="13"/>
      <c r="B102" s="21"/>
      <c r="C102" s="24"/>
      <c r="D102" s="11"/>
      <c r="E102" s="11"/>
      <c r="F102" s="11"/>
      <c r="G102" s="11"/>
      <c r="H102" s="11"/>
      <c r="I102" s="11"/>
      <c r="J102" s="11"/>
      <c r="K102" s="11"/>
      <c r="L102" s="11"/>
      <c r="M102" s="11"/>
      <c r="N102" s="121"/>
      <c r="O102" s="121"/>
      <c r="P102" s="121"/>
      <c r="Q102" s="121"/>
      <c r="R102" s="121"/>
      <c r="S102" s="121"/>
    </row>
    <row r="103" ht="21" customHeight="1">
      <c r="A103" s="13"/>
      <c r="B103" s="21"/>
      <c r="C103" s="24"/>
      <c r="D103" s="11"/>
      <c r="E103" s="11"/>
      <c r="F103" s="11"/>
      <c r="G103" s="11"/>
      <c r="H103" s="11"/>
      <c r="I103" s="11"/>
      <c r="J103" s="127">
        <v>1</v>
      </c>
      <c r="K103" s="127">
        <v>2</v>
      </c>
      <c r="L103" s="127">
        <v>3</v>
      </c>
      <c r="M103" s="127">
        <v>4</v>
      </c>
      <c r="N103" s="128">
        <v>5</v>
      </c>
      <c r="O103" s="128">
        <v>6</v>
      </c>
      <c r="P103" s="128">
        <v>7</v>
      </c>
      <c r="Q103" s="128">
        <v>8</v>
      </c>
      <c r="R103" s="128">
        <v>9</v>
      </c>
      <c r="S103" s="128">
        <v>10</v>
      </c>
    </row>
    <row r="104" ht="21" customHeight="1">
      <c r="A104" t="s" s="25">
        <v>12</v>
      </c>
      <c r="B104" t="s" s="26">
        <v>46</v>
      </c>
      <c r="C104" s="27"/>
      <c r="D104" s="36">
        <v>2016</v>
      </c>
      <c r="E104" s="36">
        <v>2017</v>
      </c>
      <c r="F104" s="36">
        <v>2018</v>
      </c>
      <c r="G104" s="36">
        <v>2019</v>
      </c>
      <c r="H104" s="36">
        <v>2020</v>
      </c>
      <c r="I104" s="36">
        <v>2021</v>
      </c>
      <c r="J104" s="36">
        <v>2022</v>
      </c>
      <c r="K104" s="36">
        <v>2023</v>
      </c>
      <c r="L104" s="36">
        <v>2024</v>
      </c>
      <c r="M104" s="36">
        <v>2025</v>
      </c>
      <c r="N104" s="36">
        <v>2026</v>
      </c>
      <c r="O104" s="36">
        <v>2027</v>
      </c>
      <c r="P104" s="36">
        <v>2028</v>
      </c>
      <c r="Q104" s="36">
        <v>2029</v>
      </c>
      <c r="R104" s="36">
        <v>2030</v>
      </c>
      <c r="S104" s="36">
        <v>2031</v>
      </c>
    </row>
    <row r="105" ht="21" customHeight="1">
      <c r="A105" s="13"/>
      <c r="B105" s="21"/>
      <c r="C105" s="24"/>
      <c r="D105" s="11"/>
      <c r="E105" s="11"/>
      <c r="F105" s="11"/>
      <c r="G105" s="11"/>
      <c r="H105" s="11"/>
      <c r="I105" s="11"/>
      <c r="J105" s="11"/>
      <c r="K105" s="11"/>
      <c r="L105" s="11"/>
      <c r="M105" s="11"/>
      <c r="N105" s="11"/>
      <c r="O105" s="11"/>
      <c r="P105" s="11"/>
      <c r="Q105" s="11"/>
      <c r="R105" s="11"/>
      <c r="S105" s="11"/>
    </row>
    <row r="106" ht="21" customHeight="1">
      <c r="A106" s="13"/>
      <c r="B106" t="s" s="63">
        <v>37</v>
      </c>
      <c r="C106" s="24"/>
      <c r="D106" s="120">
        <f>D71</f>
        <v>21315.8</v>
      </c>
      <c r="E106" s="120">
        <f>E71</f>
        <v>22386.8</v>
      </c>
      <c r="F106" s="120">
        <f>F71</f>
        <v>24719.5</v>
      </c>
      <c r="G106" s="120">
        <f>G71</f>
        <v>26508.6</v>
      </c>
      <c r="H106" s="120">
        <f>H71</f>
        <v>23553.1</v>
      </c>
      <c r="I106" s="120">
        <f>I71</f>
        <v>29139.5</v>
      </c>
      <c r="J106" s="120">
        <f>J71</f>
        <v>31781.4666666667</v>
      </c>
      <c r="K106" s="120">
        <f>K71</f>
        <v>35118.5206666667</v>
      </c>
      <c r="L106" s="120">
        <f>L71</f>
        <v>38630</v>
      </c>
      <c r="M106" s="120">
        <f>M71</f>
        <v>42060</v>
      </c>
      <c r="N106" s="120">
        <f>N71</f>
        <v>44900</v>
      </c>
      <c r="O106" s="120">
        <f>O71</f>
        <v>47940</v>
      </c>
      <c r="P106" s="120">
        <f>P71</f>
        <v>51090</v>
      </c>
      <c r="Q106" s="120">
        <f>Q71</f>
        <v>54360</v>
      </c>
      <c r="R106" s="120">
        <f>R71</f>
        <v>57760</v>
      </c>
      <c r="S106" s="120">
        <f>S71</f>
        <v>59492.8</v>
      </c>
    </row>
    <row r="107" ht="21" customHeight="1">
      <c r="A107" s="13"/>
      <c r="B107" t="s" s="66">
        <v>24</v>
      </c>
      <c r="C107" s="24"/>
      <c r="D107" s="11"/>
      <c r="E107" s="125">
        <f>E106/D106-1</f>
        <v>0.0502444196323854</v>
      </c>
      <c r="F107" s="125">
        <f>F106/E106-1</f>
        <v>0.104199796308539</v>
      </c>
      <c r="G107" s="125">
        <f>G106/F106-1</f>
        <v>0.0723760593863144</v>
      </c>
      <c r="H107" s="125">
        <f>H106/G106-1</f>
        <v>-0.111492119538565</v>
      </c>
      <c r="I107" s="125">
        <f>I106/H106-1</f>
        <v>0.237183215797496</v>
      </c>
      <c r="J107" s="125">
        <f>J106/I106-1</f>
        <v>0.0906661633407128</v>
      </c>
      <c r="K107" s="125">
        <f>K106/J106-1</f>
        <v>0.105</v>
      </c>
      <c r="L107" s="125">
        <f>L106/K106-1</f>
        <v>0.099989386417016</v>
      </c>
      <c r="M107" s="125">
        <f>M106/L106-1</f>
        <v>0.08879109500388301</v>
      </c>
      <c r="N107" s="125">
        <f>N106/M106-1</f>
        <v>0.0675225867807893</v>
      </c>
      <c r="O107" s="125">
        <f>O106/N106-1</f>
        <v>0.06770601336302901</v>
      </c>
      <c r="P107" s="125">
        <f>P106/O106-1</f>
        <v>0.0657071339173967</v>
      </c>
      <c r="Q107" s="125">
        <f>Q106/P106-1</f>
        <v>0.06400469759248389</v>
      </c>
      <c r="R107" s="125">
        <f>R106/Q106-1</f>
        <v>0.0625459896983076</v>
      </c>
      <c r="S107" s="125">
        <f>S106/R106-1</f>
        <v>0.03</v>
      </c>
    </row>
    <row r="108" ht="21" customHeight="1">
      <c r="A108" s="13"/>
      <c r="B108" s="21"/>
      <c r="C108" s="24"/>
      <c r="D108" s="11"/>
      <c r="E108" s="11"/>
      <c r="F108" s="11"/>
      <c r="G108" s="11"/>
      <c r="H108" s="11"/>
      <c r="I108" s="11"/>
      <c r="J108" s="11"/>
      <c r="K108" s="11"/>
      <c r="L108" s="11"/>
      <c r="M108" s="11"/>
      <c r="N108" s="11"/>
      <c r="O108" s="11"/>
      <c r="P108" s="11"/>
      <c r="Q108" s="11"/>
      <c r="R108" s="11"/>
      <c r="S108" s="11"/>
    </row>
    <row r="109" ht="21" customHeight="1">
      <c r="A109" s="13"/>
      <c r="B109" t="s" s="63">
        <v>38</v>
      </c>
      <c r="C109" s="24"/>
      <c r="D109" s="120">
        <f>D88</f>
        <v>4171.9</v>
      </c>
      <c r="E109" s="120">
        <f>E88</f>
        <v>4124.7</v>
      </c>
      <c r="F109" s="120">
        <f>F88</f>
        <v>3883.3</v>
      </c>
      <c r="G109" s="120">
        <f>G88</f>
        <v>4077.9</v>
      </c>
      <c r="H109" s="120">
        <f>H88</f>
        <v>1561.7</v>
      </c>
      <c r="I109" s="120">
        <f>I88</f>
        <v>4872.1</v>
      </c>
      <c r="J109" s="120">
        <f>J88</f>
        <v>5410</v>
      </c>
      <c r="K109" s="120">
        <f>K88</f>
        <v>6180</v>
      </c>
      <c r="L109" s="120">
        <f>L88</f>
        <v>6800</v>
      </c>
      <c r="M109" s="120">
        <f>M88</f>
        <v>7760</v>
      </c>
      <c r="N109" s="120">
        <f>N106*N110</f>
        <v>8029.659329829470</v>
      </c>
      <c r="O109" s="120">
        <f>O106*O110</f>
        <v>8618.998563541460</v>
      </c>
      <c r="P109" s="120">
        <f>P106*P110</f>
        <v>9249.330590882480</v>
      </c>
      <c r="Q109" s="120">
        <f>Q106*Q110</f>
        <v>9778.665087965121</v>
      </c>
      <c r="R109" s="120">
        <f>R106*R110</f>
        <v>10410.5524264822</v>
      </c>
      <c r="S109" s="120">
        <f>S106*S110</f>
        <v>10731.8106074276</v>
      </c>
    </row>
    <row r="110" ht="21" customHeight="1">
      <c r="A110" s="13"/>
      <c r="B110" t="s" s="66">
        <v>39</v>
      </c>
      <c r="C110" s="24"/>
      <c r="D110" s="125">
        <f>D109/D106</f>
        <v>0.195718668780904</v>
      </c>
      <c r="E110" s="125">
        <f>E109/E106</f>
        <v>0.184246966962674</v>
      </c>
      <c r="F110" s="125">
        <f>F109/F106</f>
        <v>0.157094601428022</v>
      </c>
      <c r="G110" s="125">
        <f>G109/G106</f>
        <v>0.153833095674611</v>
      </c>
      <c r="H110" s="125">
        <f>H109/H106</f>
        <v>0.06630549694095469</v>
      </c>
      <c r="I110" s="125">
        <f>I109/I106</f>
        <v>0.167199162648638</v>
      </c>
      <c r="J110" s="125">
        <f>J109/J106</f>
        <v>0.170224994860736</v>
      </c>
      <c r="K110" s="125">
        <f>K109/K106</f>
        <v>0.175975521823897</v>
      </c>
      <c r="L110" s="125">
        <f>L109/L106</f>
        <v>0.176028993010614</v>
      </c>
      <c r="M110" s="125">
        <f>M109/M106</f>
        <v>0.184498335710889</v>
      </c>
      <c r="N110" s="125">
        <f>AVERAGE(M110,L110,K110)</f>
        <v>0.178834283515133</v>
      </c>
      <c r="O110" s="125">
        <f>AVERAGE(N110,M110,L110)</f>
        <v>0.179787204078879</v>
      </c>
      <c r="P110" s="125">
        <f>AVERAGE(O110,N110,M110)</f>
        <v>0.181039941101634</v>
      </c>
      <c r="Q110" s="125">
        <f>AVERAGE(P110,O110,N110)</f>
        <v>0.179887142898549</v>
      </c>
      <c r="R110" s="125">
        <f>AVERAGE(Q110,P110,O110)</f>
        <v>0.180238096026354</v>
      </c>
      <c r="S110" s="125">
        <f>AVERAGE(R110,Q110,P110)</f>
        <v>0.180388393342179</v>
      </c>
    </row>
    <row r="111" ht="21" customHeight="1">
      <c r="A111" s="13"/>
      <c r="B111" s="21"/>
      <c r="C111" s="24"/>
      <c r="D111" s="11"/>
      <c r="E111" s="11"/>
      <c r="F111" s="11"/>
      <c r="G111" s="11"/>
      <c r="H111" s="11"/>
      <c r="I111" s="11"/>
      <c r="J111" s="11"/>
      <c r="K111" s="11"/>
      <c r="L111" s="11"/>
      <c r="M111" s="11"/>
      <c r="N111" s="11"/>
      <c r="O111" s="11"/>
      <c r="P111" s="11"/>
      <c r="Q111" s="11"/>
      <c r="R111" s="11"/>
      <c r="S111" s="11"/>
    </row>
    <row r="112" ht="21" customHeight="1">
      <c r="A112" s="13"/>
      <c r="B112" t="s" s="63">
        <v>40</v>
      </c>
      <c r="C112" s="24"/>
      <c r="D112" s="120">
        <f>D91</f>
        <v>1379.9</v>
      </c>
      <c r="E112" s="120">
        <f>E91</f>
        <v>1432.6</v>
      </c>
      <c r="F112" s="120">
        <f>F91</f>
        <v>1262</v>
      </c>
      <c r="G112" s="127">
        <f>G91</f>
        <v>871.6</v>
      </c>
      <c r="H112" s="127">
        <f>H91</f>
        <v>239.7</v>
      </c>
      <c r="I112" s="127">
        <f>I91</f>
        <v>1156.6</v>
      </c>
      <c r="J112" s="120">
        <f>J91</f>
        <v>1449.592073247930</v>
      </c>
      <c r="K112" s="120">
        <f>K91</f>
        <v>1591.212893395330</v>
      </c>
      <c r="L112" s="120">
        <f>L91</f>
        <v>1649.025467996210</v>
      </c>
      <c r="M112" s="120">
        <f>M91</f>
        <v>1775.158053521040</v>
      </c>
      <c r="N112" s="120">
        <f>N109*N113</f>
        <v>1950.5087462115</v>
      </c>
      <c r="O112" s="120">
        <f>O109*O113</f>
        <v>2051.822249688610</v>
      </c>
      <c r="P112" s="120">
        <f>P109*P113</f>
        <v>2188.171405936730</v>
      </c>
      <c r="Q112" s="120">
        <f>Q109*Q113</f>
        <v>2338.884862351940</v>
      </c>
      <c r="R112" s="120">
        <f>R109*R113</f>
        <v>2477.075392798880</v>
      </c>
      <c r="S112" s="120">
        <f>S109*S113</f>
        <v>2553.088871891180</v>
      </c>
    </row>
    <row r="113" ht="21.5" customHeight="1">
      <c r="A113" s="129"/>
      <c r="B113" t="s" s="130">
        <v>41</v>
      </c>
      <c r="C113" s="131"/>
      <c r="D113" s="132">
        <f>D112/D109</f>
        <v>0.330760564730698</v>
      </c>
      <c r="E113" s="132">
        <f>E112/E109</f>
        <v>0.347322229495478</v>
      </c>
      <c r="F113" s="132">
        <f>F112/F109</f>
        <v>0.324981330311848</v>
      </c>
      <c r="G113" s="132">
        <f>G112/G109</f>
        <v>0.213737462909831</v>
      </c>
      <c r="H113" s="132">
        <f>H112/H109</f>
        <v>0.153486585131587</v>
      </c>
      <c r="I113" s="132">
        <f>I112/I109</f>
        <v>0.237392500153938</v>
      </c>
      <c r="J113" s="132">
        <f>J112/J109</f>
        <v>0.267946778788896</v>
      </c>
      <c r="K113" s="132">
        <f>K112/K109</f>
        <v>0.257477814465264</v>
      </c>
      <c r="L113" s="132">
        <f>L112/L109</f>
        <v>0.24250374529356</v>
      </c>
      <c r="M113" s="132">
        <f>M112/M109</f>
        <v>0.228757481123845</v>
      </c>
      <c r="N113" s="133">
        <f>AVERAGE(M113,L113,K113)</f>
        <v>0.242913013627556</v>
      </c>
      <c r="O113" s="133">
        <f>AVERAGE(N113,M113,L113)</f>
        <v>0.238058080014987</v>
      </c>
      <c r="P113" s="133">
        <f>AVERAGE(O113,N113,M113)</f>
        <v>0.236576191588796</v>
      </c>
      <c r="Q113" s="133">
        <f>AVERAGE(P113,O113,N113)</f>
        <v>0.239182428410446</v>
      </c>
      <c r="R113" s="133">
        <f>AVERAGE(Q113,P113,O113)</f>
        <v>0.237938900004743</v>
      </c>
      <c r="S113" s="133">
        <f>AVERAGE(R113,Q113,P113)</f>
        <v>0.237899173334662</v>
      </c>
    </row>
    <row r="114" ht="21.5" customHeight="1">
      <c r="A114" s="134"/>
      <c r="B114" s="135"/>
      <c r="C114" s="136"/>
      <c r="D114" s="137"/>
      <c r="E114" s="137"/>
      <c r="F114" s="137"/>
      <c r="G114" s="137"/>
      <c r="H114" s="137"/>
      <c r="I114" s="137"/>
      <c r="J114" s="137"/>
      <c r="K114" s="137"/>
      <c r="L114" s="137"/>
      <c r="M114" s="137"/>
      <c r="N114" s="138"/>
      <c r="O114" s="138"/>
      <c r="P114" s="138"/>
      <c r="Q114" s="138"/>
      <c r="R114" s="138"/>
      <c r="S114" s="138"/>
    </row>
    <row r="115" ht="21" customHeight="1">
      <c r="A115" s="13"/>
      <c r="B115" t="s" s="63">
        <v>47</v>
      </c>
      <c r="C115" s="64"/>
      <c r="D115" s="139"/>
      <c r="E115" s="139"/>
      <c r="F115" s="139"/>
      <c r="G115" s="139"/>
      <c r="H115" s="139"/>
      <c r="I115" s="139"/>
      <c r="J115" s="65">
        <f>J109-J112</f>
        <v>3960.407926752070</v>
      </c>
      <c r="K115" s="65">
        <f>K109-K112</f>
        <v>4588.787106604670</v>
      </c>
      <c r="L115" s="65">
        <f>L109-L112</f>
        <v>5150.974532003790</v>
      </c>
      <c r="M115" s="65">
        <f>M109-M112</f>
        <v>5984.841946478960</v>
      </c>
      <c r="N115" s="65">
        <f>N109-N112</f>
        <v>6079.150583617970</v>
      </c>
      <c r="O115" s="65">
        <f>O109-O112</f>
        <v>6567.176313852850</v>
      </c>
      <c r="P115" s="65">
        <f>P109-P112</f>
        <v>7061.159184945750</v>
      </c>
      <c r="Q115" s="65">
        <f>Q109-Q112</f>
        <v>7439.780225613180</v>
      </c>
      <c r="R115" s="65">
        <f>R109-R112</f>
        <v>7933.477033683320</v>
      </c>
      <c r="S115" s="65">
        <f>S109-S112</f>
        <v>8178.721735536420</v>
      </c>
    </row>
    <row r="116" ht="21" customHeight="1">
      <c r="A116" s="13"/>
      <c r="B116" s="140"/>
      <c r="C116" s="24"/>
      <c r="D116" s="125"/>
      <c r="E116" s="125"/>
      <c r="F116" s="125"/>
      <c r="G116" s="125"/>
      <c r="H116" s="125"/>
      <c r="I116" s="125"/>
      <c r="J116" s="125"/>
      <c r="K116" s="125"/>
      <c r="L116" s="125"/>
      <c r="M116" s="125"/>
      <c r="N116" s="11"/>
      <c r="O116" s="11"/>
      <c r="P116" s="11"/>
      <c r="Q116" s="11"/>
      <c r="R116" s="11"/>
      <c r="S116" s="11"/>
    </row>
    <row r="117" ht="21" customHeight="1">
      <c r="A117" s="13"/>
      <c r="B117" t="s" s="63">
        <v>43</v>
      </c>
      <c r="C117" s="24"/>
      <c r="D117" s="120">
        <f>D96</f>
        <v>1030.1</v>
      </c>
      <c r="E117" s="120">
        <f>E96</f>
        <v>1067.1</v>
      </c>
      <c r="F117" s="120">
        <f>F96</f>
        <v>1305.9</v>
      </c>
      <c r="G117" s="120">
        <f>G96</f>
        <v>1449.3</v>
      </c>
      <c r="H117" s="120">
        <f>H96</f>
        <v>1503.2</v>
      </c>
      <c r="I117" s="120">
        <f>I96</f>
        <v>1524.1</v>
      </c>
      <c r="J117" s="120">
        <f>J96</f>
        <v>1558.666666666670</v>
      </c>
      <c r="K117" s="120">
        <f>K96</f>
        <v>1933.492058224750</v>
      </c>
      <c r="L117" s="120">
        <f>L96</f>
        <v>2013.949622286560</v>
      </c>
      <c r="M117" s="120">
        <f>M96</f>
        <v>2190.397775951610</v>
      </c>
      <c r="N117" s="120">
        <f>N106*N118</f>
        <v>2383.718039681460</v>
      </c>
      <c r="O117" s="120">
        <f>O106*O118</f>
        <v>2513.682146396790</v>
      </c>
      <c r="P117" s="120">
        <f>P106*P118</f>
        <v>2683.950820871910</v>
      </c>
      <c r="Q117" s="120">
        <f>Q106*Q118</f>
        <v>2863.996266455370</v>
      </c>
      <c r="R117" s="120">
        <f>R106*R118</f>
        <v>3035.354042071120</v>
      </c>
      <c r="S117" s="120">
        <f>S106*S118</f>
        <v>3128.739303585250</v>
      </c>
    </row>
    <row r="118" ht="21" customHeight="1">
      <c r="A118" s="13"/>
      <c r="B118" t="s" s="66">
        <v>39</v>
      </c>
      <c r="C118" s="24"/>
      <c r="D118" s="125">
        <f>D117/D106</f>
        <v>0.0483256551478246</v>
      </c>
      <c r="E118" s="125">
        <f>E117/E106</f>
        <v>0.0476664820340558</v>
      </c>
      <c r="F118" s="125">
        <f>F117/F106</f>
        <v>0.0528287384453569</v>
      </c>
      <c r="G118" s="125">
        <f>G117/G106</f>
        <v>0.0546728231592766</v>
      </c>
      <c r="H118" s="125">
        <f>H117/H106</f>
        <v>0.0638217474557489</v>
      </c>
      <c r="I118" s="125">
        <f>I117/I106</f>
        <v>0.052303574186242</v>
      </c>
      <c r="J118" s="125">
        <f>J117/J106</f>
        <v>0.0490432579155148</v>
      </c>
      <c r="K118" s="125">
        <f>K117/K106</f>
        <v>0.0550561931858353</v>
      </c>
      <c r="L118" s="125">
        <f>L117/L106</f>
        <v>0.0521343417625307</v>
      </c>
      <c r="M118" s="125">
        <f>M117/M106</f>
        <v>0.052077930954627</v>
      </c>
      <c r="N118" s="67">
        <f>AVERAGE(M118,L118,K118)</f>
        <v>0.053089488634331</v>
      </c>
      <c r="O118" s="67">
        <f>AVERAGE(N118,M118,L118)</f>
        <v>0.0524339204504962</v>
      </c>
      <c r="P118" s="67">
        <f>AVERAGE(O118,N118,M118)</f>
        <v>0.0525337800131514</v>
      </c>
      <c r="Q118" s="67">
        <f>AVERAGE(P118,O118,N118)</f>
        <v>0.0526857296993262</v>
      </c>
      <c r="R118" s="67">
        <f>AVERAGE(Q118,P118,O118)</f>
        <v>0.0525511433876579</v>
      </c>
      <c r="S118" s="67">
        <f>AVERAGE(R118,Q118,P118)</f>
        <v>0.0525902177000452</v>
      </c>
    </row>
    <row r="119" ht="21" customHeight="1">
      <c r="A119" s="13"/>
      <c r="B119" s="140"/>
      <c r="C119" s="24"/>
      <c r="D119" s="125"/>
      <c r="E119" s="125"/>
      <c r="F119" s="125"/>
      <c r="G119" s="125"/>
      <c r="H119" s="125"/>
      <c r="I119" s="125"/>
      <c r="J119" s="125"/>
      <c r="K119" s="125"/>
      <c r="L119" s="125"/>
      <c r="M119" s="125"/>
      <c r="N119" s="11"/>
      <c r="O119" s="11"/>
      <c r="P119" s="11"/>
      <c r="Q119" s="11"/>
      <c r="R119" s="11"/>
      <c r="S119" s="11"/>
    </row>
    <row r="120" ht="21" customHeight="1">
      <c r="A120" s="13"/>
      <c r="B120" t="s" s="63">
        <v>45</v>
      </c>
      <c r="C120" s="24"/>
      <c r="D120" s="120">
        <f>D100</f>
        <v>1440.3</v>
      </c>
      <c r="E120" s="120">
        <f>E100</f>
        <v>1519.4</v>
      </c>
      <c r="F120" s="120">
        <f>F100</f>
        <v>1976.4</v>
      </c>
      <c r="G120" s="120">
        <f>G100</f>
        <v>1806.6</v>
      </c>
      <c r="H120" s="120">
        <f>H100</f>
        <v>1483.6</v>
      </c>
      <c r="I120" s="120">
        <f>I100</f>
        <v>1470</v>
      </c>
      <c r="J120" s="120">
        <f>J100</f>
        <v>1727.2</v>
      </c>
      <c r="K120" s="120">
        <f>K100</f>
        <v>1964.093544428290</v>
      </c>
      <c r="L120" s="120">
        <f>L100</f>
        <v>2069.546844524880</v>
      </c>
      <c r="M120" s="120">
        <f>M100</f>
        <v>2297.138798206980</v>
      </c>
      <c r="N120" s="120">
        <f>N106*N121</f>
        <v>2456.282858105840</v>
      </c>
      <c r="O120" s="120">
        <f>O106*O121</f>
        <v>2603.061392422370</v>
      </c>
      <c r="P120" s="120">
        <f>P106*P121</f>
        <v>2786.443636692080</v>
      </c>
      <c r="Q120" s="120">
        <f>Q106*Q121</f>
        <v>2963.414616523210</v>
      </c>
      <c r="R120" s="120">
        <f>R106*R121</f>
        <v>3145.086662042930</v>
      </c>
      <c r="S120" s="120">
        <f>S106*S121</f>
        <v>3242.466013458810</v>
      </c>
    </row>
    <row r="121" ht="21" customHeight="1">
      <c r="A121" s="13"/>
      <c r="B121" t="s" s="66">
        <v>39</v>
      </c>
      <c r="C121" s="24"/>
      <c r="D121" s="125">
        <f>D120/D106</f>
        <v>0.06756959626192779</v>
      </c>
      <c r="E121" s="125">
        <f>E120/E106</f>
        <v>0.0678703521718155</v>
      </c>
      <c r="F121" s="125">
        <f>F120/F106</f>
        <v>0.079953073484496</v>
      </c>
      <c r="G121" s="125">
        <f>G120/G106</f>
        <v>0.0681514678255359</v>
      </c>
      <c r="H121" s="125">
        <f>H120/H106</f>
        <v>0.06298958523506459</v>
      </c>
      <c r="I121" s="125">
        <f>I120/I106</f>
        <v>0.0504469877657475</v>
      </c>
      <c r="J121" s="125">
        <f>J120/J106</f>
        <v>0.0543461388398269</v>
      </c>
      <c r="K121" s="125">
        <f>K120/K106</f>
        <v>0.0559275706135464</v>
      </c>
      <c r="L121" s="125">
        <f>L120/L106</f>
        <v>0.053573565739707</v>
      </c>
      <c r="M121" s="125">
        <f>M120/M106</f>
        <v>0.0546157583976933</v>
      </c>
      <c r="N121" s="125">
        <f>AVERAGE(M121,L121,K121)</f>
        <v>0.0547056315836489</v>
      </c>
      <c r="O121" s="125">
        <f>AVERAGE(N121,M121,L121)</f>
        <v>0.0542983185736831</v>
      </c>
      <c r="P121" s="125">
        <f>AVERAGE(O121,N121,M121)</f>
        <v>0.0545399028516751</v>
      </c>
      <c r="Q121" s="125">
        <f>AVERAGE(P121,O121,N121)</f>
        <v>0.054514617669669</v>
      </c>
      <c r="R121" s="125">
        <f>AVERAGE(Q121,P121,O121)</f>
        <v>0.0544509463650091</v>
      </c>
      <c r="S121" s="125">
        <f>AVERAGE(R121,Q121,P121)</f>
        <v>0.0545018222954511</v>
      </c>
    </row>
    <row r="122" ht="21" customHeight="1">
      <c r="A122" s="13"/>
      <c r="B122" s="21"/>
      <c r="C122" s="24"/>
      <c r="D122" s="67"/>
      <c r="E122" s="67"/>
      <c r="F122" s="67"/>
      <c r="G122" s="67"/>
      <c r="H122" s="67"/>
      <c r="I122" s="67"/>
      <c r="J122" s="67"/>
      <c r="K122" s="67"/>
      <c r="L122" s="67"/>
      <c r="M122" s="67"/>
      <c r="N122" s="11"/>
      <c r="O122" s="11"/>
      <c r="P122" s="11"/>
      <c r="Q122" s="11"/>
      <c r="R122" s="11"/>
      <c r="S122" s="11"/>
    </row>
    <row r="123" ht="21" customHeight="1">
      <c r="A123" s="13"/>
      <c r="B123" t="s" s="63">
        <v>48</v>
      </c>
      <c r="C123" s="24"/>
      <c r="D123" s="120">
        <v>-26.88</v>
      </c>
      <c r="E123" s="120">
        <v>89.7</v>
      </c>
      <c r="F123" s="120">
        <v>6913.7</v>
      </c>
      <c r="G123" s="120">
        <v>1648.7</v>
      </c>
      <c r="H123" s="120">
        <v>-2676.4</v>
      </c>
      <c r="I123" s="120">
        <v>-501.2</v>
      </c>
      <c r="J123" s="120">
        <f>J115*J124</f>
        <v>-90.611111096519</v>
      </c>
      <c r="K123" s="120">
        <f>K115*K124</f>
        <v>-235.116997144631</v>
      </c>
      <c r="L123" s="120">
        <f>L115*L124</f>
        <v>-156.789729836203</v>
      </c>
      <c r="M123" s="120">
        <f>M115*M124</f>
        <v>-208.582455971592</v>
      </c>
      <c r="N123" s="120">
        <f>N115*N124</f>
        <v>-236.130265667760</v>
      </c>
      <c r="O123" s="120">
        <f>O115*O124</f>
        <v>-227.953868525956</v>
      </c>
      <c r="P123" s="120">
        <f>P115*P124</f>
        <v>-255.156222024909</v>
      </c>
      <c r="Q123" s="120">
        <f>Q115*Q124</f>
        <v>-272.020459509224</v>
      </c>
      <c r="R123" s="120">
        <f>R115*R124</f>
        <v>-284.042907018723</v>
      </c>
      <c r="S123" s="120">
        <f>S115*S124</f>
        <v>-295.800439450165</v>
      </c>
    </row>
    <row r="124" ht="21" customHeight="1">
      <c r="A124" s="13"/>
      <c r="B124" t="s" s="66">
        <v>39</v>
      </c>
      <c r="C124" s="24"/>
      <c r="D124" s="67">
        <f>D123/D106</f>
        <v>-0.00126103641430301</v>
      </c>
      <c r="E124" s="67">
        <f>E123/E106</f>
        <v>0.00400682545071203</v>
      </c>
      <c r="F124" s="67">
        <f>F123/F106</f>
        <v>0.279686077792836</v>
      </c>
      <c r="G124" s="67">
        <f>G123/G106</f>
        <v>0.0621949103309869</v>
      </c>
      <c r="H124" s="67">
        <f>H123/H106</f>
        <v>-0.113632600379568</v>
      </c>
      <c r="I124" s="67">
        <f>I123/I106</f>
        <v>-0.0172000205906073</v>
      </c>
      <c r="J124" s="67">
        <f>AVERAGE(I124,H124,G124)</f>
        <v>-0.0228792368797295</v>
      </c>
      <c r="K124" s="67">
        <f>AVERAGE(J124,I124,H124)</f>
        <v>-0.0512372859499683</v>
      </c>
      <c r="L124" s="67">
        <f>AVERAGE(K124,J124,I124)</f>
        <v>-0.0304388478067684</v>
      </c>
      <c r="M124" s="67">
        <f>AVERAGE(L124,K124,J124)</f>
        <v>-0.0348517902121554</v>
      </c>
      <c r="N124" s="67">
        <f>AVERAGE(M124,L124,K124)</f>
        <v>-0.038842641322964</v>
      </c>
      <c r="O124" s="67">
        <f>AVERAGE(N124,M124,L124)</f>
        <v>-0.0347110931139626</v>
      </c>
      <c r="P124" s="67">
        <f>AVERAGE(O124,N124,M124)</f>
        <v>-0.0361351748830273</v>
      </c>
      <c r="Q124" s="67">
        <f>AVERAGE(P124,O124,N124)</f>
        <v>-0.036562969773318</v>
      </c>
      <c r="R124" s="67">
        <f>AVERAGE(Q124,P124,O124)</f>
        <v>-0.0358030792567693</v>
      </c>
      <c r="S124" s="67">
        <f>AVERAGE(R124,Q124,P124)</f>
        <v>-0.0361670746377049</v>
      </c>
    </row>
    <row r="125" ht="21.5" customHeight="1">
      <c r="A125" s="129"/>
      <c r="B125" s="141"/>
      <c r="C125" s="131"/>
      <c r="D125" s="133"/>
      <c r="E125" s="133"/>
      <c r="F125" s="133"/>
      <c r="G125" s="133"/>
      <c r="H125" s="133"/>
      <c r="I125" s="133"/>
      <c r="J125" s="133"/>
      <c r="K125" s="133"/>
      <c r="L125" s="133"/>
      <c r="M125" s="133"/>
      <c r="N125" s="142"/>
      <c r="O125" s="142"/>
      <c r="P125" s="142"/>
      <c r="Q125" s="142"/>
      <c r="R125" s="142"/>
      <c r="S125" s="142"/>
    </row>
    <row r="126" ht="21.5" customHeight="1">
      <c r="A126" s="134"/>
      <c r="B126" t="s" s="143">
        <v>49</v>
      </c>
      <c r="C126" s="136"/>
      <c r="D126" s="144"/>
      <c r="E126" s="144"/>
      <c r="F126" s="144"/>
      <c r="G126" s="144"/>
      <c r="H126" s="144"/>
      <c r="I126" s="144"/>
      <c r="J126" s="145">
        <f>J115+J117-J120-J123</f>
        <v>3882.485704515260</v>
      </c>
      <c r="K126" s="145">
        <f>K115+K117-K120-K123</f>
        <v>4793.302617545760</v>
      </c>
      <c r="L126" s="145">
        <f>L115+L117-L120-L123</f>
        <v>5252.167039601670</v>
      </c>
      <c r="M126" s="145">
        <f>M115+M117-M120-M123</f>
        <v>6086.683380195180</v>
      </c>
      <c r="N126" s="145">
        <f>N115+N117-N120-N123</f>
        <v>6242.716030861350</v>
      </c>
      <c r="O126" s="145">
        <f>O115+O117-O120-O123</f>
        <v>6705.750936353230</v>
      </c>
      <c r="P126" s="145">
        <f>P115+P117-P120-P123</f>
        <v>7213.822591150490</v>
      </c>
      <c r="Q126" s="145">
        <f>Q115+Q117-Q120-Q123</f>
        <v>7612.382335054560</v>
      </c>
      <c r="R126" s="145">
        <f>R115+R117-R120-R123</f>
        <v>8107.787320730230</v>
      </c>
      <c r="S126" s="145">
        <f>S115+S117-S120-S123</f>
        <v>8360.795465113029</v>
      </c>
    </row>
    <row r="127" ht="21.5" customHeight="1">
      <c r="A127" s="129"/>
      <c r="B127" t="s" s="146">
        <v>50</v>
      </c>
      <c r="C127" s="131"/>
      <c r="D127" s="133"/>
      <c r="E127" s="133"/>
      <c r="F127" s="133"/>
      <c r="G127" s="133"/>
      <c r="H127" s="133"/>
      <c r="I127" s="133"/>
      <c r="J127" s="147">
        <f>J126/(1+$D$10)^J103</f>
        <v>3641.8130688251</v>
      </c>
      <c r="K127" s="147">
        <f>K126/(1+$D$10)^K103</f>
        <v>4217.454616064080</v>
      </c>
      <c r="L127" s="147">
        <f>L126/(1+$D$10)^L103</f>
        <v>4334.728329976570</v>
      </c>
      <c r="M127" s="147">
        <f>M126/(1+$D$10)^M103</f>
        <v>4712.071264556990</v>
      </c>
      <c r="N127" s="147">
        <f>N126/(1+$D$10)^N103</f>
        <v>4533.279578768470</v>
      </c>
      <c r="O127" s="147">
        <f>O126/(1+$D$10)^O103</f>
        <v>4567.663768247</v>
      </c>
      <c r="P127" s="147">
        <f>P126/(1+$D$10)^P103</f>
        <v>4609.140541695140</v>
      </c>
      <c r="Q127" s="147">
        <f>Q126/(1+$D$10)^Q103</f>
        <v>4562.2898239042</v>
      </c>
      <c r="R127" s="147">
        <f>R126/(1+$D$10)^R103</f>
        <v>4557.979953239740</v>
      </c>
      <c r="S127" s="147">
        <f>S126/(1+$D$10)^S103</f>
        <v>4408.8512525682</v>
      </c>
    </row>
    <row r="128" ht="21.5" customHeight="1">
      <c r="A128" s="148"/>
      <c r="B128" s="149"/>
      <c r="C128" s="150"/>
      <c r="D128" s="151"/>
      <c r="E128" s="151"/>
      <c r="F128" s="151"/>
      <c r="G128" s="151"/>
      <c r="H128" s="151"/>
      <c r="I128" s="151"/>
      <c r="J128" s="151"/>
      <c r="K128" s="151"/>
      <c r="L128" s="151"/>
      <c r="M128" s="151"/>
      <c r="N128" s="152"/>
      <c r="O128" s="152"/>
      <c r="P128" s="152"/>
      <c r="Q128" s="152"/>
      <c r="R128" s="152"/>
      <c r="S128" s="153"/>
    </row>
    <row r="129" ht="21" customHeight="1">
      <c r="A129" s="70"/>
      <c r="B129" t="s" s="110">
        <v>51</v>
      </c>
      <c r="C129" s="72"/>
      <c r="D129" s="154"/>
      <c r="E129" s="154"/>
      <c r="F129" s="154"/>
      <c r="G129" s="154"/>
      <c r="H129" s="154"/>
      <c r="I129" s="154"/>
      <c r="J129" s="154"/>
      <c r="K129" s="154"/>
      <c r="L129" s="154"/>
      <c r="M129" s="154"/>
      <c r="N129" s="98"/>
      <c r="O129" s="98"/>
      <c r="P129" s="98"/>
      <c r="Q129" s="98"/>
      <c r="R129" s="98"/>
      <c r="S129" s="155">
        <f>(S126*(1+D11))/(D10/D11)</f>
        <v>2580.885291372920</v>
      </c>
    </row>
    <row r="130" ht="21" customHeight="1">
      <c r="A130" s="70"/>
      <c r="B130" t="s" s="110">
        <v>52</v>
      </c>
      <c r="C130" s="72"/>
      <c r="D130" s="154"/>
      <c r="E130" s="154"/>
      <c r="F130" s="154"/>
      <c r="G130" s="154"/>
      <c r="H130" s="154"/>
      <c r="I130" s="154"/>
      <c r="J130" s="154"/>
      <c r="K130" s="154"/>
      <c r="L130" s="154"/>
      <c r="M130" s="154"/>
      <c r="N130" s="98"/>
      <c r="O130" s="98"/>
      <c r="P130" s="98"/>
      <c r="Q130" s="98"/>
      <c r="R130" s="98"/>
      <c r="S130" s="75">
        <f>S129/(1+D10)^S103</f>
        <v>1360.9637261292</v>
      </c>
    </row>
    <row r="131" ht="21" customHeight="1">
      <c r="A131" s="70"/>
      <c r="B131" s="156"/>
      <c r="C131" s="72"/>
      <c r="D131" s="154"/>
      <c r="E131" s="154"/>
      <c r="F131" s="154"/>
      <c r="G131" s="154"/>
      <c r="H131" s="154"/>
      <c r="I131" s="154"/>
      <c r="J131" s="154"/>
      <c r="K131" s="154"/>
      <c r="L131" s="154"/>
      <c r="M131" s="154"/>
      <c r="N131" s="98"/>
      <c r="O131" s="98"/>
      <c r="P131" s="98"/>
      <c r="Q131" s="98"/>
      <c r="R131" s="98"/>
      <c r="S131" s="99"/>
    </row>
    <row r="132" ht="22" customHeight="1">
      <c r="A132" s="157"/>
      <c r="B132" t="s" s="158">
        <v>53</v>
      </c>
      <c r="C132" s="72"/>
      <c r="D132" s="154"/>
      <c r="E132" s="154"/>
      <c r="F132" s="154"/>
      <c r="G132" s="154"/>
      <c r="H132" s="154"/>
      <c r="I132" s="154"/>
      <c r="J132" s="154"/>
      <c r="K132" s="154"/>
      <c r="L132" s="154"/>
      <c r="M132" s="154"/>
      <c r="N132" s="98"/>
      <c r="O132" s="98"/>
      <c r="P132" s="98"/>
      <c r="Q132" s="98"/>
      <c r="R132" s="98"/>
      <c r="S132" s="75">
        <f>SUM(S130,S126,R126,Q126,P126,O126,N126,M126,L126,K126,J126)</f>
        <v>65618.85714725</v>
      </c>
    </row>
    <row r="133" ht="22" customHeight="1">
      <c r="A133" s="157"/>
      <c r="B133" t="s" s="159">
        <v>54</v>
      </c>
      <c r="C133" s="72"/>
      <c r="D133" s="154"/>
      <c r="E133" s="154"/>
      <c r="F133" s="154"/>
      <c r="G133" s="154"/>
      <c r="H133" s="154"/>
      <c r="I133" s="154"/>
      <c r="J133" s="154"/>
      <c r="K133" s="154"/>
      <c r="L133" s="154"/>
      <c r="M133" s="154"/>
      <c r="N133" s="98"/>
      <c r="O133" s="98"/>
      <c r="P133" s="98"/>
      <c r="Q133" s="98"/>
      <c r="R133" s="98"/>
      <c r="S133" s="75">
        <v>3250</v>
      </c>
    </row>
    <row r="134" ht="22" customHeight="1">
      <c r="A134" s="157"/>
      <c r="B134" t="s" s="159">
        <v>55</v>
      </c>
      <c r="C134" s="72"/>
      <c r="D134" s="154"/>
      <c r="E134" s="154"/>
      <c r="F134" s="154"/>
      <c r="G134" s="154"/>
      <c r="H134" s="154"/>
      <c r="I134" s="154"/>
      <c r="J134" s="154"/>
      <c r="K134" s="154"/>
      <c r="L134" s="154"/>
      <c r="M134" s="154"/>
      <c r="N134" s="98"/>
      <c r="O134" s="98"/>
      <c r="P134" s="98"/>
      <c r="Q134" s="98"/>
      <c r="R134" s="98"/>
      <c r="S134" s="75">
        <v>23900</v>
      </c>
    </row>
    <row r="135" ht="22" customHeight="1">
      <c r="A135" s="157"/>
      <c r="B135" t="s" s="159">
        <v>56</v>
      </c>
      <c r="C135" s="72"/>
      <c r="D135" s="154"/>
      <c r="E135" s="154"/>
      <c r="F135" s="154"/>
      <c r="G135" s="154"/>
      <c r="H135" s="154"/>
      <c r="I135" s="154"/>
      <c r="J135" s="154"/>
      <c r="K135" s="154"/>
      <c r="L135" s="154"/>
      <c r="M135" s="154"/>
      <c r="N135" s="98"/>
      <c r="O135" s="98"/>
      <c r="P135" s="98"/>
      <c r="Q135" s="98"/>
      <c r="R135" s="98"/>
      <c r="S135" s="75">
        <f>S132+S133-S134</f>
        <v>44968.85714725</v>
      </c>
    </row>
    <row r="136" ht="22" customHeight="1">
      <c r="A136" s="157"/>
      <c r="B136" t="s" s="159">
        <v>57</v>
      </c>
      <c r="C136" s="72"/>
      <c r="D136" s="154"/>
      <c r="E136" s="154"/>
      <c r="F136" s="154"/>
      <c r="G136" s="154"/>
      <c r="H136" s="154"/>
      <c r="I136" s="154"/>
      <c r="J136" s="154"/>
      <c r="K136" s="154"/>
      <c r="L136" s="154"/>
      <c r="M136" s="154"/>
      <c r="N136" s="98"/>
      <c r="O136" s="98"/>
      <c r="P136" s="98"/>
      <c r="Q136" s="98"/>
      <c r="R136" s="98"/>
      <c r="S136" s="75">
        <v>1150</v>
      </c>
    </row>
    <row r="137" ht="22" customHeight="1">
      <c r="A137" s="157"/>
      <c r="B137" t="s" s="159">
        <v>9</v>
      </c>
      <c r="C137" s="72"/>
      <c r="D137" s="154"/>
      <c r="E137" s="154"/>
      <c r="F137" s="154"/>
      <c r="G137" s="154"/>
      <c r="H137" s="154"/>
      <c r="I137" s="154"/>
      <c r="J137" s="154"/>
      <c r="K137" s="154"/>
      <c r="L137" s="154"/>
      <c r="M137" s="154"/>
      <c r="N137" s="98"/>
      <c r="O137" s="98"/>
      <c r="P137" s="98"/>
      <c r="Q137" s="98"/>
      <c r="R137" s="98"/>
      <c r="S137" s="119">
        <f>S135/S136</f>
        <v>39.103354041087</v>
      </c>
    </row>
    <row r="138" ht="22" customHeight="1">
      <c r="A138" s="157"/>
      <c r="B138" s="160"/>
      <c r="C138" s="72"/>
      <c r="D138" s="154"/>
      <c r="E138" s="154"/>
      <c r="F138" s="154"/>
      <c r="G138" s="154"/>
      <c r="H138" s="154"/>
      <c r="I138" s="154"/>
      <c r="J138" s="154"/>
      <c r="K138" s="154"/>
      <c r="L138" s="154"/>
      <c r="M138" s="154"/>
      <c r="N138" s="98"/>
      <c r="O138" s="98"/>
      <c r="P138" s="98"/>
      <c r="Q138" s="98"/>
      <c r="R138" s="98"/>
      <c r="S138" s="99"/>
    </row>
  </sheetData>
  <mergeCells count="1">
    <mergeCell ref="A1:S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23"/>
  <sheetViews>
    <sheetView workbookViewId="0" showGridLines="0" defaultGridColor="1"/>
  </sheetViews>
  <sheetFormatPr defaultColWidth="16.3333" defaultRowHeight="19.9" customHeight="1" outlineLevelRow="0" outlineLevelCol="0"/>
  <cols>
    <col min="1" max="5" width="16.3516" style="161" customWidth="1"/>
    <col min="6" max="256" width="16.3516" style="161" customWidth="1"/>
  </cols>
  <sheetData>
    <row r="1" ht="30.55" customHeight="1">
      <c r="A1" t="s" s="162">
        <v>14</v>
      </c>
      <c r="B1" s="162"/>
      <c r="C1" s="162"/>
      <c r="D1" s="162"/>
      <c r="E1" s="162"/>
    </row>
    <row r="2" ht="19.7" customHeight="1">
      <c r="A2" s="121"/>
      <c r="B2" s="121"/>
      <c r="C2" s="121"/>
      <c r="D2" s="121"/>
      <c r="E2" s="121"/>
    </row>
    <row r="3" ht="22" customHeight="1">
      <c r="A3" s="163"/>
      <c r="B3" s="163"/>
      <c r="C3" s="164"/>
      <c r="D3" s="164"/>
      <c r="E3" s="164"/>
    </row>
    <row r="4" ht="22" customHeight="1">
      <c r="A4" t="s" s="165">
        <v>60</v>
      </c>
      <c r="B4" s="163"/>
      <c r="C4" s="164"/>
      <c r="D4" s="164"/>
      <c r="E4" s="164"/>
    </row>
    <row r="5" ht="22" customHeight="1">
      <c r="A5" t="s" s="165">
        <v>61</v>
      </c>
      <c r="B5" s="163"/>
      <c r="C5" s="164"/>
      <c r="D5" s="164"/>
      <c r="E5" s="164"/>
    </row>
    <row r="6" ht="22" customHeight="1">
      <c r="A6" s="163"/>
      <c r="B6" s="163"/>
      <c r="C6" s="164"/>
      <c r="D6" s="164"/>
      <c r="E6" s="164"/>
    </row>
    <row r="7" ht="22" customHeight="1">
      <c r="A7" s="163"/>
      <c r="B7" s="163"/>
      <c r="C7" s="164"/>
      <c r="D7" s="164"/>
      <c r="E7" s="164"/>
    </row>
    <row r="8" ht="22" customHeight="1">
      <c r="A8" t="s" s="166">
        <v>14</v>
      </c>
      <c r="B8" s="163"/>
      <c r="C8" s="164"/>
      <c r="D8" s="164"/>
      <c r="E8" s="164"/>
    </row>
    <row r="9" ht="22" customHeight="1">
      <c r="A9" t="s" s="163">
        <v>62</v>
      </c>
      <c r="B9" s="167">
        <v>104781.029376</v>
      </c>
      <c r="C9" s="164"/>
      <c r="D9" s="164"/>
      <c r="E9" s="164"/>
    </row>
    <row r="10" ht="22" customHeight="1">
      <c r="A10" t="s" s="163">
        <v>63</v>
      </c>
      <c r="B10" s="168">
        <f>B9/B21</f>
        <v>0.814269437259743</v>
      </c>
      <c r="C10" s="164"/>
      <c r="D10" s="164"/>
      <c r="E10" s="164"/>
    </row>
    <row r="11" ht="22.5" customHeight="1">
      <c r="A11" t="s" s="163">
        <v>64</v>
      </c>
      <c r="B11" s="169">
        <f>B12+B13*B14</f>
        <v>0.07679</v>
      </c>
      <c r="C11" s="164"/>
      <c r="D11" s="164"/>
      <c r="E11" s="164"/>
    </row>
    <row r="12" ht="23" customHeight="1">
      <c r="A12" t="s" s="170">
        <v>65</v>
      </c>
      <c r="B12" s="171">
        <v>0.03195</v>
      </c>
      <c r="C12" s="172"/>
      <c r="D12" s="164"/>
      <c r="E12" s="164"/>
    </row>
    <row r="13" ht="23" customHeight="1">
      <c r="A13" t="s" s="170">
        <v>66</v>
      </c>
      <c r="B13" s="173">
        <v>0.95</v>
      </c>
      <c r="C13" s="172"/>
      <c r="D13" s="164"/>
      <c r="E13" s="164"/>
    </row>
    <row r="14" ht="37" customHeight="1">
      <c r="A14" t="s" s="170">
        <v>67</v>
      </c>
      <c r="B14" s="171">
        <v>0.0472</v>
      </c>
      <c r="C14" s="172"/>
      <c r="D14" s="164"/>
      <c r="E14" s="164"/>
    </row>
    <row r="15" ht="22.5" customHeight="1">
      <c r="A15" s="163"/>
      <c r="B15" s="174"/>
      <c r="C15" s="164"/>
      <c r="D15" s="164"/>
      <c r="E15" s="164"/>
    </row>
    <row r="16" ht="22" customHeight="1">
      <c r="A16" t="s" s="163">
        <v>68</v>
      </c>
      <c r="B16" s="167">
        <v>23900</v>
      </c>
      <c r="C16" s="164"/>
      <c r="D16" s="164"/>
      <c r="E16" s="164"/>
    </row>
    <row r="17" ht="22.5" customHeight="1">
      <c r="A17" t="s" s="163">
        <v>69</v>
      </c>
      <c r="B17" s="175">
        <f>B16/B9</f>
        <v>0.228094724229482</v>
      </c>
      <c r="C17" s="164"/>
      <c r="D17" s="164"/>
      <c r="E17" s="164"/>
    </row>
    <row r="18" ht="23" customHeight="1">
      <c r="A18" t="s" s="170">
        <v>70</v>
      </c>
      <c r="B18" s="171">
        <v>0.0199</v>
      </c>
      <c r="C18" s="172"/>
      <c r="D18" s="164"/>
      <c r="E18" s="164"/>
    </row>
    <row r="19" ht="23" customHeight="1">
      <c r="A19" t="s" s="170">
        <v>71</v>
      </c>
      <c r="B19" s="171">
        <v>0.2161</v>
      </c>
      <c r="C19" s="172"/>
      <c r="D19" s="164"/>
      <c r="E19" s="164"/>
    </row>
    <row r="20" ht="22.5" customHeight="1">
      <c r="A20" s="163"/>
      <c r="B20" s="174"/>
      <c r="C20" s="164"/>
      <c r="D20" s="164"/>
      <c r="E20" s="164"/>
    </row>
    <row r="21" ht="22" customHeight="1">
      <c r="A21" t="s" s="163">
        <v>72</v>
      </c>
      <c r="B21" s="167">
        <f>B9+B16</f>
        <v>128681.029376</v>
      </c>
      <c r="C21" s="164"/>
      <c r="D21" s="164"/>
      <c r="E21" s="164"/>
    </row>
    <row r="22" ht="22" customHeight="1">
      <c r="A22" s="163"/>
      <c r="B22" s="163"/>
      <c r="C22" s="164"/>
      <c r="D22" s="164"/>
      <c r="E22" s="164"/>
    </row>
    <row r="23" ht="22" customHeight="1">
      <c r="A23" t="s" s="163">
        <v>14</v>
      </c>
      <c r="B23" s="176">
        <f>(B10*B11)+(B17*B18*(1-B19))</f>
        <v>0.06608593882821311</v>
      </c>
      <c r="C23" s="164"/>
      <c r="D23" s="164"/>
      <c r="E23" s="16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