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DCF" sheetId="2" r:id="rId5"/>
    <sheet name="WACC - ADBE" sheetId="3" r:id="rId6"/>
  </sheets>
</workbook>
</file>

<file path=xl/sharedStrings.xml><?xml version="1.0" encoding="utf-8"?>
<sst xmlns="http://schemas.openxmlformats.org/spreadsheetml/2006/main" uniqueCount="75">
  <si>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</si>
  <si>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</si>
  <si>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</si>
  <si>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</si>
  <si>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</si>
  <si>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DCF</t>
  </si>
  <si>
    <t>Model - DCF</t>
  </si>
  <si>
    <t>Ticker</t>
  </si>
  <si>
    <t>ADBE</t>
  </si>
  <si>
    <t>Implied Share Price</t>
  </si>
  <si>
    <t>Date</t>
  </si>
  <si>
    <t xml:space="preserve">Current Share Price </t>
  </si>
  <si>
    <t>Upside (Downside)</t>
  </si>
  <si>
    <t>X</t>
  </si>
  <si>
    <t xml:space="preserve">Assumptions </t>
  </si>
  <si>
    <t>Switches</t>
  </si>
  <si>
    <t>Conservative</t>
  </si>
  <si>
    <t>Street/ Base</t>
  </si>
  <si>
    <t>Optimistic</t>
  </si>
  <si>
    <t>Subscription</t>
  </si>
  <si>
    <t>Product</t>
  </si>
  <si>
    <t>Services &amp; Other</t>
  </si>
  <si>
    <t>EBIT</t>
  </si>
  <si>
    <t>Step</t>
  </si>
  <si>
    <t>WACC</t>
  </si>
  <si>
    <t>TGV</t>
  </si>
  <si>
    <t>Yahoo Street Estimates</t>
  </si>
  <si>
    <t>Revenue Build</t>
  </si>
  <si>
    <r>
      <rPr>
        <b val="1"/>
        <sz val="11"/>
        <color indexed="8"/>
        <rFont val="Calibri"/>
      </rPr>
      <t>Subscription</t>
    </r>
  </si>
  <si>
    <t xml:space="preserve">% growth </t>
  </si>
  <si>
    <t xml:space="preserve">   Conservative</t>
  </si>
  <si>
    <t xml:space="preserve">   Street/Base Case</t>
  </si>
  <si>
    <t xml:space="preserve">   Optimistic</t>
  </si>
  <si>
    <t>% of Revenue</t>
  </si>
  <si>
    <r>
      <rPr>
        <b val="1"/>
        <sz val="11"/>
        <color indexed="8"/>
        <rFont val="Calibri"/>
      </rPr>
      <t>Product</t>
    </r>
  </si>
  <si>
    <r>
      <rPr>
        <b val="1"/>
        <sz val="11"/>
        <color indexed="8"/>
        <rFont val="Calibri"/>
      </rPr>
      <t>Services &amp; Other</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</si>
  <si>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</si>
  <si>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</si>
  <si>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</si>
  <si>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</si>
  <si>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</si>
  <si>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</si>
  <si>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</si>
  <si>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</si>
  <si>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</si>
  <si>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</si>
  <si>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</si>
  <si>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</si>
  <si>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</si>
  <si>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</si>
  <si>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</si>
  <si>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</si>
  <si>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</si>
  <si>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</si>
  <si>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</si>
  <si>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</si>
  <si>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</si>
  <si>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</si>
  <si>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</si>
  <si>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</si>
  <si>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</si>
  <si>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ADBE</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</si>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</sst>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8">
    <numFmt numFmtId="0" formatCode="General"/>
    <numFmt numFmtId="59" formatCode="[$$-409]0.00"/>
    <numFmt numFmtId="60" formatCode="dd/mm/yyyy"/>
    <numFmt numFmtId="61" formatCode="0%_);\(0%\)"/>
    <numFmt numFmtId="62" formatCode="0.0%_);\(0.0%\)"/>
    <numFmt numFmtId="63" formatCode="0.0%"/>
    <numFmt numFmtId="64" formatCode="#,##0%_);\(#,##0%\)"/>
    <numFmt numFmtId="65"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9"/>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4">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diagonal/>
    </border>
    <border>
      <left>
        <color indexed="8"/>
      </left>
      <right/>
      <top>
        <color indexed="8"/>
      </top>
      <bottom>
        <color indexed="8"/>
      </bottom>
      <diagonal/>
    </border>
    <border>
      <left/>
      <right/>
      <top>
        <color indexed="8"/>
      </top>
      <bottom>
        <color indexed="8"/>
      </bottom>
      <diagonal/>
    </border>
    <border>
      <left>
        <color indexed="8"/>
      </left>
      <right/>
      <top>
        <color indexed="8"/>
      </top>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right/>
      <top/>
      <bottom style="thin">
        <color indexed="18"/>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right/>
      <top style="thin">
        <color indexed="18"/>
      </top>
      <bottom/>
      <diagonal/>
    </border>
    <border>
      <left/>
      <right>
        <color indexed="8"/>
      </right>
      <top>
        <color indexed="8"/>
      </top>
      <bottom>
        <color indexed="8"/>
      </bottom>
      <diagonal/>
    </border>
    <border>
      <left>
        <color indexed="8"/>
      </left>
      <right>
        <color indexed="8"/>
      </right>
      <top>
        <color indexed="8"/>
      </top>
      <bottom style="thin">
        <color indexed="18"/>
      </bottom>
      <diagonal/>
    </border>
    <border>
      <left>
        <color indexed="8"/>
      </left>
      <right/>
      <top/>
      <bottom style="thin">
        <color indexed="18"/>
      </bottom>
      <diagonal/>
    </border>
    <border>
      <left>
        <color indexed="8"/>
      </left>
      <right>
        <color indexed="8"/>
      </right>
      <top style="thin">
        <color indexed="18"/>
      </top>
      <bottom>
        <color indexed="8"/>
      </bottom>
      <diagonal/>
    </border>
    <border>
      <left>
        <color indexed="8"/>
      </left>
      <right/>
      <top style="thin">
        <color indexed="18"/>
      </top>
      <bottom>
        <color indexed="8"/>
      </bottom>
      <diagonal/>
    </border>
    <border>
      <left/>
      <right/>
      <top style="thin">
        <color indexed="18"/>
      </top>
      <bottom>
        <color indexed="8"/>
      </bottom>
      <diagonal/>
    </border>
    <border>
      <left/>
      <right>
        <color indexed="8"/>
      </right>
      <top style="thin">
        <color indexed="18"/>
      </top>
      <bottom>
        <color indexed="8"/>
      </bottom>
      <diagonal/>
    </border>
    <border>
      <left/>
      <right/>
      <top style="hair">
        <color indexed="12"/>
      </top>
      <bottom style="thin">
        <color indexed="18"/>
      </bottom>
      <diagonal/>
    </border>
    <border>
      <left>
        <color indexed="8"/>
      </left>
      <right/>
      <top style="thin">
        <color indexed="18"/>
      </top>
      <bottom/>
      <diagonal/>
    </border>
  </borders>
  <cellStyleXfs count="1">
    <xf numFmtId="0" fontId="0" applyNumberFormat="0" applyFont="1" applyFill="0" applyBorder="0" applyAlignment="1" applyProtection="0">
      <alignment vertical="top" wrapText="1"/>
    </xf>
  </cellStyleXfs>
  <cellXfs count="18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37" fontId="10"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64" fontId="11" borderId="28" applyNumberFormat="1" applyFont="1" applyFill="0" applyBorder="1" applyAlignment="1" applyProtection="0">
      <alignment vertical="top"/>
    </xf>
    <xf numFmtId="64" fontId="11" borderId="29" applyNumberFormat="1" applyFont="1" applyFill="0" applyBorder="1" applyAlignment="1" applyProtection="0">
      <alignment vertical="top"/>
    </xf>
    <xf numFmtId="61" fontId="11" borderId="29" applyNumberFormat="1" applyFont="1" applyFill="0" applyBorder="1" applyAlignment="1" applyProtection="0">
      <alignment vertical="top"/>
    </xf>
    <xf numFmtId="0" fontId="11" borderId="30"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1" applyNumberFormat="0" applyFont="1" applyFill="0" applyBorder="1" applyAlignment="1" applyProtection="0">
      <alignment vertical="top"/>
    </xf>
    <xf numFmtId="37" fontId="11" borderId="32" applyNumberFormat="1" applyFont="1" applyFill="0" applyBorder="1" applyAlignment="1" applyProtection="0">
      <alignment vertical="top"/>
    </xf>
    <xf numFmtId="64" fontId="11" borderId="32" applyNumberFormat="1" applyFont="1" applyFill="0" applyBorder="1" applyAlignment="1" applyProtection="0">
      <alignment vertical="top"/>
    </xf>
    <xf numFmtId="64" fontId="11" borderId="33"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4" applyNumberFormat="0" applyFont="1" applyFill="0" applyBorder="1" applyAlignment="1" applyProtection="0">
      <alignment vertical="top"/>
    </xf>
    <xf numFmtId="37" fontId="10" borderId="35"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6" applyNumberFormat="0" applyFont="1" applyFill="0" applyBorder="1" applyAlignment="1" applyProtection="0">
      <alignment vertical="top"/>
    </xf>
    <xf numFmtId="61" fontId="11" fillId="4" borderId="7" applyNumberFormat="1" applyFont="1" applyFill="1"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0" fontId="11" borderId="37" applyNumberFormat="0" applyFont="1" applyFill="0" applyBorder="1" applyAlignment="1" applyProtection="0">
      <alignment vertical="top"/>
    </xf>
    <xf numFmtId="0" fontId="6" borderId="37" applyNumberFormat="0" applyFont="1" applyFill="0" applyBorder="1" applyAlignment="1" applyProtection="0">
      <alignment vertical="top"/>
    </xf>
    <xf numFmtId="0" fontId="11" borderId="38" applyNumberFormat="0" applyFont="1" applyFill="0" applyBorder="1" applyAlignment="1" applyProtection="0">
      <alignment vertical="top"/>
    </xf>
    <xf numFmtId="0" fontId="11" borderId="39" applyNumberFormat="0" applyFont="1" applyFill="0" applyBorder="1" applyAlignment="1" applyProtection="0">
      <alignment vertical="top"/>
    </xf>
    <xf numFmtId="37" fontId="13" borderId="39" applyNumberFormat="1" applyFont="1" applyFill="0" applyBorder="1" applyAlignment="1" applyProtection="0">
      <alignment vertical="top"/>
    </xf>
    <xf numFmtId="64" fontId="11" borderId="39" applyNumberFormat="1" applyFont="1" applyFill="0" applyBorder="1" applyAlignment="1" applyProtection="0">
      <alignment vertical="top"/>
    </xf>
    <xf numFmtId="64" fontId="11" borderId="40" applyNumberFormat="1" applyFont="1" applyFill="0" applyBorder="1" applyAlignment="1" applyProtection="0">
      <alignment vertical="top"/>
    </xf>
    <xf numFmtId="0" fontId="6" borderId="41" applyNumberFormat="0" applyFont="1" applyFill="0" applyBorder="1" applyAlignment="1" applyProtection="0">
      <alignment vertical="top"/>
    </xf>
    <xf numFmtId="49" fontId="6" borderId="41" applyNumberFormat="1" applyFont="1" applyFill="0" applyBorder="1" applyAlignment="1" applyProtection="0">
      <alignment vertical="top"/>
    </xf>
    <xf numFmtId="0" fontId="6" borderId="42" applyNumberFormat="0" applyFont="1" applyFill="0" applyBorder="1" applyAlignment="1" applyProtection="0">
      <alignment vertical="top"/>
    </xf>
    <xf numFmtId="37" fontId="6" borderId="43" applyNumberFormat="1" applyFont="1" applyFill="0" applyBorder="1" applyAlignment="1" applyProtection="0">
      <alignment vertical="top"/>
    </xf>
    <xf numFmtId="37" fontId="6" borderId="44"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4" borderId="3" applyNumberFormat="1" applyFont="1" applyFill="0" applyBorder="1" applyAlignment="1" applyProtection="0">
      <alignment vertical="top"/>
    </xf>
    <xf numFmtId="0" fontId="14" borderId="3" applyNumberFormat="0" applyFont="1" applyFill="0" applyBorder="1" applyAlignment="1" applyProtection="0">
      <alignment vertical="top"/>
    </xf>
    <xf numFmtId="3" fontId="5" borderId="3" applyNumberFormat="1" applyFont="1" applyFill="0" applyBorder="1" applyAlignment="1" applyProtection="0">
      <alignment vertical="top"/>
    </xf>
    <xf numFmtId="3" fontId="10" borderId="3" applyNumberFormat="1" applyFont="1" applyFill="0" applyBorder="1" applyAlignment="1" applyProtection="0">
      <alignment vertical="top"/>
    </xf>
    <xf numFmtId="0" fontId="5" borderId="30" applyNumberFormat="0" applyFont="1" applyFill="0" applyBorder="1" applyAlignment="1" applyProtection="0">
      <alignment vertical="top"/>
    </xf>
    <xf numFmtId="0" fontId="6" borderId="30"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49" fontId="12" borderId="30"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0" fontId="5" borderId="32" applyNumberFormat="0" applyFont="1" applyFill="0" applyBorder="1" applyAlignment="1" applyProtection="0">
      <alignment vertical="top"/>
    </xf>
    <xf numFmtId="64" fontId="5" borderId="32" applyNumberFormat="1" applyFont="1" applyFill="0" applyBorder="1" applyAlignment="1" applyProtection="0">
      <alignment vertical="top"/>
    </xf>
    <xf numFmtId="37" fontId="6" borderId="34" applyNumberFormat="1" applyFont="1" applyFill="0" applyBorder="1" applyAlignment="1" applyProtection="0">
      <alignment vertical="top"/>
    </xf>
    <xf numFmtId="37" fontId="6" borderId="35" applyNumberFormat="1" applyFont="1" applyFill="0" applyBorder="1" applyAlignment="1" applyProtection="0">
      <alignment vertical="top"/>
    </xf>
    <xf numFmtId="37" fontId="6" borderId="45" applyNumberFormat="1" applyFont="1" applyFill="0" applyBorder="1" applyAlignment="1" applyProtection="0">
      <alignment vertical="top"/>
    </xf>
    <xf numFmtId="0" fontId="5" borderId="33" applyNumberFormat="0" applyFont="1" applyFill="0" applyBorder="1" applyAlignment="1" applyProtection="0">
      <alignment vertical="top"/>
    </xf>
    <xf numFmtId="64" fontId="5" borderId="33" applyNumberFormat="1" applyFont="1" applyFill="0" applyBorder="1" applyAlignment="1" applyProtection="0">
      <alignment vertical="top"/>
    </xf>
    <xf numFmtId="0" fontId="14" borderId="3" applyNumberFormat="1" applyFont="1" applyFill="0" applyBorder="1" applyAlignment="1" applyProtection="0">
      <alignment vertical="top"/>
    </xf>
    <xf numFmtId="64" fontId="5" borderId="14" applyNumberFormat="1" applyFont="1" applyFill="0" applyBorder="1" applyAlignment="1" applyProtection="0">
      <alignment vertical="top"/>
    </xf>
    <xf numFmtId="0" fontId="5" borderId="46" applyNumberFormat="0" applyFont="1" applyFill="0" applyBorder="1" applyAlignment="1" applyProtection="0">
      <alignment vertical="top"/>
    </xf>
    <xf numFmtId="0" fontId="6" borderId="46" applyNumberFormat="0" applyFont="1" applyFill="0" applyBorder="1" applyAlignment="1" applyProtection="0">
      <alignment vertical="top"/>
    </xf>
    <xf numFmtId="0" fontId="5" borderId="47" applyNumberFormat="0" applyFont="1" applyFill="0" applyBorder="1" applyAlignment="1" applyProtection="0">
      <alignment vertical="top"/>
    </xf>
    <xf numFmtId="0" fontId="5" borderId="40" applyNumberFormat="0" applyFont="1" applyFill="0" applyBorder="1" applyAlignment="1" applyProtection="0">
      <alignment vertical="top"/>
    </xf>
    <xf numFmtId="64" fontId="5" borderId="40" applyNumberFormat="1" applyFont="1" applyFill="0" applyBorder="1" applyAlignment="1" applyProtection="0">
      <alignment vertical="top"/>
    </xf>
    <xf numFmtId="0" fontId="5" borderId="48" applyNumberFormat="0" applyFont="1" applyFill="0" applyBorder="1" applyAlignment="1" applyProtection="0">
      <alignment vertical="top"/>
    </xf>
    <xf numFmtId="49" fontId="6" borderId="48" applyNumberFormat="1" applyFont="1" applyFill="0" applyBorder="1" applyAlignment="1" applyProtection="0">
      <alignment vertical="top"/>
    </xf>
    <xf numFmtId="0" fontId="5" borderId="49" applyNumberFormat="0" applyFont="1" applyFill="0" applyBorder="1" applyAlignment="1" applyProtection="0">
      <alignment vertical="top"/>
    </xf>
    <xf numFmtId="0" fontId="5" borderId="50" applyNumberFormat="0" applyFont="1" applyFill="0" applyBorder="1" applyAlignment="1" applyProtection="0">
      <alignment vertical="top"/>
    </xf>
    <xf numFmtId="37" fontId="6" borderId="50" applyNumberFormat="1" applyFont="1" applyFill="0" applyBorder="1" applyAlignment="1" applyProtection="0">
      <alignment vertical="top"/>
    </xf>
    <xf numFmtId="37" fontId="6" borderId="51" applyNumberFormat="1" applyFont="1" applyFill="0" applyBorder="1" applyAlignment="1" applyProtection="0">
      <alignment vertical="top"/>
    </xf>
    <xf numFmtId="0" fontId="5" borderId="36" applyNumberFormat="0" applyFont="1" applyFill="0" applyBorder="1" applyAlignment="1" applyProtection="0">
      <alignment vertical="top"/>
    </xf>
    <xf numFmtId="3" fontId="14" borderId="16" applyNumberFormat="1" applyFont="1" applyFill="0" applyBorder="1" applyAlignment="1" applyProtection="0">
      <alignment vertical="top"/>
    </xf>
    <xf numFmtId="37"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0" fontId="5" borderId="16" applyNumberFormat="1" applyFont="1" applyFill="0" applyBorder="1" applyAlignment="1" applyProtection="0">
      <alignment vertical="top"/>
    </xf>
    <xf numFmtId="3" fontId="5" borderId="16" applyNumberFormat="1" applyFont="1" applyFill="0" applyBorder="1" applyAlignment="1" applyProtection="0">
      <alignment vertical="top"/>
    </xf>
    <xf numFmtId="64" fontId="11" borderId="27" applyNumberFormat="1" applyFont="1" applyFill="0" applyBorder="1" applyAlignment="1" applyProtection="0">
      <alignment vertical="top"/>
    </xf>
    <xf numFmtId="64" fontId="5" borderId="52" applyNumberFormat="1" applyFont="1" applyFill="0" applyBorder="1" applyAlignment="1" applyProtection="0">
      <alignment vertical="top"/>
    </xf>
    <xf numFmtId="0" fontId="5" borderId="52" applyNumberFormat="0" applyFont="1" applyFill="0" applyBorder="1" applyAlignment="1" applyProtection="0">
      <alignment vertical="top"/>
    </xf>
    <xf numFmtId="0" fontId="6" borderId="48" applyNumberFormat="0" applyFont="1" applyFill="0" applyBorder="1" applyAlignment="1" applyProtection="0">
      <alignment vertical="top"/>
    </xf>
    <xf numFmtId="0" fontId="6" borderId="53" applyNumberFormat="0" applyFont="1" applyFill="0" applyBorder="1" applyAlignment="1" applyProtection="0">
      <alignment vertical="top"/>
    </xf>
    <xf numFmtId="0" fontId="6" borderId="44" applyNumberFormat="0" applyFont="1" applyFill="0" applyBorder="1" applyAlignment="1" applyProtection="0">
      <alignment vertical="top"/>
    </xf>
    <xf numFmtId="64" fontId="6" borderId="44" applyNumberFormat="1" applyFont="1" applyFill="0" applyBorder="1" applyAlignment="1" applyProtection="0">
      <alignment vertical="top"/>
    </xf>
    <xf numFmtId="49" fontId="6" borderId="46" applyNumberFormat="1" applyFont="1" applyFill="0" applyBorder="1" applyAlignment="1" applyProtection="0">
      <alignment vertical="top"/>
    </xf>
    <xf numFmtId="37" fontId="5" borderId="40" applyNumberFormat="1" applyFont="1" applyFill="0" applyBorder="1" applyAlignment="1" applyProtection="0">
      <alignment vertical="top"/>
    </xf>
    <xf numFmtId="64" fontId="5" borderId="50" applyNumberFormat="1" applyFont="1" applyFill="0" applyBorder="1" applyAlignment="1" applyProtection="0">
      <alignment vertical="top"/>
    </xf>
    <xf numFmtId="0" fontId="5" borderId="51" applyNumberFormat="0" applyFont="1" applyFill="0" applyBorder="1" applyAlignment="1" applyProtection="0">
      <alignment vertical="top"/>
    </xf>
    <xf numFmtId="0" fontId="5" borderId="35" applyNumberFormat="0" applyFont="1" applyFill="0" applyBorder="1" applyAlignment="1" applyProtection="0">
      <alignment vertical="top"/>
    </xf>
    <xf numFmtId="64" fontId="5" borderId="35" applyNumberFormat="1" applyFont="1" applyFill="0" applyBorder="1" applyAlignment="1" applyProtection="0">
      <alignment vertical="top"/>
    </xf>
    <xf numFmtId="3" fontId="5" borderId="45" applyNumberFormat="1" applyFont="1" applyFill="0" applyBorder="1" applyAlignment="1" applyProtection="0">
      <alignment vertical="top"/>
    </xf>
    <xf numFmtId="0" fontId="5" borderId="45" applyNumberFormat="0" applyFont="1" applyFill="0" applyBorder="1" applyAlignment="1" applyProtection="0">
      <alignment vertical="top"/>
    </xf>
    <xf numFmtId="0" fontId="15" borderId="1" applyNumberFormat="0" applyFont="1" applyFill="0" applyBorder="1" applyAlignment="1" applyProtection="0">
      <alignment vertical="top"/>
    </xf>
    <xf numFmtId="49" fontId="15" borderId="1" applyNumberFormat="1" applyFont="1" applyFill="0" applyBorder="1" applyAlignment="1" applyProtection="0">
      <alignment vertical="top"/>
    </xf>
    <xf numFmtId="3" fontId="15" borderId="1" applyNumberFormat="1" applyFont="1" applyFill="0" applyBorder="1" applyAlignment="1" applyProtection="0">
      <alignment vertical="top"/>
    </xf>
    <xf numFmtId="0" fontId="15" borderId="5" applyNumberFormat="0" applyFont="1" applyFill="0" applyBorder="1" applyAlignment="1" applyProtection="0">
      <alignment vertical="top"/>
    </xf>
    <xf numFmtId="49" fontId="15" borderId="5" applyNumberFormat="1" applyFont="1" applyFill="0" applyBorder="1" applyAlignment="1" applyProtection="0">
      <alignment vertical="top"/>
    </xf>
    <xf numFmtId="3" fontId="15" borderId="5" applyNumberFormat="1" applyFont="1" applyFill="0" applyBorder="1" applyAlignment="1" applyProtection="0">
      <alignment vertical="top"/>
    </xf>
    <xf numFmtId="37" fontId="15"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6"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7" fillId="6" borderId="3" applyNumberFormat="1" applyFont="1" applyFill="1" applyBorder="1" applyAlignment="1" applyProtection="0">
      <alignment vertical="top" wrapText="1"/>
    </xf>
    <xf numFmtId="49" fontId="18"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8" borderId="3" applyNumberFormat="1" applyFont="1" applyFill="0" applyBorder="1" applyAlignment="1" applyProtection="0">
      <alignment vertical="top"/>
    </xf>
    <xf numFmtId="0" fontId="18"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5"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a5a5a5"/>
      <rgbColor rgb="ff98185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24</v>
      </c>
      <c r="C11" s="3"/>
      <c r="D11" s="3"/>
    </row>
    <row r="12">
      <c r="B12" s="4"/>
      <c r="C12" t="s" s="4">
        <v>8</v>
      </c>
      <c r="D12" t="s" s="5">
        <v>61</v>
      </c>
    </row>
  </sheetData>
  <mergeCells count="1">
    <mergeCell ref="B3:D3"/>
  </mergeCells>
  <hyperlinks>
    <hyperlink ref="D10" location="'Model - DCF'!R2C1" tooltip="" display="Model - DCF"/>
    <hyperlink ref="D12" location="'WACC - ADBE'!R2C1" tooltip="" display="WACC - ADBE"/>
  </hyperlinks>
</worksheet>
</file>

<file path=xl/worksheets/sheet2.xml><?xml version="1.0" encoding="utf-8"?>
<worksheet xmlns:r="http://schemas.openxmlformats.org/officeDocument/2006/relationships" xmlns="http://schemas.openxmlformats.org/spreadsheetml/2006/main">
  <sheetPr>
    <pageSetUpPr fitToPage="1"/>
  </sheetPr>
  <dimension ref="A2:T111"/>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T109</f>
        <v>539.517647461410</v>
      </c>
      <c r="G3" s="19"/>
      <c r="H3" s="20"/>
      <c r="I3" s="21"/>
      <c r="J3" s="11"/>
      <c r="K3" s="11"/>
      <c r="L3" s="11"/>
      <c r="M3" s="11"/>
      <c r="N3" s="11"/>
      <c r="O3" s="11"/>
      <c r="P3" s="11"/>
      <c r="Q3" s="11"/>
      <c r="R3" s="11"/>
      <c r="S3" s="11"/>
      <c r="T3" s="11"/>
    </row>
    <row r="4" ht="23" customHeight="1">
      <c r="A4" s="13"/>
      <c r="B4" t="s" s="14">
        <v>10</v>
      </c>
      <c r="C4" s="22">
        <v>43357</v>
      </c>
      <c r="D4" s="16"/>
      <c r="E4" t="s" s="17">
        <v>11</v>
      </c>
      <c r="F4" s="18">
        <v>309.13</v>
      </c>
      <c r="G4" s="19"/>
      <c r="H4" t="s" s="17">
        <v>12</v>
      </c>
      <c r="I4" s="23">
        <f>F3/F4-1</f>
        <v>0.745277544920939</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0.17</v>
      </c>
      <c r="H9" s="40"/>
      <c r="I9" s="39">
        <v>1.2</v>
      </c>
      <c r="J9" s="16"/>
      <c r="K9" s="11"/>
      <c r="L9" s="11"/>
      <c r="M9" s="11"/>
      <c r="N9" s="11"/>
      <c r="O9" s="11"/>
      <c r="P9" s="11"/>
      <c r="Q9" s="11"/>
      <c r="R9" s="11"/>
      <c r="S9" s="11"/>
      <c r="T9" s="11"/>
    </row>
    <row r="10" ht="22" customHeight="1">
      <c r="A10" s="13"/>
      <c r="B10" t="s" s="14">
        <v>20</v>
      </c>
      <c r="C10" s="37">
        <v>2</v>
      </c>
      <c r="D10" s="38"/>
      <c r="E10" s="42">
        <v>0.9</v>
      </c>
      <c r="F10" s="38"/>
      <c r="G10" s="43">
        <v>0.04</v>
      </c>
      <c r="H10" s="38"/>
      <c r="I10" s="42">
        <v>1.1</v>
      </c>
      <c r="J10" s="16"/>
      <c r="K10" s="11"/>
      <c r="L10" s="11"/>
      <c r="M10" s="11"/>
      <c r="N10" s="11"/>
      <c r="O10" s="11"/>
      <c r="P10" s="11"/>
      <c r="Q10" s="11"/>
      <c r="R10" s="11"/>
      <c r="S10" s="11"/>
      <c r="T10" s="11"/>
    </row>
    <row r="11" ht="22" customHeight="1">
      <c r="A11" s="13"/>
      <c r="B11" t="s" s="44">
        <v>21</v>
      </c>
      <c r="C11" s="45">
        <v>3</v>
      </c>
      <c r="D11" s="38"/>
      <c r="E11" s="46">
        <v>0.9</v>
      </c>
      <c r="F11" s="38"/>
      <c r="G11" s="47">
        <v>0.14</v>
      </c>
      <c r="H11" s="38"/>
      <c r="I11" s="46">
        <v>1.1</v>
      </c>
      <c r="J11" s="16"/>
      <c r="K11" s="11"/>
      <c r="L11" s="11"/>
      <c r="M11" s="11"/>
      <c r="N11" s="11"/>
      <c r="O11" s="11"/>
      <c r="P11" s="11"/>
      <c r="Q11" s="11"/>
      <c r="R11" s="11"/>
      <c r="S11" s="11"/>
      <c r="T11" s="11"/>
    </row>
    <row r="12" ht="22" customHeight="1">
      <c r="A12" s="13"/>
      <c r="B12" s="48"/>
      <c r="C12" s="49"/>
      <c r="D12" s="11"/>
      <c r="E12" s="50"/>
      <c r="F12" s="11"/>
      <c r="G12" s="50"/>
      <c r="H12" s="11"/>
      <c r="I12" s="50"/>
      <c r="J12" s="11"/>
      <c r="K12" s="11"/>
      <c r="L12" s="11"/>
      <c r="M12" s="11"/>
      <c r="N12" s="11"/>
      <c r="O12" s="11"/>
      <c r="P12" s="11"/>
      <c r="Q12" s="11"/>
      <c r="R12" s="11"/>
      <c r="S12" s="11"/>
      <c r="T12" s="11"/>
    </row>
    <row r="13" ht="23" customHeight="1">
      <c r="A13" s="13"/>
      <c r="B13" t="s" s="51">
        <v>22</v>
      </c>
      <c r="C13" s="37">
        <v>3</v>
      </c>
      <c r="D13" s="38"/>
      <c r="E13" s="42">
        <v>0.9</v>
      </c>
      <c r="F13" s="38"/>
      <c r="G13" s="42">
        <v>0.3</v>
      </c>
      <c r="H13" s="38"/>
      <c r="I13" s="42">
        <v>1.1</v>
      </c>
      <c r="J13" s="16"/>
      <c r="K13" t="s" s="52">
        <v>23</v>
      </c>
      <c r="L13" s="11"/>
      <c r="M13" s="11"/>
      <c r="N13" s="11"/>
      <c r="O13" s="11"/>
      <c r="P13" s="11"/>
      <c r="Q13" s="11"/>
      <c r="R13" s="11"/>
      <c r="S13" s="11"/>
      <c r="T13" s="11"/>
    </row>
    <row r="14" ht="23" customHeight="1">
      <c r="A14" s="13"/>
      <c r="B14" t="s" s="51">
        <v>24</v>
      </c>
      <c r="C14" s="37">
        <v>3</v>
      </c>
      <c r="D14" s="38"/>
      <c r="E14" s="53">
        <f>G14+$K$14</f>
        <v>0.0910493638301217</v>
      </c>
      <c r="F14" s="38"/>
      <c r="G14" s="54">
        <f>'WACC - ADBE'!B21</f>
        <v>0.0860493638301217</v>
      </c>
      <c r="H14" s="38"/>
      <c r="I14" s="54">
        <f>G14-$K$14</f>
        <v>0.08104936383012171</v>
      </c>
      <c r="J14" s="38"/>
      <c r="K14" s="55">
        <v>0.005</v>
      </c>
      <c r="L14" s="16"/>
      <c r="M14" s="11"/>
      <c r="N14" s="11"/>
      <c r="O14" s="11"/>
      <c r="P14" s="11"/>
      <c r="Q14" s="11"/>
      <c r="R14" s="11"/>
      <c r="S14" s="11"/>
      <c r="T14" s="11"/>
    </row>
    <row r="15" ht="23" customHeight="1">
      <c r="A15" s="13"/>
      <c r="B15" t="s" s="51">
        <v>25</v>
      </c>
      <c r="C15" s="45">
        <v>3</v>
      </c>
      <c r="D15" s="38"/>
      <c r="E15" s="56">
        <f>G15-$K$15</f>
        <v>0.015</v>
      </c>
      <c r="F15" s="38"/>
      <c r="G15" s="47">
        <v>0.02</v>
      </c>
      <c r="H15" s="38"/>
      <c r="I15" s="46">
        <f>G15+$K$15</f>
        <v>0.025</v>
      </c>
      <c r="J15" s="38"/>
      <c r="K15" s="55">
        <v>0.005</v>
      </c>
      <c r="L15" s="16"/>
      <c r="M15" s="11"/>
      <c r="N15" s="11"/>
      <c r="O15" s="11"/>
      <c r="P15" s="11"/>
      <c r="Q15" s="11"/>
      <c r="R15" s="11"/>
      <c r="S15" s="11"/>
      <c r="T15" s="11"/>
    </row>
    <row r="16" ht="22" customHeight="1">
      <c r="A16" s="13"/>
      <c r="B16" s="48"/>
      <c r="C16" s="49"/>
      <c r="D16" s="11"/>
      <c r="E16" s="27"/>
      <c r="F16" s="11"/>
      <c r="G16" s="27"/>
      <c r="H16" s="11"/>
      <c r="I16" s="27"/>
      <c r="J16" s="11"/>
      <c r="K16" s="57"/>
      <c r="L16" s="11"/>
      <c r="M16" s="11"/>
      <c r="N16" s="11"/>
      <c r="O16" s="11"/>
      <c r="P16" s="11"/>
      <c r="Q16" s="11"/>
      <c r="R16" s="11"/>
      <c r="S16" s="11"/>
      <c r="T16" s="11"/>
    </row>
    <row r="17" ht="22" customHeight="1">
      <c r="A17" s="13"/>
      <c r="B17" t="s" s="51">
        <v>24</v>
      </c>
      <c r="C17" s="54">
        <f>CHOOSE(C14,E14,G14,I14)</f>
        <v>0.08104936383012171</v>
      </c>
      <c r="D17" s="16"/>
      <c r="E17" s="11"/>
      <c r="F17" s="11"/>
      <c r="G17" s="11"/>
      <c r="H17" s="11"/>
      <c r="I17" s="11"/>
      <c r="J17" s="11"/>
      <c r="K17" s="11"/>
      <c r="L17" s="11"/>
      <c r="M17" s="11"/>
      <c r="N17" s="11"/>
      <c r="O17" s="11"/>
      <c r="P17" s="11"/>
      <c r="Q17" s="11"/>
      <c r="R17" s="11"/>
      <c r="S17" s="11"/>
      <c r="T17" s="11"/>
    </row>
    <row r="18" ht="22" customHeight="1">
      <c r="A18" s="13"/>
      <c r="B18" t="s" s="51">
        <v>25</v>
      </c>
      <c r="C18" s="46">
        <f>CHOOSE(C15,E15,G15,I15)</f>
        <v>0.025</v>
      </c>
      <c r="D18" s="16"/>
      <c r="E18" s="11"/>
      <c r="F18" s="11"/>
      <c r="G18" s="11"/>
      <c r="H18" s="11"/>
      <c r="I18" s="11"/>
      <c r="J18" s="11"/>
      <c r="K18" s="11"/>
      <c r="L18" s="11"/>
      <c r="M18" s="11"/>
      <c r="N18" s="11"/>
      <c r="O18" s="11"/>
      <c r="P18" s="11"/>
      <c r="Q18" s="11"/>
      <c r="R18" s="11"/>
      <c r="S18" s="11"/>
      <c r="T18" s="11"/>
    </row>
    <row r="19" ht="21.5" customHeight="1">
      <c r="A19" s="13"/>
      <c r="B19" s="9"/>
      <c r="C19" s="58"/>
      <c r="D19" s="11"/>
      <c r="E19" s="11"/>
      <c r="F19" s="11"/>
      <c r="G19" s="11"/>
      <c r="H19" s="11"/>
      <c r="I19" s="11"/>
      <c r="J19" s="11"/>
      <c r="K19" t="s" s="59">
        <v>26</v>
      </c>
      <c r="L19" s="36"/>
      <c r="M19" s="11"/>
      <c r="N19" s="11"/>
      <c r="O19" s="11"/>
      <c r="P19" s="11"/>
      <c r="Q19" s="11"/>
      <c r="R19" s="11"/>
      <c r="S19" s="11"/>
      <c r="T19" s="11"/>
    </row>
    <row r="20" ht="21" customHeight="1">
      <c r="A20" t="s" s="29">
        <v>13</v>
      </c>
      <c r="B20" t="s" s="30">
        <v>27</v>
      </c>
      <c r="C20" s="31"/>
      <c r="D20" s="60">
        <v>2015</v>
      </c>
      <c r="E20" s="61">
        <v>2016</v>
      </c>
      <c r="F20" s="61">
        <v>2017</v>
      </c>
      <c r="G20" s="61">
        <v>2018</v>
      </c>
      <c r="H20" s="61">
        <v>2019</v>
      </c>
      <c r="I20" s="61">
        <v>2020</v>
      </c>
      <c r="J20" s="61">
        <v>2021</v>
      </c>
      <c r="K20" s="61">
        <v>2022</v>
      </c>
      <c r="L20" s="61">
        <v>2023</v>
      </c>
      <c r="M20" s="61">
        <v>2024</v>
      </c>
      <c r="N20" s="61">
        <v>2025</v>
      </c>
      <c r="O20" s="61">
        <v>2026</v>
      </c>
      <c r="P20" s="61">
        <v>2027</v>
      </c>
      <c r="Q20" s="61">
        <v>2028</v>
      </c>
      <c r="R20" s="61">
        <v>2029</v>
      </c>
      <c r="S20" s="61">
        <v>2030</v>
      </c>
      <c r="T20" s="61">
        <v>2031</v>
      </c>
    </row>
    <row r="21" ht="21" customHeight="1">
      <c r="A21" s="13"/>
      <c r="B21" s="25"/>
      <c r="C21" s="28"/>
      <c r="D21" s="11"/>
      <c r="E21" s="62"/>
      <c r="F21" s="62"/>
      <c r="G21" s="62"/>
      <c r="H21" s="62"/>
      <c r="I21" s="62"/>
      <c r="J21" s="63"/>
      <c r="K21" s="62"/>
      <c r="L21" s="62"/>
      <c r="M21" s="62"/>
      <c r="N21" s="62"/>
      <c r="O21" s="62"/>
      <c r="P21" s="62"/>
      <c r="Q21" s="62"/>
      <c r="R21" s="62"/>
      <c r="S21" s="62"/>
      <c r="T21" s="62"/>
    </row>
    <row r="22" ht="21" customHeight="1">
      <c r="A22" s="13"/>
      <c r="B22" t="s" s="34">
        <f>$B9</f>
        <v>28</v>
      </c>
      <c r="C22" s="28"/>
      <c r="D22" s="64">
        <v>3223.9</v>
      </c>
      <c r="E22" s="64">
        <v>4584.8</v>
      </c>
      <c r="F22" s="64">
        <v>6133.9</v>
      </c>
      <c r="G22" s="64">
        <v>7922.2</v>
      </c>
      <c r="H22" s="64">
        <v>9634</v>
      </c>
      <c r="I22" s="64">
        <v>11626</v>
      </c>
      <c r="J22" s="64">
        <v>14573</v>
      </c>
      <c r="K22" s="62">
        <f>J22*(1+K23)</f>
        <v>16307.187</v>
      </c>
      <c r="L22" s="62">
        <f>K22*(1+L23)</f>
        <v>18541.271619</v>
      </c>
      <c r="M22" s="62">
        <f>L22*(1+M23)</f>
        <v>21157.9085762314</v>
      </c>
      <c r="N22" s="62">
        <f>M22*(1+N23)</f>
        <v>24231.094796929</v>
      </c>
      <c r="O22" s="62">
        <f>N22*(1+O23)</f>
        <v>27850.6145822203</v>
      </c>
      <c r="P22" s="62">
        <f>O22*(1+P23)</f>
        <v>32125.6839205911</v>
      </c>
      <c r="Q22" s="62">
        <f>P22*(1+Q23)</f>
        <v>37189.4948485743</v>
      </c>
      <c r="R22" s="62">
        <f>Q22*(1+R23)</f>
        <v>43204.8956403312</v>
      </c>
      <c r="S22" s="62">
        <f>R22*(1+S23)</f>
        <v>50371.5077046711</v>
      </c>
      <c r="T22" s="62">
        <f>S22*(1+T23)</f>
        <v>58934.6640144652</v>
      </c>
    </row>
    <row r="23" ht="21.5" customHeight="1">
      <c r="A23" s="65"/>
      <c r="B23" t="s" s="66">
        <v>29</v>
      </c>
      <c r="C23" s="67"/>
      <c r="D23" s="68"/>
      <c r="E23" s="69">
        <f>E22/D22-1</f>
        <v>0.422128477930457</v>
      </c>
      <c r="F23" s="69">
        <f>F22/E22-1</f>
        <v>0.337877333798639</v>
      </c>
      <c r="G23" s="69">
        <f>G22/F22-1</f>
        <v>0.291543716069711</v>
      </c>
      <c r="H23" s="69">
        <f>H22/G22-1</f>
        <v>0.216076342430133</v>
      </c>
      <c r="I23" s="69">
        <f>I22/H22-1</f>
        <v>0.206767697737181</v>
      </c>
      <c r="J23" s="69">
        <f>J22/I22-1</f>
        <v>0.253483571305694</v>
      </c>
      <c r="K23" s="70">
        <f>OFFSET(K23,$C$9,0)</f>
        <v>0.119</v>
      </c>
      <c r="L23" s="70">
        <f>OFFSET(L23,$C$9,0)</f>
        <v>0.137</v>
      </c>
      <c r="M23" s="70">
        <f>OFFSET(M23,$C$9,0)</f>
        <v>0.141125</v>
      </c>
      <c r="N23" s="70">
        <f>OFFSET(N23,$C$9,0)</f>
        <v>0.14525</v>
      </c>
      <c r="O23" s="70">
        <f>OFFSET(O23,$C$9,0)</f>
        <v>0.149375</v>
      </c>
      <c r="P23" s="70">
        <f>OFFSET(P23,$C$9,0)</f>
        <v>0.1535</v>
      </c>
      <c r="Q23" s="70">
        <f>OFFSET(Q23,$C$9,0)</f>
        <v>0.157625</v>
      </c>
      <c r="R23" s="70">
        <f>OFFSET(R23,$C$9,0)</f>
        <v>0.16175</v>
      </c>
      <c r="S23" s="70">
        <f>OFFSET(S23,$C$9,0)</f>
        <v>0.165875</v>
      </c>
      <c r="T23" s="70">
        <f>OFFSET(T23,$C$9,0)</f>
        <v>0.17</v>
      </c>
    </row>
    <row r="24" ht="22" customHeight="1">
      <c r="A24" s="13"/>
      <c r="B24" t="s" s="34">
        <v>30</v>
      </c>
      <c r="C24" s="28"/>
      <c r="D24" s="11"/>
      <c r="E24" s="64"/>
      <c r="F24" s="64"/>
      <c r="G24" s="64"/>
      <c r="H24" s="64"/>
      <c r="I24" s="64"/>
      <c r="J24" s="71"/>
      <c r="K24" s="72">
        <f>K25</f>
        <v>0.119</v>
      </c>
      <c r="L24" s="72">
        <f>L25</f>
        <v>0.137</v>
      </c>
      <c r="M24" s="72">
        <f>M25*$E$9</f>
        <v>0.1129</v>
      </c>
      <c r="N24" s="72">
        <f>N25*$E$9</f>
        <v>0.1162</v>
      </c>
      <c r="O24" s="72">
        <f>O25*$E$9</f>
        <v>0.1195</v>
      </c>
      <c r="P24" s="72">
        <f>P25*$E$9</f>
        <v>0.1228</v>
      </c>
      <c r="Q24" s="72">
        <f>Q25*$E$9</f>
        <v>0.1261</v>
      </c>
      <c r="R24" s="72">
        <f>R25*$E$9</f>
        <v>0.1294</v>
      </c>
      <c r="S24" s="72">
        <f>S25*$E$9</f>
        <v>0.1327</v>
      </c>
      <c r="T24" s="72">
        <f>T25*$E$9</f>
        <v>0.136</v>
      </c>
    </row>
    <row r="25" ht="22" customHeight="1">
      <c r="A25" s="13"/>
      <c r="B25" t="s" s="34">
        <v>31</v>
      </c>
      <c r="C25" s="28"/>
      <c r="D25" s="11"/>
      <c r="E25" s="64"/>
      <c r="F25" s="64"/>
      <c r="G25" s="64"/>
      <c r="H25" s="64"/>
      <c r="I25" s="64"/>
      <c r="J25" s="71"/>
      <c r="K25" s="72">
        <v>0.119</v>
      </c>
      <c r="L25" s="72">
        <v>0.137</v>
      </c>
      <c r="M25" s="72">
        <f>L25-(L25-$T$25)/($T$20-L20)</f>
        <v>0.141125</v>
      </c>
      <c r="N25" s="72">
        <f>M25-(M25-$T$25)/($T$20-M20)</f>
        <v>0.14525</v>
      </c>
      <c r="O25" s="72">
        <f>N25-(N25-$T$25)/($T$20-N20)</f>
        <v>0.149375</v>
      </c>
      <c r="P25" s="72">
        <f>O25-(O25-$T$25)/($T$20-O20)</f>
        <v>0.1535</v>
      </c>
      <c r="Q25" s="72">
        <f>P25-(P25-$T$25)/($T$20-P20)</f>
        <v>0.157625</v>
      </c>
      <c r="R25" s="72">
        <f>Q25-(Q25-$T$25)/($T$20-Q20)</f>
        <v>0.16175</v>
      </c>
      <c r="S25" s="72">
        <f>R25-(R25-$T$25)/($T$20-R20)</f>
        <v>0.165875</v>
      </c>
      <c r="T25" s="72">
        <f>G9</f>
        <v>0.17</v>
      </c>
    </row>
    <row r="26" ht="22" customHeight="1">
      <c r="A26" s="13"/>
      <c r="B26" t="s" s="34">
        <v>32</v>
      </c>
      <c r="C26" s="28"/>
      <c r="D26" s="11"/>
      <c r="E26" s="64"/>
      <c r="F26" s="64"/>
      <c r="G26" s="64"/>
      <c r="H26" s="64"/>
      <c r="I26" s="64"/>
      <c r="J26" s="71"/>
      <c r="K26" s="72">
        <f>K25</f>
        <v>0.119</v>
      </c>
      <c r="L26" s="72">
        <f>L25</f>
        <v>0.137</v>
      </c>
      <c r="M26" s="72">
        <f>M25*$I$9</f>
        <v>0.16935</v>
      </c>
      <c r="N26" s="72">
        <f>N25*$I$9</f>
        <v>0.1743</v>
      </c>
      <c r="O26" s="72">
        <f>O25*$I$9</f>
        <v>0.17925</v>
      </c>
      <c r="P26" s="72">
        <f>P25*$I$9</f>
        <v>0.1842</v>
      </c>
      <c r="Q26" s="72">
        <f>Q25*$I$9</f>
        <v>0.18915</v>
      </c>
      <c r="R26" s="72">
        <f>R25*$I$9</f>
        <v>0.1941</v>
      </c>
      <c r="S26" s="72">
        <f>S25*$I$9</f>
        <v>0.19905</v>
      </c>
      <c r="T26" s="72">
        <f>T25*$I$9</f>
        <v>0.204</v>
      </c>
    </row>
    <row r="27" ht="21.5" customHeight="1">
      <c r="A27" s="13"/>
      <c r="B27" t="s" s="34">
        <v>33</v>
      </c>
      <c r="C27" s="28"/>
      <c r="D27" s="69">
        <f>D22/D43</f>
        <v>0.672276092169742</v>
      </c>
      <c r="E27" s="69">
        <f>E22/E43</f>
        <v>0.783137469253895</v>
      </c>
      <c r="F27" s="69">
        <f>F22/F43</f>
        <v>0.840087653221941</v>
      </c>
      <c r="G27" s="69">
        <f>G22/G43</f>
        <v>0.877320044296788</v>
      </c>
      <c r="H27" s="69">
        <f>H22/H43</f>
        <v>0.862411601468087</v>
      </c>
      <c r="I27" s="69">
        <f>I22/I43</f>
        <v>0.903481504507305</v>
      </c>
      <c r="J27" s="73">
        <f>J22/J43</f>
        <v>0.923218245169465</v>
      </c>
      <c r="K27" s="74">
        <f>K22/K43</f>
        <v>0.963313061872025</v>
      </c>
      <c r="L27" s="75">
        <f>AVERAGE(K27,J27,I27)</f>
        <v>0.930004270516265</v>
      </c>
      <c r="M27" s="75"/>
      <c r="N27" s="75"/>
      <c r="O27" s="75"/>
      <c r="P27" s="75"/>
      <c r="Q27" s="75"/>
      <c r="R27" s="75"/>
      <c r="S27" s="75"/>
      <c r="T27" s="75"/>
    </row>
    <row r="28" ht="21" customHeight="1">
      <c r="A28" s="76"/>
      <c r="B28" s="77"/>
      <c r="C28" s="78"/>
      <c r="D28" s="68"/>
      <c r="E28" s="79"/>
      <c r="F28" s="80"/>
      <c r="G28" s="80"/>
      <c r="H28" s="80"/>
      <c r="I28" s="80"/>
      <c r="J28" s="80"/>
      <c r="K28" s="81"/>
      <c r="L28" s="81"/>
      <c r="M28" s="81"/>
      <c r="N28" s="81"/>
      <c r="O28" s="81"/>
      <c r="P28" s="81"/>
      <c r="Q28" s="81"/>
      <c r="R28" s="81"/>
      <c r="S28" s="81"/>
      <c r="T28" s="81"/>
    </row>
    <row r="29" ht="21" customHeight="1">
      <c r="A29" s="82"/>
      <c r="B29" t="s" s="34">
        <f>$B10</f>
        <v>34</v>
      </c>
      <c r="C29" s="83"/>
      <c r="D29" s="64">
        <v>1125.1</v>
      </c>
      <c r="E29" s="84">
        <v>800.5</v>
      </c>
      <c r="F29" s="84">
        <v>706.7</v>
      </c>
      <c r="G29" s="84">
        <v>622.1</v>
      </c>
      <c r="H29" s="84">
        <v>648</v>
      </c>
      <c r="I29" s="84">
        <v>507</v>
      </c>
      <c r="J29" s="84">
        <v>555</v>
      </c>
      <c r="K29" s="62">
        <f>J29*(1+K30)</f>
        <v>621.045</v>
      </c>
      <c r="L29" s="62">
        <f>K29*(1+L30)</f>
        <v>706.128165</v>
      </c>
      <c r="M29" s="62">
        <f>L29*(1+M30)</f>
        <v>794.305919604375</v>
      </c>
      <c r="N29" s="62">
        <f>M29*(1+N30)</f>
        <v>883.863912039768</v>
      </c>
      <c r="O29" s="62">
        <f>N29*(1+O30)</f>
        <v>972.802718188770</v>
      </c>
      <c r="P29" s="62">
        <f>O29*(1+P30)</f>
        <v>1058.895758748480</v>
      </c>
      <c r="Q29" s="62">
        <f>P29*(1+Q30)</f>
        <v>1139.7689223229</v>
      </c>
      <c r="R29" s="62">
        <f>Q29*(1+R30)</f>
        <v>1212.999075582150</v>
      </c>
      <c r="S29" s="62">
        <f>R29*(1+S30)</f>
        <v>1276.226652396870</v>
      </c>
      <c r="T29" s="62">
        <f>S29*(1+T30)</f>
        <v>1327.275718492740</v>
      </c>
    </row>
    <row r="30" ht="21.5" customHeight="1">
      <c r="A30" s="85"/>
      <c r="B30" t="s" s="66">
        <v>29</v>
      </c>
      <c r="C30" s="86"/>
      <c r="D30" s="68"/>
      <c r="E30" s="81">
        <f>E29/D29-1</f>
        <v>-0.288507688205493</v>
      </c>
      <c r="F30" s="81">
        <f>F29/E29-1</f>
        <v>-0.117176764522174</v>
      </c>
      <c r="G30" s="81">
        <f>G29/F29-1</f>
        <v>-0.11971133437102</v>
      </c>
      <c r="H30" s="81">
        <f>H29/G29-1</f>
        <v>0.0416331779456679</v>
      </c>
      <c r="I30" s="81">
        <f>I29/H29-1</f>
        <v>-0.217592592592593</v>
      </c>
      <c r="J30" s="81">
        <f>J29/I29-1</f>
        <v>0.0946745562130178</v>
      </c>
      <c r="K30" s="70">
        <f>OFFSET(K30,$C$10,0)</f>
        <v>0.119</v>
      </c>
      <c r="L30" s="70">
        <f>OFFSET(L30,$C$10,0)</f>
        <v>0.137</v>
      </c>
      <c r="M30" s="70">
        <f>OFFSET(M30,$C$10,0)</f>
        <v>0.124875</v>
      </c>
      <c r="N30" s="70">
        <f>OFFSET(N30,$C$10,0)</f>
        <v>0.11275</v>
      </c>
      <c r="O30" s="70">
        <f>OFFSET(O30,$C$10,0)</f>
        <v>0.100625</v>
      </c>
      <c r="P30" s="70">
        <f>OFFSET(P30,$C$10,0)</f>
        <v>0.0885</v>
      </c>
      <c r="Q30" s="70">
        <f>OFFSET(Q30,$C$10,0)</f>
        <v>0.076375</v>
      </c>
      <c r="R30" s="70">
        <f>OFFSET(R30,$C$10,0)</f>
        <v>0.06425</v>
      </c>
      <c r="S30" s="70">
        <f>OFFSET(S30,$C$10,0)</f>
        <v>0.052125</v>
      </c>
      <c r="T30" s="70">
        <f>OFFSET(T30,$C$10,0)</f>
        <v>0.04</v>
      </c>
    </row>
    <row r="31" ht="22" customHeight="1">
      <c r="A31" s="13"/>
      <c r="B31" t="s" s="34">
        <v>30</v>
      </c>
      <c r="C31" s="28"/>
      <c r="D31" s="11"/>
      <c r="E31" s="64"/>
      <c r="F31" s="64"/>
      <c r="G31" s="64"/>
      <c r="H31" s="64"/>
      <c r="I31" s="64"/>
      <c r="J31" s="71"/>
      <c r="K31" s="72">
        <f>K32</f>
        <v>0.119</v>
      </c>
      <c r="L31" s="72">
        <f>L32</f>
        <v>0.137</v>
      </c>
      <c r="M31" s="72">
        <f>M32*$E$10</f>
        <v>0.1123875</v>
      </c>
      <c r="N31" s="72">
        <f>N32*$E$10</f>
        <v>0.101475</v>
      </c>
      <c r="O31" s="72">
        <f>O32*$E$10</f>
        <v>0.0905625</v>
      </c>
      <c r="P31" s="72">
        <f>P32*$E$10</f>
        <v>0.07965</v>
      </c>
      <c r="Q31" s="72">
        <f>Q32*$E$10</f>
        <v>0.06873750000000001</v>
      </c>
      <c r="R31" s="72">
        <f>R32*$E$10</f>
        <v>0.057825</v>
      </c>
      <c r="S31" s="72">
        <f>S32*$E$10</f>
        <v>0.0469125</v>
      </c>
      <c r="T31" s="72">
        <f>T32*$E$10</f>
        <v>0.036</v>
      </c>
    </row>
    <row r="32" ht="22" customHeight="1">
      <c r="A32" s="13"/>
      <c r="B32" t="s" s="34">
        <v>31</v>
      </c>
      <c r="C32" s="28"/>
      <c r="D32" s="11"/>
      <c r="E32" s="64"/>
      <c r="F32" s="64"/>
      <c r="G32" s="64"/>
      <c r="H32" s="64"/>
      <c r="I32" s="64"/>
      <c r="J32" s="71"/>
      <c r="K32" s="87">
        <v>0.119</v>
      </c>
      <c r="L32" s="87">
        <v>0.137</v>
      </c>
      <c r="M32" s="72">
        <f>L32-(L32-$T$32)/($T$20-L20)</f>
        <v>0.124875</v>
      </c>
      <c r="N32" s="72">
        <f>M32-(M32-$T$32)/($T$20-M20)</f>
        <v>0.11275</v>
      </c>
      <c r="O32" s="72">
        <f>N32-(N32-$T$32)/($T$20-N20)</f>
        <v>0.100625</v>
      </c>
      <c r="P32" s="72">
        <f>O32-(O32-$T$32)/($T$20-O20)</f>
        <v>0.0885</v>
      </c>
      <c r="Q32" s="72">
        <f>P32-(P32-$T$32)/($T$20-P20)</f>
        <v>0.076375</v>
      </c>
      <c r="R32" s="72">
        <f>Q32-(Q32-$T$32)/($T$20-Q20)</f>
        <v>0.06425</v>
      </c>
      <c r="S32" s="72">
        <f>R32-(R32-$T$32)/($T$20-R20)</f>
        <v>0.052125</v>
      </c>
      <c r="T32" s="72">
        <f>G10</f>
        <v>0.04</v>
      </c>
    </row>
    <row r="33" ht="22" customHeight="1">
      <c r="A33" s="13"/>
      <c r="B33" t="s" s="34">
        <v>32</v>
      </c>
      <c r="C33" s="28"/>
      <c r="D33" s="11"/>
      <c r="E33" s="64"/>
      <c r="F33" s="64"/>
      <c r="G33" s="64"/>
      <c r="H33" s="64"/>
      <c r="I33" s="64"/>
      <c r="J33" s="71"/>
      <c r="K33" s="88">
        <f>K32</f>
        <v>0.119</v>
      </c>
      <c r="L33" s="88">
        <f>L32</f>
        <v>0.137</v>
      </c>
      <c r="M33" s="87">
        <f>M32*$I$10</f>
        <v>0.1373625</v>
      </c>
      <c r="N33" s="87">
        <f>N32*$I$10</f>
        <v>0.124025</v>
      </c>
      <c r="O33" s="87">
        <f>O32*$I$10</f>
        <v>0.1106875</v>
      </c>
      <c r="P33" s="87">
        <f>P32*$I$10</f>
        <v>0.09735000000000001</v>
      </c>
      <c r="Q33" s="87">
        <f>Q32*$I$10</f>
        <v>0.0840125</v>
      </c>
      <c r="R33" s="87">
        <f>R32*$I$10</f>
        <v>0.070675</v>
      </c>
      <c r="S33" s="87">
        <f>S32*$I$10</f>
        <v>0.0573375</v>
      </c>
      <c r="T33" s="87">
        <f>T32*$I$10</f>
        <v>0.044</v>
      </c>
    </row>
    <row r="34" ht="21.5" customHeight="1">
      <c r="A34" s="65"/>
      <c r="B34" t="s" s="34">
        <v>33</v>
      </c>
      <c r="C34" s="67"/>
      <c r="D34" s="69">
        <f>D29/D43</f>
        <v>0.234615785632364</v>
      </c>
      <c r="E34" s="69">
        <f>E29/E43</f>
        <v>0.136734763596611</v>
      </c>
      <c r="F34" s="69">
        <f>F29/F43</f>
        <v>0.0967883311648291</v>
      </c>
      <c r="G34" s="69">
        <f>G29/G43</f>
        <v>0.06889258028792911</v>
      </c>
      <c r="H34" s="69">
        <f>H29/H43</f>
        <v>0.0580073404350551</v>
      </c>
      <c r="I34" s="69">
        <f>I29/I43</f>
        <v>0.0394000621697233</v>
      </c>
      <c r="J34" s="69">
        <f>J29/J43</f>
        <v>0.0351599619892303</v>
      </c>
      <c r="K34" s="89">
        <f>K29/K43</f>
        <v>0.0366869381279746</v>
      </c>
      <c r="L34" s="89">
        <f>AVERAGE(K34,J34,I34)</f>
        <v>0.0370823207623094</v>
      </c>
      <c r="M34" s="89"/>
      <c r="N34" s="89"/>
      <c r="O34" s="89"/>
      <c r="P34" s="89"/>
      <c r="Q34" s="89"/>
      <c r="R34" s="89"/>
      <c r="S34" s="89"/>
      <c r="T34" s="89"/>
    </row>
    <row r="35" ht="21" customHeight="1">
      <c r="A35" s="76"/>
      <c r="B35" s="25"/>
      <c r="C35" s="78"/>
      <c r="D35" s="69"/>
      <c r="E35" s="80"/>
      <c r="F35" s="80"/>
      <c r="G35" s="80"/>
      <c r="H35" s="80"/>
      <c r="I35" s="80"/>
      <c r="J35" s="80"/>
      <c r="K35" s="69"/>
      <c r="L35" s="69"/>
      <c r="M35" s="69"/>
      <c r="N35" s="69"/>
      <c r="O35" s="69"/>
      <c r="P35" s="69"/>
      <c r="Q35" s="69"/>
      <c r="R35" s="69"/>
      <c r="S35" s="69"/>
      <c r="T35" s="69"/>
    </row>
    <row r="36" ht="21" customHeight="1">
      <c r="A36" s="82"/>
      <c r="B36" t="s" s="34">
        <v>35</v>
      </c>
      <c r="C36" s="83"/>
      <c r="D36" s="64">
        <v>446.5</v>
      </c>
      <c r="E36" s="84">
        <v>469.1</v>
      </c>
      <c r="F36" s="84">
        <v>460.9</v>
      </c>
      <c r="G36" s="84">
        <v>485.7</v>
      </c>
      <c r="H36" s="84">
        <v>889</v>
      </c>
      <c r="I36" s="84">
        <v>735</v>
      </c>
      <c r="J36" s="84">
        <v>657</v>
      </c>
      <c r="K36" s="62">
        <f>J36*(1+K37)</f>
        <v>735.183</v>
      </c>
      <c r="L36" s="62">
        <f>K36*(1+L37)</f>
        <v>835.903071</v>
      </c>
      <c r="M36" s="62">
        <f>L36*(1+M37)</f>
        <v>962.218473816488</v>
      </c>
      <c r="N36" s="62">
        <f>M36*(1+N37)</f>
        <v>1108.018628061530</v>
      </c>
      <c r="O36" s="62">
        <f>N36*(1+O37)</f>
        <v>1276.368208362630</v>
      </c>
      <c r="P36" s="62">
        <f>O36*(1+P37)</f>
        <v>1470.822904906680</v>
      </c>
      <c r="Q36" s="62">
        <f>P36*(1+Q37)</f>
        <v>1695.509488917490</v>
      </c>
      <c r="R36" s="62">
        <f>Q36*(1+R37)</f>
        <v>1955.219154882430</v>
      </c>
      <c r="S36" s="62">
        <f>R36*(1+S37)</f>
        <v>2255.516376832940</v>
      </c>
      <c r="T36" s="62">
        <f>S36*(1+T37)</f>
        <v>2602.865898865210</v>
      </c>
    </row>
    <row r="37" ht="21.5" customHeight="1">
      <c r="A37" s="85"/>
      <c r="B37" t="s" s="66">
        <v>29</v>
      </c>
      <c r="C37" s="86"/>
      <c r="D37" s="68"/>
      <c r="E37" s="81">
        <f>E36/D36-1</f>
        <v>0.0506159014557671</v>
      </c>
      <c r="F37" s="81">
        <f>F36/E36-1</f>
        <v>-0.0174802813898955</v>
      </c>
      <c r="G37" s="81">
        <f>G36/F36-1</f>
        <v>0.053807767411586</v>
      </c>
      <c r="H37" s="81">
        <f>H36/G36-1</f>
        <v>0.830347951410336</v>
      </c>
      <c r="I37" s="81">
        <f>I36/H36-1</f>
        <v>-0.173228346456693</v>
      </c>
      <c r="J37" s="81">
        <f>J36/I36-1</f>
        <v>-0.106122448979592</v>
      </c>
      <c r="K37" s="70">
        <f>OFFSET(K37,$C$11,0)</f>
        <v>0.119</v>
      </c>
      <c r="L37" s="70">
        <f>OFFSET(L37,$C$11,0)</f>
        <v>0.137</v>
      </c>
      <c r="M37" s="70">
        <f>OFFSET(M37,$C$11,0)</f>
        <v>0.1511125</v>
      </c>
      <c r="N37" s="70">
        <f>OFFSET(N37,$C$11,0)</f>
        <v>0.151525</v>
      </c>
      <c r="O37" s="70">
        <f>OFFSET(O37,$C$11,0)</f>
        <v>0.1519375</v>
      </c>
      <c r="P37" s="70">
        <f>OFFSET(P37,$C$11,0)</f>
        <v>0.15235</v>
      </c>
      <c r="Q37" s="70">
        <f>OFFSET(Q37,$C$11,0)</f>
        <v>0.1527625</v>
      </c>
      <c r="R37" s="70">
        <f>OFFSET(R37,$C$11,0)</f>
        <v>0.153175</v>
      </c>
      <c r="S37" s="70">
        <f>OFFSET(S37,$C$11,0)</f>
        <v>0.1535875</v>
      </c>
      <c r="T37" s="70">
        <f>OFFSET(T37,$C$11,0)</f>
        <v>0.154</v>
      </c>
    </row>
    <row r="38" ht="22" customHeight="1">
      <c r="A38" s="13"/>
      <c r="B38" t="s" s="34">
        <v>30</v>
      </c>
      <c r="C38" s="28"/>
      <c r="D38" s="11"/>
      <c r="E38" s="64"/>
      <c r="F38" s="64"/>
      <c r="G38" s="64"/>
      <c r="H38" s="64"/>
      <c r="I38" s="64"/>
      <c r="J38" s="71"/>
      <c r="K38" s="72">
        <f>K39</f>
        <v>0.119</v>
      </c>
      <c r="L38" s="72">
        <f>L39</f>
        <v>0.137</v>
      </c>
      <c r="M38" s="72">
        <f>M39*$E$10</f>
        <v>0.1236375</v>
      </c>
      <c r="N38" s="72">
        <f>N39*$E$10</f>
        <v>0.123975</v>
      </c>
      <c r="O38" s="72">
        <f>O39*$E$10</f>
        <v>0.1243125</v>
      </c>
      <c r="P38" s="72">
        <f>P39*$E$10</f>
        <v>0.12465</v>
      </c>
      <c r="Q38" s="72">
        <f>Q39*$E$10</f>
        <v>0.1249875</v>
      </c>
      <c r="R38" s="72">
        <f>R39*$E$10</f>
        <v>0.125325</v>
      </c>
      <c r="S38" s="72">
        <f>S39*$E$10</f>
        <v>0.1256625</v>
      </c>
      <c r="T38" s="72">
        <f>T39*$E$10</f>
        <v>0.126</v>
      </c>
    </row>
    <row r="39" ht="22" customHeight="1">
      <c r="A39" s="13"/>
      <c r="B39" t="s" s="34">
        <v>31</v>
      </c>
      <c r="C39" s="28"/>
      <c r="D39" s="11"/>
      <c r="E39" s="64"/>
      <c r="F39" s="64"/>
      <c r="G39" s="64"/>
      <c r="H39" s="64"/>
      <c r="I39" s="64"/>
      <c r="J39" s="71"/>
      <c r="K39" s="87">
        <v>0.119</v>
      </c>
      <c r="L39" s="87">
        <v>0.137</v>
      </c>
      <c r="M39" s="72">
        <f>L39-(L39-$T$39)/($T$20-L20)</f>
        <v>0.137375</v>
      </c>
      <c r="N39" s="72">
        <f>M39-(M39-$T$39)/($T$20-M20)</f>
        <v>0.13775</v>
      </c>
      <c r="O39" s="72">
        <f>N39-(N39-$T$39)/($T$20-N20)</f>
        <v>0.138125</v>
      </c>
      <c r="P39" s="72">
        <f>O39-(O39-$T$39)/($T$20-O20)</f>
        <v>0.1385</v>
      </c>
      <c r="Q39" s="72">
        <f>P39-(P39-$T$39)/($T$20-P20)</f>
        <v>0.138875</v>
      </c>
      <c r="R39" s="72">
        <f>Q39-(Q39-$T$39)/($T$20-Q20)</f>
        <v>0.13925</v>
      </c>
      <c r="S39" s="72">
        <f>R39-(R39-$T$39)/($T$20-R20)</f>
        <v>0.139625</v>
      </c>
      <c r="T39" s="72">
        <f>G11</f>
        <v>0.14</v>
      </c>
    </row>
    <row r="40" ht="22" customHeight="1">
      <c r="A40" s="13"/>
      <c r="B40" t="s" s="34">
        <v>32</v>
      </c>
      <c r="C40" s="28"/>
      <c r="D40" s="11"/>
      <c r="E40" s="64"/>
      <c r="F40" s="64"/>
      <c r="G40" s="64"/>
      <c r="H40" s="64"/>
      <c r="I40" s="64"/>
      <c r="J40" s="71"/>
      <c r="K40" s="88">
        <f>K39</f>
        <v>0.119</v>
      </c>
      <c r="L40" s="88">
        <f>L39</f>
        <v>0.137</v>
      </c>
      <c r="M40" s="87">
        <f>M39*$I$10</f>
        <v>0.1511125</v>
      </c>
      <c r="N40" s="87">
        <f>N39*$I$10</f>
        <v>0.151525</v>
      </c>
      <c r="O40" s="87">
        <f>O39*$I$10</f>
        <v>0.1519375</v>
      </c>
      <c r="P40" s="87">
        <f>P39*$I$10</f>
        <v>0.15235</v>
      </c>
      <c r="Q40" s="87">
        <f>Q39*$I$10</f>
        <v>0.1527625</v>
      </c>
      <c r="R40" s="87">
        <f>R39*$I$10</f>
        <v>0.153175</v>
      </c>
      <c r="S40" s="87">
        <f>S39*$I$10</f>
        <v>0.1535875</v>
      </c>
      <c r="T40" s="87">
        <f>T39*$I$10</f>
        <v>0.154</v>
      </c>
    </row>
    <row r="41" ht="21.5" customHeight="1">
      <c r="A41" s="65"/>
      <c r="B41" t="s" s="34">
        <v>33</v>
      </c>
      <c r="C41" s="67"/>
      <c r="D41" s="69">
        <f>D36/D43</f>
        <v>0.0931081221978939</v>
      </c>
      <c r="E41" s="69">
        <f>E36/E43</f>
        <v>0.08012776714949441</v>
      </c>
      <c r="F41" s="69">
        <f>F36/F43</f>
        <v>0.06312401561323019</v>
      </c>
      <c r="G41" s="69">
        <f>G36/G43</f>
        <v>0.0537873754152824</v>
      </c>
      <c r="H41" s="69">
        <f>H36/H43</f>
        <v>0.07958105809685791</v>
      </c>
      <c r="I41" s="69">
        <f>I36/I43</f>
        <v>0.0571184333229717</v>
      </c>
      <c r="J41" s="69">
        <f>J36/J43</f>
        <v>0.041621792841305</v>
      </c>
      <c r="K41" s="89"/>
      <c r="L41" s="89"/>
      <c r="M41" s="89"/>
      <c r="N41" s="89"/>
      <c r="O41" s="89"/>
      <c r="P41" s="89"/>
      <c r="Q41" s="89"/>
      <c r="R41" s="89"/>
      <c r="S41" s="89"/>
      <c r="T41" s="89"/>
    </row>
    <row r="42" ht="21.5" customHeight="1">
      <c r="A42" s="90"/>
      <c r="B42" s="91"/>
      <c r="C42" s="92"/>
      <c r="D42" s="93"/>
      <c r="E42" s="94"/>
      <c r="F42" s="95"/>
      <c r="G42" s="95"/>
      <c r="H42" s="95"/>
      <c r="I42" s="95"/>
      <c r="J42" s="95"/>
      <c r="K42" s="95"/>
      <c r="L42" s="95"/>
      <c r="M42" s="95"/>
      <c r="N42" s="96"/>
      <c r="O42" s="96"/>
      <c r="P42" s="95"/>
      <c r="Q42" s="95"/>
      <c r="R42" s="95"/>
      <c r="S42" s="95"/>
      <c r="T42" s="95"/>
    </row>
    <row r="43" ht="21.5" customHeight="1">
      <c r="A43" s="97"/>
      <c r="B43" t="s" s="98">
        <v>36</v>
      </c>
      <c r="C43" s="99"/>
      <c r="D43" s="100">
        <f>SUM(D22,D29,D36)</f>
        <v>4795.5</v>
      </c>
      <c r="E43" s="100">
        <f>SUM(E22,E29,E36)</f>
        <v>5854.4</v>
      </c>
      <c r="F43" s="100">
        <f>SUM(F22,F29,F36)</f>
        <v>7301.5</v>
      </c>
      <c r="G43" s="100">
        <f>SUM(G22,G29,G36)</f>
        <v>9030</v>
      </c>
      <c r="H43" s="100">
        <f>SUM(H22,H29,H36)</f>
        <v>11171</v>
      </c>
      <c r="I43" s="100">
        <f>SUM(I22,I29,I36)</f>
        <v>12868</v>
      </c>
      <c r="J43" s="100">
        <f>SUM(J22,J29,J36)</f>
        <v>15785</v>
      </c>
      <c r="K43" s="100">
        <f>K22+K29</f>
        <v>16928.232</v>
      </c>
      <c r="L43" s="100">
        <f>K43*(1+L44)</f>
        <v>19111.973928</v>
      </c>
      <c r="M43" s="100">
        <f>M22+M29</f>
        <v>21952.2144958358</v>
      </c>
      <c r="N43" s="101">
        <f>N22+N29</f>
        <v>25114.9587089688</v>
      </c>
      <c r="O43" s="101">
        <f>O22+O29</f>
        <v>28823.4173004091</v>
      </c>
      <c r="P43" s="100">
        <f>P22+P29</f>
        <v>33184.5796793396</v>
      </c>
      <c r="Q43" s="100">
        <f>Q22+Q29</f>
        <v>38329.2637708972</v>
      </c>
      <c r="R43" s="100">
        <f>R22+R29</f>
        <v>44417.8947159134</v>
      </c>
      <c r="S43" s="100">
        <f>S22+S29</f>
        <v>51647.734357068</v>
      </c>
      <c r="T43" s="100">
        <f>T22+T29</f>
        <v>60261.9397329579</v>
      </c>
    </row>
    <row r="44" ht="21" customHeight="1">
      <c r="A44" s="13"/>
      <c r="B44" t="s" s="66">
        <v>29</v>
      </c>
      <c r="C44" s="28"/>
      <c r="D44" s="102"/>
      <c r="E44" s="102">
        <f>E43/D43-1</f>
        <v>0.22081117714524</v>
      </c>
      <c r="F44" s="102">
        <f>F43/E43-1</f>
        <v>0.247181606996447</v>
      </c>
      <c r="G44" s="102">
        <f>G43/F43-1</f>
        <v>0.236732178319523</v>
      </c>
      <c r="H44" s="102">
        <f>H43/G43-1</f>
        <v>0.237098560354374</v>
      </c>
      <c r="I44" s="102">
        <f>I43/H43-1</f>
        <v>0.151911198639334</v>
      </c>
      <c r="J44" s="102">
        <f>J43/I43-1</f>
        <v>0.226686353745726</v>
      </c>
      <c r="K44" s="102">
        <f>K43/J43-1</f>
        <v>0.0724252138105797</v>
      </c>
      <c r="L44" s="102">
        <v>0.129</v>
      </c>
      <c r="M44" s="102">
        <f>M43/L43-1</f>
        <v>0.148610529636329</v>
      </c>
      <c r="N44" s="102">
        <f>N43/M43-1</f>
        <v>0.144074039260729</v>
      </c>
      <c r="O44" s="102">
        <f>O43/N43-1</f>
        <v>0.14765935450716</v>
      </c>
      <c r="P44" s="102">
        <f>P43/O43-1</f>
        <v>0.15130622207203</v>
      </c>
      <c r="Q44" s="102">
        <f>Q43/P43-1</f>
        <v>0.155032371700059</v>
      </c>
      <c r="R44" s="102">
        <f>R43/Q43-1</f>
        <v>0.158850714728291</v>
      </c>
      <c r="S44" s="102">
        <f>S43/R43-1</f>
        <v>0.162768624839043</v>
      </c>
      <c r="T44" s="102">
        <f>T43/S43-1</f>
        <v>0.166787671969023</v>
      </c>
    </row>
    <row r="45" ht="21" customHeight="1">
      <c r="A45" s="13"/>
      <c r="B45" s="25"/>
      <c r="C45" s="28"/>
      <c r="D45" s="11"/>
      <c r="E45" s="62"/>
      <c r="F45" s="62"/>
      <c r="G45" s="62"/>
      <c r="H45" s="62"/>
      <c r="I45" s="62"/>
      <c r="J45" s="62"/>
      <c r="K45" s="62"/>
      <c r="L45" s="62"/>
      <c r="M45" s="62"/>
      <c r="N45" s="62"/>
      <c r="O45" s="62"/>
      <c r="P45" s="62"/>
      <c r="Q45" s="62"/>
      <c r="R45" s="62"/>
      <c r="S45" s="62"/>
      <c r="T45" s="62"/>
    </row>
    <row r="46" ht="21" customHeight="1">
      <c r="A46" t="s" s="29">
        <v>13</v>
      </c>
      <c r="B46" t="s" s="30">
        <v>37</v>
      </c>
      <c r="C46" s="31"/>
      <c r="D46" s="60">
        <v>2015</v>
      </c>
      <c r="E46" s="61">
        <v>2016</v>
      </c>
      <c r="F46" s="61">
        <v>2017</v>
      </c>
      <c r="G46" s="61">
        <v>2018</v>
      </c>
      <c r="H46" s="61">
        <v>2019</v>
      </c>
      <c r="I46" s="61">
        <v>2020</v>
      </c>
      <c r="J46" s="61">
        <v>2021</v>
      </c>
      <c r="K46" s="61">
        <v>2022</v>
      </c>
      <c r="L46" s="61">
        <v>2023</v>
      </c>
      <c r="M46" s="61">
        <v>2024</v>
      </c>
      <c r="N46" s="61">
        <v>2025</v>
      </c>
      <c r="O46" s="61">
        <v>2026</v>
      </c>
      <c r="P46" s="103"/>
      <c r="Q46" s="103"/>
      <c r="R46" s="103"/>
      <c r="S46" s="103"/>
      <c r="T46" s="103"/>
    </row>
    <row r="47" ht="21" customHeight="1">
      <c r="A47" s="13"/>
      <c r="B47" s="25"/>
      <c r="C47" s="28"/>
      <c r="D47" s="11"/>
      <c r="E47" s="11"/>
      <c r="F47" s="11"/>
      <c r="G47" s="11"/>
      <c r="H47" s="11"/>
      <c r="I47" s="11"/>
      <c r="J47" s="11"/>
      <c r="K47" s="11"/>
      <c r="L47" s="11"/>
      <c r="M47" s="11"/>
      <c r="N47" s="11"/>
      <c r="O47" s="11"/>
      <c r="P47" s="11"/>
      <c r="Q47" s="11"/>
      <c r="R47" s="11"/>
      <c r="S47" s="11"/>
      <c r="T47" s="11"/>
    </row>
    <row r="48" ht="21" customHeight="1">
      <c r="A48" s="13"/>
      <c r="B48" t="s" s="34">
        <v>38</v>
      </c>
      <c r="C48" s="28"/>
      <c r="D48" s="104">
        <f>D43</f>
        <v>4795.5</v>
      </c>
      <c r="E48" s="104">
        <f>E43</f>
        <v>5854.4</v>
      </c>
      <c r="F48" s="104">
        <f>F43</f>
        <v>7301.5</v>
      </c>
      <c r="G48" s="104">
        <f>G43</f>
        <v>9030</v>
      </c>
      <c r="H48" s="104">
        <f>H43</f>
        <v>11171</v>
      </c>
      <c r="I48" s="104">
        <f>I43</f>
        <v>12868</v>
      </c>
      <c r="J48" s="104">
        <f>J43</f>
        <v>15785</v>
      </c>
      <c r="K48" s="104">
        <f>K43</f>
        <v>16928.232</v>
      </c>
      <c r="L48" s="104">
        <f>L43</f>
        <v>19111.973928</v>
      </c>
      <c r="M48" s="104">
        <f>M43</f>
        <v>21952.2144958358</v>
      </c>
      <c r="N48" s="104">
        <f>N43</f>
        <v>25114.9587089688</v>
      </c>
      <c r="O48" s="104">
        <f>O43</f>
        <v>28823.4173004091</v>
      </c>
      <c r="P48" s="105"/>
      <c r="Q48" s="105"/>
      <c r="R48" s="105"/>
      <c r="S48" s="105"/>
      <c r="T48" s="105"/>
    </row>
    <row r="49" ht="21" customHeight="1">
      <c r="A49" s="65"/>
      <c r="B49" t="s" s="66">
        <v>29</v>
      </c>
      <c r="C49" s="67"/>
      <c r="D49" s="68"/>
      <c r="E49" s="69">
        <f>E48/D48-1</f>
        <v>0.22081117714524</v>
      </c>
      <c r="F49" s="69">
        <f>F48/E48-1</f>
        <v>0.247181606996447</v>
      </c>
      <c r="G49" s="69">
        <f>G48/F48-1</f>
        <v>0.236732178319523</v>
      </c>
      <c r="H49" s="69">
        <f>H48/G48-1</f>
        <v>0.237098560354374</v>
      </c>
      <c r="I49" s="69">
        <f>I48/H48-1</f>
        <v>0.151911198639334</v>
      </c>
      <c r="J49" s="69">
        <f>J48/I48-1</f>
        <v>0.226686353745726</v>
      </c>
      <c r="K49" s="69">
        <f>K48/J48-1</f>
        <v>0.0724252138105797</v>
      </c>
      <c r="L49" s="69">
        <f>L48/K48-1</f>
        <v>0.129</v>
      </c>
      <c r="M49" s="69">
        <f>M48/L48-1</f>
        <v>0.148610529636329</v>
      </c>
      <c r="N49" s="69">
        <f>N48/M48-1</f>
        <v>0.144074039260729</v>
      </c>
      <c r="O49" s="69">
        <f>O48/N48-1</f>
        <v>0.14765935450716</v>
      </c>
      <c r="P49" s="69"/>
      <c r="Q49" s="69"/>
      <c r="R49" s="69"/>
      <c r="S49" s="69"/>
      <c r="T49" s="69"/>
    </row>
    <row r="50" ht="21" customHeight="1">
      <c r="A50" s="13"/>
      <c r="B50" s="25"/>
      <c r="C50" s="28"/>
      <c r="D50" s="11"/>
      <c r="E50" s="11"/>
      <c r="F50" s="11"/>
      <c r="G50" s="11"/>
      <c r="H50" s="11"/>
      <c r="I50" s="11"/>
      <c r="J50" s="11"/>
      <c r="K50" s="11"/>
      <c r="L50" s="11"/>
      <c r="M50" s="11"/>
      <c r="N50" s="11"/>
      <c r="O50" s="11"/>
      <c r="P50" s="11"/>
      <c r="Q50" s="11"/>
      <c r="R50" s="11"/>
      <c r="S50" s="11"/>
      <c r="T50" s="11"/>
    </row>
    <row r="51" ht="21" customHeight="1">
      <c r="A51" s="13"/>
      <c r="B51" t="s" s="34">
        <v>22</v>
      </c>
      <c r="C51" s="28"/>
      <c r="D51" s="106">
        <v>903.095</v>
      </c>
      <c r="E51" s="106">
        <v>1493.602</v>
      </c>
      <c r="F51" s="107">
        <v>2168.095</v>
      </c>
      <c r="G51" s="107">
        <v>2840</v>
      </c>
      <c r="H51" s="107">
        <v>3268</v>
      </c>
      <c r="I51" s="107">
        <v>4237</v>
      </c>
      <c r="J51" s="107">
        <v>5802</v>
      </c>
      <c r="K51" s="106">
        <f>K48*K52</f>
        <v>5582.782693569670</v>
      </c>
      <c r="L51" s="106">
        <f>L48*L52</f>
        <v>6540.256260711190</v>
      </c>
      <c r="M51" s="106">
        <f>M48*M52</f>
        <v>7606.900750423050</v>
      </c>
      <c r="N51" s="106">
        <f>N48*N52</f>
        <v>8526.690797485981</v>
      </c>
      <c r="O51" s="106">
        <f>O48*O52</f>
        <v>9879.078390996510</v>
      </c>
      <c r="P51" s="106"/>
      <c r="Q51" s="106"/>
      <c r="R51" s="106"/>
      <c r="S51" s="106"/>
      <c r="T51" s="106"/>
    </row>
    <row r="52" ht="21" customHeight="1">
      <c r="A52" s="65"/>
      <c r="B52" t="s" s="66">
        <v>39</v>
      </c>
      <c r="C52" s="67"/>
      <c r="D52" s="69">
        <f>D51/D48</f>
        <v>0.188321342925659</v>
      </c>
      <c r="E52" s="69">
        <f>E51/E48</f>
        <v>0.255124692538945</v>
      </c>
      <c r="F52" s="69">
        <f>F51/F48</f>
        <v>0.296938300349243</v>
      </c>
      <c r="G52" s="69">
        <f>G51/G48</f>
        <v>0.314507198228128</v>
      </c>
      <c r="H52" s="69">
        <f>H51/H48</f>
        <v>0.292543192194074</v>
      </c>
      <c r="I52" s="69">
        <f>I51/I48</f>
        <v>0.329266397264532</v>
      </c>
      <c r="J52" s="69">
        <f>J51/J48</f>
        <v>0.367564143173899</v>
      </c>
      <c r="K52" s="69">
        <f>AVERAGE(J52,I52,H52)</f>
        <v>0.329791244210835</v>
      </c>
      <c r="L52" s="69">
        <f>AVERAGE(K52,J52,I52)</f>
        <v>0.342207261549755</v>
      </c>
      <c r="M52" s="69">
        <f>AVERAGE(L52,K52,J52)</f>
        <v>0.346520882978163</v>
      </c>
      <c r="N52" s="69">
        <f>AVERAGE(M52,L52,K52)</f>
        <v>0.339506462912918</v>
      </c>
      <c r="O52" s="69">
        <f>AVERAGE(N52,M52,L52)</f>
        <v>0.342744869146945</v>
      </c>
      <c r="P52" s="69"/>
      <c r="Q52" s="69"/>
      <c r="R52" s="69"/>
      <c r="S52" s="69"/>
      <c r="T52" s="69"/>
    </row>
    <row r="53" ht="21" customHeight="1">
      <c r="A53" s="108"/>
      <c r="B53" s="109"/>
      <c r="C53" s="28"/>
      <c r="D53" s="110"/>
      <c r="E53" s="11"/>
      <c r="F53" s="11"/>
      <c r="G53" s="11"/>
      <c r="H53" s="11"/>
      <c r="I53" s="11"/>
      <c r="J53" s="11"/>
      <c r="K53" s="11"/>
      <c r="L53" s="11"/>
      <c r="M53" s="11"/>
      <c r="N53" s="11"/>
      <c r="O53" s="11"/>
      <c r="P53" s="11"/>
      <c r="Q53" s="11"/>
      <c r="R53" s="11"/>
      <c r="S53" s="11"/>
      <c r="T53" s="11"/>
    </row>
    <row r="54" ht="21" customHeight="1">
      <c r="A54" s="8"/>
      <c r="B54" t="s" s="111">
        <v>40</v>
      </c>
      <c r="C54" s="28"/>
      <c r="D54" s="107">
        <v>244.23</v>
      </c>
      <c r="E54" s="107">
        <v>266.356</v>
      </c>
      <c r="F54" s="107">
        <v>443.687</v>
      </c>
      <c r="G54" s="64">
        <v>203</v>
      </c>
      <c r="H54" s="107">
        <v>254</v>
      </c>
      <c r="I54" s="64">
        <v>-1084</v>
      </c>
      <c r="J54" s="64">
        <v>883</v>
      </c>
      <c r="K54" s="106">
        <f>K51*K55</f>
        <v>1004.900884842540</v>
      </c>
      <c r="L54" s="106">
        <f>L51*L55</f>
        <v>1177.246126928010</v>
      </c>
      <c r="M54" s="106">
        <f>M51*M55</f>
        <v>1369.242135076150</v>
      </c>
      <c r="N54" s="106">
        <f>N51*N55</f>
        <v>1534.804343547480</v>
      </c>
      <c r="O54" s="106">
        <f>O51*O55</f>
        <v>1778.234110379370</v>
      </c>
      <c r="P54" s="106"/>
      <c r="Q54" s="106"/>
      <c r="R54" s="106"/>
      <c r="S54" s="106"/>
      <c r="T54" s="106"/>
    </row>
    <row r="55" ht="21" customHeight="1">
      <c r="A55" s="76"/>
      <c r="B55" t="s" s="112">
        <v>41</v>
      </c>
      <c r="C55" s="67"/>
      <c r="D55" s="69">
        <f>D54/D51</f>
        <v>0.270436665024167</v>
      </c>
      <c r="E55" s="69">
        <f>E54/E51</f>
        <v>0.178331309143935</v>
      </c>
      <c r="F55" s="69">
        <f>F54/F51</f>
        <v>0.204643707955602</v>
      </c>
      <c r="G55" s="69">
        <f>G54/G51</f>
        <v>0.07147887323943659</v>
      </c>
      <c r="H55" s="69">
        <f>H54/H51</f>
        <v>0.0777233782129743</v>
      </c>
      <c r="I55" s="69">
        <f>I54/I51</f>
        <v>-0.255841397215011</v>
      </c>
      <c r="J55" s="69">
        <f>J54/J51</f>
        <v>0.15218890037918</v>
      </c>
      <c r="K55" s="69">
        <v>0.18</v>
      </c>
      <c r="L55" s="69">
        <v>0.18</v>
      </c>
      <c r="M55" s="69">
        <v>0.18</v>
      </c>
      <c r="N55" s="69">
        <v>0.18</v>
      </c>
      <c r="O55" s="69">
        <v>0.18</v>
      </c>
      <c r="P55" s="69"/>
      <c r="Q55" s="69"/>
      <c r="R55" s="69"/>
      <c r="S55" s="69"/>
      <c r="T55" s="68"/>
    </row>
    <row r="56" ht="21" customHeight="1">
      <c r="A56" s="82"/>
      <c r="B56" s="48"/>
      <c r="C56" s="28"/>
      <c r="D56" s="11"/>
      <c r="E56" s="113"/>
      <c r="F56" s="113"/>
      <c r="G56" s="113"/>
      <c r="H56" s="113"/>
      <c r="I56" s="113"/>
      <c r="J56" s="113"/>
      <c r="K56" s="113"/>
      <c r="L56" s="113"/>
      <c r="M56" s="113"/>
      <c r="N56" s="113"/>
      <c r="O56" s="113"/>
      <c r="P56" s="113"/>
      <c r="Q56" s="113"/>
      <c r="R56" s="113"/>
      <c r="S56" s="113"/>
      <c r="T56" s="11"/>
    </row>
    <row r="57" ht="21" customHeight="1">
      <c r="A57" t="s" s="114">
        <v>13</v>
      </c>
      <c r="B57" t="s" s="115">
        <v>42</v>
      </c>
      <c r="C57" s="31"/>
      <c r="D57" s="60">
        <v>2015</v>
      </c>
      <c r="E57" s="61">
        <v>2016</v>
      </c>
      <c r="F57" s="61">
        <v>2017</v>
      </c>
      <c r="G57" s="61">
        <v>2018</v>
      </c>
      <c r="H57" s="61">
        <v>2019</v>
      </c>
      <c r="I57" s="61">
        <v>2020</v>
      </c>
      <c r="J57" s="61">
        <v>2021</v>
      </c>
      <c r="K57" s="61">
        <v>2022</v>
      </c>
      <c r="L57" s="61">
        <v>2023</v>
      </c>
      <c r="M57" s="61">
        <v>2024</v>
      </c>
      <c r="N57" s="61">
        <v>2025</v>
      </c>
      <c r="O57" s="61">
        <v>2026</v>
      </c>
      <c r="P57" s="113"/>
      <c r="Q57" s="113"/>
      <c r="R57" s="113"/>
      <c r="S57" s="113"/>
      <c r="T57" s="113"/>
    </row>
    <row r="58" ht="21" customHeight="1">
      <c r="A58" s="108"/>
      <c r="B58" s="109"/>
      <c r="C58" s="28"/>
      <c r="D58" s="11"/>
      <c r="E58" s="113"/>
      <c r="F58" s="113"/>
      <c r="G58" s="113"/>
      <c r="H58" s="113"/>
      <c r="I58" s="113"/>
      <c r="J58" s="113"/>
      <c r="K58" s="113"/>
      <c r="L58" s="113"/>
      <c r="M58" s="113"/>
      <c r="N58" s="113"/>
      <c r="O58" s="113"/>
      <c r="P58" s="113"/>
      <c r="Q58" s="113"/>
      <c r="R58" s="113"/>
      <c r="S58" s="113"/>
      <c r="T58" s="11"/>
    </row>
    <row r="59" ht="21" customHeight="1">
      <c r="A59" s="82"/>
      <c r="B59" t="s" s="116">
        <v>43</v>
      </c>
      <c r="C59" s="28"/>
      <c r="D59" s="107">
        <v>339.473</v>
      </c>
      <c r="E59" s="107">
        <v>331.535</v>
      </c>
      <c r="F59" s="107">
        <v>325.997</v>
      </c>
      <c r="G59" s="107">
        <v>346</v>
      </c>
      <c r="H59" s="107">
        <v>757</v>
      </c>
      <c r="I59" s="107">
        <v>757</v>
      </c>
      <c r="J59" s="107">
        <v>788</v>
      </c>
      <c r="K59" s="106"/>
      <c r="L59" s="106"/>
      <c r="M59" s="106"/>
      <c r="N59" s="106"/>
      <c r="O59" s="106"/>
      <c r="P59" s="113"/>
      <c r="Q59" s="113"/>
      <c r="R59" s="113"/>
      <c r="S59" s="113"/>
      <c r="T59" s="11"/>
    </row>
    <row r="60" ht="21" customHeight="1">
      <c r="A60" s="117"/>
      <c r="B60" t="s" s="118">
        <v>44</v>
      </c>
      <c r="C60" s="67"/>
      <c r="D60" s="69">
        <f>D59/D48</f>
        <v>0.070789907204671</v>
      </c>
      <c r="E60" s="69">
        <f>E59/E48</f>
        <v>0.0566300560262367</v>
      </c>
      <c r="F60" s="69">
        <f>F59/F48</f>
        <v>0.0446479490515647</v>
      </c>
      <c r="G60" s="69">
        <f>G59/G48</f>
        <v>0.0383167220376523</v>
      </c>
      <c r="H60" s="69">
        <f>H59/H48</f>
        <v>0.06776474800823561</v>
      </c>
      <c r="I60" s="69">
        <f>I59/I48</f>
        <v>0.0588281007149518</v>
      </c>
      <c r="J60" s="69">
        <f>J59/J48</f>
        <v>0.0499208108964207</v>
      </c>
      <c r="K60" s="69"/>
      <c r="L60" s="69"/>
      <c r="M60" s="69"/>
      <c r="N60" s="69"/>
      <c r="O60" s="69"/>
      <c r="P60" s="69"/>
      <c r="Q60" s="69"/>
      <c r="R60" s="69"/>
      <c r="S60" s="69"/>
      <c r="T60" s="68"/>
    </row>
    <row r="61" ht="21" customHeight="1">
      <c r="A61" s="117"/>
      <c r="B61" t="s" s="118">
        <v>45</v>
      </c>
      <c r="C61" s="67"/>
      <c r="D61" s="69">
        <f>D59/D63</f>
        <v>1.83562421594498</v>
      </c>
      <c r="E61" s="69">
        <f>E59/E63</f>
        <v>1.62672652780844</v>
      </c>
      <c r="F61" s="69">
        <f>F59/F63</f>
        <v>1.8301894207341</v>
      </c>
      <c r="G61" s="69">
        <f>G59/G63</f>
        <v>1.29792669340046</v>
      </c>
      <c r="H61" s="69">
        <f>H59/H63</f>
        <v>1.91645569620253</v>
      </c>
      <c r="I61" s="69">
        <f>I59/I63</f>
        <v>1.80668257756563</v>
      </c>
      <c r="J61" s="69">
        <f>J59/J63</f>
        <v>3.17741935483871</v>
      </c>
      <c r="K61" s="69"/>
      <c r="L61" s="69"/>
      <c r="M61" s="69"/>
      <c r="N61" s="69"/>
      <c r="O61" s="69"/>
      <c r="P61" s="69"/>
      <c r="Q61" s="69"/>
      <c r="R61" s="69"/>
      <c r="S61" s="69"/>
      <c r="T61" s="68"/>
    </row>
    <row r="62" ht="21" customHeight="1">
      <c r="A62" s="82"/>
      <c r="B62" s="48"/>
      <c r="C62" s="28"/>
      <c r="D62" s="11"/>
      <c r="E62" s="113"/>
      <c r="F62" s="113"/>
      <c r="G62" s="113"/>
      <c r="H62" s="113"/>
      <c r="I62" s="113"/>
      <c r="J62" s="113"/>
      <c r="K62" s="113"/>
      <c r="L62" s="113"/>
      <c r="M62" s="113"/>
      <c r="N62" s="113"/>
      <c r="O62" s="113"/>
      <c r="P62" s="113"/>
      <c r="Q62" s="113"/>
      <c r="R62" s="113"/>
      <c r="S62" s="113"/>
      <c r="T62" s="11"/>
    </row>
    <row r="63" ht="21" customHeight="1">
      <c r="A63" s="82"/>
      <c r="B63" t="s" s="116">
        <v>46</v>
      </c>
      <c r="C63" s="28"/>
      <c r="D63" s="64">
        <v>184.936</v>
      </c>
      <c r="E63" s="64">
        <v>203.805</v>
      </c>
      <c r="F63" s="107">
        <v>178.122</v>
      </c>
      <c r="G63" s="107">
        <v>266.579</v>
      </c>
      <c r="H63" s="107">
        <v>395</v>
      </c>
      <c r="I63" s="107">
        <v>419</v>
      </c>
      <c r="J63" s="107">
        <v>248</v>
      </c>
      <c r="K63" s="106"/>
      <c r="L63" s="106"/>
      <c r="M63" s="106"/>
      <c r="N63" s="106"/>
      <c r="O63" s="106"/>
      <c r="P63" s="113"/>
      <c r="Q63" s="113"/>
      <c r="R63" s="113"/>
      <c r="S63" s="113"/>
      <c r="T63" s="11"/>
    </row>
    <row r="64" ht="21" customHeight="1">
      <c r="A64" s="117"/>
      <c r="B64" t="s" s="118">
        <v>39</v>
      </c>
      <c r="C64" s="67"/>
      <c r="D64" s="69">
        <f>D63/D48</f>
        <v>0.0385644875404025</v>
      </c>
      <c r="E64" s="69">
        <f>E63/E48</f>
        <v>0.0348122779447937</v>
      </c>
      <c r="F64" s="69">
        <f>F63/F48</f>
        <v>0.0243952612476888</v>
      </c>
      <c r="G64" s="69">
        <f>G63/G48</f>
        <v>0.0295214839424142</v>
      </c>
      <c r="H64" s="69">
        <f>H63/H48</f>
        <v>0.0353594127651956</v>
      </c>
      <c r="I64" s="69">
        <f>I63/I48</f>
        <v>0.0325613926018029</v>
      </c>
      <c r="J64" s="69">
        <f>J63/J48</f>
        <v>0.0157111181501425</v>
      </c>
      <c r="K64" s="69"/>
      <c r="L64" s="69"/>
      <c r="M64" s="69"/>
      <c r="N64" s="69"/>
      <c r="O64" s="69"/>
      <c r="P64" s="69"/>
      <c r="Q64" s="69"/>
      <c r="R64" s="69"/>
      <c r="S64" s="69"/>
      <c r="T64" s="68"/>
    </row>
    <row r="65" ht="21" customHeight="1">
      <c r="A65" s="82"/>
      <c r="B65" s="48"/>
      <c r="C65" s="28"/>
      <c r="D65" s="11"/>
      <c r="E65" s="113"/>
      <c r="F65" s="113"/>
      <c r="G65" s="113"/>
      <c r="H65" s="113"/>
      <c r="I65" s="113"/>
      <c r="J65" s="113"/>
      <c r="K65" s="113"/>
      <c r="L65" s="113"/>
      <c r="M65" s="113"/>
      <c r="N65" s="113"/>
      <c r="O65" s="113"/>
      <c r="P65" s="113"/>
      <c r="Q65" s="113"/>
      <c r="R65" s="113"/>
      <c r="S65" s="113"/>
      <c r="T65" s="11"/>
    </row>
    <row r="66" ht="21" customHeight="1">
      <c r="A66" s="82"/>
      <c r="B66" t="s" s="116">
        <v>47</v>
      </c>
      <c r="C66" s="28"/>
      <c r="D66" s="62">
        <f>4821.892-2213.556</f>
        <v>2608.336</v>
      </c>
      <c r="E66" s="62">
        <f>5839.774-2811.635</f>
        <v>3028.139</v>
      </c>
      <c r="F66" s="62">
        <f>7247.813-3527.457</f>
        <v>3720.356</v>
      </c>
      <c r="G66" s="62">
        <f>4857.039-4301.126</f>
        <v>555.913</v>
      </c>
      <c r="H66" s="62">
        <f>6495-8191</f>
        <v>-1696</v>
      </c>
      <c r="I66" s="62">
        <f>8146-5512</f>
        <v>2634</v>
      </c>
      <c r="J66" s="62">
        <f>8669-6932</f>
        <v>1737</v>
      </c>
      <c r="K66" s="62"/>
      <c r="L66" s="113"/>
      <c r="M66" s="113"/>
      <c r="N66" s="113"/>
      <c r="O66" s="113"/>
      <c r="P66" s="113"/>
      <c r="Q66" s="113"/>
      <c r="R66" s="113"/>
      <c r="S66" s="113"/>
      <c r="T66" s="11"/>
    </row>
    <row r="67" ht="21" customHeight="1">
      <c r="A67" s="82"/>
      <c r="B67" s="48"/>
      <c r="C67" s="28"/>
      <c r="D67" s="11"/>
      <c r="E67" s="113"/>
      <c r="F67" s="113"/>
      <c r="G67" s="113"/>
      <c r="H67" s="113"/>
      <c r="I67" s="113"/>
      <c r="J67" s="113"/>
      <c r="K67" s="113"/>
      <c r="L67" s="113"/>
      <c r="M67" s="113"/>
      <c r="N67" s="113"/>
      <c r="O67" s="113"/>
      <c r="P67" s="113"/>
      <c r="Q67" s="113"/>
      <c r="R67" s="113"/>
      <c r="S67" s="113"/>
      <c r="T67" s="11"/>
    </row>
    <row r="68" ht="21" customHeight="1">
      <c r="A68" s="82"/>
      <c r="B68" t="s" s="116">
        <v>48</v>
      </c>
      <c r="C68" s="28"/>
      <c r="D68" s="62"/>
      <c r="E68" s="62">
        <f>D66-E66</f>
        <v>-419.803</v>
      </c>
      <c r="F68" s="62">
        <f>E66-F66</f>
        <v>-692.217</v>
      </c>
      <c r="G68" s="62">
        <f>F66-G66</f>
        <v>3164.443</v>
      </c>
      <c r="H68" s="62">
        <f>G66-H66</f>
        <v>2251.913</v>
      </c>
      <c r="I68" s="62">
        <f>H66-I66</f>
        <v>-4330</v>
      </c>
      <c r="J68" s="62">
        <f>I66-J66</f>
        <v>897</v>
      </c>
      <c r="K68" s="62"/>
      <c r="L68" s="113"/>
      <c r="M68" s="113"/>
      <c r="N68" s="113"/>
      <c r="O68" s="113"/>
      <c r="P68" s="113"/>
      <c r="Q68" s="113"/>
      <c r="R68" s="113"/>
      <c r="S68" s="113"/>
      <c r="T68" s="11"/>
    </row>
    <row r="69" ht="21" customHeight="1">
      <c r="A69" s="117"/>
      <c r="B69" t="s" s="118">
        <v>39</v>
      </c>
      <c r="C69" s="67"/>
      <c r="D69" s="69">
        <f>D68/D48</f>
        <v>0</v>
      </c>
      <c r="E69" s="69">
        <f>E68/E48</f>
        <v>-0.07170726291336429</v>
      </c>
      <c r="F69" s="69">
        <f>F68/F48</f>
        <v>-0.094804766143943</v>
      </c>
      <c r="G69" s="69">
        <f>G68/G48</f>
        <v>0.35043665559247</v>
      </c>
      <c r="H69" s="69">
        <f>H68/H48</f>
        <v>0.201585623489392</v>
      </c>
      <c r="I69" s="69">
        <f>I68/I48</f>
        <v>-0.336493627603357</v>
      </c>
      <c r="J69" s="69">
        <f>J68/J48</f>
        <v>0.0568261007285398</v>
      </c>
      <c r="K69" s="69">
        <f>K68/K48</f>
        <v>0</v>
      </c>
      <c r="L69" s="69"/>
      <c r="M69" s="69"/>
      <c r="N69" s="69"/>
      <c r="O69" s="69"/>
      <c r="P69" s="69"/>
      <c r="Q69" s="69"/>
      <c r="R69" s="69"/>
      <c r="S69" s="69"/>
      <c r="T69" s="68"/>
    </row>
    <row r="70" ht="21" customHeight="1">
      <c r="A70" s="117"/>
      <c r="B70" t="s" s="118">
        <v>49</v>
      </c>
      <c r="C70" s="67"/>
      <c r="D70" s="69">
        <f>(D68-C68)/(D48-C48)</f>
        <v>0</v>
      </c>
      <c r="E70" s="69">
        <f>(E68-D68)/(E48-D48)</f>
        <v>-0.396451978468222</v>
      </c>
      <c r="F70" s="69">
        <f>(F68-E68)/(F48-E48)</f>
        <v>-0.188248220579089</v>
      </c>
      <c r="G70" s="69">
        <f>(G68-F68)/(G48-F48)</f>
        <v>2.23121781891814</v>
      </c>
      <c r="H70" s="69">
        <f>(H68-G68)/(H48-G48)</f>
        <v>-0.426216721158337</v>
      </c>
      <c r="I70" s="69">
        <f>(I68-H68)/(I48-H48)</f>
        <v>-3.87855804360636</v>
      </c>
      <c r="J70" s="69">
        <f>(J68-I68)/(J48-I48)</f>
        <v>1.79190949605759</v>
      </c>
      <c r="K70" s="69">
        <f>(K68-J68)/(K48-J48)</f>
        <v>-0.7846176454123051</v>
      </c>
      <c r="L70" s="69"/>
      <c r="M70" s="69"/>
      <c r="N70" s="69"/>
      <c r="O70" s="69"/>
      <c r="P70" s="69"/>
      <c r="Q70" s="69"/>
      <c r="R70" s="69"/>
      <c r="S70" s="69"/>
      <c r="T70" s="68"/>
    </row>
    <row r="71" ht="21" customHeight="1">
      <c r="A71" s="82"/>
      <c r="B71" s="48"/>
      <c r="C71" s="28"/>
      <c r="D71" s="11"/>
      <c r="E71" s="62"/>
      <c r="F71" s="62"/>
      <c r="G71" s="62"/>
      <c r="H71" s="62"/>
      <c r="I71" s="62"/>
      <c r="J71" s="62"/>
      <c r="K71" s="113"/>
      <c r="L71" s="113"/>
      <c r="M71" s="113"/>
      <c r="N71" s="113"/>
      <c r="O71" s="113"/>
      <c r="P71" s="113"/>
      <c r="Q71" s="113"/>
      <c r="R71" s="113"/>
      <c r="S71" s="113"/>
      <c r="T71" s="11"/>
    </row>
    <row r="72" ht="21" customHeight="1">
      <c r="A72" s="82"/>
      <c r="B72" s="48"/>
      <c r="C72" s="28"/>
      <c r="D72" s="11"/>
      <c r="E72" s="62"/>
      <c r="F72" s="62"/>
      <c r="G72" s="62"/>
      <c r="H72" s="62"/>
      <c r="I72" s="62"/>
      <c r="J72" s="62"/>
      <c r="K72" s="62">
        <v>1</v>
      </c>
      <c r="L72" s="62">
        <v>2</v>
      </c>
      <c r="M72" s="62">
        <v>3</v>
      </c>
      <c r="N72" s="62">
        <v>4</v>
      </c>
      <c r="O72" s="62">
        <v>5</v>
      </c>
      <c r="P72" s="62">
        <v>6</v>
      </c>
      <c r="Q72" s="62">
        <v>7</v>
      </c>
      <c r="R72" s="62">
        <v>8</v>
      </c>
      <c r="S72" s="62">
        <v>9</v>
      </c>
      <c r="T72" s="62">
        <v>10</v>
      </c>
    </row>
    <row r="73" ht="21" customHeight="1">
      <c r="A73" t="s" s="114">
        <v>13</v>
      </c>
      <c r="B73" t="s" s="115">
        <v>5</v>
      </c>
      <c r="C73" s="31"/>
      <c r="D73" s="60">
        <v>2015</v>
      </c>
      <c r="E73" s="61">
        <v>2016</v>
      </c>
      <c r="F73" s="61">
        <v>2017</v>
      </c>
      <c r="G73" s="61">
        <v>2018</v>
      </c>
      <c r="H73" s="61">
        <v>2019</v>
      </c>
      <c r="I73" s="61">
        <v>2020</v>
      </c>
      <c r="J73" s="61">
        <v>2021</v>
      </c>
      <c r="K73" s="61">
        <v>2022</v>
      </c>
      <c r="L73" s="61">
        <v>2023</v>
      </c>
      <c r="M73" s="61">
        <v>2024</v>
      </c>
      <c r="N73" s="61">
        <v>2025</v>
      </c>
      <c r="O73" s="61">
        <v>2026</v>
      </c>
      <c r="P73" s="61">
        <v>2027</v>
      </c>
      <c r="Q73" s="61">
        <v>2028</v>
      </c>
      <c r="R73" s="61">
        <v>2029</v>
      </c>
      <c r="S73" s="61">
        <v>2030</v>
      </c>
      <c r="T73" s="61">
        <v>2031</v>
      </c>
    </row>
    <row r="74" ht="21" customHeight="1">
      <c r="A74" s="108"/>
      <c r="B74" s="109"/>
      <c r="C74" s="28"/>
      <c r="D74" s="119"/>
      <c r="E74" s="120"/>
      <c r="F74" s="120"/>
      <c r="G74" s="120"/>
      <c r="H74" s="120"/>
      <c r="I74" s="120"/>
      <c r="J74" s="120"/>
      <c r="K74" s="120"/>
      <c r="L74" s="120"/>
      <c r="M74" s="120"/>
      <c r="N74" s="120"/>
      <c r="O74" s="120"/>
      <c r="P74" s="120"/>
      <c r="Q74" s="120"/>
      <c r="R74" s="120"/>
      <c r="S74" s="120"/>
      <c r="T74" s="119"/>
    </row>
    <row r="75" ht="21" customHeight="1">
      <c r="A75" s="8"/>
      <c r="B75" t="s" s="111">
        <v>38</v>
      </c>
      <c r="C75" s="13"/>
      <c r="D75" s="121">
        <f>D43</f>
        <v>4795.5</v>
      </c>
      <c r="E75" s="122">
        <f>E43</f>
        <v>5854.4</v>
      </c>
      <c r="F75" s="122">
        <f>F43</f>
        <v>7301.5</v>
      </c>
      <c r="G75" s="122">
        <f>G43</f>
        <v>9030</v>
      </c>
      <c r="H75" s="122">
        <f>H43</f>
        <v>11171</v>
      </c>
      <c r="I75" s="122">
        <f>I43</f>
        <v>12868</v>
      </c>
      <c r="J75" s="122">
        <f>J43</f>
        <v>15785</v>
      </c>
      <c r="K75" s="122">
        <f>K43</f>
        <v>16928.232</v>
      </c>
      <c r="L75" s="122">
        <f>L43</f>
        <v>19111.973928</v>
      </c>
      <c r="M75" s="122">
        <f>M43</f>
        <v>21952.2144958358</v>
      </c>
      <c r="N75" s="122">
        <f>N43</f>
        <v>25114.9587089688</v>
      </c>
      <c r="O75" s="122">
        <f>O43</f>
        <v>28823.4173004091</v>
      </c>
      <c r="P75" s="122">
        <f>P43</f>
        <v>33184.5796793396</v>
      </c>
      <c r="Q75" s="122">
        <f>Q43</f>
        <v>38329.2637708972</v>
      </c>
      <c r="R75" s="122">
        <f>R43</f>
        <v>44417.8947159134</v>
      </c>
      <c r="S75" s="122">
        <f>S43</f>
        <v>51647.734357068</v>
      </c>
      <c r="T75" s="123">
        <f>T43</f>
        <v>60261.9397329579</v>
      </c>
    </row>
    <row r="76" ht="21" customHeight="1">
      <c r="A76" s="108"/>
      <c r="B76" t="s" s="66">
        <v>29</v>
      </c>
      <c r="C76" s="28"/>
      <c r="D76" s="124"/>
      <c r="E76" s="125">
        <f>E75/D75-1</f>
        <v>0.22081117714524</v>
      </c>
      <c r="F76" s="125">
        <f>F75/E75-1</f>
        <v>0.247181606996447</v>
      </c>
      <c r="G76" s="125">
        <f>G75/F75-1</f>
        <v>0.236732178319523</v>
      </c>
      <c r="H76" s="125">
        <f>H75/G75-1</f>
        <v>0.237098560354374</v>
      </c>
      <c r="I76" s="125">
        <f>I75/H75-1</f>
        <v>0.151911198639334</v>
      </c>
      <c r="J76" s="125">
        <f>J75/I75-1</f>
        <v>0.226686353745726</v>
      </c>
      <c r="K76" s="125">
        <f>K75/J75-1</f>
        <v>0.0724252138105797</v>
      </c>
      <c r="L76" s="125">
        <f>L75/K75-1</f>
        <v>0.129</v>
      </c>
      <c r="M76" s="125">
        <f>M75/L75-1</f>
        <v>0.148610529636329</v>
      </c>
      <c r="N76" s="125">
        <f>N75/M75-1</f>
        <v>0.144074039260729</v>
      </c>
      <c r="O76" s="125">
        <f>O75/N75-1</f>
        <v>0.14765935450716</v>
      </c>
      <c r="P76" s="125">
        <f>P75/O75-1</f>
        <v>0.15130622207203</v>
      </c>
      <c r="Q76" s="125">
        <f>Q75/P75-1</f>
        <v>0.155032371700059</v>
      </c>
      <c r="R76" s="125">
        <f>R75/Q75-1</f>
        <v>0.158850714728291</v>
      </c>
      <c r="S76" s="125">
        <f>S75/R75-1</f>
        <v>0.162768624839043</v>
      </c>
      <c r="T76" s="125">
        <f>T75/S75-1</f>
        <v>0.166787671969023</v>
      </c>
    </row>
    <row r="77" ht="21" customHeight="1">
      <c r="A77" s="82"/>
      <c r="B77" s="109"/>
      <c r="C77" s="28"/>
      <c r="D77" s="11"/>
      <c r="E77" s="113"/>
      <c r="F77" s="113"/>
      <c r="G77" s="113"/>
      <c r="H77" s="113"/>
      <c r="I77" s="113"/>
      <c r="J77" s="113"/>
      <c r="K77" s="113"/>
      <c r="L77" s="113"/>
      <c r="M77" s="113"/>
      <c r="N77" s="113"/>
      <c r="O77" s="113"/>
      <c r="P77" s="113"/>
      <c r="Q77" s="113"/>
      <c r="R77" s="113"/>
      <c r="S77" s="113"/>
      <c r="T77" s="11"/>
    </row>
    <row r="78" ht="21" customHeight="1">
      <c r="A78" s="8"/>
      <c r="B78" t="s" s="111">
        <v>22</v>
      </c>
      <c r="C78" s="28"/>
      <c r="D78" s="126">
        <f>D51</f>
        <v>903.095</v>
      </c>
      <c r="E78" s="126">
        <f>E51</f>
        <v>1493.602</v>
      </c>
      <c r="F78" s="126">
        <f>F51</f>
        <v>2168.095</v>
      </c>
      <c r="G78" s="126">
        <f>G51</f>
        <v>2840</v>
      </c>
      <c r="H78" s="126">
        <f>H51</f>
        <v>3268</v>
      </c>
      <c r="I78" s="126">
        <f>I51</f>
        <v>4237</v>
      </c>
      <c r="J78" s="126">
        <f>J51</f>
        <v>5802</v>
      </c>
      <c r="K78" s="62">
        <f>K75*K79</f>
        <v>6144.948216</v>
      </c>
      <c r="L78" s="62">
        <f>L75*L79</f>
        <v>6867.569298128010</v>
      </c>
      <c r="M78" s="62">
        <f>M75*M79</f>
        <v>7807.670955685610</v>
      </c>
      <c r="N78" s="62">
        <f>N75*N79</f>
        <v>8840.465465557039</v>
      </c>
      <c r="O78" s="62">
        <f>O75*O79</f>
        <v>10040.1570263092</v>
      </c>
      <c r="P78" s="62">
        <f>P75*P79</f>
        <v>11437.6184628124</v>
      </c>
      <c r="Q78" s="62">
        <f>Q75*Q79</f>
        <v>13070.278945876</v>
      </c>
      <c r="R78" s="62">
        <f>R75*R79</f>
        <v>14983.6364841681</v>
      </c>
      <c r="S78" s="62">
        <f>S75*S79</f>
        <v>17233.1273638084</v>
      </c>
      <c r="T78" s="62">
        <f>T75*T79</f>
        <v>19886.4401118761</v>
      </c>
    </row>
    <row r="79" ht="21.5" customHeight="1">
      <c r="A79" s="76"/>
      <c r="B79" t="s" s="66">
        <v>39</v>
      </c>
      <c r="C79" s="67"/>
      <c r="D79" s="69">
        <f>D78/D75</f>
        <v>0.188321342925659</v>
      </c>
      <c r="E79" s="69">
        <f>E78/E75</f>
        <v>0.255124692538945</v>
      </c>
      <c r="F79" s="69">
        <f>F78/F75</f>
        <v>0.296938300349243</v>
      </c>
      <c r="G79" s="69">
        <f>G78/G75</f>
        <v>0.314507198228128</v>
      </c>
      <c r="H79" s="69">
        <f>H78/H75</f>
        <v>0.292543192194074</v>
      </c>
      <c r="I79" s="69">
        <f>I78/I75</f>
        <v>0.329266397264532</v>
      </c>
      <c r="J79" s="69">
        <f>J78/J75</f>
        <v>0.367564143173899</v>
      </c>
      <c r="K79" s="70">
        <f>OFFSET(K79,$C$13,0)</f>
        <v>0.363</v>
      </c>
      <c r="L79" s="70">
        <f>OFFSET(L79,$C$13,0)</f>
        <v>0.359333333333334</v>
      </c>
      <c r="M79" s="70">
        <f>OFFSET(M79,$C$13,0)</f>
        <v>0.355666666666667</v>
      </c>
      <c r="N79" s="70">
        <f>OFFSET(N79,$C$13,0)</f>
        <v>0.352000000000001</v>
      </c>
      <c r="O79" s="70">
        <f>OFFSET(O79,$C$13,0)</f>
        <v>0.348333333333335</v>
      </c>
      <c r="P79" s="70">
        <f>OFFSET(P79,$C$13,0)</f>
        <v>0.344666666666667</v>
      </c>
      <c r="Q79" s="70">
        <f>OFFSET(Q79,$C$13,0)</f>
        <v>0.341000000000001</v>
      </c>
      <c r="R79" s="70">
        <f>OFFSET(R79,$C$13,0)</f>
        <v>0.337333333333334</v>
      </c>
      <c r="S79" s="70">
        <f>OFFSET(S79,$C$13,0)</f>
        <v>0.333666666666667</v>
      </c>
      <c r="T79" s="70">
        <f>OFFSET(T79,$C$13,0)</f>
        <v>0.33</v>
      </c>
    </row>
    <row r="80" ht="22" customHeight="1">
      <c r="A80" s="8"/>
      <c r="B80" t="s" s="34">
        <v>30</v>
      </c>
      <c r="C80" s="28"/>
      <c r="D80" s="11"/>
      <c r="E80" s="64"/>
      <c r="F80" s="64"/>
      <c r="G80" s="64"/>
      <c r="H80" s="64"/>
      <c r="I80" s="64"/>
      <c r="J80" s="71"/>
      <c r="K80" s="72">
        <f>K81*$E$13</f>
        <v>0.297</v>
      </c>
      <c r="L80" s="72">
        <f>L81*$E$13</f>
        <v>0.294</v>
      </c>
      <c r="M80" s="72">
        <f>M81*$E$13</f>
        <v>0.291000000000001</v>
      </c>
      <c r="N80" s="72">
        <f>N81*$E$13</f>
        <v>0.288000000000001</v>
      </c>
      <c r="O80" s="72">
        <f>O81*$E$13</f>
        <v>0.285000000000001</v>
      </c>
      <c r="P80" s="72">
        <f>P81*$E$13</f>
        <v>0.282000000000001</v>
      </c>
      <c r="Q80" s="72">
        <f>Q81*$E$13</f>
        <v>0.279000000000001</v>
      </c>
      <c r="R80" s="72">
        <f>R81*$E$13</f>
        <v>0.276</v>
      </c>
      <c r="S80" s="72">
        <f>S81*$E$13</f>
        <v>0.273000000000001</v>
      </c>
      <c r="T80" s="72">
        <f>T81*$E$13</f>
        <v>0.27</v>
      </c>
    </row>
    <row r="81" ht="22" customHeight="1">
      <c r="A81" s="13"/>
      <c r="B81" t="s" s="34">
        <v>31</v>
      </c>
      <c r="C81" s="28"/>
      <c r="D81" s="11"/>
      <c r="E81" s="64"/>
      <c r="F81" s="64"/>
      <c r="G81" s="64"/>
      <c r="H81" s="64"/>
      <c r="I81" s="64"/>
      <c r="J81" s="71"/>
      <c r="K81" s="72">
        <v>0.33</v>
      </c>
      <c r="L81" s="72">
        <f>K81-(K81-$T$81)/($T$73-K73)</f>
        <v>0.326666666666667</v>
      </c>
      <c r="M81" s="72">
        <f>L81-(L81-$T$81)/($T$73-L73)</f>
        <v>0.323333333333334</v>
      </c>
      <c r="N81" s="72">
        <f>M81-(M81-$T$81)/($T$73-M73)</f>
        <v>0.320000000000001</v>
      </c>
      <c r="O81" s="72">
        <f>N81-(N81-$T$81)/($T$73-N73)</f>
        <v>0.316666666666668</v>
      </c>
      <c r="P81" s="72">
        <f>O81-(O81-$T$81)/($T$73-O73)</f>
        <v>0.313333333333334</v>
      </c>
      <c r="Q81" s="72">
        <f>P81-(P81-$T$81)/($T$73-P73)</f>
        <v>0.310000000000001</v>
      </c>
      <c r="R81" s="72">
        <f>Q81-(Q81-$T$81)/($T$73-Q73)</f>
        <v>0.306666666666667</v>
      </c>
      <c r="S81" s="72">
        <f>R81-(R81-$T$81)/($T$73-R73)</f>
        <v>0.303333333333334</v>
      </c>
      <c r="T81" s="72">
        <f>G13</f>
        <v>0.3</v>
      </c>
    </row>
    <row r="82" ht="22" customHeight="1">
      <c r="A82" s="13"/>
      <c r="B82" t="s" s="34">
        <v>32</v>
      </c>
      <c r="C82" s="28"/>
      <c r="D82" s="11"/>
      <c r="E82" s="64"/>
      <c r="F82" s="64"/>
      <c r="G82" s="64"/>
      <c r="H82" s="64"/>
      <c r="I82" s="64"/>
      <c r="J82" s="71"/>
      <c r="K82" s="87">
        <f>K81*$I$13</f>
        <v>0.363</v>
      </c>
      <c r="L82" s="87">
        <f>L81*$I$13</f>
        <v>0.359333333333334</v>
      </c>
      <c r="M82" s="87">
        <f>M81*$I$13</f>
        <v>0.355666666666667</v>
      </c>
      <c r="N82" s="87">
        <f>N81*$I$13</f>
        <v>0.352000000000001</v>
      </c>
      <c r="O82" s="87">
        <f>O81*$I$13</f>
        <v>0.348333333333335</v>
      </c>
      <c r="P82" s="87">
        <f>P81*$I$13</f>
        <v>0.344666666666667</v>
      </c>
      <c r="Q82" s="87">
        <f>Q81*$I$13</f>
        <v>0.341000000000001</v>
      </c>
      <c r="R82" s="87">
        <f>R81*$I$13</f>
        <v>0.337333333333334</v>
      </c>
      <c r="S82" s="87">
        <f>S81*$I$13</f>
        <v>0.333666666666667</v>
      </c>
      <c r="T82" s="87">
        <f>T81*$I$13</f>
        <v>0.33</v>
      </c>
    </row>
    <row r="83" ht="21.5" customHeight="1">
      <c r="A83" s="108"/>
      <c r="B83" s="109"/>
      <c r="C83" s="28"/>
      <c r="D83" s="11"/>
      <c r="E83" s="113"/>
      <c r="F83" s="113"/>
      <c r="G83" s="113"/>
      <c r="H83" s="113"/>
      <c r="I83" s="113"/>
      <c r="J83" s="113"/>
      <c r="K83" s="127"/>
      <c r="L83" s="127"/>
      <c r="M83" s="127"/>
      <c r="N83" s="127"/>
      <c r="O83" s="127"/>
      <c r="P83" s="127"/>
      <c r="Q83" s="127"/>
      <c r="R83" s="127"/>
      <c r="S83" s="127"/>
      <c r="T83" s="27"/>
    </row>
    <row r="84" ht="21" customHeight="1">
      <c r="A84" s="82"/>
      <c r="B84" t="s" s="111">
        <v>40</v>
      </c>
      <c r="C84" s="28"/>
      <c r="D84" s="126">
        <f>D54</f>
        <v>244.23</v>
      </c>
      <c r="E84" s="126">
        <f>E54</f>
        <v>266.356</v>
      </c>
      <c r="F84" s="126">
        <f>F54</f>
        <v>443.687</v>
      </c>
      <c r="G84" s="126">
        <f>G54</f>
        <v>203</v>
      </c>
      <c r="H84" s="126">
        <f>H54</f>
        <v>254</v>
      </c>
      <c r="I84" s="126">
        <f>I54</f>
        <v>-1084</v>
      </c>
      <c r="J84" s="126">
        <f>J54</f>
        <v>883</v>
      </c>
      <c r="K84" s="126">
        <f>K54</f>
        <v>1004.900884842540</v>
      </c>
      <c r="L84" s="126">
        <f>L54</f>
        <v>1177.246126928010</v>
      </c>
      <c r="M84" s="126">
        <f>M54</f>
        <v>1369.242135076150</v>
      </c>
      <c r="N84" s="126">
        <f>N54</f>
        <v>1534.804343547480</v>
      </c>
      <c r="O84" s="126">
        <f>O54</f>
        <v>1778.234110379370</v>
      </c>
      <c r="P84" s="126">
        <f>P78*P85</f>
        <v>2173.147507934360</v>
      </c>
      <c r="Q84" s="126">
        <f>Q78*Q85</f>
        <v>2483.352999716440</v>
      </c>
      <c r="R84" s="126">
        <f>R78*R85</f>
        <v>2846.890931991940</v>
      </c>
      <c r="S84" s="126">
        <f>S78*S85</f>
        <v>3274.2941991236</v>
      </c>
      <c r="T84" s="126">
        <f>T78*T85</f>
        <v>3778.423621256460</v>
      </c>
    </row>
    <row r="85" ht="21" customHeight="1">
      <c r="A85" s="117"/>
      <c r="B85" t="s" s="112">
        <v>41</v>
      </c>
      <c r="C85" s="67"/>
      <c r="D85" s="69">
        <f>D84/D78</f>
        <v>0.270436665024167</v>
      </c>
      <c r="E85" s="69">
        <f>E84/E78</f>
        <v>0.178331309143935</v>
      </c>
      <c r="F85" s="69">
        <f>F84/F78</f>
        <v>0.204643707955602</v>
      </c>
      <c r="G85" s="69">
        <f>G84/G78</f>
        <v>0.07147887323943659</v>
      </c>
      <c r="H85" s="69">
        <f>H84/H78</f>
        <v>0.0777233782129743</v>
      </c>
      <c r="I85" s="69">
        <f>I84/I78</f>
        <v>-0.255841397215011</v>
      </c>
      <c r="J85" s="69">
        <f>J84/J78</f>
        <v>0.15218890037918</v>
      </c>
      <c r="K85" s="69">
        <f>K84/K78</f>
        <v>0.163532848369009</v>
      </c>
      <c r="L85" s="69">
        <f>L84/L78</f>
        <v>0.171421077214162</v>
      </c>
      <c r="M85" s="69">
        <f>M84/M78</f>
        <v>0.175371393447243</v>
      </c>
      <c r="N85" s="69">
        <f>N84/N78</f>
        <v>0.173611259444106</v>
      </c>
      <c r="O85" s="69">
        <f>O84/O78</f>
        <v>0.17711218118598</v>
      </c>
      <c r="P85" s="69">
        <v>0.19</v>
      </c>
      <c r="Q85" s="69">
        <v>0.19</v>
      </c>
      <c r="R85" s="69">
        <v>0.19</v>
      </c>
      <c r="S85" s="69">
        <v>0.19</v>
      </c>
      <c r="T85" s="69">
        <v>0.19</v>
      </c>
    </row>
    <row r="86" ht="21.15" customHeight="1">
      <c r="A86" s="128"/>
      <c r="B86" s="129"/>
      <c r="C86" s="130"/>
      <c r="D86" s="131"/>
      <c r="E86" s="132"/>
      <c r="F86" s="132"/>
      <c r="G86" s="132"/>
      <c r="H86" s="132"/>
      <c r="I86" s="132"/>
      <c r="J86" s="132"/>
      <c r="K86" s="132"/>
      <c r="L86" s="132"/>
      <c r="M86" s="132"/>
      <c r="N86" s="132"/>
      <c r="O86" s="132"/>
      <c r="P86" s="132"/>
      <c r="Q86" s="132"/>
      <c r="R86" s="132"/>
      <c r="S86" s="132"/>
      <c r="T86" s="131"/>
    </row>
    <row r="87" ht="21.15" customHeight="1">
      <c r="A87" s="133"/>
      <c r="B87" t="s" s="134">
        <v>50</v>
      </c>
      <c r="C87" s="135"/>
      <c r="D87" s="136"/>
      <c r="E87" s="137"/>
      <c r="F87" s="137"/>
      <c r="G87" s="137"/>
      <c r="H87" s="137"/>
      <c r="I87" s="137"/>
      <c r="J87" s="137"/>
      <c r="K87" s="137">
        <f>K78-K84</f>
        <v>5140.047331157460</v>
      </c>
      <c r="L87" s="137">
        <f>L78-L84</f>
        <v>5690.3231712</v>
      </c>
      <c r="M87" s="137">
        <f>M78-M84</f>
        <v>6438.428820609460</v>
      </c>
      <c r="N87" s="137">
        <f>N78-N84</f>
        <v>7305.661122009560</v>
      </c>
      <c r="O87" s="137">
        <f>O78-O84</f>
        <v>8261.922915929830</v>
      </c>
      <c r="P87" s="137">
        <f>P78-P84</f>
        <v>9264.470954878039</v>
      </c>
      <c r="Q87" s="137">
        <f>Q78-Q84</f>
        <v>10586.9259461596</v>
      </c>
      <c r="R87" s="137">
        <f>R78-R84</f>
        <v>12136.7455521762</v>
      </c>
      <c r="S87" s="137">
        <f>S78-S84</f>
        <v>13958.8331646848</v>
      </c>
      <c r="T87" s="138">
        <f>T78-T84</f>
        <v>16108.0164906196</v>
      </c>
    </row>
    <row r="88" ht="21" customHeight="1">
      <c r="A88" s="82"/>
      <c r="B88" s="48"/>
      <c r="C88" s="139"/>
      <c r="D88" s="124"/>
      <c r="E88" s="125"/>
      <c r="F88" s="125"/>
      <c r="G88" s="125"/>
      <c r="H88" s="125"/>
      <c r="I88" s="125"/>
      <c r="J88" s="125"/>
      <c r="K88" s="125"/>
      <c r="L88" s="125"/>
      <c r="M88" s="125"/>
      <c r="N88" s="125"/>
      <c r="O88" s="125"/>
      <c r="P88" s="125"/>
      <c r="Q88" s="125"/>
      <c r="R88" s="125"/>
      <c r="S88" s="125"/>
      <c r="T88" s="124"/>
    </row>
    <row r="89" ht="21.5" customHeight="1">
      <c r="A89" s="82"/>
      <c r="B89" t="s" s="116">
        <v>43</v>
      </c>
      <c r="C89" s="28"/>
      <c r="D89" s="126">
        <f>D59</f>
        <v>339.473</v>
      </c>
      <c r="E89" s="126">
        <f>E59</f>
        <v>331.535</v>
      </c>
      <c r="F89" s="126">
        <f>F59</f>
        <v>325.997</v>
      </c>
      <c r="G89" s="126">
        <f>G59</f>
        <v>346</v>
      </c>
      <c r="H89" s="126">
        <f>H59</f>
        <v>757</v>
      </c>
      <c r="I89" s="126">
        <f>I59</f>
        <v>757</v>
      </c>
      <c r="J89" s="126">
        <f>J59</f>
        <v>788</v>
      </c>
      <c r="K89" s="140">
        <f>K90*K75</f>
        <v>996.021393736586</v>
      </c>
      <c r="L89" s="141">
        <f>L75*L90</f>
        <v>1067.638172314510</v>
      </c>
      <c r="M89" s="141">
        <f>M75*M90</f>
        <v>1204.598233657090</v>
      </c>
      <c r="N89" s="141">
        <f>N75*N90</f>
        <v>1419.613054361270</v>
      </c>
      <c r="O89" s="141">
        <f>O75*O90</f>
        <v>1607.006616553320</v>
      </c>
      <c r="P89" s="141">
        <f>P75*P90</f>
        <v>1848.953682458870</v>
      </c>
      <c r="Q89" s="141">
        <f>Q75*Q90</f>
        <v>2146.379550274140</v>
      </c>
      <c r="R89" s="141">
        <f>R75*R90</f>
        <v>2479.543355693840</v>
      </c>
      <c r="S89" s="141">
        <f>S75*S90</f>
        <v>2884.332839952640</v>
      </c>
      <c r="T89" s="141">
        <f>T75*T90</f>
        <v>3367.995381775670</v>
      </c>
    </row>
    <row r="90" ht="22" customHeight="1">
      <c r="A90" s="82"/>
      <c r="B90" t="s" s="142">
        <v>39</v>
      </c>
      <c r="C90" s="28"/>
      <c r="D90" s="113">
        <f>D89/D75</f>
        <v>0.070789907204671</v>
      </c>
      <c r="E90" s="113">
        <f>E89/E75</f>
        <v>0.0566300560262367</v>
      </c>
      <c r="F90" s="113">
        <f>F89/F75</f>
        <v>0.0446479490515647</v>
      </c>
      <c r="G90" s="113">
        <f>G89/G75</f>
        <v>0.0383167220376523</v>
      </c>
      <c r="H90" s="113">
        <f>H89/H75</f>
        <v>0.06776474800823561</v>
      </c>
      <c r="I90" s="113">
        <f>I89/I75</f>
        <v>0.0588281007149518</v>
      </c>
      <c r="J90" s="143">
        <f>J89/J75</f>
        <v>0.0499208108964207</v>
      </c>
      <c r="K90" s="87">
        <f>AVERAGE(J90,I90,H90)</f>
        <v>0.0588378865398694</v>
      </c>
      <c r="L90" s="87">
        <f>AVERAGE(K90,J90,I90)</f>
        <v>0.055862266050414</v>
      </c>
      <c r="M90" s="87">
        <f>AVERAGE(L90,K90,J90)</f>
        <v>0.054873654495568</v>
      </c>
      <c r="N90" s="87">
        <f>AVERAGE(M90,L90,K90)</f>
        <v>0.0565246023619505</v>
      </c>
      <c r="O90" s="87">
        <f>AVERAGE(N90,M90,L90)</f>
        <v>0.0557535076359775</v>
      </c>
      <c r="P90" s="87">
        <f>AVERAGE(O90,N90,M90)</f>
        <v>0.0557172548311653</v>
      </c>
      <c r="Q90" s="87">
        <f>AVERAGE(P90,O90,N90)</f>
        <v>0.0559984549430311</v>
      </c>
      <c r="R90" s="87">
        <f>AVERAGE(Q90,P90,O90)</f>
        <v>0.055823072470058</v>
      </c>
      <c r="S90" s="87">
        <f>AVERAGE(R90,Q90,P90)</f>
        <v>0.0558462607480848</v>
      </c>
      <c r="T90" s="87">
        <f>AVERAGE(S90,R90,Q90)</f>
        <v>0.0558892627203913</v>
      </c>
    </row>
    <row r="91" ht="21.5" customHeight="1">
      <c r="A91" s="82"/>
      <c r="B91" s="109"/>
      <c r="C91" s="28"/>
      <c r="D91" s="11"/>
      <c r="E91" s="113"/>
      <c r="F91" s="113"/>
      <c r="G91" s="113"/>
      <c r="H91" s="113"/>
      <c r="I91" s="113"/>
      <c r="J91" s="113"/>
      <c r="K91" s="127"/>
      <c r="L91" s="127"/>
      <c r="M91" s="127"/>
      <c r="N91" s="127"/>
      <c r="O91" s="127"/>
      <c r="P91" s="127"/>
      <c r="Q91" s="127"/>
      <c r="R91" s="127"/>
      <c r="S91" s="127"/>
      <c r="T91" s="27"/>
    </row>
    <row r="92" ht="21.5" customHeight="1">
      <c r="A92" s="82"/>
      <c r="B92" t="s" s="116">
        <v>46</v>
      </c>
      <c r="C92" s="28"/>
      <c r="D92" s="126">
        <f>D63</f>
        <v>184.936</v>
      </c>
      <c r="E92" s="126">
        <f>E63</f>
        <v>203.805</v>
      </c>
      <c r="F92" s="126">
        <f>F63</f>
        <v>178.122</v>
      </c>
      <c r="G92" s="126">
        <f>G63</f>
        <v>266.579</v>
      </c>
      <c r="H92" s="126">
        <f>H63</f>
        <v>395</v>
      </c>
      <c r="I92" s="126">
        <f>I63</f>
        <v>419</v>
      </c>
      <c r="J92" s="126">
        <f>J63</f>
        <v>248</v>
      </c>
      <c r="K92" s="144">
        <f>K93*K75</f>
        <v>471.913534634806</v>
      </c>
      <c r="L92" s="145">
        <f>L75*L93</f>
        <v>485.124449177658</v>
      </c>
      <c r="M92" s="145">
        <f>M75*M93</f>
        <v>504.693842453344</v>
      </c>
      <c r="N92" s="145">
        <f>N75*N93</f>
        <v>638.348136029968</v>
      </c>
      <c r="O92" s="145">
        <f>O75*O93</f>
        <v>708.968520643729</v>
      </c>
      <c r="P92" s="145">
        <f>P75*P93</f>
        <v>807.542078471546</v>
      </c>
      <c r="Q92" s="145">
        <f>Q75*Q93</f>
        <v>949.912496408568</v>
      </c>
      <c r="R92" s="145">
        <f>R75*R93</f>
        <v>1091.418431763650</v>
      </c>
      <c r="S92" s="145">
        <f>S75*S93</f>
        <v>1268.630346610680</v>
      </c>
      <c r="T92" s="145">
        <f>T75*T93</f>
        <v>1484.807722799970</v>
      </c>
    </row>
    <row r="93" ht="22" customHeight="1">
      <c r="A93" s="82"/>
      <c r="B93" t="s" s="142">
        <v>39</v>
      </c>
      <c r="C93" s="28"/>
      <c r="D93" s="113">
        <f>D92/D75</f>
        <v>0.0385644875404025</v>
      </c>
      <c r="E93" s="113">
        <f>E92/E75</f>
        <v>0.0348122779447937</v>
      </c>
      <c r="F93" s="113">
        <f>F92/F75</f>
        <v>0.0243952612476888</v>
      </c>
      <c r="G93" s="113">
        <f>G92/G75</f>
        <v>0.0295214839424142</v>
      </c>
      <c r="H93" s="113">
        <f>H92/H75</f>
        <v>0.0353594127651956</v>
      </c>
      <c r="I93" s="113">
        <f>I92/I75</f>
        <v>0.0325613926018029</v>
      </c>
      <c r="J93" s="143">
        <f>J92/J75</f>
        <v>0.0157111181501425</v>
      </c>
      <c r="K93" s="87">
        <f>AVERAGE(J93,I93,H93)</f>
        <v>0.027877307839047</v>
      </c>
      <c r="L93" s="87">
        <f>AVERAGE(K93,J93,I93)</f>
        <v>0.0253832728636641</v>
      </c>
      <c r="M93" s="87">
        <f>AVERAGE(L93,K93,J93)</f>
        <v>0.0229905662842845</v>
      </c>
      <c r="N93" s="87">
        <f>AVERAGE(M93,L93,K93)</f>
        <v>0.0254170489956652</v>
      </c>
      <c r="O93" s="87">
        <f>AVERAGE(N93,M93,L93)</f>
        <v>0.0245969627145379</v>
      </c>
      <c r="P93" s="87">
        <f>AVERAGE(O93,N93,M93)</f>
        <v>0.0243348593314959</v>
      </c>
      <c r="Q93" s="87">
        <f>AVERAGE(P93,O93,N93)</f>
        <v>0.0247829570138997</v>
      </c>
      <c r="R93" s="87">
        <f>AVERAGE(Q93,P93,O93)</f>
        <v>0.0245715930199778</v>
      </c>
      <c r="S93" s="87">
        <f>AVERAGE(R93,Q93,P93)</f>
        <v>0.0245631364551245</v>
      </c>
      <c r="T93" s="87">
        <f>AVERAGE(S93,R93,Q93)</f>
        <v>0.0246392288296673</v>
      </c>
    </row>
    <row r="94" ht="21.5" customHeight="1">
      <c r="A94" s="82"/>
      <c r="B94" s="109"/>
      <c r="C94" s="28"/>
      <c r="D94" s="11"/>
      <c r="E94" s="113"/>
      <c r="F94" s="113"/>
      <c r="G94" s="113"/>
      <c r="H94" s="113"/>
      <c r="I94" s="113"/>
      <c r="J94" s="113"/>
      <c r="K94" s="127"/>
      <c r="L94" s="127"/>
      <c r="M94" s="127"/>
      <c r="N94" s="127"/>
      <c r="O94" s="127"/>
      <c r="P94" s="127"/>
      <c r="Q94" s="127"/>
      <c r="R94" s="127"/>
      <c r="S94" s="127"/>
      <c r="T94" s="27"/>
    </row>
    <row r="95" ht="21.5" customHeight="1">
      <c r="A95" s="82"/>
      <c r="B95" t="s" s="116">
        <v>48</v>
      </c>
      <c r="C95" s="28"/>
      <c r="D95" s="62">
        <f>D68</f>
        <v>0</v>
      </c>
      <c r="E95" s="62">
        <f>E68</f>
        <v>-419.803</v>
      </c>
      <c r="F95" s="62">
        <f>F68</f>
        <v>-692.217</v>
      </c>
      <c r="G95" s="62">
        <f>G68</f>
        <v>3164.443</v>
      </c>
      <c r="H95" s="62">
        <f>H68</f>
        <v>2251.913</v>
      </c>
      <c r="I95" s="62">
        <f>I68</f>
        <v>-4330</v>
      </c>
      <c r="J95" s="62">
        <f>J68</f>
        <v>897</v>
      </c>
      <c r="K95" s="144">
        <f>K96*K75</f>
        <v>-440.596191836688</v>
      </c>
      <c r="L95" s="141">
        <f>L75*L96</f>
        <v>-1947.477194241110</v>
      </c>
      <c r="M95" s="141">
        <f>M75*M96</f>
        <v>-520.263652165693</v>
      </c>
      <c r="N95" s="141">
        <f>N75*N96</f>
        <v>-1269.355241814650</v>
      </c>
      <c r="O95" s="141">
        <f>O75*O96</f>
        <v>-1692.317969405230</v>
      </c>
      <c r="P95" s="141">
        <f>P75*P96</f>
        <v>-1470.684457485470</v>
      </c>
      <c r="Q95" s="141">
        <f>Q75*Q96</f>
        <v>-1962.118588719390</v>
      </c>
      <c r="R95" s="141">
        <f>R75*R96</f>
        <v>-2283.416575359610</v>
      </c>
      <c r="S95" s="141">
        <f>S75*S96</f>
        <v>-2529.310547753260</v>
      </c>
      <c r="T95" s="141">
        <f>T75*T96</f>
        <v>-3044.655398185430</v>
      </c>
    </row>
    <row r="96" ht="22" customHeight="1">
      <c r="A96" s="82"/>
      <c r="B96" t="s" s="118">
        <v>39</v>
      </c>
      <c r="C96" s="28"/>
      <c r="D96" s="69"/>
      <c r="E96" s="69">
        <f>E95/E75</f>
        <v>-0.07170726291336429</v>
      </c>
      <c r="F96" s="69">
        <f>F95/F75</f>
        <v>-0.094804766143943</v>
      </c>
      <c r="G96" s="69">
        <f>G95/G75</f>
        <v>0.35043665559247</v>
      </c>
      <c r="H96" s="69">
        <f>H95/H75</f>
        <v>0.201585623489392</v>
      </c>
      <c r="I96" s="69">
        <f>I95/I75</f>
        <v>-0.336493627603357</v>
      </c>
      <c r="J96" s="146">
        <f>J95/J75</f>
        <v>0.0568261007285398</v>
      </c>
      <c r="K96" s="87">
        <f>AVERAGE(J96,I96,H96)</f>
        <v>-0.0260273011284751</v>
      </c>
      <c r="L96" s="87">
        <f>AVERAGE(K96,J96,I96)</f>
        <v>-0.101898276001097</v>
      </c>
      <c r="M96" s="87">
        <f>AVERAGE(L96,K96,J96)</f>
        <v>-0.0236998254670108</v>
      </c>
      <c r="N96" s="87">
        <f>AVERAGE(M96,L96,K96)</f>
        <v>-0.0505418008655276</v>
      </c>
      <c r="O96" s="87">
        <f>AVERAGE(N96,M96,L96)</f>
        <v>-0.0587133007778785</v>
      </c>
      <c r="P96" s="87">
        <f>AVERAGE(O96,N96,M96)</f>
        <v>-0.0443183090368056</v>
      </c>
      <c r="Q96" s="87">
        <f>AVERAGE(P96,O96,N96)</f>
        <v>-0.0511911368934039</v>
      </c>
      <c r="R96" s="87">
        <f>AVERAGE(Q96,P96,O96)</f>
        <v>-0.0514075822360293</v>
      </c>
      <c r="S96" s="87">
        <f>AVERAGE(R96,Q96,P96)</f>
        <v>-0.0489723427220796</v>
      </c>
      <c r="T96" s="87">
        <f>AVERAGE(S96,R96,Q96)</f>
        <v>-0.0505236872838376</v>
      </c>
    </row>
    <row r="97" ht="21.65" customHeight="1">
      <c r="A97" s="128"/>
      <c r="B97" s="129"/>
      <c r="C97" s="130"/>
      <c r="D97" s="131"/>
      <c r="E97" s="132"/>
      <c r="F97" s="132"/>
      <c r="G97" s="132"/>
      <c r="H97" s="132"/>
      <c r="I97" s="132"/>
      <c r="J97" s="132"/>
      <c r="K97" s="147"/>
      <c r="L97" s="147"/>
      <c r="M97" s="147"/>
      <c r="N97" s="147"/>
      <c r="O97" s="147"/>
      <c r="P97" s="147"/>
      <c r="Q97" s="147"/>
      <c r="R97" s="147"/>
      <c r="S97" s="147"/>
      <c r="T97" s="148"/>
    </row>
    <row r="98" ht="21.15" customHeight="1">
      <c r="A98" s="149"/>
      <c r="B98" t="s" s="134">
        <v>51</v>
      </c>
      <c r="C98" s="150"/>
      <c r="D98" s="151"/>
      <c r="E98" s="152"/>
      <c r="F98" s="152"/>
      <c r="G98" s="152"/>
      <c r="H98" s="152"/>
      <c r="I98" s="152"/>
      <c r="J98" s="152"/>
      <c r="K98" s="101">
        <f>K87+K89-K92-K95</f>
        <v>6104.751382095930</v>
      </c>
      <c r="L98" s="101">
        <f>L87+L89-L92-L95</f>
        <v>8220.314088577959</v>
      </c>
      <c r="M98" s="101">
        <f>M87+M89-M92-M95</f>
        <v>7658.5968639789</v>
      </c>
      <c r="N98" s="101">
        <f>N87+N89-N92-N95</f>
        <v>9356.281282155511</v>
      </c>
      <c r="O98" s="101">
        <f>O87+O89-O92-O95</f>
        <v>10852.2789812447</v>
      </c>
      <c r="P98" s="101">
        <f>P87+P89-P92-P95</f>
        <v>11776.5670163508</v>
      </c>
      <c r="Q98" s="101">
        <f>Q87+Q89-Q92-Q95</f>
        <v>13745.5115887446</v>
      </c>
      <c r="R98" s="101">
        <f>R87+R89-R92-R95</f>
        <v>15808.287051466</v>
      </c>
      <c r="S98" s="101">
        <f>S87+S89-S92-S95</f>
        <v>18103.84620578</v>
      </c>
      <c r="T98" s="101">
        <f>T87+T89-T92-T95</f>
        <v>21035.8595477807</v>
      </c>
    </row>
    <row r="99" ht="21.15" customHeight="1">
      <c r="A99" s="128"/>
      <c r="B99" t="s" s="153">
        <v>52</v>
      </c>
      <c r="C99" s="130"/>
      <c r="D99" s="131"/>
      <c r="E99" s="132"/>
      <c r="F99" s="132"/>
      <c r="G99" s="132"/>
      <c r="H99" s="132"/>
      <c r="I99" s="132"/>
      <c r="J99" s="132"/>
      <c r="K99" s="154">
        <f>K98/(1+$C$17)^K72</f>
        <v>5647.060704487170</v>
      </c>
      <c r="L99" s="154">
        <f>L98/(1+$C$17)^L72</f>
        <v>7033.918964645210</v>
      </c>
      <c r="M99" s="154">
        <f>M98/(1+$C$17)^M72</f>
        <v>6061.953950586510</v>
      </c>
      <c r="N99" s="154">
        <f>N98/(1+$C$17)^N72</f>
        <v>6850.482599687470</v>
      </c>
      <c r="O99" s="154">
        <f>O98/(1+$C$17)^O72</f>
        <v>7350.101255391710</v>
      </c>
      <c r="P99" s="154">
        <f>P98/(1+$C$17)^P72</f>
        <v>7378.117284020640</v>
      </c>
      <c r="Q99" s="154">
        <f>Q98/(1+$C$17)^Q72</f>
        <v>7966.035353811380</v>
      </c>
      <c r="R99" s="154">
        <f>R98/(1+$C$17)^R72</f>
        <v>8474.627324617270</v>
      </c>
      <c r="S99" s="154">
        <f>S98/(1+$C$17)^S72</f>
        <v>8977.617991128120</v>
      </c>
      <c r="T99" s="154">
        <f>T98/(1+$C$17)^T72</f>
        <v>9649.504367275840</v>
      </c>
    </row>
    <row r="100" ht="21.15" customHeight="1">
      <c r="A100" s="133"/>
      <c r="B100" s="149"/>
      <c r="C100" s="135"/>
      <c r="D100" s="136"/>
      <c r="E100" s="155"/>
      <c r="F100" s="155"/>
      <c r="G100" s="155"/>
      <c r="H100" s="155"/>
      <c r="I100" s="155"/>
      <c r="J100" s="155"/>
      <c r="K100" s="155"/>
      <c r="L100" s="155"/>
      <c r="M100" s="155"/>
      <c r="N100" s="155"/>
      <c r="O100" s="155"/>
      <c r="P100" s="155"/>
      <c r="Q100" s="155"/>
      <c r="R100" s="155"/>
      <c r="S100" s="155"/>
      <c r="T100" s="156"/>
    </row>
    <row r="101" ht="21" customHeight="1">
      <c r="A101" s="82"/>
      <c r="B101" t="s" s="116">
        <v>53</v>
      </c>
      <c r="C101" s="83"/>
      <c r="D101" s="157"/>
      <c r="E101" s="158"/>
      <c r="F101" s="158"/>
      <c r="G101" s="158"/>
      <c r="H101" s="158"/>
      <c r="I101" s="158"/>
      <c r="J101" s="158"/>
      <c r="K101" s="158"/>
      <c r="L101" s="158"/>
      <c r="M101" s="158"/>
      <c r="N101" s="158"/>
      <c r="O101" s="158"/>
      <c r="P101" s="158"/>
      <c r="Q101" s="158"/>
      <c r="R101" s="158"/>
      <c r="S101" s="158"/>
      <c r="T101" s="159">
        <f>T98*(1+C18)/($C$17-$C$18)</f>
        <v>384692.252740389</v>
      </c>
    </row>
    <row r="102" ht="21" customHeight="1">
      <c r="A102" s="82"/>
      <c r="B102" t="s" s="116">
        <v>54</v>
      </c>
      <c r="C102" s="83"/>
      <c r="D102" s="157"/>
      <c r="E102" s="158"/>
      <c r="F102" s="158"/>
      <c r="G102" s="158"/>
      <c r="H102" s="158"/>
      <c r="I102" s="158"/>
      <c r="J102" s="158"/>
      <c r="K102" s="158"/>
      <c r="L102" s="158"/>
      <c r="M102" s="158"/>
      <c r="N102" s="158"/>
      <c r="O102" s="158"/>
      <c r="P102" s="158"/>
      <c r="Q102" s="158"/>
      <c r="R102" s="158"/>
      <c r="S102" s="158"/>
      <c r="T102" s="159">
        <f>T101/(1+C17)^T72</f>
        <v>176464.839216289</v>
      </c>
    </row>
    <row r="103" ht="21" customHeight="1">
      <c r="A103" s="82"/>
      <c r="B103" s="48"/>
      <c r="C103" s="83"/>
      <c r="D103" s="157"/>
      <c r="E103" s="158"/>
      <c r="F103" s="158"/>
      <c r="G103" s="158"/>
      <c r="H103" s="158"/>
      <c r="I103" s="158"/>
      <c r="J103" s="158"/>
      <c r="K103" s="158"/>
      <c r="L103" s="158"/>
      <c r="M103" s="158"/>
      <c r="N103" s="158"/>
      <c r="O103" s="158"/>
      <c r="P103" s="158"/>
      <c r="Q103" s="158"/>
      <c r="R103" s="158"/>
      <c r="S103" s="158"/>
      <c r="T103" s="160"/>
    </row>
    <row r="104" ht="22" customHeight="1">
      <c r="A104" s="161"/>
      <c r="B104" t="s" s="162">
        <v>55</v>
      </c>
      <c r="C104" s="161"/>
      <c r="D104" s="161"/>
      <c r="E104" s="161"/>
      <c r="F104" s="161"/>
      <c r="G104" s="161"/>
      <c r="H104" s="161"/>
      <c r="I104" s="161"/>
      <c r="J104" s="161"/>
      <c r="K104" s="161"/>
      <c r="L104" s="161"/>
      <c r="M104" s="161"/>
      <c r="N104" s="161"/>
      <c r="O104" s="161"/>
      <c r="P104" s="161"/>
      <c r="Q104" s="161"/>
      <c r="R104" s="161"/>
      <c r="S104" s="161"/>
      <c r="T104" s="163">
        <f>SUM(T99,S99,R99,Q99,P99,O99,N99,M99,L99,T102,K99)</f>
        <v>251854.25901194</v>
      </c>
    </row>
    <row r="105" ht="22" customHeight="1">
      <c r="A105" s="164"/>
      <c r="B105" t="s" s="165">
        <v>56</v>
      </c>
      <c r="C105" s="164"/>
      <c r="D105" s="164"/>
      <c r="E105" s="164"/>
      <c r="F105" s="164"/>
      <c r="G105" s="164"/>
      <c r="H105" s="164"/>
      <c r="I105" s="164"/>
      <c r="J105" s="164"/>
      <c r="K105" s="164"/>
      <c r="L105" s="164"/>
      <c r="M105" s="164"/>
      <c r="N105" s="164"/>
      <c r="O105" s="164"/>
      <c r="P105" s="164"/>
      <c r="Q105" s="164"/>
      <c r="R105" s="164"/>
      <c r="S105" s="164"/>
      <c r="T105" s="166">
        <v>5300</v>
      </c>
    </row>
    <row r="106" ht="22" customHeight="1">
      <c r="A106" s="164"/>
      <c r="B106" t="s" s="165">
        <v>57</v>
      </c>
      <c r="C106" s="164"/>
      <c r="D106" s="164"/>
      <c r="E106" s="164"/>
      <c r="F106" s="164"/>
      <c r="G106" s="164"/>
      <c r="H106" s="164"/>
      <c r="I106" s="164"/>
      <c r="J106" s="164"/>
      <c r="K106" s="164"/>
      <c r="L106" s="164"/>
      <c r="M106" s="164"/>
      <c r="N106" s="164"/>
      <c r="O106" s="164"/>
      <c r="P106" s="164"/>
      <c r="Q106" s="164"/>
      <c r="R106" s="164"/>
      <c r="S106" s="164"/>
      <c r="T106" s="166">
        <f>'WACC - ADBE'!B14</f>
        <v>4660</v>
      </c>
    </row>
    <row r="107" ht="22" customHeight="1">
      <c r="A107" s="164"/>
      <c r="B107" t="s" s="165">
        <v>58</v>
      </c>
      <c r="C107" s="164"/>
      <c r="D107" s="164"/>
      <c r="E107" s="164"/>
      <c r="F107" s="164"/>
      <c r="G107" s="164"/>
      <c r="H107" s="164"/>
      <c r="I107" s="164"/>
      <c r="J107" s="164"/>
      <c r="K107" s="164"/>
      <c r="L107" s="164"/>
      <c r="M107" s="164"/>
      <c r="N107" s="164"/>
      <c r="O107" s="164"/>
      <c r="P107" s="164"/>
      <c r="Q107" s="164"/>
      <c r="R107" s="164"/>
      <c r="S107" s="164"/>
      <c r="T107" s="166">
        <f>T104+T105-T106</f>
        <v>252494.25901194</v>
      </c>
    </row>
    <row r="108" ht="22" customHeight="1">
      <c r="A108" s="164"/>
      <c r="B108" t="s" s="165">
        <v>59</v>
      </c>
      <c r="C108" s="164"/>
      <c r="D108" s="164"/>
      <c r="E108" s="164"/>
      <c r="F108" s="164"/>
      <c r="G108" s="164"/>
      <c r="H108" s="164"/>
      <c r="I108" s="164"/>
      <c r="J108" s="164"/>
      <c r="K108" s="164"/>
      <c r="L108" s="164"/>
      <c r="M108" s="164"/>
      <c r="N108" s="164"/>
      <c r="O108" s="164"/>
      <c r="P108" s="164"/>
      <c r="Q108" s="164"/>
      <c r="R108" s="164"/>
      <c r="S108" s="164"/>
      <c r="T108" s="166">
        <v>468</v>
      </c>
    </row>
    <row r="109" ht="22" customHeight="1">
      <c r="A109" s="164"/>
      <c r="B109" t="s" s="165">
        <v>60</v>
      </c>
      <c r="C109" s="164"/>
      <c r="D109" s="164"/>
      <c r="E109" s="164"/>
      <c r="F109" s="164"/>
      <c r="G109" s="164"/>
      <c r="H109" s="164"/>
      <c r="I109" s="164"/>
      <c r="J109" s="164"/>
      <c r="K109" s="164"/>
      <c r="L109" s="164"/>
      <c r="M109" s="164"/>
      <c r="N109" s="164"/>
      <c r="O109" s="164"/>
      <c r="P109" s="164"/>
      <c r="Q109" s="164"/>
      <c r="R109" s="164"/>
      <c r="S109" s="164"/>
      <c r="T109" s="167">
        <f>T107/T108</f>
        <v>539.517647461410</v>
      </c>
    </row>
    <row r="110" ht="22" customHeight="1">
      <c r="A110" s="164"/>
      <c r="B110" s="164"/>
      <c r="C110" s="164"/>
      <c r="D110" s="164"/>
      <c r="E110" s="164"/>
      <c r="F110" s="164"/>
      <c r="G110" s="164"/>
      <c r="H110" s="164"/>
      <c r="I110" s="164"/>
      <c r="J110" s="164"/>
      <c r="K110" s="164"/>
      <c r="L110" s="164"/>
      <c r="M110" s="164"/>
      <c r="N110" s="164"/>
      <c r="O110" s="164"/>
      <c r="P110" s="164"/>
      <c r="Q110" s="164"/>
      <c r="R110" s="164"/>
      <c r="S110" s="164"/>
      <c r="T110" s="164"/>
    </row>
    <row r="111" ht="22" customHeight="1">
      <c r="A111" s="164"/>
      <c r="B111" s="164"/>
      <c r="C111" s="164"/>
      <c r="D111" s="164"/>
      <c r="E111" s="164"/>
      <c r="F111" s="164"/>
      <c r="G111" s="164"/>
      <c r="H111" s="164"/>
      <c r="I111" s="164"/>
      <c r="J111" s="164"/>
      <c r="K111" s="164"/>
      <c r="L111" s="164"/>
      <c r="M111" s="164"/>
      <c r="N111" s="164"/>
      <c r="O111" s="164"/>
      <c r="P111" s="164"/>
      <c r="Q111" s="164"/>
      <c r="R111" s="164"/>
      <c r="S111" s="164"/>
      <c r="T111" s="164"/>
    </row>
  </sheetData>
  <mergeCells count="2">
    <mergeCell ref="A1:T1"/>
    <mergeCell ref="K19:L19"/>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8" customWidth="1"/>
    <col min="2" max="5" width="16.3516" style="168" customWidth="1"/>
    <col min="6" max="256" width="16.3516" style="168" customWidth="1"/>
  </cols>
  <sheetData>
    <row r="1" ht="28.65" customHeight="1">
      <c r="A1" t="s" s="169">
        <v>8</v>
      </c>
      <c r="B1" s="169"/>
      <c r="C1" s="169"/>
      <c r="D1" s="169"/>
      <c r="E1" s="169"/>
    </row>
    <row r="2" ht="19.7" customHeight="1">
      <c r="A2" s="36"/>
      <c r="B2" s="36"/>
      <c r="C2" s="36"/>
      <c r="D2" s="36"/>
      <c r="E2" s="36"/>
    </row>
    <row r="3" ht="22" customHeight="1">
      <c r="A3" t="s" s="170">
        <v>62</v>
      </c>
      <c r="B3" s="36"/>
      <c r="C3" s="36"/>
      <c r="D3" s="36"/>
      <c r="E3" s="36"/>
    </row>
    <row r="4" ht="22" customHeight="1">
      <c r="A4" t="s" s="170">
        <v>63</v>
      </c>
      <c r="B4" s="36"/>
      <c r="C4" s="36"/>
      <c r="D4" s="36"/>
      <c r="E4" s="36"/>
    </row>
    <row r="5" ht="19.7" customHeight="1">
      <c r="A5" s="36"/>
      <c r="B5" s="36"/>
      <c r="C5" s="36"/>
      <c r="D5" s="36"/>
      <c r="E5" s="36"/>
    </row>
    <row r="6" ht="22" customHeight="1">
      <c r="A6" t="s" s="171">
        <v>24</v>
      </c>
      <c r="B6" s="36"/>
      <c r="C6" s="36"/>
      <c r="D6" s="36"/>
      <c r="E6" s="36"/>
    </row>
    <row r="7" ht="19.7" customHeight="1">
      <c r="A7" t="s" s="172">
        <v>64</v>
      </c>
      <c r="B7" s="173">
        <v>144672.84992</v>
      </c>
      <c r="C7" s="36"/>
      <c r="D7" s="36"/>
      <c r="E7" s="36"/>
    </row>
    <row r="8" ht="19.7" customHeight="1">
      <c r="A8" t="s" s="172">
        <v>65</v>
      </c>
      <c r="B8" s="174">
        <f>B7/B19</f>
        <v>0.968794541840617</v>
      </c>
      <c r="C8" s="36"/>
      <c r="D8" s="36"/>
      <c r="E8" s="36"/>
    </row>
    <row r="9" ht="19.7" customHeight="1">
      <c r="A9" t="s" s="172">
        <v>66</v>
      </c>
      <c r="B9" s="175">
        <f>B10+B11*B12</f>
        <v>0.08741599999999999</v>
      </c>
      <c r="C9" s="36"/>
      <c r="D9" s="36"/>
      <c r="E9" s="36"/>
    </row>
    <row r="10" ht="19.7" customHeight="1">
      <c r="A10" t="s" s="172">
        <v>67</v>
      </c>
      <c r="B10" s="175">
        <v>0.03408</v>
      </c>
      <c r="C10" s="36"/>
      <c r="D10" s="36"/>
      <c r="E10" s="36"/>
    </row>
    <row r="11" ht="19.7" customHeight="1">
      <c r="A11" t="s" s="172">
        <v>68</v>
      </c>
      <c r="B11" s="176">
        <v>1.13</v>
      </c>
      <c r="C11" s="36"/>
      <c r="D11" s="36"/>
      <c r="E11" s="36"/>
    </row>
    <row r="12" ht="19.7" customHeight="1">
      <c r="A12" t="s" s="177">
        <v>69</v>
      </c>
      <c r="B12" s="175">
        <v>0.0472</v>
      </c>
      <c r="C12" s="36"/>
      <c r="D12" s="36"/>
      <c r="E12" s="36"/>
    </row>
    <row r="13" ht="19.7" customHeight="1">
      <c r="A13" s="178"/>
      <c r="B13" s="36"/>
      <c r="C13" s="36"/>
      <c r="D13" s="36"/>
      <c r="E13" s="36"/>
    </row>
    <row r="14" ht="19.7" customHeight="1">
      <c r="A14" t="s" s="172">
        <v>70</v>
      </c>
      <c r="B14" s="173">
        <v>4660</v>
      </c>
      <c r="C14" s="36"/>
      <c r="D14" s="36"/>
      <c r="E14" s="36"/>
    </row>
    <row r="15" ht="19.7" customHeight="1">
      <c r="A15" t="s" s="172">
        <v>71</v>
      </c>
      <c r="B15" s="179">
        <f>B14/B7</f>
        <v>0.0322106048410386</v>
      </c>
      <c r="C15" s="36"/>
      <c r="D15" s="36"/>
      <c r="E15" s="36"/>
    </row>
    <row r="16" ht="19.7" customHeight="1">
      <c r="A16" t="s" s="172">
        <v>72</v>
      </c>
      <c r="B16" s="179">
        <v>0.05</v>
      </c>
      <c r="C16" s="36"/>
      <c r="D16" s="36"/>
      <c r="E16" s="36"/>
    </row>
    <row r="17" ht="19.7" customHeight="1">
      <c r="A17" t="s" s="172">
        <v>73</v>
      </c>
      <c r="B17" s="180">
        <v>0.1548</v>
      </c>
      <c r="C17" s="36"/>
      <c r="D17" s="36"/>
      <c r="E17" s="36"/>
    </row>
    <row r="18" ht="19.7" customHeight="1">
      <c r="A18" s="178"/>
      <c r="B18" s="173"/>
      <c r="C18" s="36"/>
      <c r="D18" s="36"/>
      <c r="E18" s="36"/>
    </row>
    <row r="19" ht="19.7" customHeight="1">
      <c r="A19" t="s" s="172">
        <v>74</v>
      </c>
      <c r="B19" s="173">
        <f>B7+B14</f>
        <v>149332.84992</v>
      </c>
      <c r="C19" s="36"/>
      <c r="D19" s="36"/>
      <c r="E19" s="36"/>
    </row>
    <row r="20" ht="19.7" customHeight="1">
      <c r="A20" s="178"/>
      <c r="B20" s="36"/>
      <c r="C20" s="36"/>
      <c r="D20" s="36"/>
      <c r="E20" s="36"/>
    </row>
    <row r="21" ht="19.7" customHeight="1">
      <c r="A21" t="s" s="172">
        <v>24</v>
      </c>
      <c r="B21" s="175">
        <f>(B8*B9)+(B15*B16*(1-B17))</f>
        <v>0.0860493638301217</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