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Alphabet/"/>
    </mc:Choice>
  </mc:AlternateContent>
  <xr:revisionPtr revIDLastSave="0" documentId="13_ncr:1_{B15468A0-32BB-3D4A-A5B2-80A1AAC9D783}" xr6:coauthVersionLast="47" xr6:coauthVersionMax="47" xr10:uidLastSave="{00000000-0000-0000-0000-000000000000}"/>
  <bookViews>
    <workbookView xWindow="29020" yWindow="500" windowWidth="23960" windowHeight="19480" xr2:uid="{1DE7D2D2-D4DA-1548-B4CB-8BAA437AFDF5}"/>
  </bookViews>
  <sheets>
    <sheet name="GOOG_DCF" sheetId="1" r:id="rId1"/>
    <sheet name="GOOG_ WAC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3" i="1" l="1"/>
  <c r="D103" i="1"/>
  <c r="E103" i="1"/>
  <c r="F103" i="1"/>
  <c r="G103" i="1"/>
  <c r="G112" i="1"/>
  <c r="G72" i="1"/>
  <c r="G65" i="1"/>
  <c r="G58" i="1"/>
  <c r="G51" i="1"/>
  <c r="G44" i="1"/>
  <c r="G37" i="1"/>
  <c r="G30" i="1"/>
  <c r="G31" i="1" s="1"/>
  <c r="L144" i="1"/>
  <c r="C26" i="1"/>
  <c r="I23" i="1"/>
  <c r="E23" i="1"/>
  <c r="D21" i="2"/>
  <c r="D10" i="2" s="1"/>
  <c r="D17" i="2"/>
  <c r="D11" i="2"/>
  <c r="D131" i="1"/>
  <c r="D132" i="1" s="1"/>
  <c r="F128" i="1"/>
  <c r="E128" i="1"/>
  <c r="D128" i="1"/>
  <c r="C128" i="1"/>
  <c r="F124" i="1"/>
  <c r="F126" i="1" s="1"/>
  <c r="E124" i="1"/>
  <c r="D124" i="1"/>
  <c r="C124" i="1"/>
  <c r="F118" i="1"/>
  <c r="E118" i="1"/>
  <c r="D118" i="1"/>
  <c r="C118" i="1"/>
  <c r="L115" i="1"/>
  <c r="L116" i="1" s="1"/>
  <c r="F112" i="1"/>
  <c r="E112" i="1"/>
  <c r="D112" i="1"/>
  <c r="C112" i="1"/>
  <c r="B109" i="1"/>
  <c r="G131" i="1"/>
  <c r="C131" i="1"/>
  <c r="F131" i="1"/>
  <c r="E131" i="1"/>
  <c r="F98" i="1"/>
  <c r="E98" i="1"/>
  <c r="D98" i="1"/>
  <c r="C98" i="1"/>
  <c r="G128" i="1"/>
  <c r="G124" i="1"/>
  <c r="F92" i="1"/>
  <c r="E92" i="1"/>
  <c r="D92" i="1"/>
  <c r="C92" i="1"/>
  <c r="G118" i="1"/>
  <c r="L75" i="1"/>
  <c r="H76" i="1"/>
  <c r="H73" i="1" s="1"/>
  <c r="H74" i="1"/>
  <c r="L68" i="1"/>
  <c r="L69" i="1" s="1"/>
  <c r="L66" i="1" s="1"/>
  <c r="L61" i="1"/>
  <c r="L62" i="1" s="1"/>
  <c r="L59" i="1" s="1"/>
  <c r="L54" i="1"/>
  <c r="L55" i="1" s="1"/>
  <c r="L52" i="1" s="1"/>
  <c r="L47" i="1"/>
  <c r="L48" i="1" s="1"/>
  <c r="L45" i="1" s="1"/>
  <c r="L40" i="1"/>
  <c r="L41" i="1" s="1"/>
  <c r="L38" i="1" s="1"/>
  <c r="L33" i="1"/>
  <c r="L32" i="1" s="1"/>
  <c r="G66" i="1"/>
  <c r="G59" i="1"/>
  <c r="G38" i="1"/>
  <c r="F73" i="1"/>
  <c r="E73" i="1"/>
  <c r="D73" i="1"/>
  <c r="F66" i="1"/>
  <c r="E66" i="1"/>
  <c r="D66" i="1"/>
  <c r="F59" i="1"/>
  <c r="E59" i="1"/>
  <c r="D59" i="1"/>
  <c r="F52" i="1"/>
  <c r="E52" i="1"/>
  <c r="D52" i="1"/>
  <c r="F45" i="1"/>
  <c r="E45" i="1"/>
  <c r="D45" i="1"/>
  <c r="F38" i="1"/>
  <c r="E38" i="1"/>
  <c r="D38" i="1"/>
  <c r="E31" i="1"/>
  <c r="D31" i="1"/>
  <c r="F31" i="1"/>
  <c r="F80" i="1"/>
  <c r="F63" i="1" s="1"/>
  <c r="E80" i="1"/>
  <c r="D80" i="1"/>
  <c r="D85" i="1" s="1"/>
  <c r="D109" i="1" s="1"/>
  <c r="C80" i="1"/>
  <c r="C70" i="1" s="1"/>
  <c r="B72" i="1"/>
  <c r="B65" i="1"/>
  <c r="B58" i="1"/>
  <c r="B51" i="1"/>
  <c r="B44" i="1"/>
  <c r="B37" i="1"/>
  <c r="B30" i="1"/>
  <c r="I3" i="1" a="1"/>
  <c r="I3" i="1" s="1"/>
  <c r="D129" i="1" l="1"/>
  <c r="G119" i="1"/>
  <c r="G126" i="1"/>
  <c r="C119" i="1"/>
  <c r="D119" i="1"/>
  <c r="D126" i="1"/>
  <c r="F119" i="1"/>
  <c r="H119" i="1" s="1"/>
  <c r="I119" i="1" s="1"/>
  <c r="J119" i="1" s="1"/>
  <c r="E119" i="1"/>
  <c r="L114" i="1"/>
  <c r="L113" i="1" s="1"/>
  <c r="C126" i="1"/>
  <c r="D125" i="1"/>
  <c r="E126" i="1"/>
  <c r="D23" i="2"/>
  <c r="G22" i="1" s="1"/>
  <c r="H33" i="1"/>
  <c r="I33" i="1" s="1"/>
  <c r="I32" i="1" s="1"/>
  <c r="H61" i="1"/>
  <c r="H62" i="1" s="1"/>
  <c r="H59" i="1" s="1"/>
  <c r="H58" i="1" s="1"/>
  <c r="L53" i="1"/>
  <c r="L67" i="1"/>
  <c r="G92" i="1"/>
  <c r="H92" i="1" s="1"/>
  <c r="I92" i="1" s="1"/>
  <c r="J92" i="1" s="1"/>
  <c r="D35" i="1"/>
  <c r="E81" i="1"/>
  <c r="H40" i="1"/>
  <c r="I40" i="1" s="1"/>
  <c r="H68" i="1"/>
  <c r="H69" i="1" s="1"/>
  <c r="H66" i="1" s="1"/>
  <c r="H65" i="1" s="1"/>
  <c r="L39" i="1"/>
  <c r="F42" i="1"/>
  <c r="F70" i="1"/>
  <c r="D113" i="1"/>
  <c r="D81" i="1"/>
  <c r="H72" i="1"/>
  <c r="F49" i="1"/>
  <c r="F77" i="1"/>
  <c r="L34" i="1"/>
  <c r="L31" i="1" s="1"/>
  <c r="F56" i="1"/>
  <c r="F85" i="1"/>
  <c r="F104" i="1" s="1"/>
  <c r="D104" i="1"/>
  <c r="D101" i="1"/>
  <c r="D89" i="1"/>
  <c r="D97" i="1"/>
  <c r="H34" i="1"/>
  <c r="H31" i="1" s="1"/>
  <c r="H30" i="1" s="1"/>
  <c r="H41" i="1"/>
  <c r="H38" i="1" s="1"/>
  <c r="H37" i="1" s="1"/>
  <c r="H67" i="1"/>
  <c r="C85" i="1"/>
  <c r="C109" i="1" s="1"/>
  <c r="D110" i="1" s="1"/>
  <c r="C56" i="1"/>
  <c r="C77" i="1"/>
  <c r="C49" i="1"/>
  <c r="G45" i="1"/>
  <c r="H47" i="1" s="1"/>
  <c r="G73" i="1"/>
  <c r="L46" i="1"/>
  <c r="I75" i="1"/>
  <c r="J75" i="1" s="1"/>
  <c r="L74" i="1"/>
  <c r="L76" i="1"/>
  <c r="L73" i="1" s="1"/>
  <c r="C42" i="1"/>
  <c r="C63" i="1"/>
  <c r="G98" i="1"/>
  <c r="E70" i="1"/>
  <c r="E42" i="1"/>
  <c r="E63" i="1"/>
  <c r="E35" i="1"/>
  <c r="I61" i="1"/>
  <c r="H60" i="1"/>
  <c r="E56" i="1"/>
  <c r="E77" i="1"/>
  <c r="E49" i="1"/>
  <c r="D77" i="1"/>
  <c r="D49" i="1"/>
  <c r="D70" i="1"/>
  <c r="D42" i="1"/>
  <c r="F81" i="1"/>
  <c r="G52" i="1"/>
  <c r="H54" i="1" s="1"/>
  <c r="L60" i="1"/>
  <c r="C35" i="1"/>
  <c r="D56" i="1"/>
  <c r="D63" i="1"/>
  <c r="E85" i="1"/>
  <c r="E109" i="1" s="1"/>
  <c r="E125" i="1" s="1"/>
  <c r="F97" i="1"/>
  <c r="F35" i="1"/>
  <c r="G80" i="1"/>
  <c r="G49" i="1" s="1"/>
  <c r="I22" i="1" l="1"/>
  <c r="E22" i="1"/>
  <c r="C25" i="1"/>
  <c r="H32" i="1"/>
  <c r="F89" i="1"/>
  <c r="F86" i="1"/>
  <c r="C129" i="1"/>
  <c r="E132" i="1"/>
  <c r="C125" i="1"/>
  <c r="C132" i="1"/>
  <c r="E110" i="1"/>
  <c r="E129" i="1"/>
  <c r="K119" i="1"/>
  <c r="L119" i="1" s="1"/>
  <c r="H39" i="1"/>
  <c r="I74" i="1"/>
  <c r="I68" i="1"/>
  <c r="I69" i="1" s="1"/>
  <c r="I66" i="1" s="1"/>
  <c r="I65" i="1" s="1"/>
  <c r="I76" i="1"/>
  <c r="I73" i="1" s="1"/>
  <c r="I72" i="1" s="1"/>
  <c r="G56" i="1"/>
  <c r="G77" i="1"/>
  <c r="F101" i="1"/>
  <c r="F109" i="1"/>
  <c r="D86" i="1"/>
  <c r="E113" i="1"/>
  <c r="G70" i="1"/>
  <c r="C113" i="1"/>
  <c r="F113" i="1"/>
  <c r="H53" i="1"/>
  <c r="H55" i="1"/>
  <c r="H52" i="1" s="1"/>
  <c r="H51" i="1" s="1"/>
  <c r="I54" i="1"/>
  <c r="J33" i="1"/>
  <c r="J34" i="1" s="1"/>
  <c r="I39" i="1"/>
  <c r="J40" i="1"/>
  <c r="I41" i="1"/>
  <c r="I38" i="1" s="1"/>
  <c r="I37" i="1" s="1"/>
  <c r="I34" i="1"/>
  <c r="I31" i="1" s="1"/>
  <c r="I30" i="1" s="1"/>
  <c r="G81" i="1"/>
  <c r="G85" i="1"/>
  <c r="G35" i="1"/>
  <c r="G63" i="1"/>
  <c r="G42" i="1"/>
  <c r="K92" i="1"/>
  <c r="L92" i="1" s="1"/>
  <c r="E101" i="1"/>
  <c r="E89" i="1"/>
  <c r="E97" i="1"/>
  <c r="E104" i="1"/>
  <c r="E86" i="1"/>
  <c r="I60" i="1"/>
  <c r="I62" i="1"/>
  <c r="I59" i="1" s="1"/>
  <c r="I58" i="1" s="1"/>
  <c r="J61" i="1"/>
  <c r="H48" i="1"/>
  <c r="H45" i="1" s="1"/>
  <c r="H44" i="1" s="1"/>
  <c r="I47" i="1"/>
  <c r="H46" i="1"/>
  <c r="C97" i="1"/>
  <c r="C104" i="1"/>
  <c r="C101" i="1"/>
  <c r="C89" i="1"/>
  <c r="K75" i="1"/>
  <c r="J74" i="1"/>
  <c r="J76" i="1"/>
  <c r="J73" i="1" s="1"/>
  <c r="K33" i="1"/>
  <c r="I67" i="1" l="1"/>
  <c r="F110" i="1"/>
  <c r="F125" i="1"/>
  <c r="F132" i="1"/>
  <c r="F129" i="1"/>
  <c r="J68" i="1"/>
  <c r="J72" i="1"/>
  <c r="G109" i="1"/>
  <c r="G113" i="1"/>
  <c r="H115" i="1" s="1"/>
  <c r="K68" i="1"/>
  <c r="J67" i="1"/>
  <c r="J69" i="1"/>
  <c r="J66" i="1" s="1"/>
  <c r="J65" i="1" s="1"/>
  <c r="K61" i="1"/>
  <c r="J62" i="1"/>
  <c r="J59" i="1" s="1"/>
  <c r="J58" i="1" s="1"/>
  <c r="J60" i="1"/>
  <c r="J32" i="1"/>
  <c r="J31" i="1" s="1"/>
  <c r="J30" i="1" s="1"/>
  <c r="J54" i="1"/>
  <c r="I55" i="1"/>
  <c r="I52" i="1" s="1"/>
  <c r="I51" i="1" s="1"/>
  <c r="I53" i="1"/>
  <c r="H80" i="1"/>
  <c r="G104" i="1"/>
  <c r="G86" i="1"/>
  <c r="G101" i="1"/>
  <c r="H101" i="1" s="1"/>
  <c r="I101" i="1" s="1"/>
  <c r="G89" i="1"/>
  <c r="G97" i="1"/>
  <c r="K40" i="1"/>
  <c r="J41" i="1"/>
  <c r="J38" i="1" s="1"/>
  <c r="J37" i="1" s="1"/>
  <c r="J39" i="1"/>
  <c r="I48" i="1"/>
  <c r="I45" i="1" s="1"/>
  <c r="I44" i="1" s="1"/>
  <c r="J47" i="1"/>
  <c r="I46" i="1"/>
  <c r="H89" i="1"/>
  <c r="K76" i="1"/>
  <c r="K73" i="1" s="1"/>
  <c r="K74" i="1"/>
  <c r="K32" i="1"/>
  <c r="K34" i="1"/>
  <c r="H116" i="1" l="1"/>
  <c r="I115" i="1"/>
  <c r="H114" i="1"/>
  <c r="H113" i="1" s="1"/>
  <c r="G110" i="1"/>
  <c r="G132" i="1"/>
  <c r="G129" i="1"/>
  <c r="G125" i="1"/>
  <c r="K72" i="1"/>
  <c r="L72" i="1" s="1"/>
  <c r="H104" i="1"/>
  <c r="I80" i="1"/>
  <c r="I89" i="1"/>
  <c r="J89" i="1" s="1"/>
  <c r="K54" i="1"/>
  <c r="J55" i="1"/>
  <c r="J52" i="1" s="1"/>
  <c r="J51" i="1" s="1"/>
  <c r="J53" i="1"/>
  <c r="K31" i="1"/>
  <c r="K30" i="1" s="1"/>
  <c r="L30" i="1" s="1"/>
  <c r="J101" i="1"/>
  <c r="K101" i="1" s="1"/>
  <c r="H85" i="1"/>
  <c r="H63" i="1"/>
  <c r="H35" i="1"/>
  <c r="H70" i="1"/>
  <c r="H42" i="1"/>
  <c r="H81" i="1"/>
  <c r="H77" i="1"/>
  <c r="H56" i="1"/>
  <c r="H97" i="1"/>
  <c r="K69" i="1"/>
  <c r="K66" i="1" s="1"/>
  <c r="K65" i="1" s="1"/>
  <c r="L65" i="1" s="1"/>
  <c r="K67" i="1"/>
  <c r="K47" i="1"/>
  <c r="J46" i="1"/>
  <c r="J48" i="1"/>
  <c r="J45" i="1" s="1"/>
  <c r="J44" i="1" s="1"/>
  <c r="K41" i="1"/>
  <c r="K38" i="1" s="1"/>
  <c r="K37" i="1" s="1"/>
  <c r="L37" i="1" s="1"/>
  <c r="K39" i="1"/>
  <c r="H49" i="1"/>
  <c r="K62" i="1"/>
  <c r="K59" i="1" s="1"/>
  <c r="K58" i="1" s="1"/>
  <c r="L58" i="1" s="1"/>
  <c r="K60" i="1"/>
  <c r="I114" i="1" l="1"/>
  <c r="I113" i="1" s="1"/>
  <c r="J115" i="1"/>
  <c r="I116" i="1"/>
  <c r="I104" i="1"/>
  <c r="H103" i="1"/>
  <c r="H131" i="1" s="1"/>
  <c r="H109" i="1"/>
  <c r="H96" i="1"/>
  <c r="H124" i="1" s="1"/>
  <c r="H100" i="1"/>
  <c r="H128" i="1" s="1"/>
  <c r="H88" i="1"/>
  <c r="H91" i="1" s="1"/>
  <c r="H86" i="1"/>
  <c r="K48" i="1"/>
  <c r="K45" i="1" s="1"/>
  <c r="K44" i="1" s="1"/>
  <c r="K46" i="1"/>
  <c r="K55" i="1"/>
  <c r="K52" i="1" s="1"/>
  <c r="K51" i="1" s="1"/>
  <c r="K53" i="1"/>
  <c r="K89" i="1"/>
  <c r="L89" i="1" s="1"/>
  <c r="L101" i="1"/>
  <c r="I97" i="1"/>
  <c r="J97" i="1" s="1"/>
  <c r="K97" i="1" s="1"/>
  <c r="L97" i="1" s="1"/>
  <c r="I81" i="1"/>
  <c r="I85" i="1"/>
  <c r="I63" i="1"/>
  <c r="I35" i="1"/>
  <c r="I77" i="1"/>
  <c r="I70" i="1"/>
  <c r="I56" i="1"/>
  <c r="I42" i="1"/>
  <c r="J80" i="1"/>
  <c r="J49" i="1" s="1"/>
  <c r="I49" i="1"/>
  <c r="K115" i="1" l="1"/>
  <c r="J116" i="1"/>
  <c r="J114" i="1"/>
  <c r="J113" i="1" s="1"/>
  <c r="H132" i="1"/>
  <c r="H129" i="1"/>
  <c r="H125" i="1"/>
  <c r="H126" i="1"/>
  <c r="H110" i="1"/>
  <c r="H112" i="1"/>
  <c r="J104" i="1"/>
  <c r="K104" i="1" s="1"/>
  <c r="L104" i="1" s="1"/>
  <c r="I103" i="1"/>
  <c r="I131" i="1" s="1"/>
  <c r="I109" i="1"/>
  <c r="L51" i="1"/>
  <c r="L44" i="1"/>
  <c r="K80" i="1"/>
  <c r="I88" i="1"/>
  <c r="I91" i="1" s="1"/>
  <c r="I96" i="1"/>
  <c r="I124" i="1" s="1"/>
  <c r="I86" i="1"/>
  <c r="I100" i="1"/>
  <c r="I128" i="1" s="1"/>
  <c r="J85" i="1"/>
  <c r="J63" i="1"/>
  <c r="J35" i="1"/>
  <c r="J77" i="1"/>
  <c r="J81" i="1"/>
  <c r="J70" i="1"/>
  <c r="J42" i="1"/>
  <c r="J56" i="1"/>
  <c r="H98" i="1"/>
  <c r="K116" i="1" l="1"/>
  <c r="K114" i="1"/>
  <c r="K113" i="1" s="1"/>
  <c r="I132" i="1"/>
  <c r="I129" i="1"/>
  <c r="I125" i="1"/>
  <c r="I126" i="1"/>
  <c r="H118" i="1"/>
  <c r="H122" i="1" s="1"/>
  <c r="H135" i="1" s="1"/>
  <c r="H136" i="1" s="1"/>
  <c r="I110" i="1"/>
  <c r="I112" i="1"/>
  <c r="J103" i="1"/>
  <c r="J131" i="1" s="1"/>
  <c r="J109" i="1"/>
  <c r="L80" i="1"/>
  <c r="L42" i="1" s="1"/>
  <c r="I98" i="1"/>
  <c r="K77" i="1"/>
  <c r="K70" i="1"/>
  <c r="K42" i="1"/>
  <c r="K81" i="1"/>
  <c r="K63" i="1"/>
  <c r="K35" i="1"/>
  <c r="K85" i="1"/>
  <c r="K56" i="1"/>
  <c r="J88" i="1"/>
  <c r="J91" i="1" s="1"/>
  <c r="J96" i="1"/>
  <c r="J124" i="1" s="1"/>
  <c r="J86" i="1"/>
  <c r="J100" i="1"/>
  <c r="J128" i="1" s="1"/>
  <c r="K49" i="1"/>
  <c r="J132" i="1" l="1"/>
  <c r="J129" i="1"/>
  <c r="J125" i="1"/>
  <c r="J126" i="1"/>
  <c r="J110" i="1"/>
  <c r="J112" i="1"/>
  <c r="K103" i="1"/>
  <c r="K131" i="1" s="1"/>
  <c r="K109" i="1"/>
  <c r="L63" i="1"/>
  <c r="L81" i="1"/>
  <c r="L85" i="1"/>
  <c r="L56" i="1"/>
  <c r="L35" i="1"/>
  <c r="L77" i="1"/>
  <c r="L70" i="1"/>
  <c r="L49" i="1"/>
  <c r="K100" i="1"/>
  <c r="K128" i="1" s="1"/>
  <c r="K86" i="1"/>
  <c r="K88" i="1"/>
  <c r="K91" i="1" s="1"/>
  <c r="K96" i="1"/>
  <c r="K124" i="1" s="1"/>
  <c r="J98" i="1"/>
  <c r="K132" i="1" l="1"/>
  <c r="K129" i="1"/>
  <c r="K125" i="1"/>
  <c r="K126" i="1"/>
  <c r="L88" i="1"/>
  <c r="L91" i="1" s="1"/>
  <c r="K110" i="1"/>
  <c r="K112" i="1"/>
  <c r="L86" i="1"/>
  <c r="L96" i="1"/>
  <c r="L124" i="1" s="1"/>
  <c r="L103" i="1"/>
  <c r="L131" i="1" s="1"/>
  <c r="L109" i="1"/>
  <c r="L100" i="1"/>
  <c r="L128" i="1" s="1"/>
  <c r="K98" i="1"/>
  <c r="L132" i="1" l="1"/>
  <c r="L129" i="1"/>
  <c r="L126" i="1"/>
  <c r="L125" i="1"/>
  <c r="L110" i="1"/>
  <c r="L112" i="1"/>
  <c r="L98" i="1"/>
  <c r="K118" i="1" l="1"/>
  <c r="K122" i="1" s="1"/>
  <c r="K135" i="1" s="1"/>
  <c r="K136" i="1" s="1"/>
  <c r="L118" i="1"/>
  <c r="L122" i="1" s="1"/>
  <c r="L135" i="1" s="1"/>
  <c r="L136" i="1" s="1"/>
  <c r="L139" i="1" s="1"/>
  <c r="L140" i="1" s="1"/>
  <c r="I118" i="1"/>
  <c r="I122" i="1" s="1"/>
  <c r="I135" i="1" s="1"/>
  <c r="I136" i="1" s="1"/>
  <c r="J118" i="1"/>
  <c r="J122" i="1" s="1"/>
  <c r="J135" i="1" s="1"/>
  <c r="J136" i="1" s="1"/>
  <c r="L142" i="1" l="1"/>
  <c r="L145" i="1" s="1"/>
  <c r="L147" i="1" s="1"/>
  <c r="I4" i="1" s="1"/>
  <c r="M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<sst xmlns="http://schemas.openxmlformats.org/spreadsheetml/2006/main" count="123" uniqueCount="64">
  <si>
    <t>Ticker</t>
  </si>
  <si>
    <t>Date</t>
  </si>
  <si>
    <t>GOOG</t>
  </si>
  <si>
    <t xml:space="preserve">Implied Share Price </t>
  </si>
  <si>
    <t xml:space="preserve">Current Share Price </t>
  </si>
  <si>
    <t xml:space="preserve">Upside/Downside </t>
  </si>
  <si>
    <t>X</t>
  </si>
  <si>
    <t xml:space="preserve">Assumptions </t>
  </si>
  <si>
    <t xml:space="preserve">Switches </t>
  </si>
  <si>
    <t xml:space="preserve">Revenue Build </t>
  </si>
  <si>
    <t xml:space="preserve">Google Search &amp; Other </t>
  </si>
  <si>
    <t>YouTube Ads</t>
  </si>
  <si>
    <t xml:space="preserve">Google Network </t>
  </si>
  <si>
    <t xml:space="preserve">Google Other </t>
  </si>
  <si>
    <t xml:space="preserve">Google Cloud </t>
  </si>
  <si>
    <t xml:space="preserve">Other Bets </t>
  </si>
  <si>
    <t>Hedging Gains (Losses)</t>
  </si>
  <si>
    <t>Conservative</t>
  </si>
  <si>
    <t>Base</t>
  </si>
  <si>
    <t>Optimistic</t>
  </si>
  <si>
    <t xml:space="preserve">% Growth </t>
  </si>
  <si>
    <r>
      <t xml:space="preserve"> </t>
    </r>
    <r>
      <rPr>
        <sz val="12"/>
        <color theme="1"/>
        <rFont val="Calibri"/>
        <family val="2"/>
        <scheme val="minor"/>
      </rPr>
      <t xml:space="preserve">Conservative </t>
    </r>
  </si>
  <si>
    <t xml:space="preserve"> Base</t>
  </si>
  <si>
    <t xml:space="preserve"> Optimistic </t>
  </si>
  <si>
    <t xml:space="preserve">% of Revenue </t>
  </si>
  <si>
    <t xml:space="preserve">Total Revenues </t>
  </si>
  <si>
    <t xml:space="preserve">Income Satement </t>
  </si>
  <si>
    <t xml:space="preserve">Revenue </t>
  </si>
  <si>
    <t>EBIT</t>
  </si>
  <si>
    <t>% of Revenue</t>
  </si>
  <si>
    <t>Taxes</t>
  </si>
  <si>
    <t xml:space="preserve">% of EBIT </t>
  </si>
  <si>
    <t xml:space="preserve">Cash Flow Items </t>
  </si>
  <si>
    <t>D&amp;A</t>
  </si>
  <si>
    <t>% of CapEx</t>
  </si>
  <si>
    <t xml:space="preserve">Capital Expenditures </t>
  </si>
  <si>
    <t xml:space="preserve">Change in Net Working Capital </t>
  </si>
  <si>
    <t>DCF</t>
  </si>
  <si>
    <t>% of EBIT</t>
  </si>
  <si>
    <t>WACC</t>
  </si>
  <si>
    <t>TGV</t>
  </si>
  <si>
    <t>EBIAT</t>
  </si>
  <si>
    <t xml:space="preserve">Unlevered Free Cash Flow </t>
  </si>
  <si>
    <t xml:space="preserve">Present Value of Free Cash Flow </t>
  </si>
  <si>
    <t>WACC = % of equity * cost of equity + % of debt * cost of debt * (1-Tax Rate)</t>
  </si>
  <si>
    <t xml:space="preserve">Cost of equity = Risk Free Rate + Beta * Market Risk Premium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</si>
  <si>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</si>
  <si>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</si>
  <si>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</si>
  <si>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</si>
  <si>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</si>
  <si>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</si>
  <si>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</si>
  <si>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</si>
  <si>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</si>
  <si>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</si>
  <si>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</si>
  <si>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 xml:space="preserve">Terminal Value </t>
  </si>
  <si>
    <t xml:space="preserve">Present Value of Terminal Value </t>
  </si>
  <si>
    <t xml:space="preserve">Enterprise Value </t>
  </si>
  <si>
    <t xml:space="preserve">(+) Cash </t>
  </si>
  <si>
    <t xml:space="preserve">(-) Debt </t>
  </si>
  <si>
    <t xml:space="preserve">Equity Value </t>
  </si>
  <si>
    <t xml:space="preserve">Shares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</si>
</sst>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409]#,##0.00"/>
    <numFmt numFmtId="166" formatCode="[$$-409]#,##0_);\([$$-409]#,##0\)"/>
  </numFmts>
  <fonts count="8"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s>
  <fills count="5">
    <fill>
      <patternFill patternType="none"/>
    </fill>
    <fill>
      <patternFill patternType="gray125"/>
    </fill>
    <fill>
      <patternFill patternType="solid">
        <fgColor theme="7" tint="0.79998168889431442"/>
        <bgColor auto="1"/>
      </patternFill>
    </fill>
    <fill>
      <patternFill patternType="solid">
        <fgColor theme="7" tint="0.79998168889431442"/>
        <bgColor indexed="64"/>
      </patternFill>
    </fill>
    <fill>
      <patternFill patternType="solid">
        <fgColor theme="8" tint="-0.499984740745262"/>
        <bgColor indexed="64"/>
      </patternFill>
    </fill>
  </fills>
  <borders count="3">
    <border>
      <left/>
      <right/>
      <top/>
      <bottom/>
      <diagonal/>
    </border>
    <border>
      <left style="hair">
        <color auto="1"/>
      </left>
      <right style="hair">
        <color auto="1"/>
      </right>
      <top style="hair">
        <color auto="1"/>
      </top>
      <bottom style="hair">
        <color auto="1"/>
      </bottom>
      <diagonal/>
    </border>
    <border>
      <left/>
      <right/>
      <top style="thin">
        <color theme="1"/>
      </top>
      <bottom/>
      <diagonal/>
    </border>
  </borders>
  <cellStyleXfs count="1">
    <xf numFmtId="0" fontId="0" fillId="0" borderId="0"/>
  </cellStyleXfs>
  <cellXfs count="27">
    <xf numFmtId="0" fontId="0" fillId="0" borderId="0" xfId="0"/>
    <xf numFmtId="0" fontId="0" fillId="2" borderId="1" xfId="0" applyFill="1" applyBorder="1"/>
    <xf numFmtId="14" fontId="0" fillId="2" borderId="1" xfId="0" applyNumberFormat="1" applyFill="1" applyBorder="1"/>
    <xf numFmtId="164" fontId="0" fillId="3" borderId="1" xfId="0" applyNumberFormat="1" applyFill="1" applyBorder="1"/>
    <xf numFmtId="165" fontId="0" fillId="2" borderId="1" xfId="0" applyNumberFormat="1" applyFill="1" applyBorder="1"/>
    <xf numFmtId="10" fontId="0" fillId="2" borderId="1" xfId="0" applyNumberFormat="1" applyFill="1" applyBorder="1"/>
    <xf numFmtId="0" fontId="2" fillId="4" borderId="0" xfId="0" applyFont="1" applyFill="1"/>
    <xf numFmtId="0" fontId="1" fillId="0" borderId="0" xfId="0" applyFont="1"/>
    <xf numFmtId="0" fontId="0" fillId="3" borderId="1" xfId="0" applyFill="1" applyBorder="1"/>
    <xf numFmtId="10" fontId="0" fillId="3" borderId="1" xfId="0" applyNumberFormat="1" applyFill="1" applyBorder="1"/>
    <xf numFmtId="0" fontId="3" fillId="0" borderId="0" xfId="0" applyFont="1"/>
    <xf numFmtId="0" fontId="0" fillId="0" borderId="2" xfId="0" applyBorder="1"/>
    <xf numFmtId="37" fontId="0" fillId="0" borderId="0" xfId="0" applyNumberFormat="1"/>
    <xf numFmtId="37" fontId="1" fillId="0" borderId="0" xfId="0" applyNumberFormat="1" applyFont="1"/>
    <xf numFmtId="10" fontId="0" fillId="0" borderId="0" xfId="0" applyNumberFormat="1"/>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xf>
    <xf numFmtId="10" fontId="3" fillId="0" borderId="0" xfId="0" applyNumberFormat="1" applyFont="1"/>
    <xf numFmtId="0" fontId="4" fillId="0" borderId="0" xfId="0" applyFont="1"/>
    <xf numFmtId="0" fontId="5" fillId="0" borderId="0" xfId="0" applyFont="1"/>
    <xf numFmtId="0" fontId="6" fillId="4" borderId="0" xfId="0" applyFont="1" applyFill="1"/>
    <xf numFmtId="0" fontId="7" fillId="0" borderId="0" xfId="0" applyFont="1"/>
    <xf numFmtId="3" fontId="0" fillId="0" borderId="0" xfId="0" applyNumberFormat="1"/>
    <xf numFmtId="2" fontId="0" fillId="0" borderId="0" xfId="0" applyNumberFormat="1"/>
    <xf numFmtId="9"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https://www.bing.com/financeapi/forcetrigger?t=a1u3p2&amp;q=XNAS%3aGOOG&amp;form=skydnc</v>
    <v>Learn more on Bing</v>
  </rv>
  <rv s="1">
    <v>0</v>
    <v>ALPHABET INC. (XNAS:GOOG)</v>
    <v>2</v>
    <v>3</v>
    <v>Finance</v>
    <v>4</v>
    <v>en-GB</v>
    <v>a1u3p2</v>
    <v>268435456</v>
    <v>1</v>
    <v>Powered by Refinitiv</v>
    <v>149.11770000000001</v>
    <v>83.45</v>
    <v>1.0771999999999999</v>
    <v>7.37</v>
    <v>7.2661000000000003E-2</v>
    <v>-5.38</v>
    <v>-4.9448999999999993E-2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Nasdaq Stock Market</v>
    <v>XNAS</v>
    <v>XNAS</v>
    <v>1600 Amphitheatre Pkwy, MOUNTAIN VIEW, CA, 94043-1351 US</v>
    <v>108.82</v>
    <v>Software &amp; IT Services</v>
    <v>Stock</v>
    <v>44960.041652950778</v>
    <v>0</v>
    <v>106.54</v>
    <v>1305952000000</v>
    <v>ALPHABET INC.</v>
    <v>ALPHABET INC.</v>
    <v>106.79</v>
    <v>21.6021</v>
    <v>101.43</v>
    <v>108.8</v>
    <v>103.42</v>
    <v>12943000000</v>
    <v>GOOG</v>
    <v>ALPHABET INC. (XNAS:GOOG)</v>
    <v>46622627</v>
    <v>24935674</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BA789-6D2E-A14E-8A60-325927D86606}">
  <dimension ref="A3:M147"/>
  <sheetViews>
    <sheetView showGridLines="0" tabSelected="1" zoomScale="120" zoomScaleNormal="120" workbookViewId="0">
      <pane xSplit="2" topLeftCell="C1" activePane="topRight" state="frozen"/>
      <selection pane="topRight" activeCell="G22" sqref="G22"/>
    </sheetView>
  </sheetViews>
  <sheetFormatPr baseColWidth="10" defaultRowHeight="16" x14ac:dyDescent="0.2"/>
  <cols>
    <col min="1" max="1" width="3.5" style="15" customWidth="1"/>
    <col min="2" max="2" width="28.6640625" customWidth="1"/>
  </cols>
  <sheetData>
    <row r="3" spans="1:13" x14ac:dyDescent="0.2">
      <c r="C3" t="s">
        <v>0</v>
      </c>
      <c r="D3" s="1" t="e" vm="1">
        <v>#VALUE!</v>
      </c>
      <c r="G3" t="s">
        <v>4</v>
      </c>
      <c r="I3" s="3" cm="1">
        <f t="array" ref="I3">_FV(D3,"Price")</f>
        <v>108.8</v>
      </c>
    </row>
    <row r="4" spans="1:13" x14ac:dyDescent="0.2">
      <c r="C4" t="s">
        <v>1</v>
      </c>
      <c r="D4" s="2">
        <v>44960</v>
      </c>
      <c r="G4" t="s">
        <v>3</v>
      </c>
      <c r="I4" s="4">
        <f ca="1">L147</f>
        <v>89.792812964314066</v>
      </c>
      <c r="K4" t="s">
        <v>5</v>
      </c>
      <c r="M4" s="5">
        <f ca="1">I4/I3-1</f>
        <v>-0.17469841025446631</v>
      </c>
    </row>
    <row r="7" spans="1:13" x14ac:dyDescent="0.2">
      <c r="A7" s="15" t="s">
        <v>6</v>
      </c>
      <c r="B7" s="6" t="s">
        <v>7</v>
      </c>
      <c r="C7" s="6"/>
      <c r="D7" s="6"/>
      <c r="E7" s="6"/>
      <c r="F7" s="6"/>
      <c r="G7" s="6"/>
      <c r="H7" s="6"/>
      <c r="I7" s="6"/>
      <c r="J7" s="6"/>
      <c r="K7" s="6"/>
      <c r="L7" s="6"/>
    </row>
    <row r="9" spans="1:13" x14ac:dyDescent="0.2">
      <c r="E9" s="7" t="s">
        <v>17</v>
      </c>
      <c r="G9" s="7" t="s">
        <v>18</v>
      </c>
      <c r="I9" s="7" t="s">
        <v>19</v>
      </c>
    </row>
    <row r="11" spans="1:13" x14ac:dyDescent="0.2">
      <c r="B11" s="7" t="s">
        <v>8</v>
      </c>
    </row>
    <row r="13" spans="1:13" x14ac:dyDescent="0.2">
      <c r="B13" s="7" t="s">
        <v>10</v>
      </c>
      <c r="C13" s="8">
        <v>2</v>
      </c>
      <c r="E13" s="9">
        <v>0.8</v>
      </c>
      <c r="G13" s="9">
        <v>0.09</v>
      </c>
      <c r="I13" s="9">
        <v>1.2</v>
      </c>
    </row>
    <row r="14" spans="1:13" x14ac:dyDescent="0.2">
      <c r="B14" s="7" t="s">
        <v>11</v>
      </c>
      <c r="C14" s="8">
        <v>2</v>
      </c>
      <c r="E14" s="9">
        <v>0.8</v>
      </c>
      <c r="G14" s="9">
        <v>0.12</v>
      </c>
      <c r="I14" s="9">
        <v>1.2</v>
      </c>
    </row>
    <row r="15" spans="1:13" x14ac:dyDescent="0.2">
      <c r="B15" s="7" t="s">
        <v>12</v>
      </c>
      <c r="C15" s="8">
        <v>2</v>
      </c>
      <c r="E15" s="9">
        <v>0.8</v>
      </c>
      <c r="G15" s="9">
        <v>0.1</v>
      </c>
      <c r="I15" s="9">
        <v>1.2</v>
      </c>
    </row>
    <row r="16" spans="1:13" x14ac:dyDescent="0.2">
      <c r="B16" s="7" t="s">
        <v>13</v>
      </c>
      <c r="C16" s="8">
        <v>2</v>
      </c>
      <c r="E16" s="9">
        <v>0.8</v>
      </c>
      <c r="G16" s="9">
        <v>0.1</v>
      </c>
      <c r="I16" s="9">
        <v>1.2</v>
      </c>
    </row>
    <row r="17" spans="1:12" x14ac:dyDescent="0.2">
      <c r="B17" s="7" t="s">
        <v>14</v>
      </c>
      <c r="C17" s="8">
        <v>2</v>
      </c>
      <c r="E17" s="9">
        <v>0.8</v>
      </c>
      <c r="G17" s="9">
        <v>8.5000000000000006E-2</v>
      </c>
      <c r="I17" s="9">
        <v>1.2</v>
      </c>
    </row>
    <row r="18" spans="1:12" x14ac:dyDescent="0.2">
      <c r="B18" s="7" t="s">
        <v>15</v>
      </c>
      <c r="C18" s="8">
        <v>2</v>
      </c>
      <c r="E18" s="9">
        <v>0.8</v>
      </c>
      <c r="G18" s="9">
        <v>0.05</v>
      </c>
      <c r="I18" s="9">
        <v>1.2</v>
      </c>
    </row>
    <row r="19" spans="1:12" x14ac:dyDescent="0.2">
      <c r="B19" s="7" t="s">
        <v>16</v>
      </c>
      <c r="C19" s="8">
        <v>2</v>
      </c>
      <c r="E19" s="9">
        <v>0.8</v>
      </c>
      <c r="G19" s="9">
        <v>-0.1</v>
      </c>
      <c r="I19" s="9">
        <v>1.2</v>
      </c>
    </row>
    <row r="20" spans="1:12" x14ac:dyDescent="0.2">
      <c r="B20" s="7"/>
      <c r="C20" s="7"/>
    </row>
    <row r="21" spans="1:12" x14ac:dyDescent="0.2">
      <c r="B21" s="7" t="s">
        <v>28</v>
      </c>
      <c r="C21" s="8">
        <v>2</v>
      </c>
      <c r="E21" s="9">
        <v>0.8</v>
      </c>
      <c r="G21" s="9">
        <v>0.27300000000000002</v>
      </c>
      <c r="I21" s="9">
        <v>1.2</v>
      </c>
    </row>
    <row r="22" spans="1:12" x14ac:dyDescent="0.2">
      <c r="B22" s="7" t="s">
        <v>39</v>
      </c>
      <c r="C22" s="8">
        <v>2</v>
      </c>
      <c r="E22" s="9">
        <f>G22+0.005</f>
        <v>9.3182190215453542E-2</v>
      </c>
      <c r="G22" s="9">
        <f>'GOOG_ WACC'!D23</f>
        <v>8.8182190215453538E-2</v>
      </c>
      <c r="I22" s="9">
        <f>G22-0.005</f>
        <v>8.3182190215453533E-2</v>
      </c>
    </row>
    <row r="23" spans="1:12" x14ac:dyDescent="0.2">
      <c r="B23" s="7" t="s">
        <v>40</v>
      </c>
      <c r="C23" s="8">
        <v>2</v>
      </c>
      <c r="E23" s="9">
        <f>G23-0.005</f>
        <v>0.02</v>
      </c>
      <c r="G23" s="9">
        <v>2.5000000000000001E-2</v>
      </c>
      <c r="I23" s="9">
        <f>G23+0.005</f>
        <v>3.0000000000000002E-2</v>
      </c>
    </row>
    <row r="24" spans="1:12" x14ac:dyDescent="0.2">
      <c r="B24" s="7"/>
    </row>
    <row r="25" spans="1:12" x14ac:dyDescent="0.2">
      <c r="B25" s="7" t="s">
        <v>39</v>
      </c>
      <c r="C25" s="9">
        <f>CHOOSE(C22,E22,G22,I22)</f>
        <v>8.8182190215453538E-2</v>
      </c>
    </row>
    <row r="26" spans="1:12" x14ac:dyDescent="0.2">
      <c r="B26" s="7" t="s">
        <v>40</v>
      </c>
      <c r="C26" s="9">
        <f>CHOOSE(C23,E23,G23,I23)</f>
        <v>2.5000000000000001E-2</v>
      </c>
    </row>
    <row r="28" spans="1:12" x14ac:dyDescent="0.2">
      <c r="A28" s="15" t="s">
        <v>6</v>
      </c>
      <c r="B28" s="6" t="s">
        <v>9</v>
      </c>
      <c r="C28" s="6">
        <v>2018</v>
      </c>
      <c r="D28" s="6">
        <v>2019</v>
      </c>
      <c r="E28" s="6">
        <v>2020</v>
      </c>
      <c r="F28" s="6">
        <v>2021</v>
      </c>
      <c r="G28" s="6">
        <v>2022</v>
      </c>
      <c r="H28" s="6">
        <v>2023</v>
      </c>
      <c r="I28" s="6">
        <v>2024</v>
      </c>
      <c r="J28" s="6">
        <v>2025</v>
      </c>
      <c r="K28" s="6">
        <v>2026</v>
      </c>
      <c r="L28" s="6">
        <v>2027</v>
      </c>
    </row>
    <row r="30" spans="1:12" x14ac:dyDescent="0.2">
      <c r="B30" s="7" t="str">
        <f>B13</f>
        <v xml:space="preserve">Google Search &amp; Other </v>
      </c>
      <c r="C30" s="12">
        <v>85296</v>
      </c>
      <c r="D30" s="12">
        <v>98115</v>
      </c>
      <c r="E30" s="12">
        <v>104062</v>
      </c>
      <c r="F30" s="12">
        <v>148951</v>
      </c>
      <c r="G30" s="12">
        <f>(119846+42604)</f>
        <v>162450</v>
      </c>
      <c r="H30" s="12">
        <f ca="1">G30*(1+H31)</f>
        <v>193998.1963356988</v>
      </c>
      <c r="I30" s="12">
        <f t="shared" ref="I30:L30" ca="1" si="0">H30*(1+I31)</f>
        <v>226619.35698487744</v>
      </c>
      <c r="J30" s="12">
        <f t="shared" ca="1" si="0"/>
        <v>258822.2510335882</v>
      </c>
      <c r="K30" s="12">
        <f t="shared" ca="1" si="0"/>
        <v>288858.73511386657</v>
      </c>
      <c r="L30" s="12">
        <f t="shared" ca="1" si="0"/>
        <v>314856.02127411461</v>
      </c>
    </row>
    <row r="31" spans="1:12" s="10" customFormat="1" x14ac:dyDescent="0.2">
      <c r="A31" s="17"/>
      <c r="B31" s="10" t="s">
        <v>20</v>
      </c>
      <c r="C31" s="18"/>
      <c r="D31" s="18">
        <f t="shared" ref="D31:E31" si="1">D30/C30-1</f>
        <v>0.15028840742824978</v>
      </c>
      <c r="E31" s="18">
        <f t="shared" si="1"/>
        <v>6.0612546501554343E-2</v>
      </c>
      <c r="F31" s="18">
        <f>F30/E30-1</f>
        <v>0.43136783840402826</v>
      </c>
      <c r="G31" s="18">
        <f t="shared" ref="G31" si="2">G30/F30-1</f>
        <v>9.0627118985438182E-2</v>
      </c>
      <c r="H31" s="18">
        <f ca="1">OFFSET(H31,$C$13,0)</f>
        <v>0.19420250129700692</v>
      </c>
      <c r="I31" s="18">
        <f t="shared" ref="I31:L31" ca="1" si="3">OFFSET(I31,$C$13,0)</f>
        <v>0.16815187597275519</v>
      </c>
      <c r="J31" s="18">
        <f t="shared" ca="1" si="3"/>
        <v>0.14210125064850346</v>
      </c>
      <c r="K31" s="18">
        <f t="shared" ca="1" si="3"/>
        <v>0.11605062532425173</v>
      </c>
      <c r="L31" s="18">
        <f t="shared" ca="1" si="3"/>
        <v>0.09</v>
      </c>
    </row>
    <row r="32" spans="1:12" x14ac:dyDescent="0.2">
      <c r="B32" s="7" t="s">
        <v>21</v>
      </c>
      <c r="H32" s="9">
        <f t="shared" ref="H32:K32" si="4">H33*$E$13</f>
        <v>0.15536200103760556</v>
      </c>
      <c r="I32" s="9">
        <f t="shared" si="4"/>
        <v>0.13452150077820416</v>
      </c>
      <c r="J32" s="9">
        <f t="shared" si="4"/>
        <v>0.11368100051880277</v>
      </c>
      <c r="K32" s="9">
        <f t="shared" si="4"/>
        <v>9.2840500259401382E-2</v>
      </c>
      <c r="L32" s="9">
        <f>L33*$E$13</f>
        <v>7.1999999999999995E-2</v>
      </c>
    </row>
    <row r="33" spans="1:12" x14ac:dyDescent="0.2">
      <c r="B33" t="s">
        <v>22</v>
      </c>
      <c r="H33" s="9">
        <f>AVERAGE(E31:G31)</f>
        <v>0.19420250129700692</v>
      </c>
      <c r="I33" s="9">
        <f>H33-(H33-$L$33)/($L$28-H28)</f>
        <v>0.16815187597275519</v>
      </c>
      <c r="J33" s="9">
        <f t="shared" ref="J33:K33" si="5">I33-(I33-$L$33)/($L$28-I28)</f>
        <v>0.14210125064850346</v>
      </c>
      <c r="K33" s="9">
        <f t="shared" si="5"/>
        <v>0.11605062532425173</v>
      </c>
      <c r="L33" s="9">
        <f>G13</f>
        <v>0.09</v>
      </c>
    </row>
    <row r="34" spans="1:12" x14ac:dyDescent="0.2">
      <c r="B34" t="s">
        <v>23</v>
      </c>
      <c r="H34" s="9">
        <f t="shared" ref="H34:K34" si="6">H33*$I$13</f>
        <v>0.23304300155640828</v>
      </c>
      <c r="I34" s="9">
        <f t="shared" si="6"/>
        <v>0.20178225116730622</v>
      </c>
      <c r="J34" s="9">
        <f t="shared" si="6"/>
        <v>0.17052150077820413</v>
      </c>
      <c r="K34" s="9">
        <f t="shared" si="6"/>
        <v>0.13926075038910207</v>
      </c>
      <c r="L34" s="9">
        <f>L33*$I$13</f>
        <v>0.108</v>
      </c>
    </row>
    <row r="35" spans="1:12" s="10" customFormat="1" x14ac:dyDescent="0.2">
      <c r="A35" s="17"/>
      <c r="B35" s="10" t="s">
        <v>24</v>
      </c>
      <c r="C35" s="18">
        <f>C30/C$80</f>
        <v>0.6234221855151697</v>
      </c>
      <c r="D35" s="18">
        <f t="shared" ref="D35:L35" si="7">D30/D$80</f>
        <v>0.60618323581927258</v>
      </c>
      <c r="E35" s="18">
        <f t="shared" si="7"/>
        <v>0.57011839344316184</v>
      </c>
      <c r="F35" s="18">
        <f t="shared" si="7"/>
        <v>0.57814289096674776</v>
      </c>
      <c r="G35" s="18">
        <f t="shared" si="7"/>
        <v>0.57436111386103605</v>
      </c>
      <c r="H35" s="18">
        <f t="shared" ca="1" si="7"/>
        <v>0.56280436948716295</v>
      </c>
      <c r="I35" s="18">
        <f t="shared" ca="1" si="7"/>
        <v>0.55208036101658986</v>
      </c>
      <c r="J35" s="18">
        <f t="shared" ca="1" si="7"/>
        <v>0.54334747910615699</v>
      </c>
      <c r="K35" s="18">
        <f t="shared" ca="1" si="7"/>
        <v>0.53762714652949761</v>
      </c>
      <c r="L35" s="18">
        <f t="shared" ca="1" si="7"/>
        <v>0.53565499798470351</v>
      </c>
    </row>
    <row r="36" spans="1:12" x14ac:dyDescent="0.2">
      <c r="C36" s="14"/>
    </row>
    <row r="37" spans="1:12" x14ac:dyDescent="0.2">
      <c r="B37" s="7" t="str">
        <f>B14</f>
        <v>YouTube Ads</v>
      </c>
      <c r="C37" s="12">
        <v>11155</v>
      </c>
      <c r="D37" s="12">
        <v>15149</v>
      </c>
      <c r="E37" s="12">
        <v>19772</v>
      </c>
      <c r="F37" s="12">
        <v>28845</v>
      </c>
      <c r="G37" s="12">
        <f>(21280+7963)</f>
        <v>29243</v>
      </c>
      <c r="H37" s="12">
        <f ca="1">G37*(1+H38)</f>
        <v>36825.200968988705</v>
      </c>
      <c r="I37" s="12">
        <f t="shared" ref="I37:L37" ca="1" si="8">H37*(1+I38)</f>
        <v>45091.057290528443</v>
      </c>
      <c r="J37" s="12">
        <f t="shared" ca="1" si="8"/>
        <v>53642.183934214132</v>
      </c>
      <c r="K37" s="12">
        <f t="shared" ca="1" si="8"/>
        <v>61947.101671180491</v>
      </c>
      <c r="L37" s="12">
        <f t="shared" ca="1" si="8"/>
        <v>69380.753871722161</v>
      </c>
    </row>
    <row r="38" spans="1:12" s="10" customFormat="1" x14ac:dyDescent="0.2">
      <c r="A38" s="17"/>
      <c r="B38" s="10" t="s">
        <v>20</v>
      </c>
      <c r="C38" s="18"/>
      <c r="D38" s="18">
        <f t="shared" ref="D38" si="9">D37/C37-1</f>
        <v>0.35804571940833707</v>
      </c>
      <c r="E38" s="18">
        <f t="shared" ref="E38" si="10">E37/D37-1</f>
        <v>0.30516865799722748</v>
      </c>
      <c r="F38" s="18">
        <f>F37/E37-1</f>
        <v>0.45888124620675708</v>
      </c>
      <c r="G38" s="18">
        <f t="shared" ref="G38" si="11">G37/F37-1</f>
        <v>1.3797885248743258E-2</v>
      </c>
      <c r="H38" s="18">
        <f ca="1">OFFSET(H38,$C$14,0)</f>
        <v>0.25928259648424262</v>
      </c>
      <c r="I38" s="18">
        <f t="shared" ref="I38:L38" ca="1" si="12">OFFSET(I38,$C$14,0)</f>
        <v>0.22446194736318198</v>
      </c>
      <c r="J38" s="18">
        <f t="shared" ca="1" si="12"/>
        <v>0.18964129824212131</v>
      </c>
      <c r="K38" s="18">
        <f t="shared" ca="1" si="12"/>
        <v>0.15482064912106064</v>
      </c>
      <c r="L38" s="18">
        <f t="shared" ca="1" si="12"/>
        <v>0.12</v>
      </c>
    </row>
    <row r="39" spans="1:12" x14ac:dyDescent="0.2">
      <c r="B39" s="7" t="s">
        <v>21</v>
      </c>
      <c r="H39" s="9">
        <f t="shared" ref="H39:K39" si="13">H40*$E$14</f>
        <v>0.20742607718739411</v>
      </c>
      <c r="I39" s="9">
        <f t="shared" si="13"/>
        <v>0.1795695578905456</v>
      </c>
      <c r="J39" s="9">
        <f t="shared" si="13"/>
        <v>0.15171303859369706</v>
      </c>
      <c r="K39" s="9">
        <f t="shared" si="13"/>
        <v>0.12385651929684852</v>
      </c>
      <c r="L39" s="9">
        <f>L40*$E$14</f>
        <v>9.6000000000000002E-2</v>
      </c>
    </row>
    <row r="40" spans="1:12" x14ac:dyDescent="0.2">
      <c r="B40" t="s">
        <v>22</v>
      </c>
      <c r="H40" s="9">
        <f>AVERAGE(E38:G38)</f>
        <v>0.25928259648424262</v>
      </c>
      <c r="I40" s="9">
        <f>H40-(H40-$L$40)/($L$28-H28)</f>
        <v>0.22446194736318198</v>
      </c>
      <c r="J40" s="9">
        <f t="shared" ref="J40:K40" si="14">I40-(I40-$L$40)/($L$28-I28)</f>
        <v>0.18964129824212131</v>
      </c>
      <c r="K40" s="9">
        <f t="shared" si="14"/>
        <v>0.15482064912106064</v>
      </c>
      <c r="L40" s="9">
        <f>G14</f>
        <v>0.12</v>
      </c>
    </row>
    <row r="41" spans="1:12" x14ac:dyDescent="0.2">
      <c r="B41" t="s">
        <v>23</v>
      </c>
      <c r="H41" s="9">
        <f t="shared" ref="H41:K41" si="15">H40*$I$14</f>
        <v>0.31113911578109116</v>
      </c>
      <c r="I41" s="9">
        <f t="shared" si="15"/>
        <v>0.26935433683581839</v>
      </c>
      <c r="J41" s="9">
        <f t="shared" si="15"/>
        <v>0.22756955789054556</v>
      </c>
      <c r="K41" s="9">
        <f t="shared" si="15"/>
        <v>0.18578477894527276</v>
      </c>
      <c r="L41" s="9">
        <f>L40*$I$14</f>
        <v>0.14399999999999999</v>
      </c>
    </row>
    <row r="42" spans="1:12" s="10" customFormat="1" x14ac:dyDescent="0.2">
      <c r="A42" s="17"/>
      <c r="B42" s="10" t="s">
        <v>24</v>
      </c>
      <c r="C42" s="18">
        <f>C37/C$80</f>
        <v>8.1531073900554751E-2</v>
      </c>
      <c r="D42" s="18">
        <f t="shared" ref="D42:L42" si="16">D37/D$80</f>
        <v>9.3594963455395808E-2</v>
      </c>
      <c r="E42" s="18">
        <f t="shared" si="16"/>
        <v>0.10832370005533427</v>
      </c>
      <c r="F42" s="18">
        <f t="shared" si="16"/>
        <v>0.11195985048731355</v>
      </c>
      <c r="G42" s="18">
        <f t="shared" si="16"/>
        <v>0.10339207173061421</v>
      </c>
      <c r="H42" s="18">
        <f t="shared" ca="1" si="16"/>
        <v>0.10683286960424149</v>
      </c>
      <c r="I42" s="18">
        <f t="shared" ca="1" si="16"/>
        <v>0.10984890045926604</v>
      </c>
      <c r="J42" s="18">
        <f t="shared" ca="1" si="16"/>
        <v>0.11261143621929796</v>
      </c>
      <c r="K42" s="18">
        <f t="shared" ca="1" si="16"/>
        <v>0.11529664662597448</v>
      </c>
      <c r="L42" s="18">
        <f t="shared" ca="1" si="16"/>
        <v>0.11803537192950592</v>
      </c>
    </row>
    <row r="43" spans="1:12" x14ac:dyDescent="0.2">
      <c r="B43" s="7"/>
    </row>
    <row r="44" spans="1:12" x14ac:dyDescent="0.2">
      <c r="B44" s="7" t="str">
        <f>B15</f>
        <v xml:space="preserve">Google Network </v>
      </c>
      <c r="C44" s="12">
        <v>20010</v>
      </c>
      <c r="D44" s="12">
        <v>21547</v>
      </c>
      <c r="E44" s="12">
        <v>23090</v>
      </c>
      <c r="F44" s="12">
        <v>31701</v>
      </c>
      <c r="G44" s="12">
        <f>(24305+8475)</f>
        <v>32780</v>
      </c>
      <c r="H44" s="12">
        <f ca="1">G44*(1+H45)</f>
        <v>38009.280674822578</v>
      </c>
      <c r="I44" s="12">
        <f t="shared" ref="I44:L44" ca="1" si="17">H44*(1+I45)</f>
        <v>43507.130070355975</v>
      </c>
      <c r="J44" s="12">
        <f t="shared" ca="1" si="17"/>
        <v>49152.757996904656</v>
      </c>
      <c r="K44" s="12">
        <f t="shared" ca="1" si="17"/>
        <v>54799.507460365647</v>
      </c>
      <c r="L44" s="12">
        <f t="shared" ca="1" si="17"/>
        <v>60279.458206402218</v>
      </c>
    </row>
    <row r="45" spans="1:12" s="10" customFormat="1" x14ac:dyDescent="0.2">
      <c r="A45" s="17"/>
      <c r="B45" s="10" t="s">
        <v>20</v>
      </c>
      <c r="C45" s="18"/>
      <c r="D45" s="18">
        <f t="shared" ref="D45" si="18">D44/C44-1</f>
        <v>7.6811594202898625E-2</v>
      </c>
      <c r="E45" s="18">
        <f t="shared" ref="E45" si="19">E44/D44-1</f>
        <v>7.161089710864621E-2</v>
      </c>
      <c r="F45" s="18">
        <f>F44/E44-1</f>
        <v>0.37293200519705505</v>
      </c>
      <c r="G45" s="18">
        <f t="shared" ref="G45" si="20">G44/F44-1</f>
        <v>3.4036781174095365E-2</v>
      </c>
      <c r="H45" s="18">
        <f ca="1">OFFSET(H45,$C$15,0)</f>
        <v>0.15952656115993222</v>
      </c>
      <c r="I45" s="18">
        <f t="shared" ref="I45:L45" ca="1" si="21">OFFSET(I45,$C$15,0)</f>
        <v>0.14464492086994918</v>
      </c>
      <c r="J45" s="18">
        <f t="shared" ca="1" si="21"/>
        <v>0.12976328057996611</v>
      </c>
      <c r="K45" s="18">
        <f t="shared" ca="1" si="21"/>
        <v>0.11488164028998306</v>
      </c>
      <c r="L45" s="18">
        <f t="shared" ca="1" si="21"/>
        <v>0.1</v>
      </c>
    </row>
    <row r="46" spans="1:12" x14ac:dyDescent="0.2">
      <c r="B46" s="7" t="s">
        <v>21</v>
      </c>
      <c r="H46" s="9">
        <f t="shared" ref="H46:K46" si="22">H47*$E$15</f>
        <v>0.12762124892794577</v>
      </c>
      <c r="I46" s="9">
        <f t="shared" si="22"/>
        <v>0.11571593669595935</v>
      </c>
      <c r="J46" s="9">
        <f t="shared" si="22"/>
        <v>0.10381062446397289</v>
      </c>
      <c r="K46" s="9">
        <f t="shared" si="22"/>
        <v>9.1905312231986447E-2</v>
      </c>
      <c r="L46" s="9">
        <f>L47*$E$15</f>
        <v>8.0000000000000016E-2</v>
      </c>
    </row>
    <row r="47" spans="1:12" x14ac:dyDescent="0.2">
      <c r="B47" t="s">
        <v>22</v>
      </c>
      <c r="H47" s="9">
        <f>AVERAGE(E45:G45)</f>
        <v>0.15952656115993222</v>
      </c>
      <c r="I47" s="9">
        <f>H47-(H47-$L$47)/($L$28-H28)</f>
        <v>0.14464492086994918</v>
      </c>
      <c r="J47" s="9">
        <f t="shared" ref="J47:K47" si="23">I47-(I47-$L$47)/($L$28-I28)</f>
        <v>0.12976328057996611</v>
      </c>
      <c r="K47" s="9">
        <f t="shared" si="23"/>
        <v>0.11488164028998306</v>
      </c>
      <c r="L47" s="9">
        <f>G15</f>
        <v>0.1</v>
      </c>
    </row>
    <row r="48" spans="1:12" x14ac:dyDescent="0.2">
      <c r="B48" t="s">
        <v>23</v>
      </c>
      <c r="H48" s="9">
        <f t="shared" ref="H48:K48" si="24">H47*$I$15</f>
        <v>0.19143187339191867</v>
      </c>
      <c r="I48" s="9">
        <f t="shared" si="24"/>
        <v>0.17357390504393902</v>
      </c>
      <c r="J48" s="9">
        <f t="shared" si="24"/>
        <v>0.15571593669595932</v>
      </c>
      <c r="K48" s="9">
        <f t="shared" si="24"/>
        <v>0.13785796834797967</v>
      </c>
      <c r="L48" s="9">
        <f>L47*$I$15</f>
        <v>0.12</v>
      </c>
    </row>
    <row r="49" spans="1:12" s="10" customFormat="1" x14ac:dyDescent="0.2">
      <c r="A49" s="17"/>
      <c r="B49" s="10" t="s">
        <v>24</v>
      </c>
      <c r="C49" s="18">
        <f>C44/C$80</f>
        <v>0.14625161709996418</v>
      </c>
      <c r="D49" s="18">
        <f t="shared" ref="D49:L49" si="25">D44/D$80</f>
        <v>0.133123683251265</v>
      </c>
      <c r="E49" s="18">
        <f t="shared" si="25"/>
        <v>0.12650183260558712</v>
      </c>
      <c r="F49" s="18">
        <f t="shared" si="25"/>
        <v>0.12304521477893315</v>
      </c>
      <c r="G49" s="18">
        <f t="shared" si="25"/>
        <v>0.11589755193822568</v>
      </c>
      <c r="H49" s="18">
        <f t="shared" ca="1" si="25"/>
        <v>0.11026798005810991</v>
      </c>
      <c r="I49" s="18">
        <f t="shared" ca="1" si="25"/>
        <v>0.10599020487751495</v>
      </c>
      <c r="J49" s="18">
        <f t="shared" ca="1" si="25"/>
        <v>0.10318675091527307</v>
      </c>
      <c r="K49" s="18">
        <f t="shared" ca="1" si="25"/>
        <v>0.10199346339837932</v>
      </c>
      <c r="L49" s="18">
        <f t="shared" ca="1" si="25"/>
        <v>0.10255161369760975</v>
      </c>
    </row>
    <row r="50" spans="1:12" x14ac:dyDescent="0.2">
      <c r="B50" s="7"/>
    </row>
    <row r="51" spans="1:12" x14ac:dyDescent="0.2">
      <c r="B51" s="7" t="str">
        <f>B16</f>
        <v xml:space="preserve">Google Other </v>
      </c>
      <c r="C51" s="12">
        <v>14063</v>
      </c>
      <c r="D51" s="12">
        <v>17014</v>
      </c>
      <c r="E51" s="12">
        <v>21711</v>
      </c>
      <c r="F51" s="12">
        <v>28032</v>
      </c>
      <c r="G51" s="12">
        <f>(20259+8796)</f>
        <v>29055</v>
      </c>
      <c r="H51" s="12">
        <f ca="1">G51*(1+H52)</f>
        <v>34901.868534027024</v>
      </c>
      <c r="I51" s="12">
        <f t="shared" ref="I51:L51" ca="1" si="26">H51*(1+I52)</f>
        <v>41042.010418011421</v>
      </c>
      <c r="J51" s="12">
        <f t="shared" ca="1" si="26"/>
        <v>47223.645258070152</v>
      </c>
      <c r="K51" s="12">
        <f t="shared" ca="1" si="26"/>
        <v>53141.175368321688</v>
      </c>
      <c r="L51" s="12">
        <f t="shared" ca="1" si="26"/>
        <v>58455.292905153859</v>
      </c>
    </row>
    <row r="52" spans="1:12" s="10" customFormat="1" x14ac:dyDescent="0.2">
      <c r="A52" s="17"/>
      <c r="B52" s="10" t="s">
        <v>20</v>
      </c>
      <c r="C52" s="18"/>
      <c r="D52" s="18">
        <f t="shared" ref="D52" si="27">D51/C51-1</f>
        <v>0.20984142786034266</v>
      </c>
      <c r="E52" s="18">
        <f t="shared" ref="E52" si="28">E51/D51-1</f>
        <v>0.27606676854355228</v>
      </c>
      <c r="F52" s="18">
        <f>F51/E51-1</f>
        <v>0.29114273870388274</v>
      </c>
      <c r="G52" s="18">
        <f t="shared" ref="G52" si="29">G51/F51-1</f>
        <v>3.6494006849315141E-2</v>
      </c>
      <c r="H52" s="18">
        <f ca="1">OFFSET(H52,$C$16,0)</f>
        <v>0.20123450469891671</v>
      </c>
      <c r="I52" s="18">
        <f t="shared" ref="I52:L52" ca="1" si="30">OFFSET(I52,$C$16,0)</f>
        <v>0.17592587852418753</v>
      </c>
      <c r="J52" s="18">
        <f t="shared" ca="1" si="30"/>
        <v>0.15061725234945836</v>
      </c>
      <c r="K52" s="18">
        <f t="shared" ca="1" si="30"/>
        <v>0.12530862617472918</v>
      </c>
      <c r="L52" s="18">
        <f t="shared" ca="1" si="30"/>
        <v>0.1</v>
      </c>
    </row>
    <row r="53" spans="1:12" x14ac:dyDescent="0.2">
      <c r="B53" s="7" t="s">
        <v>21</v>
      </c>
      <c r="H53" s="9">
        <f t="shared" ref="H53:K53" si="31">H54*$E$16</f>
        <v>0.16098760375913337</v>
      </c>
      <c r="I53" s="9">
        <f t="shared" si="31"/>
        <v>0.14074070281935003</v>
      </c>
      <c r="J53" s="9">
        <f t="shared" si="31"/>
        <v>0.12049380187956669</v>
      </c>
      <c r="K53" s="9">
        <f t="shared" si="31"/>
        <v>0.10024690093978335</v>
      </c>
      <c r="L53" s="9">
        <f>L54*$E$16</f>
        <v>8.0000000000000016E-2</v>
      </c>
    </row>
    <row r="54" spans="1:12" x14ac:dyDescent="0.2">
      <c r="B54" t="s">
        <v>22</v>
      </c>
      <c r="H54" s="9">
        <f>AVERAGE(E52:G52)</f>
        <v>0.20123450469891671</v>
      </c>
      <c r="I54" s="9">
        <f>H54-(H54-$L$54)/($L$28-H28)</f>
        <v>0.17592587852418753</v>
      </c>
      <c r="J54" s="9">
        <f>I54-(I54-$L$54)/($L$28-I28)</f>
        <v>0.15061725234945836</v>
      </c>
      <c r="K54" s="9">
        <f>J54-(J54-$L$54)/($L$28-J28)</f>
        <v>0.12530862617472918</v>
      </c>
      <c r="L54" s="9">
        <f>G16</f>
        <v>0.1</v>
      </c>
    </row>
    <row r="55" spans="1:12" x14ac:dyDescent="0.2">
      <c r="B55" t="s">
        <v>23</v>
      </c>
      <c r="H55" s="9">
        <f t="shared" ref="H55:K55" si="32">H54*$I$16</f>
        <v>0.24148140563870005</v>
      </c>
      <c r="I55" s="9">
        <f t="shared" si="32"/>
        <v>0.21111105422902504</v>
      </c>
      <c r="J55" s="9">
        <f t="shared" si="32"/>
        <v>0.18074070281935004</v>
      </c>
      <c r="K55" s="9">
        <f t="shared" si="32"/>
        <v>0.150370351409675</v>
      </c>
      <c r="L55" s="9">
        <f>L54*$I$16</f>
        <v>0.12</v>
      </c>
    </row>
    <row r="56" spans="1:12" s="10" customFormat="1" x14ac:dyDescent="0.2">
      <c r="A56" s="17"/>
      <c r="B56" s="10" t="s">
        <v>24</v>
      </c>
      <c r="C56" s="18">
        <f t="shared" ref="C56:L56" si="33">C51/C$80</f>
        <v>0.10278543184791586</v>
      </c>
      <c r="D56" s="18">
        <f t="shared" si="33"/>
        <v>0.10511748024490754</v>
      </c>
      <c r="E56" s="18">
        <f t="shared" si="33"/>
        <v>0.11894678595495461</v>
      </c>
      <c r="F56" s="18">
        <f t="shared" si="33"/>
        <v>0.1088042478370731</v>
      </c>
      <c r="G56" s="18">
        <f t="shared" si="33"/>
        <v>0.10272737558160913</v>
      </c>
      <c r="H56" s="18">
        <f t="shared" ca="1" si="33"/>
        <v>0.10125312753024969</v>
      </c>
      <c r="I56" s="18">
        <f t="shared" ca="1" si="33"/>
        <v>9.9984786074273482E-2</v>
      </c>
      <c r="J56" s="18">
        <f t="shared" ca="1" si="33"/>
        <v>9.9136950176072811E-2</v>
      </c>
      <c r="K56" s="18">
        <f t="shared" ca="1" si="33"/>
        <v>9.8906956942923049E-2</v>
      </c>
      <c r="L56" s="18">
        <f t="shared" ca="1" si="33"/>
        <v>9.9448216605790229E-2</v>
      </c>
    </row>
    <row r="57" spans="1:12" x14ac:dyDescent="0.2">
      <c r="B57" s="7"/>
    </row>
    <row r="58" spans="1:12" x14ac:dyDescent="0.2">
      <c r="B58" s="7" t="str">
        <f>B17</f>
        <v xml:space="preserve">Google Cloud </v>
      </c>
      <c r="C58" s="12">
        <v>5838</v>
      </c>
      <c r="D58" s="12">
        <v>8918</v>
      </c>
      <c r="E58" s="12">
        <v>13059</v>
      </c>
      <c r="F58" s="12">
        <v>19206</v>
      </c>
      <c r="G58" s="12">
        <f>(18965+7315)</f>
        <v>26280</v>
      </c>
      <c r="H58" s="12">
        <f ca="1">G58*(1+H59)</f>
        <v>37697.556548271161</v>
      </c>
      <c r="I58" s="12">
        <f t="shared" ref="I58:L58" ca="1" si="34">H58*(1+I59)</f>
        <v>50782.133723710045</v>
      </c>
      <c r="J58" s="12">
        <f t="shared" ca="1" si="34"/>
        <v>63971.726831479267</v>
      </c>
      <c r="K58" s="12">
        <f t="shared" ca="1" si="34"/>
        <v>74998.181728524971</v>
      </c>
      <c r="L58" s="12">
        <f t="shared" ca="1" si="34"/>
        <v>81373.027175449592</v>
      </c>
    </row>
    <row r="59" spans="1:12" s="10" customFormat="1" x14ac:dyDescent="0.2">
      <c r="A59" s="17"/>
      <c r="B59" s="10" t="s">
        <v>20</v>
      </c>
      <c r="C59" s="18"/>
      <c r="D59" s="18">
        <f t="shared" ref="D59" si="35">D58/C58-1</f>
        <v>0.52757793764988015</v>
      </c>
      <c r="E59" s="18">
        <f t="shared" ref="E59" si="36">E58/D58-1</f>
        <v>0.46434178066831122</v>
      </c>
      <c r="F59" s="18">
        <f>F58/E58-1</f>
        <v>0.47070985527222597</v>
      </c>
      <c r="G59" s="18">
        <f t="shared" ref="G59" si="37">G58/F58-1</f>
        <v>0.36832239925023424</v>
      </c>
      <c r="H59" s="18">
        <f ca="1">OFFSET(H59,$C$17,0)</f>
        <v>0.43445801173025717</v>
      </c>
      <c r="I59" s="18">
        <f t="shared" ref="I59:L59" ca="1" si="38">OFFSET(I59,$C$17,0)</f>
        <v>0.34709350879769285</v>
      </c>
      <c r="J59" s="18">
        <f t="shared" ca="1" si="38"/>
        <v>0.25972900586512859</v>
      </c>
      <c r="K59" s="18">
        <f t="shared" ca="1" si="38"/>
        <v>0.17236450293256431</v>
      </c>
      <c r="L59" s="18">
        <f t="shared" ca="1" si="38"/>
        <v>8.5000000000000006E-2</v>
      </c>
    </row>
    <row r="60" spans="1:12" x14ac:dyDescent="0.2">
      <c r="B60" s="7" t="s">
        <v>21</v>
      </c>
      <c r="H60" s="9">
        <f t="shared" ref="H60:K60" si="39">H61*($E$17)</f>
        <v>0.34756640938420574</v>
      </c>
      <c r="I60" s="9">
        <f t="shared" si="39"/>
        <v>0.27767480703815428</v>
      </c>
      <c r="J60" s="9">
        <f t="shared" si="39"/>
        <v>0.20778320469210287</v>
      </c>
      <c r="K60" s="9">
        <f t="shared" si="39"/>
        <v>0.13789160234605144</v>
      </c>
      <c r="L60" s="9">
        <f>L61*($E$17)</f>
        <v>6.8000000000000005E-2</v>
      </c>
    </row>
    <row r="61" spans="1:12" x14ac:dyDescent="0.2">
      <c r="B61" t="s">
        <v>22</v>
      </c>
      <c r="H61" s="9">
        <f>AVERAGE(E59:G59)</f>
        <v>0.43445801173025717</v>
      </c>
      <c r="I61" s="9">
        <f>H61-(H61-$L$61)/($L$28-H28)</f>
        <v>0.34709350879769285</v>
      </c>
      <c r="J61" s="9">
        <f t="shared" ref="J61:K61" si="40">I61-(I61-$L$61)/($L$28-I28)</f>
        <v>0.25972900586512859</v>
      </c>
      <c r="K61" s="9">
        <f t="shared" si="40"/>
        <v>0.17236450293256431</v>
      </c>
      <c r="L61" s="9">
        <f>G17</f>
        <v>8.5000000000000006E-2</v>
      </c>
    </row>
    <row r="62" spans="1:12" x14ac:dyDescent="0.2">
      <c r="B62" t="s">
        <v>23</v>
      </c>
      <c r="H62" s="9">
        <f t="shared" ref="H62:K62" si="41">H61*$I$17</f>
        <v>0.52134961407630853</v>
      </c>
      <c r="I62" s="9">
        <f t="shared" si="41"/>
        <v>0.41651221055723142</v>
      </c>
      <c r="J62" s="9">
        <f t="shared" si="41"/>
        <v>0.31167480703815431</v>
      </c>
      <c r="K62" s="9">
        <f t="shared" si="41"/>
        <v>0.20683740351907717</v>
      </c>
      <c r="L62" s="9">
        <f>L61*$I$17</f>
        <v>0.10200000000000001</v>
      </c>
    </row>
    <row r="63" spans="1:12" s="10" customFormat="1" x14ac:dyDescent="0.2">
      <c r="A63" s="17"/>
      <c r="B63" s="10" t="s">
        <v>24</v>
      </c>
      <c r="C63" s="18">
        <f t="shared" ref="C63:L63" si="42">C58/C$80</f>
        <v>4.2669512275341874E-2</v>
      </c>
      <c r="D63" s="18">
        <f t="shared" si="42"/>
        <v>5.5098018621375658E-2</v>
      </c>
      <c r="E63" s="18">
        <f t="shared" si="42"/>
        <v>7.1545579558092778E-2</v>
      </c>
      <c r="F63" s="18">
        <f t="shared" si="42"/>
        <v>7.4546746003097381E-2</v>
      </c>
      <c r="G63" s="18">
        <f t="shared" si="42"/>
        <v>9.2916036148156522E-2</v>
      </c>
      <c r="H63" s="18">
        <f t="shared" ca="1" si="42"/>
        <v>0.10936364329719425</v>
      </c>
      <c r="I63" s="18">
        <f t="shared" ca="1" si="42"/>
        <v>0.1237132568567364</v>
      </c>
      <c r="J63" s="18">
        <f t="shared" ca="1" si="42"/>
        <v>0.1342963225501087</v>
      </c>
      <c r="K63" s="18">
        <f t="shared" ca="1" si="42"/>
        <v>0.13958746451518331</v>
      </c>
      <c r="L63" s="18">
        <f t="shared" ca="1" si="42"/>
        <v>0.13843746272118121</v>
      </c>
    </row>
    <row r="64" spans="1:12" x14ac:dyDescent="0.2">
      <c r="B64" s="7"/>
    </row>
    <row r="65" spans="1:12" x14ac:dyDescent="0.2">
      <c r="B65" s="7" t="str">
        <f>B18</f>
        <v xml:space="preserve">Other Bets </v>
      </c>
      <c r="C65" s="12">
        <v>595</v>
      </c>
      <c r="D65" s="12">
        <v>659</v>
      </c>
      <c r="E65" s="12">
        <v>657</v>
      </c>
      <c r="F65" s="12">
        <v>753</v>
      </c>
      <c r="G65" s="12">
        <f>(842+226)</f>
        <v>1068</v>
      </c>
      <c r="H65" s="12">
        <f ca="1">G65*(1+H66)</f>
        <v>1267.8621427428361</v>
      </c>
      <c r="I65" s="12">
        <f t="shared" ref="I65:L65" ca="1" si="43">H65*(1+I66)</f>
        <v>1461.6582036219997</v>
      </c>
      <c r="J65" s="12">
        <f t="shared" ca="1" si="43"/>
        <v>1634.9647057788125</v>
      </c>
      <c r="K65" s="12">
        <f t="shared" ca="1" si="43"/>
        <v>1772.7664134734825</v>
      </c>
      <c r="L65" s="12">
        <f t="shared" ca="1" si="43"/>
        <v>1861.4047341471567</v>
      </c>
    </row>
    <row r="66" spans="1:12" s="10" customFormat="1" x14ac:dyDescent="0.2">
      <c r="A66" s="17"/>
      <c r="B66" s="10" t="s">
        <v>20</v>
      </c>
      <c r="C66" s="18"/>
      <c r="D66" s="18">
        <f t="shared" ref="D66" si="44">D65/C65-1</f>
        <v>0.1075630252100841</v>
      </c>
      <c r="E66" s="18">
        <f t="shared" ref="E66" si="45">E65/D65-1</f>
        <v>-3.0349013657056112E-3</v>
      </c>
      <c r="F66" s="18">
        <f>F65/E65-1</f>
        <v>0.14611872146118721</v>
      </c>
      <c r="G66" s="18">
        <f t="shared" ref="G66" si="46">G65/F65-1</f>
        <v>0.41832669322709171</v>
      </c>
      <c r="H66" s="18">
        <f ca="1">OFFSET(H66,$C$18,0)</f>
        <v>0.1871368377741911</v>
      </c>
      <c r="I66" s="18">
        <f t="shared" ref="I66:L66" ca="1" si="47">OFFSET(I66,$C$18,0)</f>
        <v>0.15285262833064334</v>
      </c>
      <c r="J66" s="18">
        <f t="shared" ca="1" si="47"/>
        <v>0.11856841888709556</v>
      </c>
      <c r="K66" s="18">
        <f t="shared" ca="1" si="47"/>
        <v>8.4284209443547781E-2</v>
      </c>
      <c r="L66" s="18">
        <f t="shared" ca="1" si="47"/>
        <v>0.05</v>
      </c>
    </row>
    <row r="67" spans="1:12" x14ac:dyDescent="0.2">
      <c r="B67" s="7" t="s">
        <v>21</v>
      </c>
      <c r="H67" s="9">
        <f t="shared" ref="H67:K67" si="48">H68*$E$18</f>
        <v>0.14970947021935288</v>
      </c>
      <c r="I67" s="9">
        <f t="shared" si="48"/>
        <v>0.12228210266451467</v>
      </c>
      <c r="J67" s="9">
        <f t="shared" si="48"/>
        <v>9.4854735109676458E-2</v>
      </c>
      <c r="K67" s="9">
        <f t="shared" si="48"/>
        <v>6.7427367554838233E-2</v>
      </c>
      <c r="L67" s="9">
        <f>L68*$E$18</f>
        <v>4.0000000000000008E-2</v>
      </c>
    </row>
    <row r="68" spans="1:12" x14ac:dyDescent="0.2">
      <c r="B68" t="s">
        <v>22</v>
      </c>
      <c r="H68" s="9">
        <f>AVERAGE(E66:G66)</f>
        <v>0.1871368377741911</v>
      </c>
      <c r="I68" s="9">
        <f>H68-(H68-$L$68)/($L$28-H28)</f>
        <v>0.15285262833064334</v>
      </c>
      <c r="J68" s="9">
        <f t="shared" ref="J68:K68" si="49">I68-(I68-$L$68)/($L$28-I28)</f>
        <v>0.11856841888709556</v>
      </c>
      <c r="K68" s="9">
        <f t="shared" si="49"/>
        <v>8.4284209443547781E-2</v>
      </c>
      <c r="L68" s="9">
        <f>G18</f>
        <v>0.05</v>
      </c>
    </row>
    <row r="69" spans="1:12" x14ac:dyDescent="0.2">
      <c r="B69" t="s">
        <v>23</v>
      </c>
      <c r="H69" s="9">
        <f t="shared" ref="H69:K69" si="50">H68*$I$18</f>
        <v>0.22456420532902932</v>
      </c>
      <c r="I69" s="9">
        <f t="shared" si="50"/>
        <v>0.183423153996772</v>
      </c>
      <c r="J69" s="9">
        <f t="shared" si="50"/>
        <v>0.14228210266451466</v>
      </c>
      <c r="K69" s="9">
        <f t="shared" si="50"/>
        <v>0.10114105133225733</v>
      </c>
      <c r="L69" s="9">
        <f>L68*$I$18</f>
        <v>0.06</v>
      </c>
    </row>
    <row r="70" spans="1:12" s="10" customFormat="1" x14ac:dyDescent="0.2">
      <c r="A70" s="17"/>
      <c r="B70" s="10" t="s">
        <v>24</v>
      </c>
      <c r="C70" s="18">
        <f t="shared" ref="C70:L70" si="51">C65/C$80</f>
        <v>4.3488112031223733E-3</v>
      </c>
      <c r="D70" s="18">
        <f t="shared" si="51"/>
        <v>4.071495208733635E-3</v>
      </c>
      <c r="E70" s="18">
        <f t="shared" si="51"/>
        <v>3.5994674760446398E-3</v>
      </c>
      <c r="F70" s="18">
        <f t="shared" si="51"/>
        <v>2.9227168457946645E-3</v>
      </c>
      <c r="G70" s="18">
        <f t="shared" si="51"/>
        <v>3.7760398251990555E-3</v>
      </c>
      <c r="H70" s="18">
        <f t="shared" ca="1" si="51"/>
        <v>3.678170041376405E-3</v>
      </c>
      <c r="I70" s="18">
        <f t="shared" ca="1" si="51"/>
        <v>3.5608290460039677E-3</v>
      </c>
      <c r="J70" s="18">
        <f t="shared" ca="1" si="51"/>
        <v>3.4322935828155396E-3</v>
      </c>
      <c r="K70" s="18">
        <f t="shared" ca="1" si="51"/>
        <v>3.2994929094437046E-3</v>
      </c>
      <c r="L70" s="18">
        <f t="shared" ca="1" si="51"/>
        <v>3.1667514093696178E-3</v>
      </c>
    </row>
    <row r="71" spans="1:12" x14ac:dyDescent="0.2">
      <c r="B71" s="7"/>
    </row>
    <row r="72" spans="1:12" x14ac:dyDescent="0.2">
      <c r="B72" s="7" t="str">
        <f>B19</f>
        <v>Hedging Gains (Losses)</v>
      </c>
      <c r="C72" s="12">
        <v>-138</v>
      </c>
      <c r="D72" s="12">
        <v>455</v>
      </c>
      <c r="E72" s="12">
        <v>176</v>
      </c>
      <c r="F72" s="12">
        <v>149</v>
      </c>
      <c r="G72" s="12">
        <f>(1291+669)</f>
        <v>1960</v>
      </c>
      <c r="H72" s="12">
        <f ca="1">G72*(1+H73)</f>
        <v>1999.2</v>
      </c>
      <c r="I72" s="12">
        <f t="shared" ref="I72:L72" ca="1" si="52">H72*(1+I73)</f>
        <v>1979.2080000000001</v>
      </c>
      <c r="J72" s="12">
        <f t="shared" ca="1" si="52"/>
        <v>1900.0396800000001</v>
      </c>
      <c r="K72" s="12">
        <f t="shared" ca="1" si="52"/>
        <v>1767.0369023999999</v>
      </c>
      <c r="L72" s="12">
        <f t="shared" ca="1" si="52"/>
        <v>1590.3332121599999</v>
      </c>
    </row>
    <row r="73" spans="1:12" s="10" customFormat="1" x14ac:dyDescent="0.2">
      <c r="A73" s="17"/>
      <c r="B73" s="10" t="s">
        <v>20</v>
      </c>
      <c r="C73" s="18"/>
      <c r="D73" s="18">
        <f t="shared" ref="D73" si="53">D72/C72-1</f>
        <v>-4.2971014492753623</v>
      </c>
      <c r="E73" s="18">
        <f t="shared" ref="E73" si="54">E72/D72-1</f>
        <v>-0.61318681318681323</v>
      </c>
      <c r="F73" s="18">
        <f>F72/E72-1</f>
        <v>-0.15340909090909094</v>
      </c>
      <c r="G73" s="18">
        <f t="shared" ref="G73" si="55">G72/F72-1</f>
        <v>12.154362416107382</v>
      </c>
      <c r="H73" s="18">
        <f ca="1">OFFSET(H73,$C$19,0)</f>
        <v>0.02</v>
      </c>
      <c r="I73" s="18">
        <f t="shared" ref="I73:L73" ca="1" si="56">OFFSET(I73,$C$19,0)</f>
        <v>-1.0000000000000002E-2</v>
      </c>
      <c r="J73" s="18">
        <f t="shared" ca="1" si="56"/>
        <v>-0.04</v>
      </c>
      <c r="K73" s="18">
        <f t="shared" ca="1" si="56"/>
        <v>-7.0000000000000007E-2</v>
      </c>
      <c r="L73" s="18">
        <f t="shared" ca="1" si="56"/>
        <v>-0.1</v>
      </c>
    </row>
    <row r="74" spans="1:12" x14ac:dyDescent="0.2">
      <c r="B74" s="7" t="s">
        <v>21</v>
      </c>
      <c r="H74" s="9">
        <f t="shared" ref="H74:K74" si="57">H75*$E$19</f>
        <v>1.6E-2</v>
      </c>
      <c r="I74" s="9">
        <f t="shared" si="57"/>
        <v>-8.0000000000000019E-3</v>
      </c>
      <c r="J74" s="9">
        <f t="shared" si="57"/>
        <v>-3.2000000000000001E-2</v>
      </c>
      <c r="K74" s="9">
        <f t="shared" si="57"/>
        <v>-5.6000000000000008E-2</v>
      </c>
      <c r="L74" s="9">
        <f>L75/$E$19</f>
        <v>-0.125</v>
      </c>
    </row>
    <row r="75" spans="1:12" x14ac:dyDescent="0.2">
      <c r="B75" t="s">
        <v>22</v>
      </c>
      <c r="H75" s="9">
        <v>0.02</v>
      </c>
      <c r="I75" s="9">
        <f>H75-(H75-$L$75)/($L$28-H28)</f>
        <v>-1.0000000000000002E-2</v>
      </c>
      <c r="J75" s="9">
        <f t="shared" ref="J75:K75" si="58">I75-(I75-$L$75)/($L$28-I28)</f>
        <v>-0.04</v>
      </c>
      <c r="K75" s="9">
        <f t="shared" si="58"/>
        <v>-7.0000000000000007E-2</v>
      </c>
      <c r="L75" s="9">
        <f>G19</f>
        <v>-0.1</v>
      </c>
    </row>
    <row r="76" spans="1:12" x14ac:dyDescent="0.2">
      <c r="B76" t="s">
        <v>23</v>
      </c>
      <c r="H76" s="9">
        <f t="shared" ref="H76:K76" si="59">H75*$I$19</f>
        <v>2.4E-2</v>
      </c>
      <c r="I76" s="9">
        <f t="shared" si="59"/>
        <v>-1.2000000000000002E-2</v>
      </c>
      <c r="J76" s="9">
        <f t="shared" si="59"/>
        <v>-4.8000000000000001E-2</v>
      </c>
      <c r="K76" s="9">
        <f t="shared" si="59"/>
        <v>-8.4000000000000005E-2</v>
      </c>
      <c r="L76" s="9">
        <f>L75/$I$19</f>
        <v>-8.3333333333333343E-2</v>
      </c>
    </row>
    <row r="77" spans="1:12" s="10" customFormat="1" x14ac:dyDescent="0.2">
      <c r="A77" s="17"/>
      <c r="B77" s="10" t="s">
        <v>24</v>
      </c>
      <c r="C77" s="18">
        <f t="shared" ref="C77:L77" si="60">C72/C$80</f>
        <v>-1.0086318420687184E-3</v>
      </c>
      <c r="D77" s="18">
        <f t="shared" si="60"/>
        <v>2.8111233990497785E-3</v>
      </c>
      <c r="E77" s="18">
        <f t="shared" si="60"/>
        <v>9.6424090682474377E-4</v>
      </c>
      <c r="F77" s="18">
        <f t="shared" si="60"/>
        <v>5.783330810403785E-4</v>
      </c>
      <c r="G77" s="18">
        <f t="shared" si="60"/>
        <v>6.9298109151593153E-3</v>
      </c>
      <c r="H77" s="18">
        <f t="shared" ca="1" si="60"/>
        <v>5.7998399816652771E-3</v>
      </c>
      <c r="I77" s="18">
        <f t="shared" ca="1" si="60"/>
        <v>4.8216616696156213E-3</v>
      </c>
      <c r="J77" s="18">
        <f t="shared" ca="1" si="60"/>
        <v>3.9887674502749526E-3</v>
      </c>
      <c r="K77" s="18">
        <f t="shared" ca="1" si="60"/>
        <v>3.2888290785983904E-3</v>
      </c>
      <c r="L77" s="18">
        <f t="shared" ca="1" si="60"/>
        <v>2.7055856518396746E-3</v>
      </c>
    </row>
    <row r="79" spans="1:12" x14ac:dyDescent="0.2">
      <c r="B79" s="11"/>
      <c r="C79" s="11"/>
      <c r="D79" s="11"/>
      <c r="E79" s="11"/>
      <c r="F79" s="11"/>
      <c r="G79" s="11"/>
      <c r="H79" s="11"/>
      <c r="I79" s="11"/>
      <c r="J79" s="11"/>
      <c r="K79" s="11"/>
      <c r="L79" s="11"/>
    </row>
    <row r="80" spans="1:12" s="7" customFormat="1" x14ac:dyDescent="0.2">
      <c r="A80" s="16"/>
      <c r="B80" s="7" t="s">
        <v>25</v>
      </c>
      <c r="C80" s="13">
        <f>SUM(C30,C37,C44,C51,C58,C65,C72)</f>
        <v>136819</v>
      </c>
      <c r="D80" s="13">
        <f t="shared" ref="D80:L80" si="61">SUM(D30,D37,D44,D51,D58,D65,D72)</f>
        <v>161857</v>
      </c>
      <c r="E80" s="13">
        <f t="shared" si="61"/>
        <v>182527</v>
      </c>
      <c r="F80" s="13">
        <f t="shared" si="61"/>
        <v>257637</v>
      </c>
      <c r="G80" s="13">
        <f t="shared" si="61"/>
        <v>282836</v>
      </c>
      <c r="H80" s="13">
        <f t="shared" ca="1" si="61"/>
        <v>344699.16520455113</v>
      </c>
      <c r="I80" s="13">
        <f t="shared" ca="1" si="61"/>
        <v>410482.55469110521</v>
      </c>
      <c r="J80" s="13">
        <f t="shared" ca="1" si="61"/>
        <v>476347.56944003521</v>
      </c>
      <c r="K80" s="13">
        <f t="shared" ca="1" si="61"/>
        <v>537284.50465813291</v>
      </c>
      <c r="L80" s="13">
        <f t="shared" ca="1" si="61"/>
        <v>587796.29137914965</v>
      </c>
    </row>
    <row r="81" spans="1:12" s="10" customFormat="1" x14ac:dyDescent="0.2">
      <c r="A81" s="17"/>
      <c r="B81" s="10" t="s">
        <v>20</v>
      </c>
      <c r="D81" s="18">
        <f t="shared" ref="D81" si="62">D80/C80-1</f>
        <v>0.18300089899794614</v>
      </c>
      <c r="E81" s="18">
        <f t="shared" ref="E81" si="63">E80/D80-1</f>
        <v>0.12770532012826141</v>
      </c>
      <c r="F81" s="18">
        <f t="shared" ref="F81" si="64">F80/E80-1</f>
        <v>0.41150076427049154</v>
      </c>
      <c r="G81" s="18">
        <f t="shared" ref="G81" si="65">G80/F80-1</f>
        <v>9.7808156437157789E-2</v>
      </c>
      <c r="H81" s="18">
        <f t="shared" ref="H81" ca="1" si="66">H80/G80-1</f>
        <v>0.21872450891877682</v>
      </c>
      <c r="I81" s="18">
        <f t="shared" ref="I81" ca="1" si="67">I80/H80-1</f>
        <v>0.19084290339814713</v>
      </c>
      <c r="J81" s="18">
        <f t="shared" ref="J81" ca="1" si="68">J80/I80-1</f>
        <v>0.16045752492086907</v>
      </c>
      <c r="K81" s="18">
        <f t="shared" ref="K81" ca="1" si="69">K80/J80-1</f>
        <v>0.12792536191531623</v>
      </c>
      <c r="L81" s="18">
        <f t="shared" ref="L81" ca="1" si="70">L80/K80-1</f>
        <v>9.4013109038304954E-2</v>
      </c>
    </row>
    <row r="83" spans="1:12" x14ac:dyDescent="0.2">
      <c r="A83" s="15" t="s">
        <v>6</v>
      </c>
      <c r="B83" s="6" t="s">
        <v>26</v>
      </c>
      <c r="C83" s="6">
        <v>2018</v>
      </c>
      <c r="D83" s="6">
        <v>2019</v>
      </c>
      <c r="E83" s="6">
        <v>2020</v>
      </c>
      <c r="F83" s="6">
        <v>2021</v>
      </c>
      <c r="G83" s="6">
        <v>2022</v>
      </c>
      <c r="H83" s="6">
        <v>2023</v>
      </c>
      <c r="I83" s="6">
        <v>2024</v>
      </c>
      <c r="J83" s="6">
        <v>2025</v>
      </c>
      <c r="K83" s="6">
        <v>2026</v>
      </c>
      <c r="L83" s="6">
        <v>2027</v>
      </c>
    </row>
    <row r="85" spans="1:12" x14ac:dyDescent="0.2">
      <c r="B85" s="7" t="s">
        <v>27</v>
      </c>
      <c r="C85" s="12">
        <f>C80</f>
        <v>136819</v>
      </c>
      <c r="D85" s="12">
        <f t="shared" ref="D85:L85" si="71">D80</f>
        <v>161857</v>
      </c>
      <c r="E85" s="12">
        <f t="shared" si="71"/>
        <v>182527</v>
      </c>
      <c r="F85" s="12">
        <f t="shared" si="71"/>
        <v>257637</v>
      </c>
      <c r="G85" s="12">
        <f t="shared" si="71"/>
        <v>282836</v>
      </c>
      <c r="H85" s="12">
        <f t="shared" ca="1" si="71"/>
        <v>344699.16520455113</v>
      </c>
      <c r="I85" s="12">
        <f t="shared" ca="1" si="71"/>
        <v>410482.55469110521</v>
      </c>
      <c r="J85" s="12">
        <f t="shared" ca="1" si="71"/>
        <v>476347.56944003521</v>
      </c>
      <c r="K85" s="12">
        <f t="shared" ca="1" si="71"/>
        <v>537284.50465813291</v>
      </c>
      <c r="L85" s="12">
        <f t="shared" ca="1" si="71"/>
        <v>587796.29137914965</v>
      </c>
    </row>
    <row r="86" spans="1:12" s="10" customFormat="1" x14ac:dyDescent="0.2">
      <c r="A86" s="17"/>
      <c r="B86" s="10" t="s">
        <v>20</v>
      </c>
      <c r="D86" s="18">
        <f>D85/C85-1</f>
        <v>0.18300089899794614</v>
      </c>
      <c r="E86" s="18">
        <f t="shared" ref="E86:L86" si="72">E85/D85-1</f>
        <v>0.12770532012826141</v>
      </c>
      <c r="F86" s="18">
        <f t="shared" si="72"/>
        <v>0.41150076427049154</v>
      </c>
      <c r="G86" s="18">
        <f t="shared" si="72"/>
        <v>9.7808156437157789E-2</v>
      </c>
      <c r="H86" s="18">
        <f t="shared" ca="1" si="72"/>
        <v>0.21872450891877682</v>
      </c>
      <c r="I86" s="18">
        <f t="shared" ca="1" si="72"/>
        <v>0.19084290339814713</v>
      </c>
      <c r="J86" s="18">
        <f t="shared" ca="1" si="72"/>
        <v>0.16045752492086907</v>
      </c>
      <c r="K86" s="18">
        <f t="shared" ca="1" si="72"/>
        <v>0.12792536191531623</v>
      </c>
      <c r="L86" s="18">
        <f t="shared" ca="1" si="72"/>
        <v>9.4013109038304954E-2</v>
      </c>
    </row>
    <row r="88" spans="1:12" x14ac:dyDescent="0.2">
      <c r="B88" s="7" t="s">
        <v>28</v>
      </c>
      <c r="C88" s="12">
        <v>27524</v>
      </c>
      <c r="D88" s="12">
        <v>34231</v>
      </c>
      <c r="E88" s="12">
        <v>41224</v>
      </c>
      <c r="F88" s="12">
        <v>78714</v>
      </c>
      <c r="G88" s="12">
        <v>74842</v>
      </c>
      <c r="H88" s="12">
        <f ca="1">H85*H89</f>
        <v>91458.697803707808</v>
      </c>
      <c r="I88" s="12">
        <f t="shared" ref="I88:L88" ca="1" si="73">I85*I89</f>
        <v>114314.55230108666</v>
      </c>
      <c r="J88" s="12">
        <f t="shared" ca="1" si="73"/>
        <v>128364.5483808554</v>
      </c>
      <c r="K88" s="12">
        <f t="shared" ca="1" si="73"/>
        <v>145656.73692869797</v>
      </c>
      <c r="L88" s="12">
        <f t="shared" ca="1" si="73"/>
        <v>160480.69803896445</v>
      </c>
    </row>
    <row r="89" spans="1:12" s="10" customFormat="1" x14ac:dyDescent="0.2">
      <c r="A89" s="17"/>
      <c r="B89" s="10" t="s">
        <v>29</v>
      </c>
      <c r="C89" s="18">
        <f>C88/C85</f>
        <v>0.20117089000796673</v>
      </c>
      <c r="D89" s="18">
        <f t="shared" ref="D89:G89" si="74">D88/D85</f>
        <v>0.21148915400631421</v>
      </c>
      <c r="E89" s="18">
        <f t="shared" si="74"/>
        <v>0.22585151785763202</v>
      </c>
      <c r="F89" s="18">
        <f t="shared" si="74"/>
        <v>0.3055228868524319</v>
      </c>
      <c r="G89" s="18">
        <f t="shared" si="74"/>
        <v>0.26461270842467011</v>
      </c>
      <c r="H89" s="18">
        <f>AVERAGE(E89:G89)</f>
        <v>0.26532903771157801</v>
      </c>
      <c r="I89" s="18">
        <f t="shared" ref="I89:L89" si="75">AVERAGE(F89:H89)</f>
        <v>0.27848821099622667</v>
      </c>
      <c r="J89" s="18">
        <f t="shared" si="75"/>
        <v>0.26947665237749158</v>
      </c>
      <c r="K89" s="18">
        <f t="shared" si="75"/>
        <v>0.27109796702843209</v>
      </c>
      <c r="L89" s="18">
        <f t="shared" si="75"/>
        <v>0.27302094346738343</v>
      </c>
    </row>
    <row r="91" spans="1:12" x14ac:dyDescent="0.2">
      <c r="B91" s="7" t="s">
        <v>30</v>
      </c>
      <c r="C91" s="12">
        <v>4177</v>
      </c>
      <c r="D91" s="12">
        <v>5282</v>
      </c>
      <c r="E91" s="12">
        <v>7813</v>
      </c>
      <c r="F91" s="12">
        <v>14701</v>
      </c>
      <c r="G91" s="12">
        <v>11356</v>
      </c>
      <c r="H91" s="12">
        <f ca="1">H88*H92</f>
        <v>16097.439512148607</v>
      </c>
      <c r="I91" s="12">
        <f t="shared" ref="I91:L91" ca="1" si="76">I88*I92</f>
        <v>19605.154390932108</v>
      </c>
      <c r="J91" s="12">
        <f t="shared" ca="1" si="76"/>
        <v>21361.68184739539</v>
      </c>
      <c r="K91" s="12">
        <f t="shared" ca="1" si="76"/>
        <v>24952.152656031296</v>
      </c>
      <c r="L91" s="12">
        <f t="shared" ca="1" si="76"/>
        <v>27240.204004572308</v>
      </c>
    </row>
    <row r="92" spans="1:12" s="10" customFormat="1" x14ac:dyDescent="0.2">
      <c r="A92" s="17"/>
      <c r="B92" s="10" t="s">
        <v>31</v>
      </c>
      <c r="C92" s="18">
        <f t="shared" ref="C92:F92" si="77">C91/C88</f>
        <v>0.1517584653393402</v>
      </c>
      <c r="D92" s="18">
        <f t="shared" si="77"/>
        <v>0.15430457772194794</v>
      </c>
      <c r="E92" s="18">
        <f t="shared" si="77"/>
        <v>0.18952551911507859</v>
      </c>
      <c r="F92" s="18">
        <f t="shared" si="77"/>
        <v>0.18676474324770689</v>
      </c>
      <c r="G92" s="18">
        <f>G91/G88</f>
        <v>0.15173298415328293</v>
      </c>
      <c r="H92" s="18">
        <f>AVERAGE(E92:G92)</f>
        <v>0.1760077488386895</v>
      </c>
      <c r="I92" s="18">
        <f t="shared" ref="I92:L92" si="78">AVERAGE(F92:H92)</f>
        <v>0.17150182541322645</v>
      </c>
      <c r="J92" s="18">
        <f t="shared" si="78"/>
        <v>0.16641418613506628</v>
      </c>
      <c r="K92" s="18">
        <f t="shared" si="78"/>
        <v>0.1713079201289941</v>
      </c>
      <c r="L92" s="18">
        <f t="shared" si="78"/>
        <v>0.16974131055909561</v>
      </c>
    </row>
    <row r="94" spans="1:12" x14ac:dyDescent="0.2">
      <c r="A94" s="15" t="s">
        <v>6</v>
      </c>
      <c r="B94" s="6" t="s">
        <v>32</v>
      </c>
      <c r="C94" s="6">
        <v>2018</v>
      </c>
      <c r="D94" s="6">
        <v>2019</v>
      </c>
      <c r="E94" s="6">
        <v>2020</v>
      </c>
      <c r="F94" s="6">
        <v>2021</v>
      </c>
      <c r="G94" s="6">
        <v>2022</v>
      </c>
      <c r="H94" s="6">
        <v>2023</v>
      </c>
      <c r="I94" s="6">
        <v>2024</v>
      </c>
      <c r="J94" s="6">
        <v>2025</v>
      </c>
      <c r="K94" s="6">
        <v>2026</v>
      </c>
      <c r="L94" s="6">
        <v>2027</v>
      </c>
    </row>
    <row r="96" spans="1:12" x14ac:dyDescent="0.2">
      <c r="B96" s="7" t="s">
        <v>33</v>
      </c>
      <c r="C96" s="12">
        <v>8164</v>
      </c>
      <c r="D96" s="12">
        <v>10856</v>
      </c>
      <c r="E96" s="12">
        <v>12905</v>
      </c>
      <c r="F96" s="12">
        <v>11555</v>
      </c>
      <c r="G96" s="12">
        <v>15287</v>
      </c>
      <c r="H96" s="12">
        <f ca="1">H85*H97</f>
        <v>19487.082748725701</v>
      </c>
      <c r="I96" s="12">
        <f t="shared" ref="I96:L96" ca="1" si="79">I85*I97</f>
        <v>21267.444361690963</v>
      </c>
      <c r="J96" s="12">
        <f t="shared" ca="1" si="79"/>
        <v>25785.236951116804</v>
      </c>
      <c r="K96" s="12">
        <f t="shared" ca="1" si="79"/>
        <v>29098.535439628744</v>
      </c>
      <c r="L96" s="12">
        <f t="shared" ca="1" si="79"/>
        <v>31368.826617505099</v>
      </c>
    </row>
    <row r="97" spans="1:12" s="10" customFormat="1" x14ac:dyDescent="0.2">
      <c r="A97" s="17"/>
      <c r="B97" s="10" t="s">
        <v>29</v>
      </c>
      <c r="C97" s="18">
        <f>C96/C85</f>
        <v>5.9670075062674043E-2</v>
      </c>
      <c r="D97" s="18">
        <f t="shared" ref="D97:G97" si="80">D96/D85</f>
        <v>6.7071550813372294E-2</v>
      </c>
      <c r="E97" s="18">
        <f t="shared" si="80"/>
        <v>7.0701868764621131E-2</v>
      </c>
      <c r="F97" s="18">
        <f t="shared" si="80"/>
        <v>4.4849924506185058E-2</v>
      </c>
      <c r="G97" s="18">
        <f t="shared" si="80"/>
        <v>5.4048989520428803E-2</v>
      </c>
      <c r="H97" s="18">
        <f>AVERAGE(E97:G97)</f>
        <v>5.6533594263744998E-2</v>
      </c>
      <c r="I97" s="18">
        <f t="shared" ref="I97:L97" si="81">AVERAGE(F97:H97)</f>
        <v>5.1810836096786279E-2</v>
      </c>
      <c r="J97" s="18">
        <f t="shared" si="81"/>
        <v>5.413113996032002E-2</v>
      </c>
      <c r="K97" s="18">
        <f t="shared" si="81"/>
        <v>5.4158523440283768E-2</v>
      </c>
      <c r="L97" s="18">
        <f t="shared" si="81"/>
        <v>5.3366833165796691E-2</v>
      </c>
    </row>
    <row r="98" spans="1:12" s="10" customFormat="1" x14ac:dyDescent="0.2">
      <c r="A98" s="17"/>
      <c r="B98" s="10" t="s">
        <v>34</v>
      </c>
      <c r="C98" s="18">
        <f>C96/C100</f>
        <v>0.3247543657265603</v>
      </c>
      <c r="D98" s="18">
        <f t="shared" ref="D98:L98" si="82">D96/D100</f>
        <v>0.46101579751995925</v>
      </c>
      <c r="E98" s="18">
        <f t="shared" si="82"/>
        <v>0.57919303442394865</v>
      </c>
      <c r="F98" s="18">
        <f t="shared" si="82"/>
        <v>0.46895292207792205</v>
      </c>
      <c r="G98" s="18">
        <f t="shared" si="82"/>
        <v>0.48553279339367955</v>
      </c>
      <c r="H98" s="18">
        <f t="shared" ca="1" si="82"/>
        <v>0.51546163510218235</v>
      </c>
      <c r="I98" s="18">
        <f t="shared" ca="1" si="82"/>
        <v>0.49089165467440288</v>
      </c>
      <c r="J98" s="18">
        <f t="shared" ca="1" si="82"/>
        <v>0.49731718598988112</v>
      </c>
      <c r="K98" s="18">
        <f t="shared" ca="1" si="82"/>
        <v>0.50136520303180421</v>
      </c>
      <c r="L98" s="18">
        <f t="shared" ca="1" si="82"/>
        <v>0.49656999732318513</v>
      </c>
    </row>
    <row r="100" spans="1:12" x14ac:dyDescent="0.2">
      <c r="B100" s="7" t="s">
        <v>35</v>
      </c>
      <c r="C100" s="12">
        <v>25139</v>
      </c>
      <c r="D100" s="12">
        <v>23548</v>
      </c>
      <c r="E100" s="12">
        <v>22281</v>
      </c>
      <c r="F100" s="12">
        <v>24640</v>
      </c>
      <c r="G100" s="12">
        <v>31485</v>
      </c>
      <c r="H100" s="12">
        <f ca="1">H85*H101</f>
        <v>37805.107929832033</v>
      </c>
      <c r="I100" s="12">
        <f t="shared" ref="I100:L100" ca="1" si="83">I85*I101</f>
        <v>43324.110644735178</v>
      </c>
      <c r="J100" s="12">
        <f t="shared" ca="1" si="83"/>
        <v>51848.67460349833</v>
      </c>
      <c r="K100" s="12">
        <f t="shared" ca="1" si="83"/>
        <v>58038.601928628203</v>
      </c>
      <c r="L100" s="12">
        <f t="shared" ca="1" si="83"/>
        <v>63171.006679022474</v>
      </c>
    </row>
    <row r="101" spans="1:12" s="10" customFormat="1" x14ac:dyDescent="0.2">
      <c r="A101" s="17"/>
      <c r="B101" s="10" t="s">
        <v>29</v>
      </c>
      <c r="C101" s="18">
        <f>C100/C85</f>
        <v>0.18373910056351822</v>
      </c>
      <c r="D101" s="18">
        <f t="shared" ref="D101:G101" si="84">D100/D85</f>
        <v>0.14548644791389931</v>
      </c>
      <c r="E101" s="18">
        <f t="shared" si="84"/>
        <v>0.12206961161910293</v>
      </c>
      <c r="F101" s="18">
        <f t="shared" si="84"/>
        <v>9.5638437025737766E-2</v>
      </c>
      <c r="G101" s="18">
        <f t="shared" si="84"/>
        <v>0.11131892686928113</v>
      </c>
      <c r="H101" s="18">
        <f>AVERAGE(E101:G101)</f>
        <v>0.10967565850470729</v>
      </c>
      <c r="I101" s="18">
        <f t="shared" ref="I101:L101" si="85">AVERAGE(F101:H101)</f>
        <v>0.10554434079990872</v>
      </c>
      <c r="J101" s="18">
        <f t="shared" si="85"/>
        <v>0.10884630872463237</v>
      </c>
      <c r="K101" s="18">
        <f t="shared" si="85"/>
        <v>0.10802210267641611</v>
      </c>
      <c r="L101" s="18">
        <f t="shared" si="85"/>
        <v>0.10747091740031907</v>
      </c>
    </row>
    <row r="103" spans="1:12" x14ac:dyDescent="0.2">
      <c r="B103" s="7" t="s">
        <v>36</v>
      </c>
      <c r="C103" s="12">
        <f>-2169-2251-1207+1067+8614+483+371</f>
        <v>4908</v>
      </c>
      <c r="D103" s="12">
        <f>-4340-3128-621+428+7170+1273+37</f>
        <v>819</v>
      </c>
      <c r="E103" s="12">
        <f>-6524+1209-1330+694+5504+1639+635</f>
        <v>1827</v>
      </c>
      <c r="F103" s="12">
        <f>-9095-625-1846+283+7304+1682+774</f>
        <v>-1523</v>
      </c>
      <c r="G103" s="12">
        <f>-2317+584-5046+707+3915-445+367</f>
        <v>-2235</v>
      </c>
      <c r="H103" s="12">
        <f ca="1">H85*H104</f>
        <v>-437.08380009449155</v>
      </c>
      <c r="I103" s="12">
        <f t="shared" ref="I103:L103" ca="1" si="86">I85*I104</f>
        <v>-2063.5695623823563</v>
      </c>
      <c r="J103" s="12">
        <f t="shared" ca="1" si="86"/>
        <v>-2254.2832366186353</v>
      </c>
      <c r="K103" s="12">
        <f t="shared" ca="1" si="86"/>
        <v>-1974.9913113586101</v>
      </c>
      <c r="L103" s="12">
        <f t="shared" ca="1" si="86"/>
        <v>-2632.443624919998</v>
      </c>
    </row>
    <row r="104" spans="1:12" x14ac:dyDescent="0.2">
      <c r="B104" s="10" t="s">
        <v>29</v>
      </c>
      <c r="C104" s="18">
        <f t="shared" ref="C104" si="87">C103/C85</f>
        <v>3.5872210730965727E-2</v>
      </c>
      <c r="D104" s="18">
        <f>D103/D85</f>
        <v>5.0600221182896012E-3</v>
      </c>
      <c r="E104" s="18">
        <f t="shared" ref="E104" si="88">E103/E85</f>
        <v>1.0009478049822766E-2</v>
      </c>
      <c r="F104" s="18">
        <f>F103/F85</f>
        <v>-5.9114180028489701E-3</v>
      </c>
      <c r="G104" s="18">
        <f>G103/G85</f>
        <v>-7.9021058139699327E-3</v>
      </c>
      <c r="H104" s="18">
        <f>AVERAGE(E104:G104)</f>
        <v>-1.2680152556653788E-3</v>
      </c>
      <c r="I104" s="18">
        <f t="shared" ref="I104:L104" si="89">AVERAGE(F104:H104)</f>
        <v>-5.0271796908280932E-3</v>
      </c>
      <c r="J104" s="18">
        <f t="shared" si="89"/>
        <v>-4.7324335868211345E-3</v>
      </c>
      <c r="K104" s="18">
        <f t="shared" si="89"/>
        <v>-3.6758761777715351E-3</v>
      </c>
      <c r="L104" s="18">
        <f t="shared" si="89"/>
        <v>-4.4784964851402537E-3</v>
      </c>
    </row>
    <row r="105" spans="1:12" x14ac:dyDescent="0.2">
      <c r="B105" s="10"/>
      <c r="C105" s="18"/>
      <c r="D105" s="18"/>
      <c r="E105" s="18"/>
      <c r="F105" s="18"/>
      <c r="G105" s="18"/>
      <c r="H105" s="18"/>
      <c r="I105" s="18"/>
      <c r="J105" s="18"/>
      <c r="K105" s="18"/>
      <c r="L105" s="18"/>
    </row>
    <row r="106" spans="1:12" x14ac:dyDescent="0.2">
      <c r="D106" s="18"/>
      <c r="H106">
        <v>1</v>
      </c>
      <c r="I106">
        <v>2</v>
      </c>
      <c r="J106">
        <v>3</v>
      </c>
      <c r="K106">
        <v>4</v>
      </c>
      <c r="L106">
        <v>5</v>
      </c>
    </row>
    <row r="107" spans="1:12" x14ac:dyDescent="0.2">
      <c r="A107" s="15" t="s">
        <v>6</v>
      </c>
      <c r="B107" s="6" t="s">
        <v>37</v>
      </c>
      <c r="C107" s="6">
        <v>2018</v>
      </c>
      <c r="D107" s="6">
        <v>2019</v>
      </c>
      <c r="E107" s="6">
        <v>2020</v>
      </c>
      <c r="F107" s="6">
        <v>2021</v>
      </c>
      <c r="G107" s="6">
        <v>2022</v>
      </c>
      <c r="H107" s="6">
        <v>2023</v>
      </c>
      <c r="I107" s="6">
        <v>2024</v>
      </c>
      <c r="J107" s="6">
        <v>2025</v>
      </c>
      <c r="K107" s="6">
        <v>2026</v>
      </c>
      <c r="L107" s="6">
        <v>2027</v>
      </c>
    </row>
    <row r="109" spans="1:12" x14ac:dyDescent="0.2">
      <c r="B109" s="7" t="str">
        <f>B85</f>
        <v xml:space="preserve">Revenue </v>
      </c>
      <c r="C109" s="12">
        <f>C85</f>
        <v>136819</v>
      </c>
      <c r="D109" s="12">
        <f t="shared" ref="D109:L109" si="90">D85</f>
        <v>161857</v>
      </c>
      <c r="E109" s="12">
        <f t="shared" si="90"/>
        <v>182527</v>
      </c>
      <c r="F109" s="12">
        <f t="shared" si="90"/>
        <v>257637</v>
      </c>
      <c r="G109" s="12">
        <f t="shared" si="90"/>
        <v>282836</v>
      </c>
      <c r="H109" s="12">
        <f t="shared" ca="1" si="90"/>
        <v>344699.16520455113</v>
      </c>
      <c r="I109" s="12">
        <f t="shared" ca="1" si="90"/>
        <v>410482.55469110521</v>
      </c>
      <c r="J109" s="12">
        <f t="shared" ca="1" si="90"/>
        <v>476347.56944003521</v>
      </c>
      <c r="K109" s="12">
        <f t="shared" ca="1" si="90"/>
        <v>537284.50465813291</v>
      </c>
      <c r="L109" s="12">
        <f t="shared" ca="1" si="90"/>
        <v>587796.29137914965</v>
      </c>
    </row>
    <row r="110" spans="1:12" x14ac:dyDescent="0.2">
      <c r="B110" s="10" t="s">
        <v>20</v>
      </c>
      <c r="D110" s="18">
        <f>D109/C109-1</f>
        <v>0.18300089899794614</v>
      </c>
      <c r="E110" s="18">
        <f t="shared" ref="E110:L110" si="91">E109/D109-1</f>
        <v>0.12770532012826141</v>
      </c>
      <c r="F110" s="18">
        <f t="shared" si="91"/>
        <v>0.41150076427049154</v>
      </c>
      <c r="G110" s="18">
        <f t="shared" si="91"/>
        <v>9.7808156437157789E-2</v>
      </c>
      <c r="H110" s="18">
        <f t="shared" ca="1" si="91"/>
        <v>0.21872450891877682</v>
      </c>
      <c r="I110" s="18">
        <f t="shared" ca="1" si="91"/>
        <v>0.19084290339814713</v>
      </c>
      <c r="J110" s="18">
        <f t="shared" ca="1" si="91"/>
        <v>0.16045752492086907</v>
      </c>
      <c r="K110" s="18">
        <f t="shared" ca="1" si="91"/>
        <v>0.12792536191531623</v>
      </c>
      <c r="L110" s="18">
        <f t="shared" ca="1" si="91"/>
        <v>9.4013109038304954E-2</v>
      </c>
    </row>
    <row r="112" spans="1:12" x14ac:dyDescent="0.2">
      <c r="B112" s="7" t="s">
        <v>28</v>
      </c>
      <c r="C112" s="12">
        <f>C88</f>
        <v>27524</v>
      </c>
      <c r="D112" s="12">
        <f t="shared" ref="D112:G112" si="92">D88</f>
        <v>34231</v>
      </c>
      <c r="E112" s="12">
        <f t="shared" si="92"/>
        <v>41224</v>
      </c>
      <c r="F112" s="12">
        <f t="shared" si="92"/>
        <v>78714</v>
      </c>
      <c r="G112" s="12">
        <f t="shared" si="92"/>
        <v>74842</v>
      </c>
      <c r="H112" s="12">
        <f ca="1">H109*H113</f>
        <v>91458.697803707808</v>
      </c>
      <c r="I112" s="12">
        <f t="shared" ref="I112:L112" ca="1" si="93">I109*I113</f>
        <v>109700.14028285377</v>
      </c>
      <c r="J112" s="12">
        <f t="shared" ca="1" si="93"/>
        <v>128215.86433645162</v>
      </c>
      <c r="K112" s="12">
        <f t="shared" ca="1" si="93"/>
        <v>145648.2974783238</v>
      </c>
      <c r="L112" s="12">
        <f t="shared" ca="1" si="93"/>
        <v>160468.38754650787</v>
      </c>
    </row>
    <row r="113" spans="1:12" x14ac:dyDescent="0.2">
      <c r="B113" s="10" t="s">
        <v>29</v>
      </c>
      <c r="C113" s="18">
        <f>C112/C85</f>
        <v>0.20117089000796673</v>
      </c>
      <c r="D113" s="18">
        <f t="shared" ref="D113:G113" si="94">D112/D85</f>
        <v>0.21148915400631421</v>
      </c>
      <c r="E113" s="18">
        <f t="shared" si="94"/>
        <v>0.22585151785763202</v>
      </c>
      <c r="F113" s="18">
        <f t="shared" si="94"/>
        <v>0.3055228868524319</v>
      </c>
      <c r="G113" s="18">
        <f t="shared" si="94"/>
        <v>0.26461270842467011</v>
      </c>
      <c r="H113" s="18">
        <f ca="1">OFFSET(H113,$C$21,0)</f>
        <v>0.26532903771157801</v>
      </c>
      <c r="I113" s="18">
        <f t="shared" ref="I113:L113" ca="1" si="95">OFFSET(I113,$C$21,0)</f>
        <v>0.26724677828368348</v>
      </c>
      <c r="J113" s="18">
        <f t="shared" ca="1" si="95"/>
        <v>0.26916451885578901</v>
      </c>
      <c r="K113" s="18">
        <f t="shared" ca="1" si="95"/>
        <v>0.27108225942789455</v>
      </c>
      <c r="L113" s="18">
        <f t="shared" ca="1" si="95"/>
        <v>0.27300000000000002</v>
      </c>
    </row>
    <row r="114" spans="1:12" x14ac:dyDescent="0.2">
      <c r="B114" s="7" t="s">
        <v>21</v>
      </c>
      <c r="C114" s="18"/>
      <c r="D114" s="18"/>
      <c r="E114" s="18"/>
      <c r="F114" s="18"/>
      <c r="G114" s="18"/>
      <c r="H114" s="9">
        <f t="shared" ref="H114:K114" si="96">H115*$E$21</f>
        <v>0.21226323016926241</v>
      </c>
      <c r="I114" s="9">
        <f t="shared" si="96"/>
        <v>0.21379742262694679</v>
      </c>
      <c r="J114" s="9">
        <f t="shared" si="96"/>
        <v>0.21533161508463122</v>
      </c>
      <c r="K114" s="9">
        <f t="shared" si="96"/>
        <v>0.21686580754231566</v>
      </c>
      <c r="L114" s="9">
        <f>L115*$E$21</f>
        <v>0.21840000000000004</v>
      </c>
    </row>
    <row r="115" spans="1:12" x14ac:dyDescent="0.2">
      <c r="B115" t="s">
        <v>22</v>
      </c>
      <c r="C115" s="18"/>
      <c r="D115" s="18"/>
      <c r="E115" s="18"/>
      <c r="F115" s="18"/>
      <c r="G115" s="18"/>
      <c r="H115" s="9">
        <f>AVERAGE(E113:G113)</f>
        <v>0.26532903771157801</v>
      </c>
      <c r="I115" s="9">
        <f>H115-(H115-$L$115)/($L$107-H107)</f>
        <v>0.26724677828368348</v>
      </c>
      <c r="J115" s="9">
        <f t="shared" ref="J115:K115" si="97">I115-(I115-$L$115)/($L$107-I107)</f>
        <v>0.26916451885578901</v>
      </c>
      <c r="K115" s="9">
        <f t="shared" si="97"/>
        <v>0.27108225942789455</v>
      </c>
      <c r="L115" s="9">
        <f>G21</f>
        <v>0.27300000000000002</v>
      </c>
    </row>
    <row r="116" spans="1:12" x14ac:dyDescent="0.2">
      <c r="B116" t="s">
        <v>23</v>
      </c>
      <c r="C116" s="18"/>
      <c r="D116" s="18"/>
      <c r="E116" s="18"/>
      <c r="F116" s="18"/>
      <c r="G116" s="18"/>
      <c r="H116" s="9">
        <f t="shared" ref="H116:K116" si="98">H115*$I$21</f>
        <v>0.31839484525389361</v>
      </c>
      <c r="I116" s="9">
        <f t="shared" si="98"/>
        <v>0.32069613394042018</v>
      </c>
      <c r="J116" s="9">
        <f t="shared" si="98"/>
        <v>0.32299742262694681</v>
      </c>
      <c r="K116" s="9">
        <f t="shared" si="98"/>
        <v>0.32529871131347343</v>
      </c>
      <c r="L116" s="9">
        <f>L115*$I$21</f>
        <v>0.3276</v>
      </c>
    </row>
    <row r="118" spans="1:12" x14ac:dyDescent="0.2">
      <c r="B118" s="7" t="s">
        <v>30</v>
      </c>
      <c r="C118" s="12">
        <f>C91</f>
        <v>4177</v>
      </c>
      <c r="D118" s="12">
        <f>D91</f>
        <v>5282</v>
      </c>
      <c r="E118" s="12">
        <f>E91</f>
        <v>7813</v>
      </c>
      <c r="F118" s="12">
        <f>F91</f>
        <v>14701</v>
      </c>
      <c r="G118" s="12">
        <f>G91</f>
        <v>11356</v>
      </c>
      <c r="H118" s="12">
        <f ca="1">H112*H119</f>
        <v>16097.439512148607</v>
      </c>
      <c r="I118" s="12">
        <f t="shared" ref="I118:L118" ca="1" si="99">I112*I119</f>
        <v>18813.774306596439</v>
      </c>
      <c r="J118" s="12">
        <f t="shared" ca="1" si="99"/>
        <v>21336.938713154665</v>
      </c>
      <c r="K118" s="12">
        <f t="shared" ca="1" si="99"/>
        <v>24950.706911340665</v>
      </c>
      <c r="L118" s="12">
        <f t="shared" ca="1" si="99"/>
        <v>27238.114405449105</v>
      </c>
    </row>
    <row r="119" spans="1:12" x14ac:dyDescent="0.2">
      <c r="B119" s="10" t="s">
        <v>38</v>
      </c>
      <c r="C119" s="18">
        <f>C118/C112</f>
        <v>0.1517584653393402</v>
      </c>
      <c r="D119" s="18">
        <f t="shared" ref="D119:G119" si="100">D118/D112</f>
        <v>0.15430457772194794</v>
      </c>
      <c r="E119" s="18">
        <f t="shared" si="100"/>
        <v>0.18952551911507859</v>
      </c>
      <c r="F119" s="18">
        <f t="shared" si="100"/>
        <v>0.18676474324770689</v>
      </c>
      <c r="G119" s="18">
        <f t="shared" si="100"/>
        <v>0.15173298415328293</v>
      </c>
      <c r="H119" s="18">
        <f>AVERAGE(E119:G119)</f>
        <v>0.1760077488386895</v>
      </c>
      <c r="I119" s="18">
        <f t="shared" ref="I119:L119" si="101">AVERAGE(F119:H119)</f>
        <v>0.17150182541322645</v>
      </c>
      <c r="J119" s="18">
        <f t="shared" si="101"/>
        <v>0.16641418613506628</v>
      </c>
      <c r="K119" s="18">
        <f t="shared" si="101"/>
        <v>0.1713079201289941</v>
      </c>
      <c r="L119" s="18">
        <f t="shared" si="101"/>
        <v>0.16974131055909561</v>
      </c>
    </row>
    <row r="121" spans="1:12" x14ac:dyDescent="0.2">
      <c r="B121" s="11"/>
      <c r="C121" s="11"/>
      <c r="D121" s="11"/>
      <c r="E121" s="11"/>
      <c r="F121" s="11"/>
      <c r="G121" s="11"/>
      <c r="H121" s="11"/>
      <c r="I121" s="11"/>
      <c r="J121" s="11"/>
      <c r="K121" s="11"/>
      <c r="L121" s="11"/>
    </row>
    <row r="122" spans="1:12" s="7" customFormat="1" x14ac:dyDescent="0.2">
      <c r="A122" s="16"/>
      <c r="B122" s="7" t="s">
        <v>41</v>
      </c>
      <c r="C122" s="13"/>
      <c r="D122" s="13"/>
      <c r="E122" s="13"/>
      <c r="F122" s="13"/>
      <c r="G122" s="13"/>
      <c r="H122" s="13">
        <f ca="1">H112-H118</f>
        <v>75361.258291559207</v>
      </c>
      <c r="I122" s="13">
        <f t="shared" ref="I122:L122" ca="1" si="102">I112-I118</f>
        <v>90886.365976257337</v>
      </c>
      <c r="J122" s="13">
        <f t="shared" ca="1" si="102"/>
        <v>106878.92562329695</v>
      </c>
      <c r="K122" s="13">
        <f t="shared" ca="1" si="102"/>
        <v>120697.59056698314</v>
      </c>
      <c r="L122" s="13">
        <f t="shared" ca="1" si="102"/>
        <v>133230.27314105877</v>
      </c>
    </row>
    <row r="124" spans="1:12" x14ac:dyDescent="0.2">
      <c r="B124" s="7" t="s">
        <v>33</v>
      </c>
      <c r="C124" s="12">
        <f>C96</f>
        <v>8164</v>
      </c>
      <c r="D124" s="12">
        <f t="shared" ref="D124:L124" si="103">D96</f>
        <v>10856</v>
      </c>
      <c r="E124" s="12">
        <f t="shared" si="103"/>
        <v>12905</v>
      </c>
      <c r="F124" s="12">
        <f t="shared" si="103"/>
        <v>11555</v>
      </c>
      <c r="G124" s="12">
        <f t="shared" si="103"/>
        <v>15287</v>
      </c>
      <c r="H124" s="12">
        <f t="shared" ca="1" si="103"/>
        <v>19487.082748725701</v>
      </c>
      <c r="I124" s="12">
        <f t="shared" ca="1" si="103"/>
        <v>21267.444361690963</v>
      </c>
      <c r="J124" s="12">
        <f t="shared" ca="1" si="103"/>
        <v>25785.236951116804</v>
      </c>
      <c r="K124" s="12">
        <f t="shared" ca="1" si="103"/>
        <v>29098.535439628744</v>
      </c>
      <c r="L124" s="12">
        <f t="shared" ca="1" si="103"/>
        <v>31368.826617505099</v>
      </c>
    </row>
    <row r="125" spans="1:12" x14ac:dyDescent="0.2">
      <c r="B125" s="10" t="s">
        <v>29</v>
      </c>
      <c r="C125" s="18">
        <f>C124/C109</f>
        <v>5.9670075062674043E-2</v>
      </c>
      <c r="D125" s="18">
        <f t="shared" ref="D125:L125" si="104">D124/D109</f>
        <v>6.7071550813372294E-2</v>
      </c>
      <c r="E125" s="18">
        <f t="shared" si="104"/>
        <v>7.0701868764621131E-2</v>
      </c>
      <c r="F125" s="18">
        <f t="shared" si="104"/>
        <v>4.4849924506185058E-2</v>
      </c>
      <c r="G125" s="18">
        <f t="shared" si="104"/>
        <v>5.4048989520428803E-2</v>
      </c>
      <c r="H125" s="18">
        <f t="shared" ca="1" si="104"/>
        <v>5.6533594263744998E-2</v>
      </c>
      <c r="I125" s="18">
        <f t="shared" ca="1" si="104"/>
        <v>5.1810836096786279E-2</v>
      </c>
      <c r="J125" s="18">
        <f t="shared" ca="1" si="104"/>
        <v>5.4131139960320013E-2</v>
      </c>
      <c r="K125" s="18">
        <f t="shared" ca="1" si="104"/>
        <v>5.4158523440283768E-2</v>
      </c>
      <c r="L125" s="18">
        <f t="shared" ca="1" si="104"/>
        <v>5.3366833165796691E-2</v>
      </c>
    </row>
    <row r="126" spans="1:12" x14ac:dyDescent="0.2">
      <c r="B126" s="10" t="s">
        <v>34</v>
      </c>
      <c r="C126" s="18">
        <f>C124/C128</f>
        <v>0.3247543657265603</v>
      </c>
      <c r="D126" s="18">
        <f t="shared" ref="D126:L126" si="105">D124/D128</f>
        <v>0.46101579751995925</v>
      </c>
      <c r="E126" s="18">
        <f t="shared" si="105"/>
        <v>0.57919303442394865</v>
      </c>
      <c r="F126" s="18">
        <f t="shared" si="105"/>
        <v>0.46895292207792205</v>
      </c>
      <c r="G126" s="18">
        <f t="shared" si="105"/>
        <v>0.48553279339367955</v>
      </c>
      <c r="H126" s="18">
        <f t="shared" ca="1" si="105"/>
        <v>0.51546163510218235</v>
      </c>
      <c r="I126" s="18">
        <f t="shared" ca="1" si="105"/>
        <v>0.49089165467440288</v>
      </c>
      <c r="J126" s="18">
        <f t="shared" ca="1" si="105"/>
        <v>0.49731718598988112</v>
      </c>
      <c r="K126" s="18">
        <f t="shared" ca="1" si="105"/>
        <v>0.50136520303180421</v>
      </c>
      <c r="L126" s="18">
        <f t="shared" ca="1" si="105"/>
        <v>0.49656999732318513</v>
      </c>
    </row>
    <row r="128" spans="1:12" x14ac:dyDescent="0.2">
      <c r="B128" s="7" t="s">
        <v>35</v>
      </c>
      <c r="C128" s="12">
        <f>C100</f>
        <v>25139</v>
      </c>
      <c r="D128" s="12">
        <f t="shared" ref="D128:L128" si="106">D100</f>
        <v>23548</v>
      </c>
      <c r="E128" s="12">
        <f t="shared" si="106"/>
        <v>22281</v>
      </c>
      <c r="F128" s="12">
        <f t="shared" si="106"/>
        <v>24640</v>
      </c>
      <c r="G128" s="12">
        <f t="shared" si="106"/>
        <v>31485</v>
      </c>
      <c r="H128" s="12">
        <f t="shared" ca="1" si="106"/>
        <v>37805.107929832033</v>
      </c>
      <c r="I128" s="12">
        <f t="shared" ca="1" si="106"/>
        <v>43324.110644735178</v>
      </c>
      <c r="J128" s="12">
        <f t="shared" ca="1" si="106"/>
        <v>51848.67460349833</v>
      </c>
      <c r="K128" s="12">
        <f t="shared" ca="1" si="106"/>
        <v>58038.601928628203</v>
      </c>
      <c r="L128" s="12">
        <f t="shared" ca="1" si="106"/>
        <v>63171.006679022474</v>
      </c>
    </row>
    <row r="129" spans="1:12" x14ac:dyDescent="0.2">
      <c r="B129" s="10" t="s">
        <v>29</v>
      </c>
      <c r="C129" s="18">
        <f>C128/C109</f>
        <v>0.18373910056351822</v>
      </c>
      <c r="D129" s="18">
        <f t="shared" ref="D129:L129" si="107">D128/D109</f>
        <v>0.14548644791389931</v>
      </c>
      <c r="E129" s="18">
        <f t="shared" si="107"/>
        <v>0.12206961161910293</v>
      </c>
      <c r="F129" s="18">
        <f t="shared" si="107"/>
        <v>9.5638437025737766E-2</v>
      </c>
      <c r="G129" s="18">
        <f t="shared" si="107"/>
        <v>0.11131892686928113</v>
      </c>
      <c r="H129" s="18">
        <f t="shared" ca="1" si="107"/>
        <v>0.1096756585047073</v>
      </c>
      <c r="I129" s="18">
        <f t="shared" ca="1" si="107"/>
        <v>0.10554434079990872</v>
      </c>
      <c r="J129" s="18">
        <f t="shared" ca="1" si="107"/>
        <v>0.10884630872463237</v>
      </c>
      <c r="K129" s="18">
        <f t="shared" ca="1" si="107"/>
        <v>0.10802210267641611</v>
      </c>
      <c r="L129" s="18">
        <f t="shared" ca="1" si="107"/>
        <v>0.10747091740031907</v>
      </c>
    </row>
    <row r="131" spans="1:12" x14ac:dyDescent="0.2">
      <c r="B131" s="7" t="s">
        <v>36</v>
      </c>
      <c r="C131" s="12">
        <f>C103</f>
        <v>4908</v>
      </c>
      <c r="D131" s="12">
        <f t="shared" ref="D131:L131" si="108">D103</f>
        <v>819</v>
      </c>
      <c r="E131" s="12">
        <f t="shared" si="108"/>
        <v>1827</v>
      </c>
      <c r="F131" s="12">
        <f t="shared" si="108"/>
        <v>-1523</v>
      </c>
      <c r="G131" s="12">
        <f t="shared" si="108"/>
        <v>-2235</v>
      </c>
      <c r="H131" s="12">
        <f t="shared" ca="1" si="108"/>
        <v>-437.08380009449155</v>
      </c>
      <c r="I131" s="12">
        <f t="shared" ca="1" si="108"/>
        <v>-2063.5695623823563</v>
      </c>
      <c r="J131" s="12">
        <f t="shared" ca="1" si="108"/>
        <v>-2254.2832366186353</v>
      </c>
      <c r="K131" s="12">
        <f t="shared" ca="1" si="108"/>
        <v>-1974.9913113586101</v>
      </c>
      <c r="L131" s="12">
        <f t="shared" ca="1" si="108"/>
        <v>-2632.443624919998</v>
      </c>
    </row>
    <row r="132" spans="1:12" x14ac:dyDescent="0.2">
      <c r="B132" s="10" t="s">
        <v>29</v>
      </c>
      <c r="C132" s="18">
        <f>C131/C109</f>
        <v>3.5872210730965727E-2</v>
      </c>
      <c r="D132" s="18">
        <f t="shared" ref="D132:L132" si="109">D131/D109</f>
        <v>5.0600221182896012E-3</v>
      </c>
      <c r="E132" s="18">
        <f t="shared" si="109"/>
        <v>1.0009478049822766E-2</v>
      </c>
      <c r="F132" s="18">
        <f t="shared" si="109"/>
        <v>-5.9114180028489701E-3</v>
      </c>
      <c r="G132" s="18">
        <f t="shared" si="109"/>
        <v>-7.9021058139699327E-3</v>
      </c>
      <c r="H132" s="18">
        <f t="shared" ca="1" si="109"/>
        <v>-1.2680152556653788E-3</v>
      </c>
      <c r="I132" s="18">
        <f t="shared" ca="1" si="109"/>
        <v>-5.0271796908280932E-3</v>
      </c>
      <c r="J132" s="18">
        <f t="shared" ca="1" si="109"/>
        <v>-4.7324335868211345E-3</v>
      </c>
      <c r="K132" s="18">
        <f t="shared" ca="1" si="109"/>
        <v>-3.6758761777715351E-3</v>
      </c>
      <c r="L132" s="18">
        <f t="shared" ca="1" si="109"/>
        <v>-4.4784964851402537E-3</v>
      </c>
    </row>
    <row r="134" spans="1:12" x14ac:dyDescent="0.2">
      <c r="B134" s="11"/>
      <c r="C134" s="11"/>
      <c r="D134" s="11"/>
      <c r="E134" s="11"/>
      <c r="F134" s="11"/>
      <c r="G134" s="11"/>
      <c r="H134" s="11"/>
      <c r="I134" s="11"/>
      <c r="J134" s="11"/>
      <c r="K134" s="11"/>
      <c r="L134" s="11"/>
    </row>
    <row r="135" spans="1:12" s="7" customFormat="1" x14ac:dyDescent="0.2">
      <c r="A135" s="16"/>
      <c r="B135" s="7" t="s">
        <v>42</v>
      </c>
      <c r="C135" s="13"/>
      <c r="D135" s="13"/>
      <c r="E135" s="13"/>
      <c r="F135" s="13"/>
      <c r="G135" s="13"/>
      <c r="H135" s="13">
        <f ca="1">H122+H124-H128-H131</f>
        <v>57480.316910547372</v>
      </c>
      <c r="I135" s="13">
        <f t="shared" ref="I135:L135" ca="1" si="110">I122+I124-I128-I131</f>
        <v>70893.269255595471</v>
      </c>
      <c r="J135" s="13">
        <f t="shared" ca="1" si="110"/>
        <v>83069.771207534053</v>
      </c>
      <c r="K135" s="13">
        <f t="shared" ca="1" si="110"/>
        <v>93732.515389342298</v>
      </c>
      <c r="L135" s="13">
        <f t="shared" ca="1" si="110"/>
        <v>104060.5367044614</v>
      </c>
    </row>
    <row r="136" spans="1:12" x14ac:dyDescent="0.2">
      <c r="B136" s="7" t="s">
        <v>43</v>
      </c>
      <c r="H136" s="12">
        <f t="shared" ref="H136:K136" ca="1" si="111">H135/(1+$C$25)^H106</f>
        <v>52822.32830806265</v>
      </c>
      <c r="I136" s="12">
        <f t="shared" ca="1" si="111"/>
        <v>59868.968679587517</v>
      </c>
      <c r="J136" s="12">
        <f t="shared" ca="1" si="111"/>
        <v>64467.10577075537</v>
      </c>
      <c r="K136" s="12">
        <f t="shared" ca="1" si="111"/>
        <v>66847.291745243303</v>
      </c>
      <c r="L136" s="12">
        <f ca="1">L135/(1+$C$25)^L106</f>
        <v>68198.997832826746</v>
      </c>
    </row>
    <row r="138" spans="1:12" x14ac:dyDescent="0.2">
      <c r="B138" s="11"/>
      <c r="C138" s="11"/>
      <c r="D138" s="11"/>
      <c r="E138" s="11"/>
      <c r="F138" s="11"/>
      <c r="G138" s="11"/>
      <c r="H138" s="11"/>
      <c r="I138" s="11"/>
      <c r="J138" s="11"/>
      <c r="K138" s="11"/>
      <c r="L138" s="11"/>
    </row>
    <row r="139" spans="1:12" x14ac:dyDescent="0.2">
      <c r="B139" s="7" t="s">
        <v>57</v>
      </c>
      <c r="L139" s="12">
        <f ca="1">L136*(1+C25)/(C25-C26)</f>
        <v>1174586.2968528883</v>
      </c>
    </row>
    <row r="140" spans="1:12" x14ac:dyDescent="0.2">
      <c r="B140" s="7" t="s">
        <v>58</v>
      </c>
      <c r="L140" s="12">
        <f ca="1">L139/(1+C25)^L106</f>
        <v>769798.14683296508</v>
      </c>
    </row>
    <row r="142" spans="1:12" x14ac:dyDescent="0.2">
      <c r="B142" s="7" t="s">
        <v>59</v>
      </c>
      <c r="L142" s="12">
        <f ca="1">SUM(L140,H136:L136)</f>
        <v>1082002.8391694406</v>
      </c>
    </row>
    <row r="143" spans="1:12" x14ac:dyDescent="0.2">
      <c r="B143" s="7" t="s">
        <v>60</v>
      </c>
      <c r="L143" s="12">
        <v>116260</v>
      </c>
    </row>
    <row r="144" spans="1:12" x14ac:dyDescent="0.2">
      <c r="B144" s="7" t="s">
        <v>61</v>
      </c>
      <c r="L144" s="12">
        <f>'GOOG_ WACC'!D16</f>
        <v>29340</v>
      </c>
    </row>
    <row r="145" spans="2:12" x14ac:dyDescent="0.2">
      <c r="B145" s="7" t="s">
        <v>62</v>
      </c>
      <c r="L145" s="12">
        <f ca="1">L142+L143-L144</f>
        <v>1168922.8391694406</v>
      </c>
    </row>
    <row r="146" spans="2:12" x14ac:dyDescent="0.2">
      <c r="B146" s="7" t="s">
        <v>63</v>
      </c>
      <c r="L146" s="12">
        <v>13018</v>
      </c>
    </row>
    <row r="147" spans="2:12" x14ac:dyDescent="0.2">
      <c r="B147" s="7" t="s">
        <v>3</v>
      </c>
      <c r="L147" s="26">
        <f ca="1">L145/L146</f>
        <v>89.792812964314066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8DB77-FA7B-9646-B08C-F3BEA98937F9}">
  <dimension ref="A1:D23"/>
  <sheetViews>
    <sheetView showGridLines="0" zoomScale="140" zoomScaleNormal="140" workbookViewId="0">
      <selection activeCell="D23" sqref="D23"/>
    </sheetView>
  </sheetViews>
  <sheetFormatPr baseColWidth="10" defaultRowHeight="16" x14ac:dyDescent="0.2"/>
  <sheetData>
    <row r="1" spans="1:4" ht="24" x14ac:dyDescent="0.3">
      <c r="A1" s="19" t="s">
        <v>2</v>
      </c>
    </row>
    <row r="3" spans="1:4" ht="19" x14ac:dyDescent="0.25">
      <c r="A3" s="20" t="s">
        <v>44</v>
      </c>
    </row>
    <row r="4" spans="1:4" ht="19" x14ac:dyDescent="0.25">
      <c r="A4" s="20"/>
    </row>
    <row r="5" spans="1:4" ht="19" x14ac:dyDescent="0.25">
      <c r="A5" s="20" t="s">
        <v>45</v>
      </c>
    </row>
    <row r="7" spans="1:4" ht="19" x14ac:dyDescent="0.25">
      <c r="A7" s="21" t="s">
        <v>39</v>
      </c>
    </row>
    <row r="8" spans="1:4" ht="19" x14ac:dyDescent="0.25">
      <c r="A8" s="22"/>
    </row>
    <row r="9" spans="1:4" ht="19" x14ac:dyDescent="0.25">
      <c r="A9" s="22" t="s">
        <v>46</v>
      </c>
      <c r="D9" s="23">
        <v>1276000</v>
      </c>
    </row>
    <row r="10" spans="1:4" ht="19" x14ac:dyDescent="0.25">
      <c r="A10" s="22" t="s">
        <v>47</v>
      </c>
      <c r="D10" s="14">
        <f>D9/D21</f>
        <v>0.97752309743055454</v>
      </c>
    </row>
    <row r="11" spans="1:4" ht="19" x14ac:dyDescent="0.25">
      <c r="A11" s="22" t="s">
        <v>48</v>
      </c>
      <c r="D11" s="14">
        <f>D12+D13*D14</f>
        <v>8.9965900000000001E-2</v>
      </c>
    </row>
    <row r="12" spans="1:4" ht="19" x14ac:dyDescent="0.25">
      <c r="A12" s="22" t="s">
        <v>49</v>
      </c>
      <c r="D12" s="14">
        <v>3.5340000000000003E-2</v>
      </c>
    </row>
    <row r="13" spans="1:4" ht="19" x14ac:dyDescent="0.25">
      <c r="A13" s="22" t="s">
        <v>50</v>
      </c>
      <c r="D13" s="24">
        <v>1.069</v>
      </c>
    </row>
    <row r="14" spans="1:4" ht="19" x14ac:dyDescent="0.25">
      <c r="A14" s="22" t="s">
        <v>51</v>
      </c>
      <c r="D14" s="14">
        <v>5.11E-2</v>
      </c>
    </row>
    <row r="15" spans="1:4" ht="19" x14ac:dyDescent="0.25">
      <c r="A15" s="22"/>
    </row>
    <row r="16" spans="1:4" ht="19" x14ac:dyDescent="0.25">
      <c r="A16" s="22" t="s">
        <v>52</v>
      </c>
      <c r="D16" s="23">
        <v>29340</v>
      </c>
    </row>
    <row r="17" spans="1:4" ht="19" x14ac:dyDescent="0.25">
      <c r="A17" s="22" t="s">
        <v>53</v>
      </c>
      <c r="D17" s="14">
        <f>D16/D9</f>
        <v>2.2993730407523512E-2</v>
      </c>
    </row>
    <row r="18" spans="1:4" ht="19" x14ac:dyDescent="0.25">
      <c r="A18" s="22" t="s">
        <v>54</v>
      </c>
      <c r="D18" s="14">
        <v>1.2200000000000001E-2</v>
      </c>
    </row>
    <row r="19" spans="1:4" ht="19" x14ac:dyDescent="0.25">
      <c r="A19" s="22" t="s">
        <v>55</v>
      </c>
      <c r="D19" s="25">
        <v>0.15</v>
      </c>
    </row>
    <row r="20" spans="1:4" ht="19" x14ac:dyDescent="0.25">
      <c r="A20" s="22"/>
    </row>
    <row r="21" spans="1:4" ht="19" x14ac:dyDescent="0.25">
      <c r="A21" s="22" t="s">
        <v>56</v>
      </c>
      <c r="D21" s="23">
        <f>D9+D16</f>
        <v>1305340</v>
      </c>
    </row>
    <row r="22" spans="1:4" ht="19" x14ac:dyDescent="0.25">
      <c r="A22" s="22"/>
    </row>
    <row r="23" spans="1:4" ht="19" x14ac:dyDescent="0.25">
      <c r="A23" s="22" t="s">
        <v>39</v>
      </c>
      <c r="D23" s="14">
        <f>(D10*D11)+(D17*D18*(1-D19))</f>
        <v>8.8182190215453538E-2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GOOG_DCF</vt:lpstr>
      <vt:lpstr>GOOG_ 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2023-01-23T11:59:10Z</dcterms:created>
  <dcterms:modified xsi:type="dcterms:W3CDTF">2023-02-03T08:42:08Z</dcterms:modified>
</cp:coreProperties>
</file>