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Model - NKE DCF" sheetId="2" r:id="rId5"/>
    <sheet name="WACC - NKE" sheetId="3" r:id="rId6"/>
  </sheets>
</workbook>
</file>

<file path=xl/sharedStrings.xml><?xml version="1.0" encoding="utf-8"?>
<sst xmlns="http://schemas.openxmlformats.org/spreadsheetml/2006/main" uniqueCount="83">
  <si>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</si>
  <si>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</si>
  <si>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</si>
  <si>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</si>
  <si>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Model</t>
  </si>
  <si>
    <t>NKE DCF</t>
  </si>
  <si>
    <t>Model - NKE DCF</t>
  </si>
  <si>
    <t>Ticker</t>
  </si>
  <si>
    <t>NKE</t>
  </si>
  <si>
    <t>Implied Share Price</t>
  </si>
  <si>
    <t>Date</t>
  </si>
  <si>
    <t xml:space="preserve">Current Share Price </t>
  </si>
  <si>
    <t>Upside (Downside)</t>
  </si>
  <si>
    <t>X</t>
  </si>
  <si>
    <t xml:space="preserve">Assumptions </t>
  </si>
  <si>
    <t>Switches</t>
  </si>
  <si>
    <t>Conservative</t>
  </si>
  <si>
    <t>Street/ Base</t>
  </si>
  <si>
    <t>Optimistic</t>
  </si>
  <si>
    <t>Footwear</t>
  </si>
  <si>
    <t>Apparel</t>
  </si>
  <si>
    <t>Equipment</t>
  </si>
  <si>
    <t>Global Brand Divisions</t>
  </si>
  <si>
    <t xml:space="preserve">Converse </t>
  </si>
  <si>
    <t>Corporate</t>
  </si>
  <si>
    <t>EBIT</t>
  </si>
  <si>
    <t>Step</t>
  </si>
  <si>
    <t>WACC</t>
  </si>
  <si>
    <t>TGV</t>
  </si>
  <si>
    <t>Yahoo Street Estimates</t>
  </si>
  <si>
    <t>Revenue Build</t>
  </si>
  <si>
    <t>Nike Brand Revenues</t>
  </si>
  <si>
    <r>
      <rPr>
        <b val="1"/>
        <sz val="11"/>
        <color indexed="8"/>
        <rFont val="Calibri"/>
      </rPr>
      <t>Footwear</t>
    </r>
  </si>
  <si>
    <t xml:space="preserve">% growth </t>
  </si>
  <si>
    <t xml:space="preserve">   Conservative</t>
  </si>
  <si>
    <t xml:space="preserve">   Street/Base Case</t>
  </si>
  <si>
    <t xml:space="preserve">   Optimistic</t>
  </si>
  <si>
    <r>
      <rPr>
        <b val="1"/>
        <sz val="11"/>
        <color indexed="8"/>
        <rFont val="Calibri"/>
      </rPr>
      <t>Apparel</t>
    </r>
  </si>
  <si>
    <r>
      <rPr>
        <b val="1"/>
        <sz val="11"/>
        <color indexed="8"/>
        <rFont val="Calibri"/>
      </rPr>
      <t>Equipment</t>
    </r>
  </si>
  <si>
    <r>
      <rPr>
        <b val="1"/>
        <sz val="11"/>
        <color indexed="8"/>
        <rFont val="Calibri"/>
      </rPr>
      <t>Global Brand Divisions</t>
    </r>
  </si>
  <si>
    <t>Other Brands</t>
  </si>
  <si>
    <r>
      <rPr>
        <b val="1"/>
        <sz val="11"/>
        <color indexed="8"/>
        <rFont val="Calibri"/>
      </rPr>
      <t xml:space="preserve">Converse </t>
    </r>
  </si>
  <si>
    <r>
      <rPr>
        <b val="1"/>
        <sz val="11"/>
        <color indexed="8"/>
        <rFont val="Calibri"/>
      </rPr>
      <t>Corporate</t>
    </r>
  </si>
  <si>
    <t>Total Revenues</t>
  </si>
  <si>
    <t>Income Statement</t>
  </si>
  <si>
    <t>Revenue</t>
  </si>
  <si>
    <t xml:space="preserve">% of sales </t>
  </si>
  <si>
    <t>Taxes</t>
  </si>
  <si>
    <t>% of EBIT</t>
  </si>
  <si>
    <t>Cash Flow Items</t>
  </si>
  <si>
    <t>D&amp;A</t>
  </si>
  <si>
    <t>% of sales</t>
  </si>
  <si>
    <t>% of CapEx</t>
  </si>
  <si>
    <t>Capital Expenditures</t>
  </si>
  <si>
    <t xml:space="preserve">Net Working Capital </t>
  </si>
  <si>
    <t xml:space="preserve">Change in Net Working Capital </t>
  </si>
  <si>
    <t>% change in sales</t>
  </si>
  <si>
    <t>DCF</t>
  </si>
  <si>
    <t>EBIAT</t>
  </si>
  <si>
    <t>Unlevered Free Cash Flow</t>
  </si>
  <si>
    <t>Present Value of Free Cash Flow</t>
  </si>
  <si>
    <t xml:space="preserve">Terminal Value </t>
  </si>
  <si>
    <t xml:space="preserve">Present Value of Terminal Value </t>
  </si>
  <si>
    <t>Enterprise Value</t>
  </si>
  <si>
    <t xml:space="preserve">(+) Cash </t>
  </si>
  <si>
    <t>(-) Debt</t>
  </si>
  <si>
    <t>Equity Value</t>
  </si>
  <si>
    <t xml:space="preserve">Shares </t>
  </si>
  <si>
    <t xml:space="preserve">Implied Share Price </t>
  </si>
  <si>
    <t>WACC - NKE</t>
  </si>
  <si>
    <t>WACC = % of equity x cost of equity + % of debt x cost of debt x (1-Tax Rate)</t>
  </si>
  <si>
    <t xml:space="preserve">Cost of equity = Risk free rate + Beta x Market Risk Premium </t>
  </si>
  <si>
    <t xml:space="preserve">Market Cap </t>
  </si>
  <si>
    <t>% of equity</t>
  </si>
  <si>
    <t>Cost of Equity</t>
  </si>
  <si>
    <t>Risk Free Rate</t>
  </si>
  <si>
    <t>Beta</t>
  </si>
  <si>
    <t xml:space="preserve">Market Risk Premium </t>
  </si>
  <si>
    <t>Debt</t>
  </si>
  <si>
    <t>% of Debt</t>
  </si>
  <si>
    <t>Cost of Debt</t>
  </si>
  <si>
    <t>Tax Rate</t>
  </si>
  <si>
    <t xml:space="preserve">Total </t>
  </si>
</sst>
</file>

<file path=xl/styles.xml><?xml version="1.0" encoding="utf-8"?>
<styleSheet xmlns="http://schemas.openxmlformats.org/spreadsheetml/2006/main">
  <numFmts count="7">
    <numFmt numFmtId="0" formatCode="General"/>
    <numFmt numFmtId="59" formatCode="[$$-409]0.00"/>
    <numFmt numFmtId="60" formatCode="dd/mm/yyyy"/>
    <numFmt numFmtId="61" formatCode="0%_);\(0%\)"/>
    <numFmt numFmtId="62" formatCode="0.0%_);\(0.0%\)"/>
    <numFmt numFmtId="63" formatCode="0.0%"/>
    <numFmt numFmtId="64" formatCode="#,##0%_);\(#,##0%\)"/>
  </numFmts>
  <fonts count="20">
    <font>
      <sz val="10"/>
      <color indexed="8"/>
      <name val="Helvetica Neue"/>
    </font>
    <font>
      <sz val="12"/>
      <color indexed="8"/>
      <name val="Helvetica Neue"/>
    </font>
    <font>
      <sz val="14"/>
      <color indexed="8"/>
      <name val="Helvetica Neue"/>
    </font>
    <font>
      <u val="single"/>
      <sz val="12"/>
      <color indexed="11"/>
      <name val="Helvetica Neue"/>
    </font>
    <font>
      <b val="1"/>
      <sz val="14"/>
      <color indexed="8"/>
      <name val="Calibri"/>
    </font>
    <font>
      <sz val="11"/>
      <color indexed="8"/>
      <name val="Calibri"/>
    </font>
    <font>
      <b val="1"/>
      <sz val="11"/>
      <color indexed="8"/>
      <name val="Calibri"/>
    </font>
    <font>
      <sz val="12"/>
      <color indexed="8"/>
      <name val="Calibri"/>
    </font>
    <font>
      <b val="1"/>
      <sz val="11"/>
      <color indexed="15"/>
      <name val="Calibri"/>
    </font>
    <font>
      <i val="1"/>
      <sz val="12"/>
      <color indexed="8"/>
      <name val="Calibri"/>
    </font>
    <font>
      <b val="1"/>
      <u val="single"/>
      <sz val="11"/>
      <color indexed="8"/>
      <name val="Calibri"/>
    </font>
    <font>
      <sz val="11"/>
      <color indexed="17"/>
      <name val="Calibri"/>
    </font>
    <font>
      <i val="1"/>
      <sz val="11"/>
      <color indexed="8"/>
      <name val="Calibri"/>
    </font>
    <font>
      <b val="1"/>
      <i val="1"/>
      <sz val="11"/>
      <color indexed="8"/>
      <name val="Calibri"/>
    </font>
    <font>
      <i val="1"/>
      <sz val="11"/>
      <color indexed="17"/>
      <name val="Calibri"/>
    </font>
    <font>
      <sz val="11"/>
      <color indexed="18"/>
      <name val="Calibri"/>
    </font>
    <font>
      <b val="1"/>
      <sz val="12"/>
      <color indexed="8"/>
      <name val="Calibri"/>
    </font>
    <font>
      <b val="1"/>
      <sz val="12"/>
      <color indexed="8"/>
      <name val="Helvetica Neue"/>
    </font>
    <font>
      <b val="1"/>
      <sz val="12"/>
      <color indexed="15"/>
      <name val="Calibri"/>
    </font>
    <font>
      <b val="1"/>
      <sz val="10"/>
      <color indexed="8"/>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s>
  <borders count="51">
    <border>
      <left/>
      <right/>
      <top/>
      <bottom/>
      <diagonal/>
    </border>
    <border>
      <left>
        <color indexed="8"/>
      </left>
      <right>
        <color indexed="8"/>
      </right>
      <top>
        <color indexed="8"/>
      </top>
      <bottom/>
      <diagonal/>
    </border>
    <border>
      <left>
        <color indexed="8"/>
      </left>
      <right/>
      <top/>
      <bottom style="dotted">
        <color indexed="12"/>
      </bottom>
      <diagonal/>
    </border>
    <border>
      <left/>
      <right/>
      <top/>
      <bottom/>
      <diagonal/>
    </border>
    <border>
      <left/>
      <right/>
      <top/>
      <bottom style="hair">
        <color indexed="12"/>
      </bottom>
      <diagonal/>
    </border>
    <border>
      <left>
        <color indexed="8"/>
      </left>
      <right>
        <color indexed="8"/>
      </right>
      <top/>
      <bottom/>
      <diagonal/>
    </border>
    <border>
      <left>
        <color indexed="8"/>
      </left>
      <right style="dotted">
        <color indexed="12"/>
      </right>
      <top/>
      <bottom/>
      <diagonal/>
    </border>
    <border>
      <left style="dotted">
        <color indexed="12"/>
      </left>
      <right style="dotted">
        <color indexed="12"/>
      </right>
      <top style="dotted">
        <color indexed="12"/>
      </top>
      <bottom style="hair">
        <color indexed="12"/>
      </bottom>
      <diagonal/>
    </border>
    <border>
      <left style="dotted">
        <color indexed="12"/>
      </left>
      <right/>
      <top/>
      <bottom/>
      <diagonal/>
    </border>
    <border>
      <left/>
      <right style="hair">
        <color indexed="12"/>
      </right>
      <top/>
      <bottom/>
      <diagonal/>
    </border>
    <border>
      <left style="hair">
        <color indexed="12"/>
      </left>
      <right style="hair">
        <color indexed="12"/>
      </right>
      <top style="hair">
        <color indexed="12"/>
      </top>
      <bottom style="hair">
        <color indexed="12"/>
      </bottom>
      <diagonal/>
    </border>
    <border>
      <left style="hair">
        <color indexed="12"/>
      </left>
      <right/>
      <top/>
      <bottom/>
      <diagonal/>
    </border>
    <border>
      <left style="dotted">
        <color indexed="12"/>
      </left>
      <right style="dotted">
        <color indexed="12"/>
      </right>
      <top style="hair">
        <color indexed="12"/>
      </top>
      <bottom style="dotted">
        <color indexed="12"/>
      </bottom>
      <diagonal/>
    </border>
    <border>
      <left>
        <color indexed="8"/>
      </left>
      <right/>
      <top style="dotted">
        <color indexed="12"/>
      </top>
      <bottom/>
      <diagonal/>
    </border>
    <border>
      <left/>
      <right/>
      <top style="hair">
        <color indexed="12"/>
      </top>
      <bottom/>
      <diagonal/>
    </border>
    <border>
      <left>
        <color indexed="8"/>
      </left>
      <right/>
      <top/>
      <bottom/>
      <diagonal/>
    </border>
    <border>
      <left/>
      <right/>
      <top/>
      <bottom style="dotted">
        <color indexed="12"/>
      </bottom>
      <diagonal/>
    </border>
    <border>
      <left style="dotted">
        <color indexed="12"/>
      </left>
      <right style="dotted">
        <color indexed="12"/>
      </right>
      <top style="dotted">
        <color indexed="12"/>
      </top>
      <bottom style="dotted">
        <color indexed="12"/>
      </bottom>
      <diagonal/>
    </border>
    <border>
      <left style="dotted">
        <color indexed="12"/>
      </left>
      <right style="dotted">
        <color indexed="12"/>
      </right>
      <top/>
      <bottom/>
      <diagonal/>
    </border>
    <border>
      <left>
        <color indexed="8"/>
      </left>
      <right style="dotted">
        <color indexed="12"/>
      </right>
      <top/>
      <bottom>
        <color indexed="8"/>
      </bottom>
      <diagonal/>
    </border>
    <border>
      <left>
        <color indexed="8"/>
      </left>
      <right>
        <color indexed="8"/>
      </right>
      <top>
        <color indexed="8"/>
      </top>
      <bottom>
        <color indexed="8"/>
      </bottom>
      <diagonal/>
    </border>
    <border>
      <left>
        <color indexed="8"/>
      </left>
      <right/>
      <top style="hair">
        <color indexed="12"/>
      </top>
      <bottom style="dotted">
        <color indexed="12"/>
      </bottom>
      <diagonal/>
    </border>
    <border>
      <left/>
      <right/>
      <top style="hair">
        <color indexed="12"/>
      </top>
      <bottom style="dotted">
        <color indexed="12"/>
      </bottom>
      <diagonal/>
    </border>
    <border>
      <left>
        <color indexed="8"/>
      </left>
      <right style="dotted">
        <color indexed="12"/>
      </right>
      <top>
        <color indexed="8"/>
      </top>
      <bottom>
        <color indexed="8"/>
      </bottom>
      <diagonal/>
    </border>
    <border>
      <left style="dotted">
        <color indexed="12"/>
      </left>
      <right style="dotted">
        <color indexed="12"/>
      </right>
      <top style="hair">
        <color indexed="12"/>
      </top>
      <bottom style="hair">
        <color indexed="12"/>
      </bottom>
      <diagonal/>
    </border>
    <border>
      <left/>
      <right/>
      <top style="dotted">
        <color indexed="12"/>
      </top>
      <bottom/>
      <diagonal/>
    </border>
    <border>
      <left>
        <color indexed="8"/>
      </left>
      <right/>
      <top style="hair">
        <color indexed="12"/>
      </top>
      <bottom/>
      <diagonal/>
    </border>
    <border>
      <left/>
      <right style="dotted">
        <color indexed="12"/>
      </right>
      <top/>
      <bottom/>
      <diagonal/>
    </border>
    <border>
      <left>
        <color indexed="8"/>
      </left>
      <right>
        <color indexed="8"/>
      </right>
      <top/>
      <bottom>
        <color indexed="8"/>
      </bottom>
      <diagonal/>
    </border>
    <border>
      <left>
        <color indexed="8"/>
      </left>
      <right/>
      <top/>
      <bottom>
        <color indexed="8"/>
      </bottom>
      <diagonal/>
    </border>
    <border>
      <left/>
      <right/>
      <top/>
      <bottom>
        <color indexed="8"/>
      </bottom>
      <diagonal/>
    </border>
    <border>
      <left>
        <color indexed="8"/>
      </left>
      <right/>
      <top>
        <color indexed="8"/>
      </top>
      <bottom>
        <color indexed="8"/>
      </bottom>
      <diagonal/>
    </border>
    <border>
      <left/>
      <right/>
      <top>
        <color indexed="8"/>
      </top>
      <bottom>
        <color indexed="8"/>
      </bottom>
      <diagonal/>
    </border>
    <border>
      <left>
        <color indexed="8"/>
      </left>
      <right/>
      <top>
        <color indexed="8"/>
      </top>
      <bottom/>
      <diagonal/>
    </border>
    <border>
      <left/>
      <right/>
      <top>
        <color indexed="8"/>
      </top>
      <bottom/>
      <diagonal/>
    </border>
    <border>
      <left>
        <color indexed="8"/>
      </left>
      <right>
        <color indexed="8"/>
      </right>
      <top/>
      <bottom style="thin">
        <color indexed="12"/>
      </bottom>
      <diagonal/>
    </border>
    <border>
      <left>
        <color indexed="8"/>
      </left>
      <right/>
      <top/>
      <bottom style="thin">
        <color indexed="12"/>
      </bottom>
      <diagonal/>
    </border>
    <border>
      <left/>
      <right/>
      <top/>
      <bottom style="thin">
        <color indexed="12"/>
      </bottom>
      <diagonal/>
    </border>
    <border>
      <left/>
      <right/>
      <top style="hair">
        <color indexed="12"/>
      </top>
      <bottom style="thin">
        <color indexed="12"/>
      </bottom>
      <diagonal/>
    </border>
    <border>
      <left>
        <color indexed="8"/>
      </left>
      <right>
        <color indexed="8"/>
      </right>
      <top style="thin">
        <color indexed="12"/>
      </top>
      <bottom/>
      <diagonal/>
    </border>
    <border>
      <left>
        <color indexed="8"/>
      </left>
      <right/>
      <top style="thin">
        <color indexed="12"/>
      </top>
      <bottom/>
      <diagonal/>
    </border>
    <border>
      <left/>
      <right/>
      <top style="thin">
        <color indexed="12"/>
      </top>
      <bottom/>
      <diagonal/>
    </border>
    <border>
      <left>
        <color indexed="8"/>
      </left>
      <right>
        <color indexed="8"/>
      </right>
      <top>
        <color indexed="8"/>
      </top>
      <bottom style="thin">
        <color indexed="19"/>
      </bottom>
      <diagonal/>
    </border>
    <border>
      <left>
        <color indexed="8"/>
      </left>
      <right/>
      <top/>
      <bottom style="thin">
        <color indexed="19"/>
      </bottom>
      <diagonal/>
    </border>
    <border>
      <left/>
      <right/>
      <top/>
      <bottom style="thin">
        <color indexed="19"/>
      </bottom>
      <diagonal/>
    </border>
    <border>
      <left>
        <color indexed="8"/>
      </left>
      <right>
        <color indexed="8"/>
      </right>
      <top style="thin">
        <color indexed="19"/>
      </top>
      <bottom>
        <color indexed="8"/>
      </bottom>
      <diagonal/>
    </border>
    <border>
      <left>
        <color indexed="8"/>
      </left>
      <right/>
      <top style="thin">
        <color indexed="19"/>
      </top>
      <bottom>
        <color indexed="8"/>
      </bottom>
      <diagonal/>
    </border>
    <border>
      <left/>
      <right/>
      <top style="thin">
        <color indexed="19"/>
      </top>
      <bottom>
        <color indexed="8"/>
      </bottom>
      <diagonal/>
    </border>
    <border>
      <left/>
      <right/>
      <top style="hair">
        <color indexed="12"/>
      </top>
      <bottom style="thin">
        <color indexed="19"/>
      </bottom>
      <diagonal/>
    </border>
    <border>
      <left>
        <color indexed="8"/>
      </left>
      <right/>
      <top style="thin">
        <color indexed="19"/>
      </top>
      <bottom/>
      <diagonal/>
    </border>
    <border>
      <left/>
      <right/>
      <top style="thin">
        <color indexed="19"/>
      </top>
      <bottom/>
      <diagonal/>
    </border>
  </borders>
  <cellStyleXfs count="1">
    <xf numFmtId="0" fontId="0" applyNumberFormat="0" applyFont="1" applyFill="0" applyBorder="0" applyAlignment="1" applyProtection="0">
      <alignment vertical="top" wrapText="1"/>
    </xf>
  </cellStyleXfs>
  <cellXfs count="17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4" applyNumberFormat="0" applyFont="1" applyFill="0" applyBorder="0" applyAlignment="1" applyProtection="0">
      <alignment horizontal="left" vertical="center"/>
    </xf>
    <xf numFmtId="0" fontId="5" borderId="1" applyNumberFormat="0" applyFont="1" applyFill="0" applyBorder="1" applyAlignment="1" applyProtection="0">
      <alignment vertical="top"/>
    </xf>
    <xf numFmtId="0" fontId="6" borderId="1" applyNumberFormat="0" applyFont="1" applyFill="0" applyBorder="1" applyAlignment="1" applyProtection="0">
      <alignment vertical="top"/>
    </xf>
    <xf numFmtId="0" fontId="5" borderId="2" applyNumberFormat="0" applyFont="1" applyFill="0" applyBorder="1" applyAlignment="1" applyProtection="0">
      <alignment vertical="top"/>
    </xf>
    <xf numFmtId="0" fontId="5" borderId="3" applyNumberFormat="0" applyFont="1" applyFill="0" applyBorder="1" applyAlignment="1" applyProtection="0">
      <alignment vertical="top"/>
    </xf>
    <xf numFmtId="0" fontId="5" borderId="4" applyNumberFormat="0" applyFont="1" applyFill="0" applyBorder="1" applyAlignment="1" applyProtection="0">
      <alignment vertical="top"/>
    </xf>
    <xf numFmtId="0" fontId="5" borderId="5" applyNumberFormat="0" applyFont="1" applyFill="0" applyBorder="1" applyAlignment="1" applyProtection="0">
      <alignment vertical="top"/>
    </xf>
    <xf numFmtId="49" fontId="6" borderId="6" applyNumberFormat="1" applyFont="1" applyFill="0" applyBorder="1" applyAlignment="1" applyProtection="0">
      <alignment vertical="top"/>
    </xf>
    <xf numFmtId="49" fontId="5" fillId="4" borderId="7" applyNumberFormat="1" applyFont="1" applyFill="1" applyBorder="1" applyAlignment="1" applyProtection="0">
      <alignment vertical="top"/>
    </xf>
    <xf numFmtId="0" fontId="5" borderId="8" applyNumberFormat="0" applyFont="1" applyFill="0" applyBorder="1" applyAlignment="1" applyProtection="0">
      <alignment vertical="top"/>
    </xf>
    <xf numFmtId="49" fontId="7" borderId="9" applyNumberFormat="1" applyFont="1" applyFill="0" applyBorder="1" applyAlignment="1" applyProtection="0">
      <alignment vertical="top"/>
    </xf>
    <xf numFmtId="59" fontId="7" fillId="5" borderId="10" applyNumberFormat="1" applyFont="1" applyFill="1" applyBorder="1" applyAlignment="1" applyProtection="0">
      <alignment horizontal="right" vertical="top" wrapText="1"/>
    </xf>
    <xf numFmtId="0" fontId="7" borderId="11" applyNumberFormat="0" applyFont="1" applyFill="0" applyBorder="1" applyAlignment="1" applyProtection="0">
      <alignment vertical="top" wrapText="1"/>
    </xf>
    <xf numFmtId="0" fontId="7" borderId="3" applyNumberFormat="0" applyFont="1" applyFill="0" applyBorder="1" applyAlignment="1" applyProtection="0">
      <alignment vertical="top" wrapText="1"/>
    </xf>
    <xf numFmtId="0" fontId="7" borderId="4" applyNumberFormat="0" applyFont="1" applyFill="0" applyBorder="1" applyAlignment="1" applyProtection="0">
      <alignment vertical="top" wrapText="1"/>
    </xf>
    <xf numFmtId="60" fontId="5" fillId="5" borderId="12" applyNumberFormat="1" applyFont="1" applyFill="1" applyBorder="1" applyAlignment="1" applyProtection="0">
      <alignment horizontal="left" vertical="top"/>
    </xf>
    <xf numFmtId="61" fontId="7" fillId="5" borderId="10" applyNumberFormat="1" applyFont="1" applyFill="1" applyBorder="1" applyAlignment="1" applyProtection="0">
      <alignment horizontal="right" vertical="top" wrapText="1"/>
    </xf>
    <xf numFmtId="0" fontId="5" borderId="11" applyNumberFormat="0" applyFont="1" applyFill="0" applyBorder="1" applyAlignment="1" applyProtection="0">
      <alignment vertical="top"/>
    </xf>
    <xf numFmtId="0" fontId="6" borderId="5" applyNumberFormat="0" applyFont="1" applyFill="0" applyBorder="1" applyAlignment="1" applyProtection="0">
      <alignment vertical="top"/>
    </xf>
    <xf numFmtId="0" fontId="5" borderId="13" applyNumberFormat="0" applyFont="1" applyFill="0" applyBorder="1" applyAlignment="1" applyProtection="0">
      <alignment vertical="top"/>
    </xf>
    <xf numFmtId="0" fontId="5" borderId="14" applyNumberFormat="0" applyFont="1" applyFill="0" applyBorder="1" applyAlignment="1" applyProtection="0">
      <alignment vertical="top"/>
    </xf>
    <xf numFmtId="0" fontId="5" borderId="15" applyNumberFormat="0" applyFont="1" applyFill="0" applyBorder="1" applyAlignment="1" applyProtection="0">
      <alignment vertical="top"/>
    </xf>
    <xf numFmtId="49" fontId="5" borderId="5" applyNumberFormat="1" applyFont="1" applyFill="0" applyBorder="1" applyAlignment="1" applyProtection="0">
      <alignment vertical="top"/>
    </xf>
    <xf numFmtId="49" fontId="8" fillId="6" borderId="5" applyNumberFormat="1" applyFont="1" applyFill="1" applyBorder="1" applyAlignment="1" applyProtection="0">
      <alignment vertical="top"/>
    </xf>
    <xf numFmtId="0" fontId="8" fillId="6" borderId="5" applyNumberFormat="0" applyFont="1" applyFill="1" applyBorder="1" applyAlignment="1" applyProtection="0">
      <alignment vertical="top"/>
    </xf>
    <xf numFmtId="0" fontId="8" fillId="6" borderId="15" applyNumberFormat="0" applyFont="1" applyFill="1" applyBorder="1" applyAlignment="1" applyProtection="0">
      <alignment vertical="top"/>
    </xf>
    <xf numFmtId="0" fontId="8" fillId="6" borderId="3" applyNumberFormat="0" applyFont="1" applyFill="1" applyBorder="1" applyAlignment="1" applyProtection="0">
      <alignment vertical="top"/>
    </xf>
    <xf numFmtId="49" fontId="6" borderId="5" applyNumberFormat="1" applyFont="1" applyFill="0" applyBorder="1" applyAlignment="1" applyProtection="0">
      <alignment vertical="top"/>
    </xf>
    <xf numFmtId="49" fontId="6" borderId="16" applyNumberFormat="1" applyFont="1" applyFill="0" applyBorder="1" applyAlignment="1" applyProtection="0">
      <alignment vertical="top"/>
    </xf>
    <xf numFmtId="0" fontId="0" borderId="3" applyNumberFormat="0" applyFont="1" applyFill="0" applyBorder="1" applyAlignment="1" applyProtection="0">
      <alignment vertical="top" wrapText="1"/>
    </xf>
    <xf numFmtId="0" fontId="5" fillId="4" borderId="17" applyNumberFormat="1" applyFont="1" applyFill="1" applyBorder="1" applyAlignment="1" applyProtection="0">
      <alignment vertical="top"/>
    </xf>
    <xf numFmtId="0" fontId="5" borderId="18" applyNumberFormat="0" applyFont="1" applyFill="0" applyBorder="1" applyAlignment="1" applyProtection="0">
      <alignment vertical="top"/>
    </xf>
    <xf numFmtId="62" fontId="5" fillId="4" borderId="17" applyNumberFormat="1" applyFont="1" applyFill="1" applyBorder="1" applyAlignment="1" applyProtection="0">
      <alignment vertical="top"/>
    </xf>
    <xf numFmtId="61" fontId="5" borderId="18" applyNumberFormat="1" applyFont="1" applyFill="0" applyBorder="1" applyAlignment="1" applyProtection="0">
      <alignment vertical="top"/>
    </xf>
    <xf numFmtId="61" fontId="5" fillId="4" borderId="17" applyNumberFormat="1" applyFont="1" applyFill="1" applyBorder="1" applyAlignment="1" applyProtection="0">
      <alignment vertical="top"/>
    </xf>
    <xf numFmtId="63" fontId="5" fillId="4" borderId="17" applyNumberFormat="1" applyFont="1" applyFill="1" applyBorder="1" applyAlignment="1" applyProtection="0">
      <alignment vertical="top"/>
    </xf>
    <xf numFmtId="9" fontId="5" fillId="4" borderId="17" applyNumberFormat="1" applyFont="1" applyFill="1" applyBorder="1" applyAlignment="1" applyProtection="0">
      <alignment vertical="top"/>
    </xf>
    <xf numFmtId="49" fontId="6" borderId="19" applyNumberFormat="1" applyFont="1" applyFill="0" applyBorder="1" applyAlignment="1" applyProtection="0">
      <alignment vertical="top"/>
    </xf>
    <xf numFmtId="0" fontId="5" fillId="4" borderId="7" applyNumberFormat="1" applyFont="1" applyFill="1" applyBorder="1" applyAlignment="1" applyProtection="0">
      <alignment vertical="top"/>
    </xf>
    <xf numFmtId="63" fontId="5" fillId="4" borderId="7" applyNumberFormat="1" applyFont="1" applyFill="1" applyBorder="1" applyAlignment="1" applyProtection="0">
      <alignment vertical="top"/>
    </xf>
    <xf numFmtId="64" fontId="5" fillId="4" borderId="7" applyNumberFormat="1" applyFont="1" applyFill="1" applyBorder="1" applyAlignment="1" applyProtection="0">
      <alignment vertical="top"/>
    </xf>
    <xf numFmtId="0" fontId="6" borderId="20" applyNumberFormat="0" applyFont="1" applyFill="0" applyBorder="1" applyAlignment="1" applyProtection="0">
      <alignment vertical="top"/>
    </xf>
    <xf numFmtId="0" fontId="5" borderId="21" applyNumberFormat="0" applyFont="1" applyFill="0" applyBorder="1" applyAlignment="1" applyProtection="0">
      <alignment vertical="top"/>
    </xf>
    <xf numFmtId="9" fontId="5" borderId="22" applyNumberFormat="1" applyFont="1" applyFill="0" applyBorder="1" applyAlignment="1" applyProtection="0">
      <alignment vertical="top"/>
    </xf>
    <xf numFmtId="49" fontId="6" borderId="23" applyNumberFormat="1" applyFont="1" applyFill="0" applyBorder="1" applyAlignment="1" applyProtection="0">
      <alignment vertical="top"/>
    </xf>
    <xf numFmtId="49" fontId="7" borderId="16" applyNumberFormat="1" applyFont="1" applyFill="0" applyBorder="1" applyAlignment="1" applyProtection="0">
      <alignment vertical="top" wrapText="1"/>
    </xf>
    <xf numFmtId="10" fontId="5" fillId="4" borderId="7" applyNumberFormat="1" applyFont="1" applyFill="1" applyBorder="1" applyAlignment="1" applyProtection="0">
      <alignment vertical="top"/>
    </xf>
    <xf numFmtId="10" fontId="5" fillId="4" borderId="17" applyNumberFormat="1" applyFont="1" applyFill="1" applyBorder="1" applyAlignment="1" applyProtection="0">
      <alignment vertical="top"/>
    </xf>
    <xf numFmtId="10" fontId="9" fillId="5" borderId="17" applyNumberFormat="1" applyFont="1" applyFill="1" applyBorder="1" applyAlignment="1" applyProtection="0">
      <alignment horizontal="center" vertical="top" wrapText="1"/>
    </xf>
    <xf numFmtId="63" fontId="5" fillId="4" borderId="24" applyNumberFormat="1" applyFont="1" applyFill="1" applyBorder="1" applyAlignment="1" applyProtection="0">
      <alignment vertical="top"/>
    </xf>
    <xf numFmtId="9" fontId="5" fillId="4" borderId="7" applyNumberFormat="1" applyFont="1" applyFill="1" applyBorder="1" applyAlignment="1" applyProtection="0">
      <alignment vertical="top"/>
    </xf>
    <xf numFmtId="0" fontId="5" borderId="25" applyNumberFormat="0" applyFont="1" applyFill="0" applyBorder="1" applyAlignment="1" applyProtection="0">
      <alignment vertical="top"/>
    </xf>
    <xf numFmtId="0" fontId="5" borderId="26" applyNumberFormat="0" applyFont="1" applyFill="0" applyBorder="1" applyAlignment="1" applyProtection="0">
      <alignment vertical="top"/>
    </xf>
    <xf numFmtId="49" fontId="5" borderId="3" applyNumberFormat="1" applyFont="1" applyFill="0" applyBorder="1" applyAlignment="1" applyProtection="0">
      <alignment horizontal="center" vertical="top"/>
    </xf>
    <xf numFmtId="0" fontId="8" fillId="6" borderId="15" applyNumberFormat="1" applyFont="1" applyFill="1" applyBorder="1" applyAlignment="1" applyProtection="0">
      <alignment vertical="top"/>
    </xf>
    <xf numFmtId="0" fontId="8" fillId="6" borderId="3" applyNumberFormat="1" applyFont="1" applyFill="1" applyBorder="1" applyAlignment="1" applyProtection="0">
      <alignment vertical="top"/>
    </xf>
    <xf numFmtId="37" fontId="5" borderId="3" applyNumberFormat="1" applyFont="1" applyFill="0" applyBorder="1" applyAlignment="1" applyProtection="0">
      <alignment vertical="top"/>
    </xf>
    <xf numFmtId="0" fontId="5" borderId="3" applyNumberFormat="0" applyFont="1" applyFill="0" applyBorder="1" applyAlignment="1" applyProtection="0">
      <alignment vertical="top" wrapText="1"/>
    </xf>
    <xf numFmtId="49" fontId="10" borderId="5" applyNumberFormat="1" applyFont="1" applyFill="0" applyBorder="1" applyAlignment="1" applyProtection="0">
      <alignment vertical="top"/>
    </xf>
    <xf numFmtId="37" fontId="11" borderId="3" applyNumberFormat="1" applyFont="1" applyFill="0" applyBorder="1" applyAlignment="1" applyProtection="0">
      <alignment vertical="top"/>
    </xf>
    <xf numFmtId="0" fontId="12" borderId="5" applyNumberFormat="0" applyFont="1" applyFill="0" applyBorder="1" applyAlignment="1" applyProtection="0">
      <alignment vertical="top"/>
    </xf>
    <xf numFmtId="49" fontId="13" borderId="5" applyNumberFormat="1" applyFont="1" applyFill="0" applyBorder="1" applyAlignment="1" applyProtection="0">
      <alignment vertical="top"/>
    </xf>
    <xf numFmtId="0" fontId="12" borderId="15" applyNumberFormat="0" applyFont="1" applyFill="0" applyBorder="1" applyAlignment="1" applyProtection="0">
      <alignment vertical="top"/>
    </xf>
    <xf numFmtId="0" fontId="12" borderId="3" applyNumberFormat="0" applyFont="1" applyFill="0" applyBorder="1" applyAlignment="1" applyProtection="0">
      <alignment vertical="top"/>
    </xf>
    <xf numFmtId="64" fontId="12" borderId="3" applyNumberFormat="1" applyFont="1" applyFill="0" applyBorder="1" applyAlignment="1" applyProtection="0">
      <alignment vertical="top"/>
    </xf>
    <xf numFmtId="64" fontId="12" borderId="16" applyNumberFormat="1" applyFont="1" applyFill="0" applyBorder="1" applyAlignment="1" applyProtection="0">
      <alignment vertical="top"/>
    </xf>
    <xf numFmtId="37" fontId="5" borderId="27" applyNumberFormat="1" applyFont="1" applyFill="0" applyBorder="1" applyAlignment="1" applyProtection="0">
      <alignment vertical="top"/>
    </xf>
    <xf numFmtId="61" fontId="12" fillId="4" borderId="17" applyNumberFormat="1" applyFont="1" applyFill="1" applyBorder="1" applyAlignment="1" applyProtection="0">
      <alignment vertical="top"/>
    </xf>
    <xf numFmtId="0" fontId="12" borderId="28" applyNumberFormat="0" applyFont="1" applyFill="0" applyBorder="1" applyAlignment="1" applyProtection="0">
      <alignment vertical="top"/>
    </xf>
    <xf numFmtId="0" fontId="13" borderId="5" applyNumberFormat="0" applyFont="1" applyFill="0" applyBorder="1" applyAlignment="1" applyProtection="0">
      <alignment vertical="top"/>
    </xf>
    <xf numFmtId="0" fontId="12" borderId="29" applyNumberFormat="0" applyFont="1" applyFill="0" applyBorder="1" applyAlignment="1" applyProtection="0">
      <alignment vertical="top"/>
    </xf>
    <xf numFmtId="37" fontId="12" borderId="30" applyNumberFormat="1" applyFont="1" applyFill="0" applyBorder="1" applyAlignment="1" applyProtection="0">
      <alignment vertical="top"/>
    </xf>
    <xf numFmtId="64" fontId="12" borderId="30" applyNumberFormat="1" applyFont="1" applyFill="0" applyBorder="1" applyAlignment="1" applyProtection="0">
      <alignment vertical="top"/>
    </xf>
    <xf numFmtId="64" fontId="12" borderId="25" applyNumberFormat="1" applyFont="1" applyFill="0" applyBorder="1" applyAlignment="1" applyProtection="0">
      <alignment vertical="top"/>
    </xf>
    <xf numFmtId="0" fontId="5" borderId="20" applyNumberFormat="0" applyFont="1" applyFill="0" applyBorder="1" applyAlignment="1" applyProtection="0">
      <alignment vertical="top"/>
    </xf>
    <xf numFmtId="0" fontId="5" borderId="31" applyNumberFormat="0" applyFont="1" applyFill="0" applyBorder="1" applyAlignment="1" applyProtection="0">
      <alignment vertical="top"/>
    </xf>
    <xf numFmtId="37" fontId="11" borderId="32" applyNumberFormat="1" applyFont="1" applyFill="0" applyBorder="1" applyAlignment="1" applyProtection="0">
      <alignment vertical="top"/>
    </xf>
    <xf numFmtId="0" fontId="12" borderId="1" applyNumberFormat="0" applyFont="1" applyFill="0" applyBorder="1" applyAlignment="1" applyProtection="0">
      <alignment vertical="top"/>
    </xf>
    <xf numFmtId="0" fontId="12" borderId="33" applyNumberFormat="0" applyFont="1" applyFill="0" applyBorder="1" applyAlignment="1" applyProtection="0">
      <alignment vertical="top"/>
    </xf>
    <xf numFmtId="64" fontId="12" borderId="34" applyNumberFormat="1" applyFont="1" applyFill="0" applyBorder="1" applyAlignment="1" applyProtection="0">
      <alignment vertical="top"/>
    </xf>
    <xf numFmtId="61" fontId="12" fillId="4" borderId="7" applyNumberFormat="1" applyFont="1" applyFill="1" applyBorder="1" applyAlignment="1" applyProtection="0">
      <alignment vertical="top"/>
    </xf>
    <xf numFmtId="61" fontId="12" fillId="4" borderId="24" applyNumberFormat="1" applyFont="1" applyFill="1" applyBorder="1" applyAlignment="1" applyProtection="0">
      <alignment vertical="top"/>
    </xf>
    <xf numFmtId="64" fontId="12" borderId="14" applyNumberFormat="1" applyFont="1" applyFill="0" applyBorder="1" applyAlignment="1" applyProtection="0">
      <alignment vertical="top"/>
    </xf>
    <xf numFmtId="64" fontId="12" borderId="27" applyNumberFormat="1" applyFont="1" applyFill="0" applyBorder="1" applyAlignment="1" applyProtection="0">
      <alignment vertical="top"/>
    </xf>
    <xf numFmtId="0" fontId="10" borderId="5" applyNumberFormat="0" applyFont="1" applyFill="0" applyBorder="1" applyAlignment="1" applyProtection="0">
      <alignment vertical="top"/>
    </xf>
    <xf numFmtId="37" fontId="11" borderId="31" applyNumberFormat="1" applyFont="1" applyFill="0" applyBorder="1" applyAlignment="1" applyProtection="0">
      <alignment vertical="top"/>
    </xf>
    <xf numFmtId="0" fontId="12" borderId="35" applyNumberFormat="0" applyFont="1" applyFill="0" applyBorder="1" applyAlignment="1" applyProtection="0">
      <alignment vertical="top"/>
    </xf>
    <xf numFmtId="0" fontId="6" borderId="35" applyNumberFormat="0" applyFont="1" applyFill="0" applyBorder="1" applyAlignment="1" applyProtection="0">
      <alignment vertical="top"/>
    </xf>
    <xf numFmtId="0" fontId="12" borderId="36" applyNumberFormat="0" applyFont="1" applyFill="0" applyBorder="1" applyAlignment="1" applyProtection="0">
      <alignment vertical="top"/>
    </xf>
    <xf numFmtId="0" fontId="12" borderId="37" applyNumberFormat="0" applyFont="1" applyFill="0" applyBorder="1" applyAlignment="1" applyProtection="0">
      <alignment vertical="top"/>
    </xf>
    <xf numFmtId="37" fontId="14" borderId="37" applyNumberFormat="1" applyFont="1" applyFill="0" applyBorder="1" applyAlignment="1" applyProtection="0">
      <alignment vertical="top"/>
    </xf>
    <xf numFmtId="64" fontId="12" borderId="37" applyNumberFormat="1" applyFont="1" applyFill="0" applyBorder="1" applyAlignment="1" applyProtection="0">
      <alignment vertical="top"/>
    </xf>
    <xf numFmtId="64" fontId="12" borderId="38" applyNumberFormat="1" applyFont="1" applyFill="0" applyBorder="1" applyAlignment="1" applyProtection="0">
      <alignment vertical="top"/>
    </xf>
    <xf numFmtId="0" fontId="6" borderId="39" applyNumberFormat="0" applyFont="1" applyFill="0" applyBorder="1" applyAlignment="1" applyProtection="0">
      <alignment vertical="top"/>
    </xf>
    <xf numFmtId="49" fontId="6" borderId="39" applyNumberFormat="1" applyFont="1" applyFill="0" applyBorder="1" applyAlignment="1" applyProtection="0">
      <alignment vertical="top"/>
    </xf>
    <xf numFmtId="37" fontId="6" borderId="40" applyNumberFormat="1" applyFont="1" applyFill="0" applyBorder="1" applyAlignment="1" applyProtection="0">
      <alignment vertical="top"/>
    </xf>
    <xf numFmtId="37" fontId="6" borderId="41" applyNumberFormat="1" applyFont="1" applyFill="0" applyBorder="1" applyAlignment="1" applyProtection="0">
      <alignment vertical="top"/>
    </xf>
    <xf numFmtId="64" fontId="13" borderId="3" applyNumberFormat="1" applyFont="1" applyFill="0" applyBorder="1" applyAlignment="1" applyProtection="0">
      <alignment vertical="top"/>
    </xf>
    <xf numFmtId="37" fontId="15" borderId="3" applyNumberFormat="1" applyFont="1" applyFill="0" applyBorder="1" applyAlignment="1" applyProtection="0">
      <alignment vertical="top"/>
    </xf>
    <xf numFmtId="3" fontId="5" borderId="3" applyNumberFormat="1" applyFont="1" applyFill="0" applyBorder="1" applyAlignment="1" applyProtection="0">
      <alignment vertical="top"/>
    </xf>
    <xf numFmtId="0" fontId="5" borderId="28" applyNumberFormat="0" applyFont="1" applyFill="0" applyBorder="1" applyAlignment="1" applyProtection="0">
      <alignment vertical="top"/>
    </xf>
    <xf numFmtId="0" fontId="6" borderId="28" applyNumberFormat="0" applyFont="1" applyFill="0" applyBorder="1" applyAlignment="1" applyProtection="0">
      <alignment vertical="top"/>
    </xf>
    <xf numFmtId="9" fontId="5" borderId="3" applyNumberFormat="1" applyFont="1" applyFill="0" applyBorder="1" applyAlignment="1" applyProtection="0">
      <alignment vertical="top"/>
    </xf>
    <xf numFmtId="49" fontId="6" borderId="1" applyNumberFormat="1" applyFont="1" applyFill="0" applyBorder="1" applyAlignment="1" applyProtection="0">
      <alignment vertical="top"/>
    </xf>
    <xf numFmtId="3" fontId="11" borderId="3" applyNumberFormat="1" applyFont="1" applyFill="0" applyBorder="1" applyAlignment="1" applyProtection="0">
      <alignment vertical="top"/>
    </xf>
    <xf numFmtId="49" fontId="13" borderId="28" applyNumberFormat="1" applyFont="1" applyFill="0" applyBorder="1" applyAlignment="1" applyProtection="0">
      <alignment vertical="top"/>
    </xf>
    <xf numFmtId="64" fontId="5" borderId="3" applyNumberFormat="1" applyFont="1" applyFill="0" applyBorder="1" applyAlignment="1" applyProtection="0">
      <alignment vertical="top"/>
    </xf>
    <xf numFmtId="49" fontId="5" borderId="1" applyNumberFormat="1" applyFont="1" applyFill="0" applyBorder="1" applyAlignment="1" applyProtection="0">
      <alignment vertical="top"/>
    </xf>
    <xf numFmtId="49" fontId="8" fillId="6" borderId="1" applyNumberFormat="1" applyFont="1" applyFill="1" applyBorder="1" applyAlignment="1" applyProtection="0">
      <alignment vertical="top"/>
    </xf>
    <xf numFmtId="49" fontId="6" borderId="20" applyNumberFormat="1" applyFont="1" applyFill="0" applyBorder="1" applyAlignment="1" applyProtection="0">
      <alignment vertical="top"/>
    </xf>
    <xf numFmtId="0" fontId="12" borderId="20" applyNumberFormat="0" applyFont="1" applyFill="0" applyBorder="1" applyAlignment="1" applyProtection="0">
      <alignment vertical="top"/>
    </xf>
    <xf numFmtId="49" fontId="13" borderId="20" applyNumberFormat="1" applyFont="1" applyFill="0" applyBorder="1" applyAlignment="1" applyProtection="0">
      <alignment vertical="top"/>
    </xf>
    <xf numFmtId="64" fontId="5" borderId="27" applyNumberFormat="1" applyFont="1" applyFill="0" applyBorder="1" applyAlignment="1" applyProtection="0">
      <alignment vertical="top"/>
    </xf>
    <xf numFmtId="64" fontId="5" borderId="14" applyNumberFormat="1" applyFont="1" applyFill="0" applyBorder="1" applyAlignment="1" applyProtection="0">
      <alignment vertical="top"/>
    </xf>
    <xf numFmtId="0" fontId="15" borderId="3" applyNumberFormat="1" applyFont="1" applyFill="0" applyBorder="1" applyAlignment="1" applyProtection="0">
      <alignment vertical="top"/>
    </xf>
    <xf numFmtId="0" fontId="5" borderId="42" applyNumberFormat="0" applyFont="1" applyFill="0" applyBorder="1" applyAlignment="1" applyProtection="0">
      <alignment vertical="top"/>
    </xf>
    <xf numFmtId="0" fontId="6" borderId="42" applyNumberFormat="0" applyFont="1" applyFill="0" applyBorder="1" applyAlignment="1" applyProtection="0">
      <alignment vertical="top"/>
    </xf>
    <xf numFmtId="0" fontId="5" borderId="43" applyNumberFormat="0" applyFont="1" applyFill="0" applyBorder="1" applyAlignment="1" applyProtection="0">
      <alignment vertical="top"/>
    </xf>
    <xf numFmtId="0" fontId="5" borderId="44" applyNumberFormat="0" applyFont="1" applyFill="0" applyBorder="1" applyAlignment="1" applyProtection="0">
      <alignment vertical="top"/>
    </xf>
    <xf numFmtId="64" fontId="5" borderId="44" applyNumberFormat="1" applyFont="1" applyFill="0" applyBorder="1" applyAlignment="1" applyProtection="0">
      <alignment vertical="top"/>
    </xf>
    <xf numFmtId="0" fontId="5" borderId="45" applyNumberFormat="0" applyFont="1" applyFill="0" applyBorder="1" applyAlignment="1" applyProtection="0">
      <alignment vertical="top"/>
    </xf>
    <xf numFmtId="49" fontId="6" borderId="45" applyNumberFormat="1" applyFont="1" applyFill="0" applyBorder="1" applyAlignment="1" applyProtection="0">
      <alignment vertical="top"/>
    </xf>
    <xf numFmtId="0" fontId="5" borderId="46" applyNumberFormat="0" applyFont="1" applyFill="0" applyBorder="1" applyAlignment="1" applyProtection="0">
      <alignment vertical="top"/>
    </xf>
    <xf numFmtId="0" fontId="5" borderId="47" applyNumberFormat="0" applyFont="1" applyFill="0" applyBorder="1" applyAlignment="1" applyProtection="0">
      <alignment vertical="top"/>
    </xf>
    <xf numFmtId="37" fontId="6" borderId="47" applyNumberFormat="1" applyFont="1" applyFill="0" applyBorder="1" applyAlignment="1" applyProtection="0">
      <alignment vertical="top"/>
    </xf>
    <xf numFmtId="0" fontId="5" borderId="33" applyNumberFormat="0" applyFont="1" applyFill="0" applyBorder="1" applyAlignment="1" applyProtection="0">
      <alignment vertical="top"/>
    </xf>
    <xf numFmtId="0" fontId="5" borderId="34" applyNumberFormat="0" applyFont="1" applyFill="0" applyBorder="1" applyAlignment="1" applyProtection="0">
      <alignment vertical="top"/>
    </xf>
    <xf numFmtId="64" fontId="5" borderId="34" applyNumberFormat="1" applyFont="1" applyFill="0" applyBorder="1" applyAlignment="1" applyProtection="0">
      <alignment vertical="top"/>
    </xf>
    <xf numFmtId="37" fontId="5" borderId="16" applyNumberFormat="1" applyFont="1" applyFill="0" applyBorder="1" applyAlignment="1" applyProtection="0">
      <alignment vertical="top"/>
    </xf>
    <xf numFmtId="49" fontId="13" borderId="1" applyNumberFormat="1" applyFont="1" applyFill="0" applyBorder="1" applyAlignment="1" applyProtection="0">
      <alignment vertical="top"/>
    </xf>
    <xf numFmtId="3" fontId="5" borderId="16" applyNumberFormat="1" applyFont="1" applyFill="0" applyBorder="1" applyAlignment="1" applyProtection="0">
      <alignment vertical="top"/>
    </xf>
    <xf numFmtId="64" fontId="5" borderId="48" applyNumberFormat="1" applyFont="1" applyFill="0" applyBorder="1" applyAlignment="1" applyProtection="0">
      <alignment vertical="top"/>
    </xf>
    <xf numFmtId="0" fontId="6" borderId="45" applyNumberFormat="0" applyFont="1" applyFill="0" applyBorder="1" applyAlignment="1" applyProtection="0">
      <alignment vertical="top"/>
    </xf>
    <xf numFmtId="0" fontId="6" borderId="49" applyNumberFormat="0" applyFont="1" applyFill="0" applyBorder="1" applyAlignment="1" applyProtection="0">
      <alignment vertical="top"/>
    </xf>
    <xf numFmtId="0" fontId="6" borderId="50" applyNumberFormat="0" applyFont="1" applyFill="0" applyBorder="1" applyAlignment="1" applyProtection="0">
      <alignment vertical="top"/>
    </xf>
    <xf numFmtId="64" fontId="6" borderId="50" applyNumberFormat="1" applyFont="1" applyFill="0" applyBorder="1" applyAlignment="1" applyProtection="0">
      <alignment vertical="top"/>
    </xf>
    <xf numFmtId="37" fontId="6" borderId="50" applyNumberFormat="1" applyFont="1" applyFill="0" applyBorder="1" applyAlignment="1" applyProtection="0">
      <alignment vertical="top"/>
    </xf>
    <xf numFmtId="49" fontId="6" borderId="42" applyNumberFormat="1" applyFont="1" applyFill="0" applyBorder="1" applyAlignment="1" applyProtection="0">
      <alignment vertical="top"/>
    </xf>
    <xf numFmtId="37" fontId="5" borderId="44" applyNumberFormat="1" applyFont="1" applyFill="0" applyBorder="1" applyAlignment="1" applyProtection="0">
      <alignment vertical="top"/>
    </xf>
    <xf numFmtId="64" fontId="5" borderId="47" applyNumberFormat="1" applyFont="1" applyFill="0" applyBorder="1" applyAlignment="1" applyProtection="0">
      <alignment vertical="top"/>
    </xf>
    <xf numFmtId="0" fontId="5" borderId="32" applyNumberFormat="0" applyFont="1" applyFill="0" applyBorder="1" applyAlignment="1" applyProtection="0">
      <alignment vertical="top"/>
    </xf>
    <xf numFmtId="64" fontId="5" borderId="32" applyNumberFormat="1" applyFont="1" applyFill="0" applyBorder="1" applyAlignment="1" applyProtection="0">
      <alignment vertical="top"/>
    </xf>
    <xf numFmtId="37" fontId="5" borderId="32" applyNumberFormat="1" applyFont="1" applyFill="0" applyBorder="1" applyAlignment="1" applyProtection="0">
      <alignment vertical="top"/>
    </xf>
    <xf numFmtId="0" fontId="16" borderId="1" applyNumberFormat="0" applyFont="1" applyFill="0" applyBorder="1" applyAlignment="1" applyProtection="0">
      <alignment vertical="top"/>
    </xf>
    <xf numFmtId="49" fontId="16" borderId="1" applyNumberFormat="1" applyFont="1" applyFill="0" applyBorder="1" applyAlignment="1" applyProtection="0">
      <alignment vertical="top"/>
    </xf>
    <xf numFmtId="37" fontId="16" borderId="1" applyNumberFormat="1" applyFont="1" applyFill="0" applyBorder="1" applyAlignment="1" applyProtection="0">
      <alignment vertical="top"/>
    </xf>
    <xf numFmtId="0" fontId="16" borderId="5" applyNumberFormat="0" applyFont="1" applyFill="0" applyBorder="1" applyAlignment="1" applyProtection="0">
      <alignment vertical="top"/>
    </xf>
    <xf numFmtId="49" fontId="16" borderId="5" applyNumberFormat="1" applyFont="1" applyFill="0" applyBorder="1" applyAlignment="1" applyProtection="0">
      <alignment vertical="top"/>
    </xf>
    <xf numFmtId="0" fontId="0" borderId="5" applyNumberFormat="0" applyFont="1" applyFill="0" applyBorder="1" applyAlignment="1" applyProtection="0">
      <alignment vertical="top" wrapText="1"/>
    </xf>
    <xf numFmtId="3" fontId="16" borderId="5" applyNumberFormat="1" applyFont="1" applyFill="0" applyBorder="1" applyAlignment="1" applyProtection="0">
      <alignment vertical="top"/>
    </xf>
    <xf numFmtId="37" fontId="16" borderId="5" applyNumberFormat="1" applyFont="1" applyFill="0" applyBorder="1" applyAlignment="1" applyProtection="0">
      <alignment vertical="top"/>
    </xf>
    <xf numFmtId="0" fontId="16" borderId="5" applyNumberFormat="1" applyFont="1" applyFill="0" applyBorder="1" applyAlignment="1" applyProtection="0">
      <alignment vertical="top"/>
    </xf>
    <xf numFmtId="0" fontId="0" applyNumberFormat="1" applyFont="1" applyFill="0" applyBorder="0" applyAlignment="1" applyProtection="0">
      <alignment vertical="top" wrapText="1"/>
    </xf>
    <xf numFmtId="0" fontId="17" applyNumberFormat="0" applyFont="1" applyFill="0" applyBorder="0" applyAlignment="1" applyProtection="0">
      <alignment horizontal="left" vertical="center"/>
    </xf>
    <xf numFmtId="49" fontId="7" borderId="3" applyNumberFormat="1" applyFont="1" applyFill="0" applyBorder="1" applyAlignment="1" applyProtection="0">
      <alignment vertical="top"/>
    </xf>
    <xf numFmtId="49" fontId="18" fillId="6" borderId="3" applyNumberFormat="1" applyFont="1" applyFill="1" applyBorder="1" applyAlignment="1" applyProtection="0">
      <alignment vertical="top" wrapText="1"/>
    </xf>
    <xf numFmtId="49" fontId="19" borderId="3" applyNumberFormat="1" applyFont="1" applyFill="0" applyBorder="1" applyAlignment="1" applyProtection="0">
      <alignment vertical="top" wrapText="1"/>
    </xf>
    <xf numFmtId="37" fontId="0" borderId="3" applyNumberFormat="1" applyFont="1" applyFill="0" applyBorder="1" applyAlignment="1" applyProtection="0">
      <alignment vertical="top" wrapText="1"/>
    </xf>
    <xf numFmtId="64" fontId="0" borderId="3" applyNumberFormat="1" applyFont="1" applyFill="0" applyBorder="1" applyAlignment="1" applyProtection="0">
      <alignment vertical="top" wrapText="1"/>
    </xf>
    <xf numFmtId="10" fontId="0" borderId="3" applyNumberFormat="1" applyFont="1" applyFill="0" applyBorder="1" applyAlignment="1" applyProtection="0">
      <alignment vertical="top" wrapText="1"/>
    </xf>
    <xf numFmtId="0" fontId="0" borderId="3" applyNumberFormat="1" applyFont="1" applyFill="0" applyBorder="1" applyAlignment="1" applyProtection="0">
      <alignment vertical="top" wrapText="1"/>
    </xf>
    <xf numFmtId="49" fontId="19" borderId="3" applyNumberFormat="1" applyFont="1" applyFill="0" applyBorder="1" applyAlignment="1" applyProtection="0">
      <alignment vertical="top"/>
    </xf>
    <xf numFmtId="0" fontId="19" borderId="3" applyNumberFormat="0" applyFont="1" applyFill="0" applyBorder="1" applyAlignment="1" applyProtection="0">
      <alignment vertical="top" wrapText="1"/>
    </xf>
    <xf numFmtId="9" fontId="0" borderId="3"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515151"/>
      <rgbColor rgb="fffaf5d2"/>
      <rgbColor rgb="fffaf4cf"/>
      <rgbColor rgb="fffefefe"/>
      <rgbColor rgb="ff004c7f"/>
      <rgbColor rgb="ff017000"/>
      <rgbColor rgb="ff98185e"/>
      <rgbColor rgb="ffa5a5a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6</v>
      </c>
    </row>
    <row r="11">
      <c r="B11" t="s" s="3">
        <v>27</v>
      </c>
      <c r="C11" s="3"/>
      <c r="D11" s="3"/>
    </row>
    <row r="12">
      <c r="B12" s="4"/>
      <c r="C12" t="s" s="4">
        <v>8</v>
      </c>
      <c r="D12" t="s" s="5">
        <v>69</v>
      </c>
    </row>
  </sheetData>
  <mergeCells count="1">
    <mergeCell ref="B3:D3"/>
  </mergeCells>
  <hyperlinks>
    <hyperlink ref="D10" location="'Model - NKE DCF'!R2C1" tooltip="" display="Model - NKE DCF"/>
    <hyperlink ref="D12" location="'WACC - NKE'!R2C1" tooltip="" display="WACC - NKE"/>
  </hyperlinks>
</worksheet>
</file>

<file path=xl/worksheets/sheet2.xml><?xml version="1.0" encoding="utf-8"?>
<worksheet xmlns:r="http://schemas.openxmlformats.org/officeDocument/2006/relationships" xmlns="http://schemas.openxmlformats.org/spreadsheetml/2006/main">
  <sheetPr>
    <pageSetUpPr fitToPage="1"/>
  </sheetPr>
  <dimension ref="A2:P133"/>
  <sheetViews>
    <sheetView workbookViewId="0" showGridLines="0" defaultGridColor="1">
      <pane topLeftCell="C1" xSplit="2" ySplit="0" activePane="topRight" state="frozen"/>
    </sheetView>
  </sheetViews>
  <sheetFormatPr defaultColWidth="16.3333" defaultRowHeight="19.9" customHeight="1" outlineLevelRow="0" outlineLevelCol="0"/>
  <cols>
    <col min="1" max="1" width="2.5" style="6" customWidth="1"/>
    <col min="2" max="2" width="31.1016" style="6" customWidth="1"/>
    <col min="3" max="16" width="16.3516" style="6" customWidth="1"/>
    <col min="17" max="256" width="16.3516" style="6" customWidth="1"/>
  </cols>
  <sheetData>
    <row r="1" ht="31" customHeight="1">
      <c r="A1" t="s" s="7">
        <v>5</v>
      </c>
      <c r="B1" s="7"/>
      <c r="C1" s="7"/>
      <c r="D1" s="7"/>
      <c r="E1" s="7"/>
      <c r="F1" s="7"/>
      <c r="G1" s="7"/>
      <c r="H1" s="7"/>
      <c r="I1" s="7"/>
      <c r="J1" s="7"/>
      <c r="K1" s="7"/>
      <c r="L1" s="7"/>
      <c r="M1" s="7"/>
      <c r="N1" s="7"/>
      <c r="O1" s="7"/>
      <c r="P1" s="7"/>
    </row>
    <row r="2" ht="21.5" customHeight="1">
      <c r="A2" s="8"/>
      <c r="B2" s="9"/>
      <c r="C2" s="10"/>
      <c r="D2" s="11"/>
      <c r="E2" s="11"/>
      <c r="F2" s="12"/>
      <c r="G2" s="11"/>
      <c r="H2" s="11"/>
      <c r="I2" s="11"/>
      <c r="J2" s="11"/>
      <c r="K2" s="11"/>
      <c r="L2" s="11"/>
      <c r="M2" s="11"/>
      <c r="N2" s="11"/>
      <c r="O2" s="11"/>
      <c r="P2" s="11"/>
    </row>
    <row r="3" ht="23" customHeight="1">
      <c r="A3" s="13"/>
      <c r="B3" t="s" s="14">
        <v>7</v>
      </c>
      <c r="C3" t="s" s="15">
        <v>8</v>
      </c>
      <c r="D3" s="16"/>
      <c r="E3" t="s" s="17">
        <v>9</v>
      </c>
      <c r="F3" s="18">
        <f>P131</f>
        <v>113.889214449150</v>
      </c>
      <c r="G3" s="19"/>
      <c r="H3" s="20"/>
      <c r="I3" s="21"/>
      <c r="J3" s="11"/>
      <c r="K3" s="11"/>
      <c r="L3" s="11"/>
      <c r="M3" s="11"/>
      <c r="N3" s="11"/>
      <c r="O3" s="11"/>
      <c r="P3" s="11"/>
    </row>
    <row r="4" ht="23" customHeight="1">
      <c r="A4" s="13"/>
      <c r="B4" t="s" s="14">
        <v>10</v>
      </c>
      <c r="C4" s="22">
        <v>43362</v>
      </c>
      <c r="D4" s="16"/>
      <c r="E4" t="s" s="17">
        <v>11</v>
      </c>
      <c r="F4" s="18">
        <v>102.42</v>
      </c>
      <c r="G4" s="19"/>
      <c r="H4" t="s" s="17">
        <v>12</v>
      </c>
      <c r="I4" s="23">
        <f>F3/F4-1</f>
        <v>0.111982175836262</v>
      </c>
      <c r="J4" s="24"/>
      <c r="K4" s="11"/>
      <c r="L4" s="11"/>
      <c r="M4" s="11"/>
      <c r="N4" s="11"/>
      <c r="O4" s="11"/>
      <c r="P4" s="11"/>
    </row>
    <row r="5" ht="21.5" customHeight="1">
      <c r="A5" s="13"/>
      <c r="B5" s="25"/>
      <c r="C5" s="26"/>
      <c r="D5" s="11"/>
      <c r="E5" s="11"/>
      <c r="F5" s="27"/>
      <c r="G5" s="11"/>
      <c r="H5" s="11"/>
      <c r="I5" s="27"/>
      <c r="J5" s="11"/>
      <c r="K5" s="11"/>
      <c r="L5" s="11"/>
      <c r="M5" s="11"/>
      <c r="N5" s="11"/>
      <c r="O5" s="11"/>
      <c r="P5" s="11"/>
    </row>
    <row r="6" ht="21" customHeight="1">
      <c r="A6" s="13"/>
      <c r="B6" s="25"/>
      <c r="C6" s="28"/>
      <c r="D6" s="11"/>
      <c r="E6" s="11"/>
      <c r="F6" s="11"/>
      <c r="G6" s="11"/>
      <c r="H6" s="11"/>
      <c r="I6" s="11"/>
      <c r="J6" s="11"/>
      <c r="K6" s="11"/>
      <c r="L6" s="11"/>
      <c r="M6" s="11"/>
      <c r="N6" s="11"/>
      <c r="O6" s="11"/>
      <c r="P6" s="11"/>
    </row>
    <row r="7" ht="21" customHeight="1">
      <c r="A7" t="s" s="29">
        <v>13</v>
      </c>
      <c r="B7" t="s" s="30">
        <v>14</v>
      </c>
      <c r="C7" s="31"/>
      <c r="D7" s="32"/>
      <c r="E7" s="33"/>
      <c r="F7" s="33"/>
      <c r="G7" s="33"/>
      <c r="H7" s="33"/>
      <c r="I7" s="33"/>
      <c r="J7" s="33"/>
      <c r="K7" s="33"/>
      <c r="L7" s="33"/>
      <c r="M7" s="33"/>
      <c r="N7" s="33"/>
      <c r="O7" s="33"/>
      <c r="P7" s="33"/>
    </row>
    <row r="8" ht="21.5" customHeight="1">
      <c r="A8" s="13"/>
      <c r="B8" t="s" s="34">
        <v>15</v>
      </c>
      <c r="C8" s="10"/>
      <c r="D8" s="11"/>
      <c r="E8" t="s" s="35">
        <v>16</v>
      </c>
      <c r="F8" s="11"/>
      <c r="G8" t="s" s="35">
        <v>17</v>
      </c>
      <c r="H8" s="36"/>
      <c r="I8" t="s" s="35">
        <v>18</v>
      </c>
      <c r="J8" s="11"/>
      <c r="K8" s="36"/>
      <c r="L8" s="11"/>
      <c r="M8" s="11"/>
      <c r="N8" s="11"/>
      <c r="O8" s="11"/>
      <c r="P8" s="11"/>
    </row>
    <row r="9" ht="22" customHeight="1">
      <c r="A9" s="13"/>
      <c r="B9" t="s" s="14">
        <v>19</v>
      </c>
      <c r="C9" s="37">
        <v>2</v>
      </c>
      <c r="D9" s="38"/>
      <c r="E9" s="39">
        <v>0.8</v>
      </c>
      <c r="F9" s="40"/>
      <c r="G9" s="41">
        <v>0.12</v>
      </c>
      <c r="H9" s="40"/>
      <c r="I9" s="39">
        <v>1.2</v>
      </c>
      <c r="J9" s="16"/>
      <c r="K9" s="11"/>
      <c r="L9" s="11"/>
      <c r="M9" s="11"/>
      <c r="N9" s="11"/>
      <c r="O9" s="11"/>
      <c r="P9" s="11"/>
    </row>
    <row r="10" ht="22" customHeight="1">
      <c r="A10" s="13"/>
      <c r="B10" t="s" s="14">
        <v>20</v>
      </c>
      <c r="C10" s="37">
        <v>2</v>
      </c>
      <c r="D10" s="38"/>
      <c r="E10" s="42">
        <v>0.9</v>
      </c>
      <c r="F10" s="38"/>
      <c r="G10" s="43">
        <v>0.12</v>
      </c>
      <c r="H10" s="38"/>
      <c r="I10" s="42">
        <v>1.1</v>
      </c>
      <c r="J10" s="16"/>
      <c r="K10" s="11"/>
      <c r="L10" s="11"/>
      <c r="M10" s="11"/>
      <c r="N10" s="11"/>
      <c r="O10" s="11"/>
      <c r="P10" s="11"/>
    </row>
    <row r="11" ht="22" customHeight="1">
      <c r="A11" s="13"/>
      <c r="B11" t="s" s="14">
        <v>21</v>
      </c>
      <c r="C11" s="37">
        <v>2</v>
      </c>
      <c r="D11" s="38"/>
      <c r="E11" s="42">
        <v>0.9</v>
      </c>
      <c r="F11" s="38"/>
      <c r="G11" s="42">
        <v>0.1</v>
      </c>
      <c r="H11" s="38"/>
      <c r="I11" s="42">
        <v>1.1</v>
      </c>
      <c r="J11" s="16"/>
      <c r="K11" s="11"/>
      <c r="L11" s="11"/>
      <c r="M11" s="11"/>
      <c r="N11" s="11"/>
      <c r="O11" s="11"/>
      <c r="P11" s="11"/>
    </row>
    <row r="12" ht="22" customHeight="1">
      <c r="A12" s="13"/>
      <c r="B12" t="s" s="14">
        <v>22</v>
      </c>
      <c r="C12" s="37">
        <v>2</v>
      </c>
      <c r="D12" s="38"/>
      <c r="E12" s="42">
        <v>0.9</v>
      </c>
      <c r="F12" s="38"/>
      <c r="G12" s="43">
        <v>0.15</v>
      </c>
      <c r="H12" s="38"/>
      <c r="I12" s="42">
        <v>1.1</v>
      </c>
      <c r="J12" s="16"/>
      <c r="K12" s="11"/>
      <c r="L12" s="11"/>
      <c r="M12" s="11"/>
      <c r="N12" s="11"/>
      <c r="O12" s="11"/>
      <c r="P12" s="11"/>
    </row>
    <row r="13" ht="22" customHeight="1">
      <c r="A13" s="13"/>
      <c r="B13" t="s" s="14">
        <v>23</v>
      </c>
      <c r="C13" s="37">
        <v>2</v>
      </c>
      <c r="D13" s="38"/>
      <c r="E13" s="42">
        <v>0.9</v>
      </c>
      <c r="F13" s="38"/>
      <c r="G13" s="43">
        <v>0.09</v>
      </c>
      <c r="H13" s="38"/>
      <c r="I13" s="42">
        <v>1.1</v>
      </c>
      <c r="J13" s="16"/>
      <c r="K13" s="11"/>
      <c r="L13" s="11"/>
      <c r="M13" s="11"/>
      <c r="N13" s="11"/>
      <c r="O13" s="11"/>
      <c r="P13" s="11"/>
    </row>
    <row r="14" ht="22" customHeight="1">
      <c r="A14" s="13"/>
      <c r="B14" t="s" s="44">
        <v>24</v>
      </c>
      <c r="C14" s="45">
        <v>2</v>
      </c>
      <c r="D14" s="38"/>
      <c r="E14" s="46">
        <v>1.1</v>
      </c>
      <c r="F14" s="38"/>
      <c r="G14" s="47">
        <v>-0.2</v>
      </c>
      <c r="H14" s="38"/>
      <c r="I14" s="46">
        <v>0.9</v>
      </c>
      <c r="J14" s="16"/>
      <c r="K14" s="11"/>
      <c r="L14" s="11"/>
      <c r="M14" s="11"/>
      <c r="N14" s="11"/>
      <c r="O14" s="11"/>
      <c r="P14" s="11"/>
    </row>
    <row r="15" ht="22" customHeight="1">
      <c r="A15" s="13"/>
      <c r="B15" s="48"/>
      <c r="C15" s="49"/>
      <c r="D15" s="11"/>
      <c r="E15" s="50"/>
      <c r="F15" s="11"/>
      <c r="G15" s="50"/>
      <c r="H15" s="11"/>
      <c r="I15" s="50"/>
      <c r="J15" s="11"/>
      <c r="K15" s="11"/>
      <c r="L15" s="11"/>
      <c r="M15" s="11"/>
      <c r="N15" s="11"/>
      <c r="O15" s="11"/>
      <c r="P15" s="11"/>
    </row>
    <row r="16" ht="23" customHeight="1">
      <c r="A16" s="13"/>
      <c r="B16" t="s" s="51">
        <v>25</v>
      </c>
      <c r="C16" s="37">
        <v>2</v>
      </c>
      <c r="D16" s="38"/>
      <c r="E16" s="42">
        <v>0.9</v>
      </c>
      <c r="F16" s="38"/>
      <c r="G16" s="43">
        <v>0.12</v>
      </c>
      <c r="H16" s="38"/>
      <c r="I16" s="42">
        <v>1.1</v>
      </c>
      <c r="J16" s="16"/>
      <c r="K16" t="s" s="52">
        <v>26</v>
      </c>
      <c r="L16" s="11"/>
      <c r="M16" s="11"/>
      <c r="N16" s="11"/>
      <c r="O16" s="11"/>
      <c r="P16" s="11"/>
    </row>
    <row r="17" ht="23" customHeight="1">
      <c r="A17" s="13"/>
      <c r="B17" t="s" s="51">
        <v>27</v>
      </c>
      <c r="C17" s="37">
        <v>2</v>
      </c>
      <c r="D17" s="38"/>
      <c r="E17" s="53">
        <f>G17+$K$17</f>
        <v>0.08361983169159599</v>
      </c>
      <c r="F17" s="38"/>
      <c r="G17" s="54">
        <f>'WACC - NKE'!B21</f>
        <v>0.078619831691596</v>
      </c>
      <c r="H17" s="38"/>
      <c r="I17" s="54">
        <f>G17-$K$17</f>
        <v>0.073619831691596</v>
      </c>
      <c r="J17" s="38"/>
      <c r="K17" s="55">
        <v>0.005</v>
      </c>
      <c r="L17" s="16"/>
      <c r="M17" s="11"/>
      <c r="N17" s="11"/>
      <c r="O17" s="11"/>
      <c r="P17" s="11"/>
    </row>
    <row r="18" ht="23" customHeight="1">
      <c r="A18" s="13"/>
      <c r="B18" t="s" s="51">
        <v>28</v>
      </c>
      <c r="C18" s="45">
        <v>2</v>
      </c>
      <c r="D18" s="38"/>
      <c r="E18" s="56">
        <f>G18-$K$18</f>
        <v>0.015</v>
      </c>
      <c r="F18" s="38"/>
      <c r="G18" s="57">
        <v>0.02</v>
      </c>
      <c r="H18" s="38"/>
      <c r="I18" s="46">
        <f>G18+$K$18</f>
        <v>0.025</v>
      </c>
      <c r="J18" s="38"/>
      <c r="K18" s="55">
        <v>0.005</v>
      </c>
      <c r="L18" s="16"/>
      <c r="M18" s="11"/>
      <c r="N18" s="11"/>
      <c r="O18" s="11"/>
      <c r="P18" s="11"/>
    </row>
    <row r="19" ht="22" customHeight="1">
      <c r="A19" s="13"/>
      <c r="B19" s="48"/>
      <c r="C19" s="49"/>
      <c r="D19" s="11"/>
      <c r="E19" s="27"/>
      <c r="F19" s="11"/>
      <c r="G19" s="27"/>
      <c r="H19" s="11"/>
      <c r="I19" s="27"/>
      <c r="J19" s="11"/>
      <c r="K19" s="58"/>
      <c r="L19" s="11"/>
      <c r="M19" s="11"/>
      <c r="N19" s="11"/>
      <c r="O19" s="11"/>
      <c r="P19" s="11"/>
    </row>
    <row r="20" ht="22" customHeight="1">
      <c r="A20" s="13"/>
      <c r="B20" t="s" s="51">
        <v>27</v>
      </c>
      <c r="C20" s="54">
        <f>CHOOSE(C17,E17,G17,I17)</f>
        <v>0.078619831691596</v>
      </c>
      <c r="D20" s="16"/>
      <c r="E20" s="11"/>
      <c r="F20" s="11"/>
      <c r="G20" s="11"/>
      <c r="H20" s="11"/>
      <c r="I20" s="11"/>
      <c r="J20" s="11"/>
      <c r="K20" s="11"/>
      <c r="L20" s="11"/>
      <c r="M20" s="11"/>
      <c r="N20" s="11"/>
      <c r="O20" s="11"/>
      <c r="P20" s="11"/>
    </row>
    <row r="21" ht="22" customHeight="1">
      <c r="A21" s="13"/>
      <c r="B21" t="s" s="51">
        <v>28</v>
      </c>
      <c r="C21" s="57">
        <f>CHOOSE(C18,E18,G18,I18)</f>
        <v>0.02</v>
      </c>
      <c r="D21" s="16"/>
      <c r="E21" s="11"/>
      <c r="F21" s="11"/>
      <c r="G21" s="11"/>
      <c r="H21" s="11"/>
      <c r="I21" s="11"/>
      <c r="J21" s="11"/>
      <c r="K21" s="11"/>
      <c r="L21" s="11"/>
      <c r="M21" s="11"/>
      <c r="N21" s="11"/>
      <c r="O21" s="11"/>
      <c r="P21" s="11"/>
    </row>
    <row r="22" ht="21.5" customHeight="1">
      <c r="A22" s="13"/>
      <c r="B22" s="9"/>
      <c r="C22" s="59"/>
      <c r="D22" s="11"/>
      <c r="E22" s="11"/>
      <c r="F22" s="11"/>
      <c r="G22" s="11"/>
      <c r="H22" s="11"/>
      <c r="I22" s="11"/>
      <c r="J22" s="11"/>
      <c r="K22" t="s" s="60">
        <v>29</v>
      </c>
      <c r="L22" s="36"/>
      <c r="M22" s="11"/>
      <c r="N22" s="11"/>
      <c r="O22" s="11"/>
      <c r="P22" s="11"/>
    </row>
    <row r="23" ht="21" customHeight="1">
      <c r="A23" t="s" s="29">
        <v>13</v>
      </c>
      <c r="B23" t="s" s="30">
        <v>30</v>
      </c>
      <c r="C23" s="31"/>
      <c r="D23" s="61">
        <v>2015</v>
      </c>
      <c r="E23" s="62">
        <v>2016</v>
      </c>
      <c r="F23" s="62">
        <v>2017</v>
      </c>
      <c r="G23" s="62">
        <v>2018</v>
      </c>
      <c r="H23" s="62">
        <v>2019</v>
      </c>
      <c r="I23" s="62">
        <v>2020</v>
      </c>
      <c r="J23" s="62">
        <v>2021</v>
      </c>
      <c r="K23" s="62">
        <v>2022</v>
      </c>
      <c r="L23" s="62">
        <v>2023</v>
      </c>
      <c r="M23" s="62">
        <v>2024</v>
      </c>
      <c r="N23" s="62">
        <v>2025</v>
      </c>
      <c r="O23" s="62">
        <v>2026</v>
      </c>
      <c r="P23" s="62">
        <v>2027</v>
      </c>
    </row>
    <row r="24" ht="21" customHeight="1">
      <c r="A24" s="13"/>
      <c r="B24" s="25"/>
      <c r="C24" s="28"/>
      <c r="D24" s="11"/>
      <c r="E24" s="63"/>
      <c r="F24" s="63"/>
      <c r="G24" s="63"/>
      <c r="H24" s="63"/>
      <c r="I24" s="63"/>
      <c r="J24" s="64"/>
      <c r="K24" s="63"/>
      <c r="L24" s="63"/>
      <c r="M24" s="63"/>
      <c r="N24" s="63"/>
      <c r="O24" s="63"/>
      <c r="P24" s="63"/>
    </row>
    <row r="25" ht="21" customHeight="1">
      <c r="A25" s="13"/>
      <c r="B25" t="s" s="65">
        <v>31</v>
      </c>
      <c r="C25" s="28"/>
      <c r="D25" s="11"/>
      <c r="E25" s="63"/>
      <c r="F25" s="63"/>
      <c r="G25" s="63"/>
      <c r="H25" s="63"/>
      <c r="I25" s="63"/>
      <c r="J25" s="64"/>
      <c r="K25" s="63"/>
      <c r="L25" s="63"/>
      <c r="M25" s="63"/>
      <c r="N25" s="63"/>
      <c r="O25" s="63"/>
      <c r="P25" s="63"/>
    </row>
    <row r="26" ht="21" customHeight="1">
      <c r="A26" s="13"/>
      <c r="B26" s="25"/>
      <c r="C26" s="28"/>
      <c r="D26" s="11"/>
      <c r="E26" s="63"/>
      <c r="F26" s="63"/>
      <c r="G26" s="63"/>
      <c r="H26" s="63"/>
      <c r="I26" s="63"/>
      <c r="J26" s="64"/>
      <c r="K26" s="63"/>
      <c r="L26" s="63"/>
      <c r="M26" s="63"/>
      <c r="N26" s="63"/>
      <c r="O26" s="63"/>
      <c r="P26" s="63"/>
    </row>
    <row r="27" ht="21" customHeight="1">
      <c r="A27" s="13"/>
      <c r="B27" t="s" s="34">
        <f>$B9</f>
        <v>32</v>
      </c>
      <c r="C27" s="28"/>
      <c r="D27" s="66">
        <v>18318</v>
      </c>
      <c r="E27" s="66">
        <v>19871</v>
      </c>
      <c r="F27" s="66">
        <v>21081</v>
      </c>
      <c r="G27" s="66">
        <v>22268</v>
      </c>
      <c r="H27" s="66">
        <v>24222</v>
      </c>
      <c r="I27" s="66">
        <v>23305</v>
      </c>
      <c r="J27" s="66">
        <v>28021</v>
      </c>
      <c r="K27" s="66">
        <v>29143</v>
      </c>
      <c r="L27" s="63">
        <f>K27*(1+L28)</f>
        <v>31130.0014147259</v>
      </c>
      <c r="M27" s="63">
        <f>L27*(1+M28)</f>
        <v>33655.759455267</v>
      </c>
      <c r="N27" s="63">
        <f>M27*(1+N28)</f>
        <v>36822.4481521731</v>
      </c>
      <c r="O27" s="63">
        <f>N27*(1+O28)</f>
        <v>40764.1171199492</v>
      </c>
      <c r="P27" s="63">
        <f>O27*(1+P28)</f>
        <v>45655.8111743431</v>
      </c>
    </row>
    <row r="28" ht="21.5" customHeight="1">
      <c r="A28" s="67"/>
      <c r="B28" t="s" s="68">
        <v>33</v>
      </c>
      <c r="C28" s="69"/>
      <c r="D28" s="70"/>
      <c r="E28" s="71">
        <f>E27/D27-1</f>
        <v>0.08477999781635551</v>
      </c>
      <c r="F28" s="71">
        <f>F27/E27-1</f>
        <v>0.0608927582909768</v>
      </c>
      <c r="G28" s="71">
        <f>G27/F27-1</f>
        <v>0.0563066268203596</v>
      </c>
      <c r="H28" s="71">
        <f>H27/G27-1</f>
        <v>0.0877492365726603</v>
      </c>
      <c r="I28" s="71">
        <f>I27/H27-1</f>
        <v>-0.0378581454875733</v>
      </c>
      <c r="J28" s="71">
        <f>J27/I27-1</f>
        <v>0.202360008581849</v>
      </c>
      <c r="K28" s="71">
        <f>K27/J27-1</f>
        <v>0.0400413975232861</v>
      </c>
      <c r="L28" s="72">
        <f>OFFSET(L28,$C$9,0)</f>
        <v>0.0681810868725206</v>
      </c>
      <c r="M28" s="72">
        <f>M30</f>
        <v>0.0811358151543905</v>
      </c>
      <c r="N28" s="72">
        <f>N30</f>
        <v>0.0940905434362603</v>
      </c>
      <c r="O28" s="72">
        <f>O30</f>
        <v>0.10704527171813</v>
      </c>
      <c r="P28" s="72">
        <f>P30</f>
        <v>0.12</v>
      </c>
    </row>
    <row r="29" ht="22" customHeight="1">
      <c r="A29" s="13"/>
      <c r="B29" t="s" s="34">
        <v>34</v>
      </c>
      <c r="C29" s="28"/>
      <c r="D29" s="11"/>
      <c r="E29" s="66"/>
      <c r="F29" s="66"/>
      <c r="G29" s="66"/>
      <c r="H29" s="66"/>
      <c r="I29" s="66"/>
      <c r="J29" s="66"/>
      <c r="K29" s="73"/>
      <c r="L29" s="74">
        <f>L30</f>
        <v>0.0681810868725206</v>
      </c>
      <c r="M29" s="74">
        <f>M30*$E$9</f>
        <v>0.06490865212351241</v>
      </c>
      <c r="N29" s="74">
        <f>N30*$E$9</f>
        <v>0.0752724347490082</v>
      </c>
      <c r="O29" s="74">
        <f>O30*$E$9</f>
        <v>0.085636217374504</v>
      </c>
      <c r="P29" s="74">
        <f>P30*$E$9</f>
        <v>0.096</v>
      </c>
    </row>
    <row r="30" ht="22" customHeight="1">
      <c r="A30" s="13"/>
      <c r="B30" t="s" s="34">
        <v>35</v>
      </c>
      <c r="C30" s="28"/>
      <c r="D30" s="11"/>
      <c r="E30" s="66"/>
      <c r="F30" s="66"/>
      <c r="G30" s="66"/>
      <c r="H30" s="66"/>
      <c r="I30" s="66"/>
      <c r="J30" s="66"/>
      <c r="K30" s="73"/>
      <c r="L30" s="74">
        <f>AVERAGE(K28,J28,I28)</f>
        <v>0.0681810868725206</v>
      </c>
      <c r="M30" s="74">
        <f>L30-(L30-$P$30)/($P$23-L23)</f>
        <v>0.0811358151543905</v>
      </c>
      <c r="N30" s="74">
        <f>M30-(M30-$P$30)/($P$23-M23)</f>
        <v>0.0940905434362603</v>
      </c>
      <c r="O30" s="74">
        <f>N30-(N30-$P$30)/($P$23-N23)</f>
        <v>0.10704527171813</v>
      </c>
      <c r="P30" s="74">
        <f>G9</f>
        <v>0.12</v>
      </c>
    </row>
    <row r="31" ht="22" customHeight="1">
      <c r="A31" s="13"/>
      <c r="B31" t="s" s="34">
        <v>36</v>
      </c>
      <c r="C31" s="28"/>
      <c r="D31" s="11"/>
      <c r="E31" s="66"/>
      <c r="F31" s="66"/>
      <c r="G31" s="66"/>
      <c r="H31" s="66"/>
      <c r="I31" s="66"/>
      <c r="J31" s="66"/>
      <c r="K31" s="73"/>
      <c r="L31" s="74">
        <f>L30</f>
        <v>0.0681810868725206</v>
      </c>
      <c r="M31" s="74">
        <f>M30*$I$9</f>
        <v>0.09736297818526859</v>
      </c>
      <c r="N31" s="74">
        <f>N30*$I$9</f>
        <v>0.112908652123512</v>
      </c>
      <c r="O31" s="74">
        <f>O30*$I$9</f>
        <v>0.128454326061756</v>
      </c>
      <c r="P31" s="74">
        <f>P30*$I$9</f>
        <v>0.144</v>
      </c>
    </row>
    <row r="32" ht="21.5" customHeight="1">
      <c r="A32" s="75"/>
      <c r="B32" s="76"/>
      <c r="C32" s="77"/>
      <c r="D32" s="70"/>
      <c r="E32" s="78"/>
      <c r="F32" s="79"/>
      <c r="G32" s="79"/>
      <c r="H32" s="79"/>
      <c r="I32" s="79"/>
      <c r="J32" s="79"/>
      <c r="K32" s="79"/>
      <c r="L32" s="80"/>
      <c r="M32" s="80"/>
      <c r="N32" s="80"/>
      <c r="O32" s="80"/>
      <c r="P32" s="80"/>
    </row>
    <row r="33" ht="21" customHeight="1">
      <c r="A33" s="81"/>
      <c r="B33" t="s" s="34">
        <f>$B10</f>
        <v>37</v>
      </c>
      <c r="C33" s="82"/>
      <c r="D33" s="66">
        <v>8637</v>
      </c>
      <c r="E33" s="83">
        <v>9067</v>
      </c>
      <c r="F33" s="83">
        <v>9654</v>
      </c>
      <c r="G33" s="83">
        <v>10733</v>
      </c>
      <c r="H33" s="83">
        <v>11550</v>
      </c>
      <c r="I33" s="83">
        <v>10953</v>
      </c>
      <c r="J33" s="83">
        <v>12865</v>
      </c>
      <c r="K33" s="83">
        <v>13567</v>
      </c>
      <c r="L33" s="63">
        <f>K33*(1+L34)</f>
        <v>14369.4536278225</v>
      </c>
      <c r="M33" s="63">
        <f>L33*(1+M34)</f>
        <v>15437.9747796</v>
      </c>
      <c r="N33" s="63">
        <f>M33*(1+N34)</f>
        <v>16820.8117858763</v>
      </c>
      <c r="O33" s="63">
        <f>N33*(1+O34)</f>
        <v>18583.4119314525</v>
      </c>
      <c r="P33" s="63">
        <f>O33*(1+P34)</f>
        <v>20813.4213632268</v>
      </c>
    </row>
    <row r="34" ht="21.5" customHeight="1">
      <c r="A34" s="84"/>
      <c r="B34" t="s" s="68">
        <v>33</v>
      </c>
      <c r="C34" s="85"/>
      <c r="D34" s="70"/>
      <c r="E34" s="86">
        <f>E33/D33-1</f>
        <v>0.0497858052564548</v>
      </c>
      <c r="F34" s="86">
        <f>F33/E33-1</f>
        <v>0.0647402669019521</v>
      </c>
      <c r="G34" s="86">
        <f>G33/F33-1</f>
        <v>0.111767143153097</v>
      </c>
      <c r="H34" s="86">
        <f>H33/G33-1</f>
        <v>0.0761203764092053</v>
      </c>
      <c r="I34" s="86">
        <f>I33/H33-1</f>
        <v>-0.0516883116883117</v>
      </c>
      <c r="J34" s="86">
        <f>J33/I33-1</f>
        <v>0.174564046379987</v>
      </c>
      <c r="K34" s="86">
        <f>K33/J33-1</f>
        <v>0.0545666537116207</v>
      </c>
      <c r="L34" s="72">
        <f>OFFSET(L34,$C$10,0)</f>
        <v>0.0591474628010987</v>
      </c>
      <c r="M34" s="72">
        <f>OFFSET(M34,$C$10,0)</f>
        <v>0.074360597100824</v>
      </c>
      <c r="N34" s="72">
        <f>OFFSET(N34,$C$10,0)</f>
        <v>0.08957373140054931</v>
      </c>
      <c r="O34" s="72">
        <f>OFFSET(O34,$C$10,0)</f>
        <v>0.104786865700275</v>
      </c>
      <c r="P34" s="72">
        <f>OFFSET(P34,$C$10,0)</f>
        <v>0.12</v>
      </c>
    </row>
    <row r="35" ht="22" customHeight="1">
      <c r="A35" s="13"/>
      <c r="B35" t="s" s="34">
        <v>34</v>
      </c>
      <c r="C35" s="28"/>
      <c r="D35" s="11"/>
      <c r="E35" s="66"/>
      <c r="F35" s="66"/>
      <c r="G35" s="66"/>
      <c r="H35" s="66"/>
      <c r="I35" s="66"/>
      <c r="J35" s="66"/>
      <c r="K35" s="73"/>
      <c r="L35" s="74">
        <f>L36</f>
        <v>0.0591474628010987</v>
      </c>
      <c r="M35" s="74">
        <f>M36*$E$10</f>
        <v>0.0669245373907416</v>
      </c>
      <c r="N35" s="74">
        <f>N36*$E$10</f>
        <v>0.0806163582604944</v>
      </c>
      <c r="O35" s="74">
        <f>O36*$E$10</f>
        <v>0.0943081791302475</v>
      </c>
      <c r="P35" s="74">
        <f>P36*$E$10</f>
        <v>0.108</v>
      </c>
    </row>
    <row r="36" ht="22" customHeight="1">
      <c r="A36" s="13"/>
      <c r="B36" t="s" s="34">
        <v>35</v>
      </c>
      <c r="C36" s="28"/>
      <c r="D36" s="11"/>
      <c r="E36" s="66"/>
      <c r="F36" s="66"/>
      <c r="G36" s="66"/>
      <c r="H36" s="66"/>
      <c r="I36" s="66"/>
      <c r="J36" s="66"/>
      <c r="K36" s="73"/>
      <c r="L36" s="87">
        <f>AVERAGE(K34,J34,I34)</f>
        <v>0.0591474628010987</v>
      </c>
      <c r="M36" s="87">
        <f>L36-(L36-$P$36)/($P$23-L23)</f>
        <v>0.074360597100824</v>
      </c>
      <c r="N36" s="87">
        <f>M36-(M36-$P$36)/($P$23-M23)</f>
        <v>0.08957373140054931</v>
      </c>
      <c r="O36" s="87">
        <f>N36-(N36-$P$36)/($P$23-N23)</f>
        <v>0.104786865700275</v>
      </c>
      <c r="P36" s="74">
        <f>G10</f>
        <v>0.12</v>
      </c>
    </row>
    <row r="37" ht="22" customHeight="1">
      <c r="A37" s="13"/>
      <c r="B37" t="s" s="34">
        <v>36</v>
      </c>
      <c r="C37" s="28"/>
      <c r="D37" s="11"/>
      <c r="E37" s="66"/>
      <c r="F37" s="66"/>
      <c r="G37" s="66"/>
      <c r="H37" s="66"/>
      <c r="I37" s="66"/>
      <c r="J37" s="66"/>
      <c r="K37" s="73"/>
      <c r="L37" s="88">
        <f>L36</f>
        <v>0.0591474628010987</v>
      </c>
      <c r="M37" s="88">
        <f>M36*$I$10</f>
        <v>0.08179665681090641</v>
      </c>
      <c r="N37" s="88">
        <f>N36*$I$10</f>
        <v>0.09853110454060419</v>
      </c>
      <c r="O37" s="88">
        <f>O36*$I$10</f>
        <v>0.115265552270303</v>
      </c>
      <c r="P37" s="87">
        <f>P36*$I$10</f>
        <v>0.132</v>
      </c>
    </row>
    <row r="38" ht="21.5" customHeight="1">
      <c r="A38" s="67"/>
      <c r="B38" s="25"/>
      <c r="C38" s="69"/>
      <c r="D38" s="79"/>
      <c r="E38" s="79"/>
      <c r="F38" s="79"/>
      <c r="G38" s="79"/>
      <c r="H38" s="79"/>
      <c r="I38" s="79"/>
      <c r="J38" s="79"/>
      <c r="K38" s="79"/>
      <c r="L38" s="89"/>
      <c r="M38" s="89"/>
      <c r="N38" s="89"/>
      <c r="O38" s="89"/>
      <c r="P38" s="89"/>
    </row>
    <row r="39" ht="21" customHeight="1">
      <c r="A39" s="67"/>
      <c r="B39" t="s" s="34">
        <f>$B11</f>
        <v>38</v>
      </c>
      <c r="C39" s="69"/>
      <c r="D39" s="83">
        <v>1631</v>
      </c>
      <c r="E39" s="83">
        <v>1496</v>
      </c>
      <c r="F39" s="83">
        <v>1425</v>
      </c>
      <c r="G39" s="83">
        <v>1396</v>
      </c>
      <c r="H39" s="83">
        <v>1404</v>
      </c>
      <c r="I39" s="83">
        <v>1280</v>
      </c>
      <c r="J39" s="83">
        <v>1382</v>
      </c>
      <c r="K39" s="83">
        <v>1624</v>
      </c>
      <c r="L39" s="63">
        <f>K39*(1+L40)</f>
        <v>1714.119522283520</v>
      </c>
      <c r="M39" s="63">
        <f>L39*(1+M40)</f>
        <v>1828.312857855250</v>
      </c>
      <c r="N39" s="63">
        <f>M39*(1+N40)</f>
        <v>1970.457158794420</v>
      </c>
      <c r="O39" s="63">
        <f>N39*(1+O40)</f>
        <v>2145.577753867590</v>
      </c>
      <c r="P39" s="63">
        <f>O39*(1+P40)</f>
        <v>2360.135529254350</v>
      </c>
    </row>
    <row r="40" ht="21.5" customHeight="1">
      <c r="A40" s="67"/>
      <c r="B40" t="s" s="68">
        <v>33</v>
      </c>
      <c r="C40" s="69"/>
      <c r="D40" s="86"/>
      <c r="E40" s="86">
        <f>E39/D39-1</f>
        <v>-0.0827713059472716</v>
      </c>
      <c r="F40" s="86">
        <f>F39/E39-1</f>
        <v>-0.0474598930481283</v>
      </c>
      <c r="G40" s="86">
        <f>G39/F39-1</f>
        <v>-0.0203508771929825</v>
      </c>
      <c r="H40" s="86">
        <f>H39/G39-1</f>
        <v>0.00573065902578797</v>
      </c>
      <c r="I40" s="86">
        <f>I39/H39-1</f>
        <v>-0.0883190883190883</v>
      </c>
      <c r="J40" s="86">
        <f>J39/I39-1</f>
        <v>0.07968749999999999</v>
      </c>
      <c r="K40" s="86">
        <f>K39/J39-1</f>
        <v>0.175108538350217</v>
      </c>
      <c r="L40" s="72">
        <f>OFFSET(L40,$C$11,0)</f>
        <v>0.0554923166770429</v>
      </c>
      <c r="M40" s="72">
        <f>OFFSET(M40,$C$11,0)</f>
        <v>0.0666192375077822</v>
      </c>
      <c r="N40" s="72">
        <f>OFFSET(N40,$C$11,0)</f>
        <v>0.0777461583385215</v>
      </c>
      <c r="O40" s="72">
        <f>OFFSET(O40,$C$11,0)</f>
        <v>0.08887307916926079</v>
      </c>
      <c r="P40" s="72">
        <f>OFFSET(P40,$C$11,0)</f>
        <v>0.1</v>
      </c>
    </row>
    <row r="41" ht="22" customHeight="1">
      <c r="A41" s="67"/>
      <c r="B41" t="s" s="34">
        <v>34</v>
      </c>
      <c r="C41" s="69"/>
      <c r="D41" s="71"/>
      <c r="E41" s="71"/>
      <c r="F41" s="71"/>
      <c r="G41" s="71"/>
      <c r="H41" s="71"/>
      <c r="I41" s="71"/>
      <c r="J41" s="71"/>
      <c r="K41" s="90"/>
      <c r="L41" s="74">
        <f>L42</f>
        <v>0.0554923166770429</v>
      </c>
      <c r="M41" s="74">
        <f>M42*$E$10</f>
        <v>0.059957313757004</v>
      </c>
      <c r="N41" s="74">
        <f>N42*$E$10</f>
        <v>0.0699715425046694</v>
      </c>
      <c r="O41" s="74">
        <f>O42*$E$10</f>
        <v>0.07998577125233471</v>
      </c>
      <c r="P41" s="74">
        <f>P42*$E$10</f>
        <v>0.09</v>
      </c>
    </row>
    <row r="42" ht="22" customHeight="1">
      <c r="A42" s="67"/>
      <c r="B42" t="s" s="34">
        <v>35</v>
      </c>
      <c r="C42" s="69"/>
      <c r="D42" s="71"/>
      <c r="E42" s="71"/>
      <c r="F42" s="71"/>
      <c r="G42" s="71"/>
      <c r="H42" s="71"/>
      <c r="I42" s="71"/>
      <c r="J42" s="71"/>
      <c r="K42" s="90"/>
      <c r="L42" s="87">
        <f>AVERAGE(I40,J40,K40)</f>
        <v>0.0554923166770429</v>
      </c>
      <c r="M42" s="87">
        <f>L42-(L42-$P$42)/($P$23-L23)</f>
        <v>0.0666192375077822</v>
      </c>
      <c r="N42" s="87">
        <f>M42-(M42-$P$42)/($P$23-M23)</f>
        <v>0.0777461583385215</v>
      </c>
      <c r="O42" s="87">
        <f>N42-(N42-$P$42)/($P$23-N23)</f>
        <v>0.08887307916926079</v>
      </c>
      <c r="P42" s="74">
        <f>G11</f>
        <v>0.1</v>
      </c>
    </row>
    <row r="43" ht="22" customHeight="1">
      <c r="A43" s="67"/>
      <c r="B43" t="s" s="34">
        <v>36</v>
      </c>
      <c r="C43" s="69"/>
      <c r="D43" s="71"/>
      <c r="E43" s="71"/>
      <c r="F43" s="71"/>
      <c r="G43" s="71"/>
      <c r="H43" s="71"/>
      <c r="I43" s="71"/>
      <c r="J43" s="71"/>
      <c r="K43" s="90"/>
      <c r="L43" s="88">
        <f>L42</f>
        <v>0.0554923166770429</v>
      </c>
      <c r="M43" s="88">
        <f>M42*$I$10</f>
        <v>0.07328116125856041</v>
      </c>
      <c r="N43" s="88">
        <f>N42*$I$10</f>
        <v>0.08552077417237371</v>
      </c>
      <c r="O43" s="88">
        <f>O42*$I$10</f>
        <v>0.0977603870861869</v>
      </c>
      <c r="P43" s="87">
        <f>P42*$I$10</f>
        <v>0.11</v>
      </c>
    </row>
    <row r="44" ht="21.5" customHeight="1">
      <c r="A44" s="67"/>
      <c r="B44" s="25"/>
      <c r="C44" s="69"/>
      <c r="D44" s="79"/>
      <c r="E44" s="79"/>
      <c r="F44" s="79"/>
      <c r="G44" s="79"/>
      <c r="H44" s="79"/>
      <c r="I44" s="79"/>
      <c r="J44" s="79"/>
      <c r="K44" s="79"/>
      <c r="L44" s="89"/>
      <c r="M44" s="89"/>
      <c r="N44" s="89"/>
      <c r="O44" s="89"/>
      <c r="P44" s="89"/>
    </row>
    <row r="45" ht="21" customHeight="1">
      <c r="A45" s="67"/>
      <c r="B45" t="s" s="34">
        <f>$B12</f>
        <v>39</v>
      </c>
      <c r="C45" s="69"/>
      <c r="D45" s="83">
        <v>115</v>
      </c>
      <c r="E45" s="83">
        <v>73</v>
      </c>
      <c r="F45" s="83">
        <v>73</v>
      </c>
      <c r="G45" s="83">
        <v>88</v>
      </c>
      <c r="H45" s="83">
        <v>42</v>
      </c>
      <c r="I45" s="83">
        <v>30</v>
      </c>
      <c r="J45" s="83">
        <v>25</v>
      </c>
      <c r="K45" s="83">
        <v>102</v>
      </c>
      <c r="L45" s="63">
        <f>K45*(1+L46)</f>
        <v>191.339047619048</v>
      </c>
      <c r="M45" s="63">
        <f>L45*(1+M46)</f>
        <v>324.205793424037</v>
      </c>
      <c r="N45" s="63">
        <f>M45*(1+N46)</f>
        <v>490.502780955747</v>
      </c>
      <c r="O45" s="63">
        <f>N45*(1+O46)</f>
        <v>653.088881325721</v>
      </c>
      <c r="P45" s="63">
        <f>O45*(1+P46)</f>
        <v>751.052213524579</v>
      </c>
    </row>
    <row r="46" ht="21.5" customHeight="1">
      <c r="A46" s="67"/>
      <c r="B46" t="s" s="68">
        <v>33</v>
      </c>
      <c r="C46" s="69"/>
      <c r="D46" s="86"/>
      <c r="E46" s="86">
        <f>E45/D45-1</f>
        <v>-0.365217391304348</v>
      </c>
      <c r="F46" s="86">
        <f>F45/E45-1</f>
        <v>0</v>
      </c>
      <c r="G46" s="86">
        <f>G45/F45-1</f>
        <v>0.205479452054795</v>
      </c>
      <c r="H46" s="86">
        <f>H45/G45-1</f>
        <v>-0.522727272727273</v>
      </c>
      <c r="I46" s="86">
        <f>I45/H45-1</f>
        <v>-0.285714285714286</v>
      </c>
      <c r="J46" s="86">
        <f>J45/I45-1</f>
        <v>-0.166666666666667</v>
      </c>
      <c r="K46" s="86">
        <f>K45/J45-1</f>
        <v>3.08</v>
      </c>
      <c r="L46" s="72">
        <f>OFFSET(L46,$C$12,0)</f>
        <v>0.875873015873016</v>
      </c>
      <c r="M46" s="72">
        <f>OFFSET(M46,$C$12,0)</f>
        <v>0.694404761904762</v>
      </c>
      <c r="N46" s="72">
        <f>OFFSET(N46,$C$12,0)</f>
        <v>0.512936507936508</v>
      </c>
      <c r="O46" s="72">
        <f>OFFSET(O46,$C$12,0)</f>
        <v>0.331468253968254</v>
      </c>
      <c r="P46" s="72">
        <f>OFFSET(P46,$C$12,0)</f>
        <v>0.15</v>
      </c>
    </row>
    <row r="47" ht="22" customHeight="1">
      <c r="A47" s="67"/>
      <c r="B47" t="s" s="34">
        <v>34</v>
      </c>
      <c r="C47" s="69"/>
      <c r="D47" s="71"/>
      <c r="E47" s="71"/>
      <c r="F47" s="71"/>
      <c r="G47" s="71"/>
      <c r="H47" s="71"/>
      <c r="I47" s="71"/>
      <c r="J47" s="71"/>
      <c r="K47" s="90"/>
      <c r="L47" s="74">
        <f>L48</f>
        <v>0.875873015873016</v>
      </c>
      <c r="M47" s="74">
        <f>M48*$E$10</f>
        <v>0.624964285714286</v>
      </c>
      <c r="N47" s="74">
        <f>N48*$E$10</f>
        <v>0.461642857142857</v>
      </c>
      <c r="O47" s="74">
        <f>O48*$E$10</f>
        <v>0.298321428571429</v>
      </c>
      <c r="P47" s="74">
        <f>P48*$E$10</f>
        <v>0.135</v>
      </c>
    </row>
    <row r="48" ht="22" customHeight="1">
      <c r="A48" s="67"/>
      <c r="B48" t="s" s="34">
        <v>35</v>
      </c>
      <c r="C48" s="69"/>
      <c r="D48" s="71"/>
      <c r="E48" s="71"/>
      <c r="F48" s="71"/>
      <c r="G48" s="71"/>
      <c r="H48" s="71"/>
      <c r="I48" s="71"/>
      <c r="J48" s="71"/>
      <c r="K48" s="90"/>
      <c r="L48" s="87">
        <f>AVERAGE(K46,J46,I46)</f>
        <v>0.875873015873016</v>
      </c>
      <c r="M48" s="87">
        <f>L48-(L48-$P$48)/($P$23-L23)</f>
        <v>0.694404761904762</v>
      </c>
      <c r="N48" s="87">
        <f>M48-(M48-$P$48)/($P$23-M23)</f>
        <v>0.512936507936508</v>
      </c>
      <c r="O48" s="87">
        <f>N48-(N48-$P$48)/($P$23-N23)</f>
        <v>0.331468253968254</v>
      </c>
      <c r="P48" s="74">
        <f>G12</f>
        <v>0.15</v>
      </c>
    </row>
    <row r="49" ht="22" customHeight="1">
      <c r="A49" s="67"/>
      <c r="B49" t="s" s="34">
        <v>36</v>
      </c>
      <c r="C49" s="69"/>
      <c r="D49" s="71"/>
      <c r="E49" s="71"/>
      <c r="F49" s="71"/>
      <c r="G49" s="71"/>
      <c r="H49" s="71"/>
      <c r="I49" s="71"/>
      <c r="J49" s="71"/>
      <c r="K49" s="90"/>
      <c r="L49" s="88">
        <f>L48</f>
        <v>0.875873015873016</v>
      </c>
      <c r="M49" s="88">
        <f>M48*$I$10</f>
        <v>0.763845238095238</v>
      </c>
      <c r="N49" s="88">
        <f>N48*$I$10</f>
        <v>0.564230158730159</v>
      </c>
      <c r="O49" s="88">
        <f>O48*$I$10</f>
        <v>0.364615079365079</v>
      </c>
      <c r="P49" s="87">
        <f>P48*$I$10</f>
        <v>0.165</v>
      </c>
    </row>
    <row r="50" ht="21.5" customHeight="1">
      <c r="A50" s="67"/>
      <c r="B50" s="25"/>
      <c r="C50" s="69"/>
      <c r="D50" s="71"/>
      <c r="E50" s="71"/>
      <c r="F50" s="71"/>
      <c r="G50" s="71"/>
      <c r="H50" s="71"/>
      <c r="I50" s="71"/>
      <c r="J50" s="71"/>
      <c r="K50" s="71"/>
      <c r="L50" s="89"/>
      <c r="M50" s="89"/>
      <c r="N50" s="89"/>
      <c r="O50" s="89"/>
      <c r="P50" s="89"/>
    </row>
    <row r="51" ht="21" customHeight="1">
      <c r="A51" s="67"/>
      <c r="B51" t="s" s="65">
        <v>40</v>
      </c>
      <c r="C51" s="69"/>
      <c r="D51" s="71"/>
      <c r="E51" s="71"/>
      <c r="F51" s="71"/>
      <c r="G51" s="71"/>
      <c r="H51" s="71"/>
      <c r="I51" s="71"/>
      <c r="J51" s="71"/>
      <c r="K51" s="71"/>
      <c r="L51" s="71"/>
      <c r="M51" s="71"/>
      <c r="N51" s="71"/>
      <c r="O51" s="71"/>
      <c r="P51" s="71"/>
    </row>
    <row r="52" ht="21" customHeight="1">
      <c r="A52" s="67"/>
      <c r="B52" s="91"/>
      <c r="C52" s="77"/>
      <c r="D52" s="79"/>
      <c r="E52" s="79"/>
      <c r="F52" s="79"/>
      <c r="G52" s="79"/>
      <c r="H52" s="79"/>
      <c r="I52" s="79"/>
      <c r="J52" s="79"/>
      <c r="K52" s="79"/>
      <c r="L52" s="71"/>
      <c r="M52" s="71"/>
      <c r="N52" s="71"/>
      <c r="O52" s="71"/>
      <c r="P52" s="71"/>
    </row>
    <row r="53" ht="21" customHeight="1">
      <c r="A53" s="67"/>
      <c r="B53" t="s" s="34">
        <f>$B13</f>
        <v>41</v>
      </c>
      <c r="C53" s="92"/>
      <c r="D53" s="83">
        <v>1982</v>
      </c>
      <c r="E53" s="83">
        <v>1955</v>
      </c>
      <c r="F53" s="83">
        <v>2042</v>
      </c>
      <c r="G53" s="83">
        <v>1886</v>
      </c>
      <c r="H53" s="83">
        <v>1906</v>
      </c>
      <c r="I53" s="83">
        <v>1846</v>
      </c>
      <c r="J53" s="83">
        <v>2205</v>
      </c>
      <c r="K53" s="83">
        <v>2346</v>
      </c>
      <c r="L53" s="63">
        <f>K53*(1+L54)</f>
        <v>2523.467533150350</v>
      </c>
      <c r="M53" s="63">
        <f>L53*(1+M54)</f>
        <v>2723.414848711830</v>
      </c>
      <c r="N53" s="63">
        <f>M53*(1+N54)</f>
        <v>2948.9774075573</v>
      </c>
      <c r="O53" s="63">
        <f>N53*(1+O54)</f>
        <v>3203.803602711850</v>
      </c>
      <c r="P53" s="63">
        <f>O53*(1+P54)</f>
        <v>3492.145926955920</v>
      </c>
    </row>
    <row r="54" ht="21.5" customHeight="1">
      <c r="A54" s="67"/>
      <c r="B54" t="s" s="68">
        <v>33</v>
      </c>
      <c r="C54" s="85"/>
      <c r="D54" s="86"/>
      <c r="E54" s="86">
        <f>E53/D53-1</f>
        <v>-0.0136226034308779</v>
      </c>
      <c r="F54" s="86">
        <f>F53/E53-1</f>
        <v>0.0445012787723785</v>
      </c>
      <c r="G54" s="86">
        <f>G53/F53-1</f>
        <v>-0.0763956904995103</v>
      </c>
      <c r="H54" s="86">
        <f>H53/G53-1</f>
        <v>0.0106044538706257</v>
      </c>
      <c r="I54" s="86">
        <f>I53/H53-1</f>
        <v>-0.0314795383001049</v>
      </c>
      <c r="J54" s="86">
        <f>J53/I53-1</f>
        <v>0.194474539544962</v>
      </c>
      <c r="K54" s="86">
        <f>K53/J53-1</f>
        <v>0.0639455782312925</v>
      </c>
      <c r="L54" s="72">
        <f>OFFSET(L54,$C$13,0)</f>
        <v>0.0756468598253832</v>
      </c>
      <c r="M54" s="72">
        <f>OFFSET(M54,$C$13,0)</f>
        <v>0.0792351448690374</v>
      </c>
      <c r="N54" s="72">
        <f>OFFSET(N54,$C$13,0)</f>
        <v>0.08282342991269161</v>
      </c>
      <c r="O54" s="72">
        <f>OFFSET(O54,$C$13,0)</f>
        <v>0.08641171495634579</v>
      </c>
      <c r="P54" s="72">
        <f>OFFSET(P54,$C$13,0)</f>
        <v>0.09</v>
      </c>
    </row>
    <row r="55" ht="22" customHeight="1">
      <c r="A55" s="67"/>
      <c r="B55" t="s" s="34">
        <v>34</v>
      </c>
      <c r="C55" s="69"/>
      <c r="D55" s="71"/>
      <c r="E55" s="71"/>
      <c r="F55" s="71"/>
      <c r="G55" s="71"/>
      <c r="H55" s="71"/>
      <c r="I55" s="71"/>
      <c r="J55" s="71"/>
      <c r="K55" s="90"/>
      <c r="L55" s="74">
        <f>L56</f>
        <v>0.0756468598253832</v>
      </c>
      <c r="M55" s="74">
        <f>M56*$E$10</f>
        <v>0.0713116303821337</v>
      </c>
      <c r="N55" s="74">
        <f>N56*$E$10</f>
        <v>0.0745410869214224</v>
      </c>
      <c r="O55" s="74">
        <f>O56*$E$10</f>
        <v>0.0777705434607112</v>
      </c>
      <c r="P55" s="74">
        <f>P56*$E$10</f>
        <v>0.081</v>
      </c>
    </row>
    <row r="56" ht="22" customHeight="1">
      <c r="A56" s="67"/>
      <c r="B56" t="s" s="34">
        <v>35</v>
      </c>
      <c r="C56" s="69"/>
      <c r="D56" s="71"/>
      <c r="E56" s="71"/>
      <c r="F56" s="71"/>
      <c r="G56" s="71"/>
      <c r="H56" s="71"/>
      <c r="I56" s="71"/>
      <c r="J56" s="71"/>
      <c r="K56" s="90"/>
      <c r="L56" s="87">
        <f>AVERAGE(K54,J54,I54)</f>
        <v>0.0756468598253832</v>
      </c>
      <c r="M56" s="87">
        <f>L56-(L56-$P$56)/($P$23-L23)</f>
        <v>0.0792351448690374</v>
      </c>
      <c r="N56" s="87">
        <f>M56-(M56-$P$56)/($P$23-M23)</f>
        <v>0.08282342991269161</v>
      </c>
      <c r="O56" s="87">
        <f>N56-(N56-$P$56)/($P$23-N23)</f>
        <v>0.08641171495634579</v>
      </c>
      <c r="P56" s="74">
        <f>G13</f>
        <v>0.09</v>
      </c>
    </row>
    <row r="57" ht="22" customHeight="1">
      <c r="A57" s="67"/>
      <c r="B57" t="s" s="34">
        <v>36</v>
      </c>
      <c r="C57" s="69"/>
      <c r="D57" s="71"/>
      <c r="E57" s="71"/>
      <c r="F57" s="71"/>
      <c r="G57" s="71"/>
      <c r="H57" s="71"/>
      <c r="I57" s="71"/>
      <c r="J57" s="71"/>
      <c r="K57" s="90"/>
      <c r="L57" s="88">
        <f>L56</f>
        <v>0.0756468598253832</v>
      </c>
      <c r="M57" s="88">
        <f>M56*$I$10</f>
        <v>0.0871586593559411</v>
      </c>
      <c r="N57" s="88">
        <f>N56*$I$10</f>
        <v>0.0911057729039608</v>
      </c>
      <c r="O57" s="88">
        <f>O56*$I$10</f>
        <v>0.0950528864519804</v>
      </c>
      <c r="P57" s="87">
        <f>P56*$I$10</f>
        <v>0.099</v>
      </c>
    </row>
    <row r="58" ht="21.5" customHeight="1">
      <c r="A58" s="67"/>
      <c r="B58" s="25"/>
      <c r="C58" s="77"/>
      <c r="D58" s="79"/>
      <c r="E58" s="79"/>
      <c r="F58" s="79"/>
      <c r="G58" s="79"/>
      <c r="H58" s="79"/>
      <c r="I58" s="79"/>
      <c r="J58" s="79"/>
      <c r="K58" s="79"/>
      <c r="L58" s="89"/>
      <c r="M58" s="89"/>
      <c r="N58" s="89"/>
      <c r="O58" s="89"/>
      <c r="P58" s="89"/>
    </row>
    <row r="59" ht="21" customHeight="1">
      <c r="A59" s="67"/>
      <c r="B59" t="s" s="34">
        <f>$B14</f>
        <v>42</v>
      </c>
      <c r="C59" s="92"/>
      <c r="D59" s="83">
        <v>-82</v>
      </c>
      <c r="E59" s="83">
        <v>-86</v>
      </c>
      <c r="F59" s="83">
        <v>75</v>
      </c>
      <c r="G59" s="83">
        <v>26</v>
      </c>
      <c r="H59" s="83">
        <v>-7</v>
      </c>
      <c r="I59" s="83">
        <v>-11</v>
      </c>
      <c r="J59" s="83">
        <v>40</v>
      </c>
      <c r="K59" s="83">
        <v>-72</v>
      </c>
      <c r="L59" s="63">
        <f>K59*(1+L60)</f>
        <v>92.7584415584417</v>
      </c>
      <c r="M59" s="63">
        <f>L59*(1+M60)</f>
        <v>-71.0746500252998</v>
      </c>
      <c r="N59" s="63">
        <f>M59*(1+N60)</f>
        <v>17.3532911750087</v>
      </c>
      <c r="O59" s="63">
        <f>N59*(1+O60)</f>
        <v>4.82286274214522</v>
      </c>
      <c r="P59" s="63">
        <f>O59*(1+P60)</f>
        <v>3.85829019371618</v>
      </c>
    </row>
    <row r="60" ht="21.5" customHeight="1">
      <c r="A60" s="67"/>
      <c r="B60" t="s" s="68">
        <v>33</v>
      </c>
      <c r="C60" s="85"/>
      <c r="D60" s="86"/>
      <c r="E60" s="86">
        <f>E59/D59-1</f>
        <v>0.048780487804878</v>
      </c>
      <c r="F60" s="86">
        <f>F59/E59-1</f>
        <v>-1.87209302325581</v>
      </c>
      <c r="G60" s="86">
        <f>G59/F59-1</f>
        <v>-0.653333333333333</v>
      </c>
      <c r="H60" s="86">
        <f>H59/G59-1</f>
        <v>-1.26923076923077</v>
      </c>
      <c r="I60" s="86">
        <f>I59/H59-1</f>
        <v>0.571428571428571</v>
      </c>
      <c r="J60" s="86">
        <f>J59/I59-1</f>
        <v>-4.63636363636364</v>
      </c>
      <c r="K60" s="86">
        <f>K59/J59-1</f>
        <v>-2.8</v>
      </c>
      <c r="L60" s="72">
        <f>OFFSET(L60,$C$14,0)</f>
        <v>-2.28831168831169</v>
      </c>
      <c r="M60" s="72">
        <f>OFFSET(M60,$C$14,0)</f>
        <v>-1.76623376623377</v>
      </c>
      <c r="N60" s="72">
        <f>OFFSET(N60,$C$14,0)</f>
        <v>-1.24415584415585</v>
      </c>
      <c r="O60" s="72">
        <f>OFFSET(O60,$C$14,0)</f>
        <v>-0.722077922077925</v>
      </c>
      <c r="P60" s="72">
        <f>OFFSET(P60,$C$14,0)</f>
        <v>-0.2</v>
      </c>
    </row>
    <row r="61" ht="22" customHeight="1">
      <c r="A61" s="67"/>
      <c r="B61" t="s" s="34">
        <v>34</v>
      </c>
      <c r="C61" s="69"/>
      <c r="D61" s="71"/>
      <c r="E61" s="71"/>
      <c r="F61" s="71"/>
      <c r="G61" s="71"/>
      <c r="H61" s="71"/>
      <c r="I61" s="71"/>
      <c r="J61" s="71"/>
      <c r="K61" s="90"/>
      <c r="L61" s="74">
        <f>L62</f>
        <v>-2.28831168831169</v>
      </c>
      <c r="M61" s="74">
        <f>M62*$E$10</f>
        <v>-1.58961038961039</v>
      </c>
      <c r="N61" s="74">
        <f>N62*$E$10</f>
        <v>-1.11974025974027</v>
      </c>
      <c r="O61" s="74">
        <f>O62*$E$10</f>
        <v>-0.649870129870133</v>
      </c>
      <c r="P61" s="74">
        <f>P62*$E$10</f>
        <v>-0.18</v>
      </c>
    </row>
    <row r="62" ht="22" customHeight="1">
      <c r="A62" s="67"/>
      <c r="B62" t="s" s="34">
        <v>35</v>
      </c>
      <c r="C62" s="69"/>
      <c r="D62" s="71"/>
      <c r="E62" s="71"/>
      <c r="F62" s="71"/>
      <c r="G62" s="71"/>
      <c r="H62" s="71"/>
      <c r="I62" s="71"/>
      <c r="J62" s="71"/>
      <c r="K62" s="90"/>
      <c r="L62" s="87">
        <f>AVERAGE(K60,J60,I60)</f>
        <v>-2.28831168831169</v>
      </c>
      <c r="M62" s="87">
        <f>L62-(L62-$P$62)/($P$23-L23)</f>
        <v>-1.76623376623377</v>
      </c>
      <c r="N62" s="87">
        <f>M62-(M62-$P$62)/($P$23-M23)</f>
        <v>-1.24415584415585</v>
      </c>
      <c r="O62" s="87">
        <f>N62-(N62-$P$62)/($P$23-N23)</f>
        <v>-0.722077922077925</v>
      </c>
      <c r="P62" s="74">
        <f>G14</f>
        <v>-0.2</v>
      </c>
    </row>
    <row r="63" ht="22" customHeight="1">
      <c r="A63" s="67"/>
      <c r="B63" t="s" s="34">
        <v>36</v>
      </c>
      <c r="C63" s="69"/>
      <c r="D63" s="71"/>
      <c r="E63" s="71"/>
      <c r="F63" s="71"/>
      <c r="G63" s="71"/>
      <c r="H63" s="71"/>
      <c r="I63" s="71"/>
      <c r="J63" s="71"/>
      <c r="K63" s="90"/>
      <c r="L63" s="88">
        <f>L62</f>
        <v>-2.28831168831169</v>
      </c>
      <c r="M63" s="88">
        <f>M62*$I$10</f>
        <v>-1.94285714285715</v>
      </c>
      <c r="N63" s="88">
        <f>N62*$I$10</f>
        <v>-1.36857142857144</v>
      </c>
      <c r="O63" s="88">
        <f>O62*$I$10</f>
        <v>-0.794285714285718</v>
      </c>
      <c r="P63" s="87">
        <f>P62*$I$10</f>
        <v>-0.22</v>
      </c>
    </row>
    <row r="64" ht="22" customHeight="1">
      <c r="A64" s="93"/>
      <c r="B64" s="94"/>
      <c r="C64" s="95"/>
      <c r="D64" s="96"/>
      <c r="E64" s="97"/>
      <c r="F64" s="98"/>
      <c r="G64" s="98"/>
      <c r="H64" s="98"/>
      <c r="I64" s="98"/>
      <c r="J64" s="98"/>
      <c r="K64" s="98"/>
      <c r="L64" s="99"/>
      <c r="M64" s="99"/>
      <c r="N64" s="99"/>
      <c r="O64" s="99"/>
      <c r="P64" s="99"/>
    </row>
    <row r="65" ht="21.5" customHeight="1">
      <c r="A65" s="100"/>
      <c r="B65" t="s" s="101">
        <v>43</v>
      </c>
      <c r="C65" s="102">
        <f>SUM(C27,C33,C39,C45,C53,C59)</f>
        <v>0</v>
      </c>
      <c r="D65" s="103">
        <f>SUM(D27,D33,D39,D45,D53,D59)</f>
        <v>30601</v>
      </c>
      <c r="E65" s="103">
        <f>SUM(E27,E33,E39,E45,E53,E59)</f>
        <v>32376</v>
      </c>
      <c r="F65" s="103">
        <f>SUM(F27,F33,F39,F45,F53,F59)</f>
        <v>34350</v>
      </c>
      <c r="G65" s="103">
        <f>SUM(G27,G33,G39,G45,G53,G59)</f>
        <v>36397</v>
      </c>
      <c r="H65" s="103">
        <f>SUM(H27,H33,H39,H45,H53,H59)</f>
        <v>39117</v>
      </c>
      <c r="I65" s="103">
        <f>SUM(I27,I33,I39,I45,I53,I59)</f>
        <v>37403</v>
      </c>
      <c r="J65" s="103">
        <f>SUM(J27,J33,J39,J45,J53,J59)</f>
        <v>44538</v>
      </c>
      <c r="K65" s="103">
        <f>SUM(K27,K33,K39,K45,K53,K59)</f>
        <v>46710</v>
      </c>
      <c r="L65" s="103">
        <f>SUM(L27,L33,L39,L45,L53,L59)</f>
        <v>50021.1395871598</v>
      </c>
      <c r="M65" s="103">
        <f>SUM(M27,M33,M39,M45,M53,M59)</f>
        <v>53898.5930848328</v>
      </c>
      <c r="N65" s="103">
        <f>SUM(N27,N33,N39,N45,N53,N59)</f>
        <v>59070.5505765319</v>
      </c>
      <c r="O65" s="103">
        <f>SUM(O27,O33,O39,O45,O53,O59)</f>
        <v>65354.822152049</v>
      </c>
      <c r="P65" s="103">
        <f>SUM(P27,P33,P39,P45,P53,P59)</f>
        <v>73076.4244974985</v>
      </c>
    </row>
    <row r="66" ht="21" customHeight="1">
      <c r="A66" s="13"/>
      <c r="B66" t="s" s="68">
        <v>33</v>
      </c>
      <c r="C66" s="28"/>
      <c r="D66" s="11"/>
      <c r="E66" s="104">
        <f>E65/D65-1</f>
        <v>0.0580046403712297</v>
      </c>
      <c r="F66" s="104">
        <f>F65/E65-1</f>
        <v>0.0609710896960712</v>
      </c>
      <c r="G66" s="104">
        <f>G65/F65-1</f>
        <v>0.0595924308588064</v>
      </c>
      <c r="H66" s="104">
        <f>H65/G65-1</f>
        <v>0.07473143390938811</v>
      </c>
      <c r="I66" s="104">
        <f>I65/H65-1</f>
        <v>-0.0438172661502671</v>
      </c>
      <c r="J66" s="104">
        <f>J65/I65-1</f>
        <v>0.190760099457263</v>
      </c>
      <c r="K66" s="104">
        <f>K65/J65-1</f>
        <v>0.0487673447393237</v>
      </c>
      <c r="L66" s="104">
        <f>L65/K65-1</f>
        <v>0.0708871673551659</v>
      </c>
      <c r="M66" s="104">
        <f>M65/L65-1</f>
        <v>0.07751629670325071</v>
      </c>
      <c r="N66" s="104">
        <f>N65/M65-1</f>
        <v>0.09595718915257739</v>
      </c>
      <c r="O66" s="104">
        <f>O65/N65-1</f>
        <v>0.10638586426201</v>
      </c>
      <c r="P66" s="104">
        <f>P65/O65-1</f>
        <v>0.118148930579064</v>
      </c>
    </row>
    <row r="67" ht="21" customHeight="1">
      <c r="A67" s="13"/>
      <c r="B67" s="25"/>
      <c r="C67" s="28"/>
      <c r="D67" s="11"/>
      <c r="E67" s="63"/>
      <c r="F67" s="63"/>
      <c r="G67" s="63"/>
      <c r="H67" s="63"/>
      <c r="I67" s="63"/>
      <c r="J67" s="63"/>
      <c r="K67" s="63"/>
      <c r="L67" s="63"/>
      <c r="M67" s="63"/>
      <c r="N67" s="63"/>
      <c r="O67" s="63"/>
      <c r="P67" s="63"/>
    </row>
    <row r="68" ht="21" customHeight="1">
      <c r="A68" t="s" s="29">
        <v>13</v>
      </c>
      <c r="B68" t="s" s="30">
        <v>44</v>
      </c>
      <c r="C68" s="31"/>
      <c r="D68" s="61">
        <v>2015</v>
      </c>
      <c r="E68" s="62">
        <v>2016</v>
      </c>
      <c r="F68" s="62">
        <v>2017</v>
      </c>
      <c r="G68" s="62">
        <v>2018</v>
      </c>
      <c r="H68" s="62">
        <v>2019</v>
      </c>
      <c r="I68" s="62">
        <v>2020</v>
      </c>
      <c r="J68" s="62">
        <v>2021</v>
      </c>
      <c r="K68" s="62">
        <v>2022</v>
      </c>
      <c r="L68" s="62">
        <v>2023</v>
      </c>
      <c r="M68" s="62">
        <v>2024</v>
      </c>
      <c r="N68" s="62">
        <v>2025</v>
      </c>
      <c r="O68" s="62">
        <v>2026</v>
      </c>
      <c r="P68" s="62">
        <v>2027</v>
      </c>
    </row>
    <row r="69" ht="21" customHeight="1">
      <c r="A69" s="13"/>
      <c r="B69" s="25"/>
      <c r="C69" s="28"/>
      <c r="D69" s="11"/>
      <c r="E69" s="11"/>
      <c r="F69" s="11"/>
      <c r="G69" s="11"/>
      <c r="H69" s="11"/>
      <c r="I69" s="11"/>
      <c r="J69" s="11"/>
      <c r="K69" s="11"/>
      <c r="L69" s="11"/>
      <c r="M69" s="11"/>
      <c r="N69" s="11"/>
      <c r="O69" s="11"/>
      <c r="P69" s="11"/>
    </row>
    <row r="70" ht="21" customHeight="1">
      <c r="A70" s="13"/>
      <c r="B70" t="s" s="34">
        <v>45</v>
      </c>
      <c r="C70" s="28"/>
      <c r="D70" s="105">
        <f>D65</f>
        <v>30601</v>
      </c>
      <c r="E70" s="105">
        <f>E65</f>
        <v>32376</v>
      </c>
      <c r="F70" s="105">
        <f>F65</f>
        <v>34350</v>
      </c>
      <c r="G70" s="105">
        <f>G65</f>
        <v>36397</v>
      </c>
      <c r="H70" s="105">
        <f>H65</f>
        <v>39117</v>
      </c>
      <c r="I70" s="105">
        <f>I65</f>
        <v>37403</v>
      </c>
      <c r="J70" s="105">
        <f>J65</f>
        <v>44538</v>
      </c>
      <c r="K70" s="105">
        <f>K65</f>
        <v>46710</v>
      </c>
      <c r="L70" s="105">
        <f>L65</f>
        <v>50021.1395871598</v>
      </c>
      <c r="M70" s="105">
        <f>M65</f>
        <v>53898.5930848328</v>
      </c>
      <c r="N70" s="105">
        <f>N65</f>
        <v>59070.5505765319</v>
      </c>
      <c r="O70" s="105">
        <f>O65</f>
        <v>65354.822152049</v>
      </c>
      <c r="P70" s="105">
        <f>P65</f>
        <v>73076.4244974985</v>
      </c>
    </row>
    <row r="71" ht="21" customHeight="1">
      <c r="A71" s="67"/>
      <c r="B71" t="s" s="68">
        <v>33</v>
      </c>
      <c r="C71" s="69"/>
      <c r="D71" s="70"/>
      <c r="E71" s="71">
        <f>E70/D70-1</f>
        <v>0.0580046403712297</v>
      </c>
      <c r="F71" s="71">
        <f>F70/E70-1</f>
        <v>0.0609710896960712</v>
      </c>
      <c r="G71" s="71">
        <f>G70/F70-1</f>
        <v>0.0595924308588064</v>
      </c>
      <c r="H71" s="71">
        <f>H70/G70-1</f>
        <v>0.07473143390938811</v>
      </c>
      <c r="I71" s="71">
        <f>I70/H70-1</f>
        <v>-0.0438172661502671</v>
      </c>
      <c r="J71" s="71">
        <f>J70/I70-1</f>
        <v>0.190760099457263</v>
      </c>
      <c r="K71" s="71">
        <f>K70/J70-1</f>
        <v>0.0487673447393237</v>
      </c>
      <c r="L71" s="71">
        <f>L70/K70-1</f>
        <v>0.0708871673551659</v>
      </c>
      <c r="M71" s="71">
        <f>M70/L70-1</f>
        <v>0.07751629670325071</v>
      </c>
      <c r="N71" s="71">
        <f>N70/M70-1</f>
        <v>0.09595718915257739</v>
      </c>
      <c r="O71" s="71">
        <f>O70/N70-1</f>
        <v>0.10638586426201</v>
      </c>
      <c r="P71" s="71">
        <f>P70/O70-1</f>
        <v>0.118148930579064</v>
      </c>
    </row>
    <row r="72" ht="21" customHeight="1">
      <c r="A72" s="13"/>
      <c r="B72" s="25"/>
      <c r="C72" s="28"/>
      <c r="D72" s="11"/>
      <c r="E72" s="11"/>
      <c r="F72" s="11"/>
      <c r="G72" s="11"/>
      <c r="H72" s="11"/>
      <c r="I72" s="11"/>
      <c r="J72" s="11"/>
      <c r="K72" s="11"/>
      <c r="L72" s="11"/>
      <c r="M72" s="11"/>
      <c r="N72" s="11"/>
      <c r="O72" s="11"/>
      <c r="P72" s="11"/>
    </row>
    <row r="73" ht="21" customHeight="1">
      <c r="A73" s="13"/>
      <c r="B73" t="s" s="34">
        <v>25</v>
      </c>
      <c r="C73" s="28"/>
      <c r="D73" s="66">
        <f>4205+28</f>
        <v>4233</v>
      </c>
      <c r="E73" s="66">
        <f>4623+19</f>
        <v>4642</v>
      </c>
      <c r="F73" s="66">
        <f>4886+59</f>
        <v>4945</v>
      </c>
      <c r="G73" s="66">
        <f>4235+54</f>
        <v>4289</v>
      </c>
      <c r="H73" s="66">
        <f>4801+49</f>
        <v>4850</v>
      </c>
      <c r="I73" s="66">
        <f>2887+89</f>
        <v>2976</v>
      </c>
      <c r="J73" s="66">
        <v>6923</v>
      </c>
      <c r="K73" s="66">
        <v>6856</v>
      </c>
      <c r="L73" s="106">
        <f>L70*L74</f>
        <v>6365.7585905241</v>
      </c>
      <c r="M73" s="106">
        <f>M70*M74</f>
        <v>7716.116419889680</v>
      </c>
      <c r="N73" s="106">
        <f>N70*N74</f>
        <v>8214.729685348169</v>
      </c>
      <c r="O73" s="106">
        <f>O70*O74</f>
        <v>8920.664552086229</v>
      </c>
      <c r="P73" s="106">
        <f>P70*P74</f>
        <v>10199.5734855768</v>
      </c>
    </row>
    <row r="74" ht="21" customHeight="1">
      <c r="A74" s="67"/>
      <c r="B74" t="s" s="68">
        <v>46</v>
      </c>
      <c r="C74" s="69"/>
      <c r="D74" s="71">
        <f>D73/D70</f>
        <v>0.138328812783896</v>
      </c>
      <c r="E74" s="71">
        <f>E73/E70</f>
        <v>0.143377810723993</v>
      </c>
      <c r="F74" s="71">
        <f>F73/F70</f>
        <v>0.143959243085881</v>
      </c>
      <c r="G74" s="71">
        <f>G73/G70</f>
        <v>0.117839382366679</v>
      </c>
      <c r="H74" s="71">
        <f>H73/H70</f>
        <v>0.123987013319017</v>
      </c>
      <c r="I74" s="71">
        <f>I73/I70</f>
        <v>0.079565810229126</v>
      </c>
      <c r="J74" s="71">
        <f>J73/J70</f>
        <v>0.155440298172347</v>
      </c>
      <c r="K74" s="71">
        <f>K73/K70</f>
        <v>0.146777991864697</v>
      </c>
      <c r="L74" s="71">
        <f>AVERAGE(K74,J74,I74)</f>
        <v>0.12726136675539</v>
      </c>
      <c r="M74" s="71">
        <f>AVERAGE(L74,K74,J74)</f>
        <v>0.143159885597478</v>
      </c>
      <c r="N74" s="71">
        <f>AVERAGE(M74,L74,K74)</f>
        <v>0.139066414739188</v>
      </c>
      <c r="O74" s="71">
        <f>AVERAGE(N74,M74,L74)</f>
        <v>0.136495889030685</v>
      </c>
      <c r="P74" s="71">
        <f>AVERAGE(O74,N74,M74)</f>
        <v>0.13957406312245</v>
      </c>
    </row>
    <row r="75" ht="21" customHeight="1">
      <c r="A75" s="107"/>
      <c r="B75" s="108"/>
      <c r="C75" s="28"/>
      <c r="D75" s="109"/>
      <c r="E75" s="11"/>
      <c r="F75" s="11"/>
      <c r="G75" s="11"/>
      <c r="H75" s="11"/>
      <c r="I75" s="11"/>
      <c r="J75" s="11"/>
      <c r="K75" s="11"/>
      <c r="L75" s="11"/>
      <c r="M75" s="11"/>
      <c r="N75" s="11"/>
      <c r="O75" s="11"/>
      <c r="P75" s="11"/>
    </row>
    <row r="76" ht="21" customHeight="1">
      <c r="A76" s="8"/>
      <c r="B76" t="s" s="110">
        <v>47</v>
      </c>
      <c r="C76" s="28"/>
      <c r="D76" s="111">
        <v>932</v>
      </c>
      <c r="E76" s="111">
        <v>863</v>
      </c>
      <c r="F76" s="111">
        <v>646</v>
      </c>
      <c r="G76" s="66">
        <v>2392</v>
      </c>
      <c r="H76" s="111">
        <v>772</v>
      </c>
      <c r="I76" s="66">
        <v>348</v>
      </c>
      <c r="J76" s="66">
        <v>934</v>
      </c>
      <c r="K76" s="66">
        <v>605</v>
      </c>
      <c r="L76" s="106">
        <f>L73*L77</f>
        <v>721.647788933695</v>
      </c>
      <c r="M76" s="106">
        <f>M73*M77</f>
        <v>865.543716936642</v>
      </c>
      <c r="N76" s="106">
        <f>N73*N77</f>
        <v>859.2096690603061</v>
      </c>
      <c r="O76" s="106">
        <f>O73*O77</f>
        <v>981.663425296994</v>
      </c>
      <c r="P76" s="106">
        <f>P73*P77</f>
        <v>1111.111042428670</v>
      </c>
    </row>
    <row r="77" ht="21" customHeight="1">
      <c r="A77" s="75"/>
      <c r="B77" t="s" s="112">
        <v>48</v>
      </c>
      <c r="C77" s="69"/>
      <c r="D77" s="71">
        <f>D76/D73</f>
        <v>0.220174816914718</v>
      </c>
      <c r="E77" s="71">
        <f>E76/E73</f>
        <v>0.185911245152951</v>
      </c>
      <c r="F77" s="71">
        <f>F76/F73</f>
        <v>0.130637007077856</v>
      </c>
      <c r="G77" s="71">
        <f>G76/G73</f>
        <v>0.557705758918163</v>
      </c>
      <c r="H77" s="71">
        <f>H76/H73</f>
        <v>0.159175257731959</v>
      </c>
      <c r="I77" s="71">
        <f>I76/I73</f>
        <v>0.116935483870968</v>
      </c>
      <c r="J77" s="71">
        <f>J76/J73</f>
        <v>0.134912610140113</v>
      </c>
      <c r="K77" s="71">
        <f>K76/K73</f>
        <v>0.0882438739789965</v>
      </c>
      <c r="L77" s="71">
        <f>AVERAGE(K77,J77,I77)</f>
        <v>0.113363989330026</v>
      </c>
      <c r="M77" s="71">
        <f>AVERAGE(L77,K77,J77)</f>
        <v>0.112173491149712</v>
      </c>
      <c r="N77" s="71">
        <f>AVERAGE(M77,L77,K77)</f>
        <v>0.104593784819578</v>
      </c>
      <c r="O77" s="71">
        <f>AVERAGE(N77,M77,L77)</f>
        <v>0.110043755099772</v>
      </c>
      <c r="P77" s="71">
        <f>AVERAGE(O77,N77,M77)</f>
        <v>0.108937010356354</v>
      </c>
    </row>
    <row r="78" ht="21" customHeight="1">
      <c r="A78" s="81"/>
      <c r="B78" s="48"/>
      <c r="C78" s="28"/>
      <c r="D78" s="11"/>
      <c r="E78" s="113"/>
      <c r="F78" s="113"/>
      <c r="G78" s="113"/>
      <c r="H78" s="113"/>
      <c r="I78" s="113"/>
      <c r="J78" s="113"/>
      <c r="K78" s="113"/>
      <c r="L78" s="113"/>
      <c r="M78" s="113"/>
      <c r="N78" s="113"/>
      <c r="O78" s="113"/>
      <c r="P78" s="113"/>
    </row>
    <row r="79" ht="21" customHeight="1">
      <c r="A79" t="s" s="114">
        <v>13</v>
      </c>
      <c r="B79" t="s" s="115">
        <v>49</v>
      </c>
      <c r="C79" s="31"/>
      <c r="D79" s="61">
        <v>2015</v>
      </c>
      <c r="E79" s="62">
        <v>2016</v>
      </c>
      <c r="F79" s="62">
        <v>2017</v>
      </c>
      <c r="G79" s="62">
        <v>2018</v>
      </c>
      <c r="H79" s="62">
        <v>2019</v>
      </c>
      <c r="I79" s="62">
        <v>2020</v>
      </c>
      <c r="J79" s="62">
        <v>2021</v>
      </c>
      <c r="K79" s="62">
        <v>2022</v>
      </c>
      <c r="L79" s="36"/>
      <c r="M79" s="36"/>
      <c r="N79" s="36"/>
      <c r="O79" s="36"/>
      <c r="P79" s="36"/>
    </row>
    <row r="80" ht="21" customHeight="1">
      <c r="A80" s="107"/>
      <c r="B80" s="108"/>
      <c r="C80" s="28"/>
      <c r="D80" s="11"/>
      <c r="E80" s="113"/>
      <c r="F80" s="113"/>
      <c r="G80" s="113"/>
      <c r="H80" s="113"/>
      <c r="I80" s="113"/>
      <c r="J80" s="113"/>
      <c r="K80" s="113"/>
      <c r="L80" s="113"/>
      <c r="M80" s="113"/>
      <c r="N80" s="113"/>
      <c r="O80" s="113"/>
      <c r="P80" s="113"/>
    </row>
    <row r="81" ht="21" customHeight="1">
      <c r="A81" s="81"/>
      <c r="B81" t="s" s="116">
        <v>50</v>
      </c>
      <c r="C81" s="28"/>
      <c r="D81" s="111">
        <f>606+43</f>
        <v>649</v>
      </c>
      <c r="E81" s="111">
        <f>649+13</f>
        <v>662</v>
      </c>
      <c r="F81" s="111">
        <f>706+10</f>
        <v>716</v>
      </c>
      <c r="G81" s="111">
        <f>747+27</f>
        <v>774</v>
      </c>
      <c r="H81" s="111">
        <f>705+15</f>
        <v>720</v>
      </c>
      <c r="I81" s="111">
        <f>721+398</f>
        <v>1119</v>
      </c>
      <c r="J81" s="111">
        <f>744+53</f>
        <v>797</v>
      </c>
      <c r="K81" s="111">
        <f>717+123</f>
        <v>840</v>
      </c>
      <c r="L81" s="106"/>
      <c r="M81" s="106"/>
      <c r="N81" s="106"/>
      <c r="O81" s="106"/>
      <c r="P81" s="106"/>
    </row>
    <row r="82" ht="21" customHeight="1">
      <c r="A82" s="117"/>
      <c r="B82" t="s" s="118">
        <v>51</v>
      </c>
      <c r="C82" s="69"/>
      <c r="D82" s="71">
        <f>D81/D70</f>
        <v>0.0212084572399595</v>
      </c>
      <c r="E82" s="71">
        <f>E81/E70</f>
        <v>0.0204472448727452</v>
      </c>
      <c r="F82" s="71">
        <f>F81/F70</f>
        <v>0.020844250363901</v>
      </c>
      <c r="G82" s="71">
        <f>G81/G70</f>
        <v>0.0212654889139215</v>
      </c>
      <c r="H82" s="71">
        <f>H81/H70</f>
        <v>0.0184063195030294</v>
      </c>
      <c r="I82" s="71">
        <f>I81/I70</f>
        <v>0.0299173863059113</v>
      </c>
      <c r="J82" s="71">
        <f>J81/J70</f>
        <v>0.0178948313799452</v>
      </c>
      <c r="K82" s="71">
        <f>K81/K70</f>
        <v>0.0179833012202954</v>
      </c>
      <c r="L82" s="71"/>
      <c r="M82" s="71"/>
      <c r="N82" s="71"/>
      <c r="O82" s="71"/>
      <c r="P82" s="71"/>
    </row>
    <row r="83" ht="21" customHeight="1">
      <c r="A83" s="117"/>
      <c r="B83" t="s" s="118">
        <v>52</v>
      </c>
      <c r="C83" s="69"/>
      <c r="D83" s="71">
        <f>D81/D85</f>
        <v>0.673935617860852</v>
      </c>
      <c r="E83" s="71">
        <f>E81/E85</f>
        <v>0.57917760279965</v>
      </c>
      <c r="F83" s="71">
        <f>F81/F85</f>
        <v>0.647963800904977</v>
      </c>
      <c r="G83" s="71">
        <f>G81/G85</f>
        <v>0.752918287937743</v>
      </c>
      <c r="H83" s="71">
        <f>H81/H85</f>
        <v>0.64343163538874</v>
      </c>
      <c r="I83" s="71">
        <f>I81/I85</f>
        <v>1.03038674033149</v>
      </c>
      <c r="J83" s="71">
        <f>J81/J85</f>
        <v>1.14676258992806</v>
      </c>
      <c r="K83" s="71">
        <f>K81/K85</f>
        <v>1.10817941952507</v>
      </c>
      <c r="L83" s="71"/>
      <c r="M83" s="71"/>
      <c r="N83" s="71"/>
      <c r="O83" s="71"/>
      <c r="P83" s="71"/>
    </row>
    <row r="84" ht="21" customHeight="1">
      <c r="A84" s="81"/>
      <c r="B84" s="48"/>
      <c r="C84" s="28"/>
      <c r="D84" s="11"/>
      <c r="E84" s="113"/>
      <c r="F84" s="113"/>
      <c r="G84" s="113"/>
      <c r="H84" s="113"/>
      <c r="I84" s="113"/>
      <c r="J84" s="113"/>
      <c r="K84" s="113"/>
      <c r="L84" s="113"/>
      <c r="M84" s="113"/>
      <c r="N84" s="113"/>
      <c r="O84" s="113"/>
      <c r="P84" s="113"/>
    </row>
    <row r="85" ht="21" customHeight="1">
      <c r="A85" s="81"/>
      <c r="B85" t="s" s="116">
        <v>53</v>
      </c>
      <c r="C85" s="28"/>
      <c r="D85" s="66">
        <v>963</v>
      </c>
      <c r="E85" s="66">
        <v>1143</v>
      </c>
      <c r="F85" s="111">
        <v>1105</v>
      </c>
      <c r="G85" s="111">
        <v>1028</v>
      </c>
      <c r="H85" s="111">
        <v>1119</v>
      </c>
      <c r="I85" s="111">
        <v>1086</v>
      </c>
      <c r="J85" s="111">
        <f>695</f>
        <v>695</v>
      </c>
      <c r="K85" s="111">
        <v>758</v>
      </c>
      <c r="L85" s="106"/>
      <c r="M85" s="106"/>
      <c r="N85" s="106"/>
      <c r="O85" s="106"/>
      <c r="P85" s="106"/>
    </row>
    <row r="86" ht="21" customHeight="1">
      <c r="A86" s="117"/>
      <c r="B86" t="s" s="118">
        <v>46</v>
      </c>
      <c r="C86" s="69"/>
      <c r="D86" s="71">
        <f>D85/D70</f>
        <v>0.0314695598183066</v>
      </c>
      <c r="E86" s="71">
        <f>E85/E70</f>
        <v>0.0353039288361749</v>
      </c>
      <c r="F86" s="71">
        <f>F85/F70</f>
        <v>0.0321688500727802</v>
      </c>
      <c r="G86" s="71">
        <f>G85/G70</f>
        <v>0.0282440860510482</v>
      </c>
      <c r="H86" s="71">
        <f>H85/H70</f>
        <v>0.0286064882276248</v>
      </c>
      <c r="I86" s="71">
        <f>I85/I70</f>
        <v>0.0290351041360319</v>
      </c>
      <c r="J86" s="71">
        <f>J85/J70</f>
        <v>0.015604652207104</v>
      </c>
      <c r="K86" s="71">
        <f>K85/K70</f>
        <v>0.0162277884821237</v>
      </c>
      <c r="L86" s="71"/>
      <c r="M86" s="71"/>
      <c r="N86" s="71"/>
      <c r="O86" s="71"/>
      <c r="P86" s="71"/>
    </row>
    <row r="87" ht="21" customHeight="1">
      <c r="A87" s="81"/>
      <c r="B87" s="48"/>
      <c r="C87" s="28"/>
      <c r="D87" s="11"/>
      <c r="E87" s="113"/>
      <c r="F87" s="113"/>
      <c r="G87" s="113"/>
      <c r="H87" s="113"/>
      <c r="I87" s="113"/>
      <c r="J87" s="113"/>
      <c r="K87" s="113"/>
      <c r="L87" s="113"/>
      <c r="M87" s="113"/>
      <c r="N87" s="113"/>
      <c r="O87" s="113"/>
      <c r="P87" s="113"/>
    </row>
    <row r="88" ht="21" customHeight="1">
      <c r="A88" s="81"/>
      <c r="B88" t="s" s="116">
        <v>54</v>
      </c>
      <c r="C88" s="28"/>
      <c r="D88" s="63">
        <f>15587-6332</f>
        <v>9255</v>
      </c>
      <c r="E88" s="63">
        <f>15025-5358</f>
        <v>9667</v>
      </c>
      <c r="F88" s="63">
        <f>16061-5474</f>
        <v>10587</v>
      </c>
      <c r="G88" s="63">
        <f>15134-6040</f>
        <v>9094</v>
      </c>
      <c r="H88" s="63">
        <f>16525-7866</f>
        <v>8659</v>
      </c>
      <c r="I88" s="63">
        <f>20556-8284</f>
        <v>12272</v>
      </c>
      <c r="J88" s="63">
        <f>26291-9674</f>
        <v>16617</v>
      </c>
      <c r="K88" s="63">
        <f>28213-10730</f>
        <v>17483</v>
      </c>
      <c r="L88" s="113"/>
      <c r="M88" s="113"/>
      <c r="N88" s="113"/>
      <c r="O88" s="113"/>
      <c r="P88" s="113"/>
    </row>
    <row r="89" ht="21" customHeight="1">
      <c r="A89" s="81"/>
      <c r="B89" s="48"/>
      <c r="C89" s="28"/>
      <c r="D89" s="11"/>
      <c r="E89" s="113"/>
      <c r="F89" s="113"/>
      <c r="G89" s="113"/>
      <c r="H89" s="113"/>
      <c r="I89" s="113"/>
      <c r="J89" s="113"/>
      <c r="K89" s="113"/>
      <c r="L89" s="113"/>
      <c r="M89" s="113"/>
      <c r="N89" s="113"/>
      <c r="O89" s="113"/>
      <c r="P89" s="113"/>
    </row>
    <row r="90" ht="21" customHeight="1">
      <c r="A90" s="81"/>
      <c r="B90" t="s" s="116">
        <v>55</v>
      </c>
      <c r="C90" s="28"/>
      <c r="D90" s="63"/>
      <c r="E90" s="63">
        <f>D88-E88</f>
        <v>-412</v>
      </c>
      <c r="F90" s="63">
        <f>E88-F88</f>
        <v>-920</v>
      </c>
      <c r="G90" s="63">
        <f>F88-G88</f>
        <v>1493</v>
      </c>
      <c r="H90" s="63">
        <f>G88-H88</f>
        <v>435</v>
      </c>
      <c r="I90" s="63">
        <f>H88-I88</f>
        <v>-3613</v>
      </c>
      <c r="J90" s="63">
        <f>I88-J88</f>
        <v>-4345</v>
      </c>
      <c r="K90" s="63">
        <f>J88-K88</f>
        <v>-866</v>
      </c>
      <c r="L90" s="113"/>
      <c r="M90" s="113"/>
      <c r="N90" s="113"/>
      <c r="O90" s="113"/>
      <c r="P90" s="113"/>
    </row>
    <row r="91" ht="21" customHeight="1">
      <c r="A91" s="117"/>
      <c r="B91" t="s" s="118">
        <v>46</v>
      </c>
      <c r="C91" s="69"/>
      <c r="D91" s="71">
        <f>D90/D70</f>
        <v>0</v>
      </c>
      <c r="E91" s="71">
        <f>E90/E70</f>
        <v>-0.0127254756609834</v>
      </c>
      <c r="F91" s="71">
        <f>F90/F70</f>
        <v>-0.026783114992722</v>
      </c>
      <c r="G91" s="71">
        <f>G90/G70</f>
        <v>0.0410198642745281</v>
      </c>
      <c r="H91" s="71">
        <f>H90/H70</f>
        <v>0.0111204846997469</v>
      </c>
      <c r="I91" s="71">
        <f>I90/I70</f>
        <v>-0.0965965296901318</v>
      </c>
      <c r="J91" s="71">
        <f>J90/J70</f>
        <v>-0.09755714221563611</v>
      </c>
      <c r="K91" s="71">
        <f>K90/K70</f>
        <v>-0.0185399272104474</v>
      </c>
      <c r="L91" s="71"/>
      <c r="M91" s="71"/>
      <c r="N91" s="71"/>
      <c r="O91" s="71"/>
      <c r="P91" s="71"/>
    </row>
    <row r="92" ht="21" customHeight="1">
      <c r="A92" s="117"/>
      <c r="B92" t="s" s="118">
        <v>56</v>
      </c>
      <c r="C92" s="69"/>
      <c r="D92" s="71">
        <f>(D90-C90)/(D70-C70)</f>
        <v>0</v>
      </c>
      <c r="E92" s="71">
        <f>(E90-D90)/(E70-D70)</f>
        <v>-0.232112676056338</v>
      </c>
      <c r="F92" s="71">
        <f>(F90-E90)/(F70-E70)</f>
        <v>-0.257345491388045</v>
      </c>
      <c r="G92" s="71">
        <f>(G90-F90)/(G70-F70)</f>
        <v>1.17879824132877</v>
      </c>
      <c r="H92" s="71">
        <f>(H90-G90)/(H70-G70)</f>
        <v>-0.388970588235294</v>
      </c>
      <c r="I92" s="71">
        <f>(I90-H90)/(I70-H70)</f>
        <v>2.36172695449242</v>
      </c>
      <c r="J92" s="71">
        <f>(J90-I90)/(J70-I70)</f>
        <v>-0.102592852137351</v>
      </c>
      <c r="K92" s="71">
        <f>(K90-J90)/(K70-J70)</f>
        <v>1.60174953959484</v>
      </c>
      <c r="L92" s="71"/>
      <c r="M92" s="71"/>
      <c r="N92" s="71"/>
      <c r="O92" s="71"/>
      <c r="P92" s="71"/>
    </row>
    <row r="93" ht="21" customHeight="1">
      <c r="A93" s="81"/>
      <c r="B93" s="48"/>
      <c r="C93" s="28"/>
      <c r="D93" s="11"/>
      <c r="E93" s="63"/>
      <c r="F93" s="63"/>
      <c r="G93" s="63"/>
      <c r="H93" s="63"/>
      <c r="I93" s="63"/>
      <c r="J93" s="63"/>
      <c r="K93" s="113"/>
      <c r="L93" s="113"/>
      <c r="M93" s="113"/>
      <c r="N93" s="113"/>
      <c r="O93" s="113"/>
      <c r="P93" s="113"/>
    </row>
    <row r="94" ht="21" customHeight="1">
      <c r="A94" s="81"/>
      <c r="B94" s="48"/>
      <c r="C94" s="28"/>
      <c r="D94" s="11"/>
      <c r="E94" s="63"/>
      <c r="F94" s="63"/>
      <c r="G94" s="63"/>
      <c r="H94" s="63"/>
      <c r="I94" s="63"/>
      <c r="J94" s="63"/>
      <c r="K94" s="63"/>
      <c r="L94" s="63">
        <v>1</v>
      </c>
      <c r="M94" s="63">
        <v>2</v>
      </c>
      <c r="N94" s="63">
        <v>3</v>
      </c>
      <c r="O94" s="63">
        <v>4</v>
      </c>
      <c r="P94" s="63">
        <v>5</v>
      </c>
    </row>
    <row r="95" ht="21" customHeight="1">
      <c r="A95" t="s" s="114">
        <v>13</v>
      </c>
      <c r="B95" t="s" s="115">
        <v>57</v>
      </c>
      <c r="C95" s="31"/>
      <c r="D95" s="61">
        <v>2015</v>
      </c>
      <c r="E95" s="62">
        <v>2016</v>
      </c>
      <c r="F95" s="62">
        <v>2017</v>
      </c>
      <c r="G95" s="62">
        <v>2018</v>
      </c>
      <c r="H95" s="62">
        <v>2019</v>
      </c>
      <c r="I95" s="62">
        <v>2020</v>
      </c>
      <c r="J95" s="62">
        <v>2021</v>
      </c>
      <c r="K95" s="62">
        <v>2022</v>
      </c>
      <c r="L95" s="62">
        <v>2023</v>
      </c>
      <c r="M95" s="62">
        <v>2024</v>
      </c>
      <c r="N95" s="62">
        <v>2025</v>
      </c>
      <c r="O95" s="62">
        <v>2026</v>
      </c>
      <c r="P95" s="62">
        <v>2027</v>
      </c>
    </row>
    <row r="96" ht="21" customHeight="1">
      <c r="A96" s="107"/>
      <c r="B96" s="108"/>
      <c r="C96" s="28"/>
      <c r="D96" s="11"/>
      <c r="E96" s="113"/>
      <c r="F96" s="113"/>
      <c r="G96" s="113"/>
      <c r="H96" s="113"/>
      <c r="I96" s="113"/>
      <c r="J96" s="113"/>
      <c r="K96" s="113"/>
      <c r="L96" s="113"/>
      <c r="M96" s="113"/>
      <c r="N96" s="113"/>
      <c r="O96" s="113"/>
      <c r="P96" s="113"/>
    </row>
    <row r="97" ht="21" customHeight="1">
      <c r="A97" s="8"/>
      <c r="B97" t="s" s="110">
        <v>45</v>
      </c>
      <c r="C97" s="28"/>
      <c r="D97" s="105">
        <f>D65</f>
        <v>30601</v>
      </c>
      <c r="E97" s="105">
        <f>E65</f>
        <v>32376</v>
      </c>
      <c r="F97" s="105">
        <f>F65</f>
        <v>34350</v>
      </c>
      <c r="G97" s="105">
        <f>G65</f>
        <v>36397</v>
      </c>
      <c r="H97" s="105">
        <f>H65</f>
        <v>39117</v>
      </c>
      <c r="I97" s="105">
        <f>I65</f>
        <v>37403</v>
      </c>
      <c r="J97" s="105">
        <f>J65</f>
        <v>44538</v>
      </c>
      <c r="K97" s="105">
        <f>K65</f>
        <v>46710</v>
      </c>
      <c r="L97" s="105">
        <f>L65</f>
        <v>50021.1395871598</v>
      </c>
      <c r="M97" s="105">
        <f>M65</f>
        <v>53898.5930848328</v>
      </c>
      <c r="N97" s="105">
        <f>N65</f>
        <v>59070.5505765319</v>
      </c>
      <c r="O97" s="105">
        <f>O65</f>
        <v>65354.822152049</v>
      </c>
      <c r="P97" s="105">
        <f>P65</f>
        <v>73076.4244974985</v>
      </c>
    </row>
    <row r="98" ht="21" customHeight="1">
      <c r="A98" s="107"/>
      <c r="B98" t="s" s="68">
        <v>33</v>
      </c>
      <c r="C98" s="28"/>
      <c r="D98" s="11"/>
      <c r="E98" s="113">
        <f>E97/D97-1</f>
        <v>0.0580046403712297</v>
      </c>
      <c r="F98" s="113">
        <f>F97/E97-1</f>
        <v>0.0609710896960712</v>
      </c>
      <c r="G98" s="113">
        <f>G97/F97-1</f>
        <v>0.0595924308588064</v>
      </c>
      <c r="H98" s="113">
        <f>H97/G97-1</f>
        <v>0.07473143390938811</v>
      </c>
      <c r="I98" s="113">
        <f>I97/H97-1</f>
        <v>-0.0438172661502671</v>
      </c>
      <c r="J98" s="113">
        <f>J97/I97-1</f>
        <v>0.190760099457263</v>
      </c>
      <c r="K98" s="113">
        <f>K97/J97-1</f>
        <v>0.0487673447393237</v>
      </c>
      <c r="L98" s="113">
        <f>L97/K97-1</f>
        <v>0.0708871673551659</v>
      </c>
      <c r="M98" s="113">
        <f>M97/L97-1</f>
        <v>0.07751629670325071</v>
      </c>
      <c r="N98" s="113">
        <f>N97/M97-1</f>
        <v>0.09595718915257739</v>
      </c>
      <c r="O98" s="113">
        <f>O97/N97-1</f>
        <v>0.10638586426201</v>
      </c>
      <c r="P98" s="113">
        <f>P97/O97-1</f>
        <v>0.118148930579064</v>
      </c>
    </row>
    <row r="99" ht="21" customHeight="1">
      <c r="A99" s="81"/>
      <c r="B99" s="108"/>
      <c r="C99" s="28"/>
      <c r="D99" s="11"/>
      <c r="E99" s="113"/>
      <c r="F99" s="113"/>
      <c r="G99" s="113"/>
      <c r="H99" s="113"/>
      <c r="I99" s="113"/>
      <c r="J99" s="113"/>
      <c r="K99" s="113"/>
      <c r="L99" s="113"/>
      <c r="M99" s="113"/>
      <c r="N99" s="113"/>
      <c r="O99" s="113"/>
      <c r="P99" s="113"/>
    </row>
    <row r="100" ht="21" customHeight="1">
      <c r="A100" s="8"/>
      <c r="B100" t="s" s="110">
        <v>25</v>
      </c>
      <c r="C100" s="28"/>
      <c r="D100" s="105">
        <f>D73</f>
        <v>4233</v>
      </c>
      <c r="E100" s="105">
        <f>E73</f>
        <v>4642</v>
      </c>
      <c r="F100" s="105">
        <f>F73</f>
        <v>4945</v>
      </c>
      <c r="G100" s="105">
        <f>G73</f>
        <v>4289</v>
      </c>
      <c r="H100" s="105">
        <f>H73</f>
        <v>4850</v>
      </c>
      <c r="I100" s="105">
        <f>I73</f>
        <v>2976</v>
      </c>
      <c r="J100" s="105">
        <f>J73</f>
        <v>6923</v>
      </c>
      <c r="K100" s="105">
        <f>K73</f>
        <v>6856</v>
      </c>
      <c r="L100" s="63">
        <f>L97*L101</f>
        <v>6365.7585905241</v>
      </c>
      <c r="M100" s="63">
        <f>M97*M101</f>
        <v>6761.364259171340</v>
      </c>
      <c r="N100" s="63">
        <f>N97*N101</f>
        <v>7302.932535273330</v>
      </c>
      <c r="O100" s="63">
        <f>O97*O101</f>
        <v>7961.219991465740</v>
      </c>
      <c r="P100" s="63">
        <f>P97*P101</f>
        <v>8769.170939699819</v>
      </c>
    </row>
    <row r="101" ht="21.5" customHeight="1">
      <c r="A101" s="75"/>
      <c r="B101" t="s" s="68">
        <v>46</v>
      </c>
      <c r="C101" s="69"/>
      <c r="D101" s="71">
        <f>D100/D97</f>
        <v>0.138328812783896</v>
      </c>
      <c r="E101" s="71">
        <f>E100/E97</f>
        <v>0.143377810723993</v>
      </c>
      <c r="F101" s="71">
        <f>F100/F97</f>
        <v>0.143959243085881</v>
      </c>
      <c r="G101" s="71">
        <f>G100/G97</f>
        <v>0.117839382366679</v>
      </c>
      <c r="H101" s="71">
        <f>H100/H97</f>
        <v>0.123987013319017</v>
      </c>
      <c r="I101" s="71">
        <f>I100/I97</f>
        <v>0.079565810229126</v>
      </c>
      <c r="J101" s="71">
        <f>J100/J97</f>
        <v>0.155440298172347</v>
      </c>
      <c r="K101" s="71">
        <f>K100/K97</f>
        <v>0.146777991864697</v>
      </c>
      <c r="L101" s="72">
        <f>OFFSET(L101,$C$16,0)</f>
        <v>0.12726136675539</v>
      </c>
      <c r="M101" s="72">
        <f>OFFSET(M101,$C$16,0)</f>
        <v>0.125446025066543</v>
      </c>
      <c r="N101" s="72">
        <f>OFFSET(N101,$C$16,0)</f>
        <v>0.123630683377695</v>
      </c>
      <c r="O101" s="72">
        <f>OFFSET(O101,$C$16,0)</f>
        <v>0.121815341688848</v>
      </c>
      <c r="P101" s="72">
        <f>OFFSET(P101,$C$16,0)</f>
        <v>0.12</v>
      </c>
    </row>
    <row r="102" ht="22" customHeight="1">
      <c r="A102" s="8"/>
      <c r="B102" t="s" s="34">
        <v>34</v>
      </c>
      <c r="C102" s="28"/>
      <c r="D102" s="11"/>
      <c r="E102" s="66"/>
      <c r="F102" s="66"/>
      <c r="G102" s="66"/>
      <c r="H102" s="66"/>
      <c r="I102" s="66"/>
      <c r="J102" s="66"/>
      <c r="K102" s="119"/>
      <c r="L102" s="74">
        <f>L103*$E$16</f>
        <v>0.114535230079851</v>
      </c>
      <c r="M102" s="74">
        <f>M103*$E$16</f>
        <v>0.112901422559889</v>
      </c>
      <c r="N102" s="74">
        <f>N103*$E$16</f>
        <v>0.111267615039926</v>
      </c>
      <c r="O102" s="74">
        <f>O103*$E$16</f>
        <v>0.109633807519963</v>
      </c>
      <c r="P102" s="74">
        <f>P103*$E$16</f>
        <v>0.108</v>
      </c>
    </row>
    <row r="103" ht="22" customHeight="1">
      <c r="A103" s="13"/>
      <c r="B103" t="s" s="34">
        <v>35</v>
      </c>
      <c r="C103" s="28"/>
      <c r="D103" s="11"/>
      <c r="E103" s="66"/>
      <c r="F103" s="66"/>
      <c r="G103" s="66"/>
      <c r="H103" s="66"/>
      <c r="I103" s="66"/>
      <c r="J103" s="66"/>
      <c r="K103" s="119"/>
      <c r="L103" s="74">
        <f>AVERAGE(I101,J101,K101)</f>
        <v>0.12726136675539</v>
      </c>
      <c r="M103" s="74">
        <f>L103-(L103-$P$103)/($P$95-L95)</f>
        <v>0.125446025066543</v>
      </c>
      <c r="N103" s="74">
        <f>M103-(M103-$P$103)/($P$95-M95)</f>
        <v>0.123630683377695</v>
      </c>
      <c r="O103" s="74">
        <f>N103-(N103-$P$103)/($P$95-N95)</f>
        <v>0.121815341688848</v>
      </c>
      <c r="P103" s="74">
        <f>G16</f>
        <v>0.12</v>
      </c>
    </row>
    <row r="104" ht="22" customHeight="1">
      <c r="A104" s="13"/>
      <c r="B104" t="s" s="34">
        <v>36</v>
      </c>
      <c r="C104" s="28"/>
      <c r="D104" s="11"/>
      <c r="E104" s="66"/>
      <c r="F104" s="66"/>
      <c r="G104" s="66"/>
      <c r="H104" s="66"/>
      <c r="I104" s="66"/>
      <c r="J104" s="66"/>
      <c r="K104" s="119"/>
      <c r="L104" s="87">
        <f>L103*$I$16</f>
        <v>0.139987503430929</v>
      </c>
      <c r="M104" s="87">
        <f>M103*$I$16</f>
        <v>0.137990627573197</v>
      </c>
      <c r="N104" s="87">
        <f>N103*$I$16</f>
        <v>0.135993751715465</v>
      </c>
      <c r="O104" s="87">
        <f>O103*$I$16</f>
        <v>0.133996875857733</v>
      </c>
      <c r="P104" s="87">
        <f>P103*$I$16</f>
        <v>0.132</v>
      </c>
    </row>
    <row r="105" ht="21.5" customHeight="1">
      <c r="A105" s="107"/>
      <c r="B105" s="108"/>
      <c r="C105" s="28"/>
      <c r="D105" s="11"/>
      <c r="E105" s="113"/>
      <c r="F105" s="113"/>
      <c r="G105" s="113"/>
      <c r="H105" s="113"/>
      <c r="I105" s="113"/>
      <c r="J105" s="113"/>
      <c r="K105" s="113"/>
      <c r="L105" s="120"/>
      <c r="M105" s="120"/>
      <c r="N105" s="120"/>
      <c r="O105" s="120"/>
      <c r="P105" s="120"/>
    </row>
    <row r="106" ht="21" customHeight="1">
      <c r="A106" s="81"/>
      <c r="B106" t="s" s="110">
        <v>47</v>
      </c>
      <c r="C106" s="28"/>
      <c r="D106" s="121">
        <f>D76</f>
        <v>932</v>
      </c>
      <c r="E106" s="121">
        <f>E76</f>
        <v>863</v>
      </c>
      <c r="F106" s="121">
        <f>F76</f>
        <v>646</v>
      </c>
      <c r="G106" s="105">
        <f>G76</f>
        <v>2392</v>
      </c>
      <c r="H106" s="121">
        <f>H76</f>
        <v>772</v>
      </c>
      <c r="I106" s="105">
        <f>I76</f>
        <v>348</v>
      </c>
      <c r="J106" s="105">
        <f>J76</f>
        <v>934</v>
      </c>
      <c r="K106" s="106">
        <f>K100*K107</f>
        <v>939.325366516763</v>
      </c>
      <c r="L106" s="106">
        <f>L100*L107</f>
        <v>825.120881793197</v>
      </c>
      <c r="M106" s="106">
        <f>M100*M107</f>
        <v>904.983859563616</v>
      </c>
      <c r="N106" s="106">
        <f>N100*N107</f>
        <v>974.8751582434641</v>
      </c>
      <c r="O106" s="106">
        <f>O100*O107</f>
        <v>1053.4177028098</v>
      </c>
      <c r="P106" s="106">
        <f>P100*P107</f>
        <v>1168.216921817340</v>
      </c>
    </row>
    <row r="107" ht="21" customHeight="1">
      <c r="A107" s="117"/>
      <c r="B107" t="s" s="112">
        <v>48</v>
      </c>
      <c r="C107" s="69"/>
      <c r="D107" s="71">
        <f>D106/D100</f>
        <v>0.220174816914718</v>
      </c>
      <c r="E107" s="71">
        <f>E106/E100</f>
        <v>0.185911245152951</v>
      </c>
      <c r="F107" s="71">
        <f>F106/F100</f>
        <v>0.130637007077856</v>
      </c>
      <c r="G107" s="71">
        <f>G106/G100</f>
        <v>0.557705758918163</v>
      </c>
      <c r="H107" s="71">
        <f>H106/H100</f>
        <v>0.159175257731959</v>
      </c>
      <c r="I107" s="71">
        <f>I106/I100</f>
        <v>0.116935483870968</v>
      </c>
      <c r="J107" s="71">
        <f>J106/J100</f>
        <v>0.134912610140113</v>
      </c>
      <c r="K107" s="71">
        <f>AVERAGE(J107,I107,H107)</f>
        <v>0.137007783914347</v>
      </c>
      <c r="L107" s="71">
        <f>AVERAGE(K107,J107,I107)</f>
        <v>0.129618625975143</v>
      </c>
      <c r="M107" s="71">
        <f>AVERAGE(L107,K107,J107)</f>
        <v>0.133846340009868</v>
      </c>
      <c r="N107" s="71">
        <f>AVERAGE(M107,L107,K107)</f>
        <v>0.133490916633119</v>
      </c>
      <c r="O107" s="71">
        <f>AVERAGE(N107,M107,L107)</f>
        <v>0.132318627539377</v>
      </c>
      <c r="P107" s="71">
        <f>AVERAGE(O107,N107,M107)</f>
        <v>0.133218628060788</v>
      </c>
    </row>
    <row r="108" ht="21.15" customHeight="1">
      <c r="A108" s="122"/>
      <c r="B108" s="123"/>
      <c r="C108" s="124"/>
      <c r="D108" s="125"/>
      <c r="E108" s="126"/>
      <c r="F108" s="126"/>
      <c r="G108" s="126"/>
      <c r="H108" s="126"/>
      <c r="I108" s="126"/>
      <c r="J108" s="126"/>
      <c r="K108" s="126"/>
      <c r="L108" s="126"/>
      <c r="M108" s="126"/>
      <c r="N108" s="126"/>
      <c r="O108" s="126"/>
      <c r="P108" s="126"/>
    </row>
    <row r="109" ht="21.15" customHeight="1">
      <c r="A109" s="127"/>
      <c r="B109" t="s" s="128">
        <v>58</v>
      </c>
      <c r="C109" s="129"/>
      <c r="D109" s="130"/>
      <c r="E109" s="131"/>
      <c r="F109" s="131"/>
      <c r="G109" s="131"/>
      <c r="H109" s="131"/>
      <c r="I109" s="131"/>
      <c r="J109" s="131"/>
      <c r="K109" s="131"/>
      <c r="L109" s="131">
        <f>L100-L106</f>
        <v>5540.6377087309</v>
      </c>
      <c r="M109" s="131">
        <f>M100-M106</f>
        <v>5856.380399607720</v>
      </c>
      <c r="N109" s="131">
        <f>N100-N106</f>
        <v>6328.057377029870</v>
      </c>
      <c r="O109" s="131">
        <f>O100-O106</f>
        <v>6907.802288655940</v>
      </c>
      <c r="P109" s="131">
        <f>P100-P106</f>
        <v>7600.954017882480</v>
      </c>
    </row>
    <row r="110" ht="21" customHeight="1">
      <c r="A110" s="81"/>
      <c r="B110" s="48"/>
      <c r="C110" s="132"/>
      <c r="D110" s="133"/>
      <c r="E110" s="134"/>
      <c r="F110" s="134"/>
      <c r="G110" s="134"/>
      <c r="H110" s="134"/>
      <c r="I110" s="134"/>
      <c r="J110" s="134"/>
      <c r="K110" s="134"/>
      <c r="L110" s="134"/>
      <c r="M110" s="134"/>
      <c r="N110" s="134"/>
      <c r="O110" s="134"/>
      <c r="P110" s="134"/>
    </row>
    <row r="111" ht="21.5" customHeight="1">
      <c r="A111" s="81"/>
      <c r="B111" t="s" s="116">
        <v>50</v>
      </c>
      <c r="C111" s="28"/>
      <c r="D111" s="106">
        <f>D81</f>
        <v>649</v>
      </c>
      <c r="E111" s="106">
        <f>E81</f>
        <v>662</v>
      </c>
      <c r="F111" s="106">
        <f>F81</f>
        <v>716</v>
      </c>
      <c r="G111" s="106">
        <f>G81</f>
        <v>774</v>
      </c>
      <c r="H111" s="106">
        <f>H81</f>
        <v>720</v>
      </c>
      <c r="I111" s="106">
        <f>I81</f>
        <v>1119</v>
      </c>
      <c r="J111" s="106">
        <f>J81</f>
        <v>797</v>
      </c>
      <c r="K111" s="106">
        <f>K81</f>
        <v>840</v>
      </c>
      <c r="L111" s="135">
        <f>L97*L112</f>
        <v>1097.055611804750</v>
      </c>
      <c r="M111" s="135">
        <f>M97*M112</f>
        <v>1038.625389924470</v>
      </c>
      <c r="N111" s="135">
        <f>N97*N112</f>
        <v>1165.366103202980</v>
      </c>
      <c r="O111" s="135">
        <f>O97*O112</f>
        <v>1327.360960045460</v>
      </c>
      <c r="P111" s="135">
        <f>P97*P112</f>
        <v>1444.682842887510</v>
      </c>
    </row>
    <row r="112" ht="22" customHeight="1">
      <c r="A112" s="81"/>
      <c r="B112" t="s" s="136">
        <v>46</v>
      </c>
      <c r="C112" s="28"/>
      <c r="D112" s="113">
        <f>D111/D97</f>
        <v>0.0212084572399595</v>
      </c>
      <c r="E112" s="113">
        <f>E111/E97</f>
        <v>0.0204472448727452</v>
      </c>
      <c r="F112" s="113">
        <f>F111/F97</f>
        <v>0.020844250363901</v>
      </c>
      <c r="G112" s="113">
        <f>G111/G97</f>
        <v>0.0212654889139215</v>
      </c>
      <c r="H112" s="113">
        <f>H111/H97</f>
        <v>0.0184063195030294</v>
      </c>
      <c r="I112" s="113">
        <f>I111/I97</f>
        <v>0.0299173863059113</v>
      </c>
      <c r="J112" s="113">
        <f>J111/J97</f>
        <v>0.0178948313799452</v>
      </c>
      <c r="K112" s="119">
        <f>K111/K97</f>
        <v>0.0179833012202954</v>
      </c>
      <c r="L112" s="87">
        <f>AVERAGE(K112,J112,I112)</f>
        <v>0.021931839635384</v>
      </c>
      <c r="M112" s="87">
        <f>AVERAGE(L112,K112,J112)</f>
        <v>0.0192699907452082</v>
      </c>
      <c r="N112" s="87">
        <f>AVERAGE(M112,L112,K112)</f>
        <v>0.0197283772002959</v>
      </c>
      <c r="O112" s="87">
        <f>AVERAGE(N112,M112,L112)</f>
        <v>0.0203100691936294</v>
      </c>
      <c r="P112" s="87">
        <f>AVERAGE(O112,N112,M112)</f>
        <v>0.0197694790463778</v>
      </c>
    </row>
    <row r="113" ht="21.5" customHeight="1">
      <c r="A113" s="81"/>
      <c r="B113" s="108"/>
      <c r="C113" s="28"/>
      <c r="D113" s="11"/>
      <c r="E113" s="113"/>
      <c r="F113" s="113"/>
      <c r="G113" s="113"/>
      <c r="H113" s="113"/>
      <c r="I113" s="113"/>
      <c r="J113" s="113"/>
      <c r="K113" s="113"/>
      <c r="L113" s="120"/>
      <c r="M113" s="120"/>
      <c r="N113" s="120"/>
      <c r="O113" s="120"/>
      <c r="P113" s="120"/>
    </row>
    <row r="114" ht="21.5" customHeight="1">
      <c r="A114" s="81"/>
      <c r="B114" t="s" s="116">
        <v>53</v>
      </c>
      <c r="C114" s="28"/>
      <c r="D114" s="63">
        <f>D85</f>
        <v>963</v>
      </c>
      <c r="E114" s="63">
        <f>E85</f>
        <v>1143</v>
      </c>
      <c r="F114" s="106">
        <f>F85</f>
        <v>1105</v>
      </c>
      <c r="G114" s="106">
        <f>G85</f>
        <v>1028</v>
      </c>
      <c r="H114" s="106">
        <f>H85</f>
        <v>1119</v>
      </c>
      <c r="I114" s="106">
        <f>I85</f>
        <v>1086</v>
      </c>
      <c r="J114" s="106">
        <f>J85</f>
        <v>695</v>
      </c>
      <c r="K114" s="106">
        <f>K85</f>
        <v>758</v>
      </c>
      <c r="L114" s="137">
        <f>L97*L115</f>
        <v>1014.887985344010</v>
      </c>
      <c r="M114" s="137">
        <f>M97*M115</f>
        <v>936.427370380754</v>
      </c>
      <c r="N114" s="137">
        <f>N97*N115</f>
        <v>1061.120612441060</v>
      </c>
      <c r="O114" s="137">
        <f>O97*O115</f>
        <v>1211.8237177857</v>
      </c>
      <c r="P114" s="137">
        <f>P97*P115</f>
        <v>1312.445576148650</v>
      </c>
    </row>
    <row r="115" ht="22" customHeight="1">
      <c r="A115" s="81"/>
      <c r="B115" t="s" s="136">
        <v>46</v>
      </c>
      <c r="C115" s="28"/>
      <c r="D115" s="113">
        <f>D114/D97</f>
        <v>0.0314695598183066</v>
      </c>
      <c r="E115" s="113">
        <f>E114/E97</f>
        <v>0.0353039288361749</v>
      </c>
      <c r="F115" s="113">
        <f>F114/F97</f>
        <v>0.0321688500727802</v>
      </c>
      <c r="G115" s="113">
        <f>G114/G97</f>
        <v>0.0282440860510482</v>
      </c>
      <c r="H115" s="113">
        <f>H114/H97</f>
        <v>0.0286064882276248</v>
      </c>
      <c r="I115" s="113">
        <f>I114/I97</f>
        <v>0.0290351041360319</v>
      </c>
      <c r="J115" s="113">
        <f>J114/J97</f>
        <v>0.015604652207104</v>
      </c>
      <c r="K115" s="119">
        <f>K114/K97</f>
        <v>0.0162277884821237</v>
      </c>
      <c r="L115" s="87">
        <f>AVERAGE(K115,J115,I115)</f>
        <v>0.0202891816084199</v>
      </c>
      <c r="M115" s="87">
        <f>AVERAGE(L115,K115,J115)</f>
        <v>0.0173738740992159</v>
      </c>
      <c r="N115" s="87">
        <f>AVERAGE(M115,L115,K115)</f>
        <v>0.0179636147299198</v>
      </c>
      <c r="O115" s="87">
        <f>AVERAGE(N115,M115,L115)</f>
        <v>0.0185422234791852</v>
      </c>
      <c r="P115" s="87">
        <f>AVERAGE(O115,N115,M115)</f>
        <v>0.0179599041027736</v>
      </c>
    </row>
    <row r="116" ht="21.5" customHeight="1">
      <c r="A116" s="81"/>
      <c r="B116" s="108"/>
      <c r="C116" s="28"/>
      <c r="D116" s="11"/>
      <c r="E116" s="113"/>
      <c r="F116" s="113"/>
      <c r="G116" s="113"/>
      <c r="H116" s="113"/>
      <c r="I116" s="113"/>
      <c r="J116" s="113"/>
      <c r="K116" s="113"/>
      <c r="L116" s="120"/>
      <c r="M116" s="120"/>
      <c r="N116" s="120"/>
      <c r="O116" s="120"/>
      <c r="P116" s="120"/>
    </row>
    <row r="117" ht="21.5" customHeight="1">
      <c r="A117" s="81"/>
      <c r="B117" t="s" s="116">
        <v>55</v>
      </c>
      <c r="C117" s="28"/>
      <c r="D117" s="11"/>
      <c r="E117" s="63">
        <f>E90</f>
        <v>-412</v>
      </c>
      <c r="F117" s="63">
        <f>F90</f>
        <v>-920</v>
      </c>
      <c r="G117" s="63">
        <f>G90</f>
        <v>1493</v>
      </c>
      <c r="H117" s="63">
        <f>H90</f>
        <v>435</v>
      </c>
      <c r="I117" s="63">
        <f>I90</f>
        <v>-3613</v>
      </c>
      <c r="J117" s="63">
        <f>J90</f>
        <v>-4345</v>
      </c>
      <c r="K117" s="63">
        <f>K90</f>
        <v>-866</v>
      </c>
      <c r="L117" s="135">
        <f>L97*L118</f>
        <v>-3546.392070229210</v>
      </c>
      <c r="M117" s="135">
        <f>M97*M118</f>
        <v>-3359.587984503070</v>
      </c>
      <c r="N117" s="135">
        <f>N97*N118</f>
        <v>-2988.368104492130</v>
      </c>
      <c r="O117" s="135">
        <f>O97*O118</f>
        <v>-4004.493088845150</v>
      </c>
      <c r="P117" s="135">
        <f>P97*P118</f>
        <v>-4243.172026747130</v>
      </c>
    </row>
    <row r="118" ht="22" customHeight="1">
      <c r="A118" s="81"/>
      <c r="B118" t="s" s="118">
        <v>46</v>
      </c>
      <c r="C118" s="28"/>
      <c r="D118" s="71"/>
      <c r="E118" s="71">
        <f>E117/E97</f>
        <v>-0.0127254756609834</v>
      </c>
      <c r="F118" s="71">
        <f>F117/F97</f>
        <v>-0.026783114992722</v>
      </c>
      <c r="G118" s="71">
        <f>G117/G97</f>
        <v>0.0410198642745281</v>
      </c>
      <c r="H118" s="71">
        <f>H117/H97</f>
        <v>0.0111204846997469</v>
      </c>
      <c r="I118" s="71">
        <f>I117/I97</f>
        <v>-0.0965965296901318</v>
      </c>
      <c r="J118" s="71">
        <f>J117/J97</f>
        <v>-0.09755714221563611</v>
      </c>
      <c r="K118" s="90">
        <f>K117/K97</f>
        <v>-0.0185399272104474</v>
      </c>
      <c r="L118" s="87">
        <f>AVERAGE(K118,J118,I118)</f>
        <v>-0.07089786637207179</v>
      </c>
      <c r="M118" s="87">
        <f>AVERAGE(L118,K118,J118)</f>
        <v>-0.0623316452660518</v>
      </c>
      <c r="N118" s="87">
        <f>AVERAGE(M118,L118,K118)</f>
        <v>-0.0505898129495237</v>
      </c>
      <c r="O118" s="87">
        <f>AVERAGE(N118,M118,L118)</f>
        <v>-0.0612731081958824</v>
      </c>
      <c r="P118" s="87">
        <f>AVERAGE(O118,N118,M118)</f>
        <v>-0.058064855470486</v>
      </c>
    </row>
    <row r="119" ht="21.65" customHeight="1">
      <c r="A119" s="122"/>
      <c r="B119" s="123"/>
      <c r="C119" s="124"/>
      <c r="D119" s="125"/>
      <c r="E119" s="126"/>
      <c r="F119" s="126"/>
      <c r="G119" s="126"/>
      <c r="H119" s="126"/>
      <c r="I119" s="126"/>
      <c r="J119" s="126"/>
      <c r="K119" s="126"/>
      <c r="L119" s="138"/>
      <c r="M119" s="138"/>
      <c r="N119" s="138"/>
      <c r="O119" s="138"/>
      <c r="P119" s="138"/>
    </row>
    <row r="120" ht="21.15" customHeight="1">
      <c r="A120" s="139"/>
      <c r="B120" t="s" s="128">
        <v>59</v>
      </c>
      <c r="C120" s="140"/>
      <c r="D120" s="141"/>
      <c r="E120" s="142"/>
      <c r="F120" s="142"/>
      <c r="G120" s="142"/>
      <c r="H120" s="142"/>
      <c r="I120" s="142"/>
      <c r="J120" s="142"/>
      <c r="K120" s="143"/>
      <c r="L120" s="143">
        <f>L109+L111-L114-L117</f>
        <v>9169.197405420849</v>
      </c>
      <c r="M120" s="143">
        <f>M109+M111-M114-M117</f>
        <v>9318.166403654510</v>
      </c>
      <c r="N120" s="143">
        <f>N109+N111-N114-N117</f>
        <v>9420.670972283920</v>
      </c>
      <c r="O120" s="143">
        <f>O109+O111-O114-O117</f>
        <v>11027.8326197609</v>
      </c>
      <c r="P120" s="143">
        <f>P109+P111-P114-P117</f>
        <v>11976.3633113685</v>
      </c>
    </row>
    <row r="121" ht="21.15" customHeight="1">
      <c r="A121" s="122"/>
      <c r="B121" t="s" s="144">
        <v>60</v>
      </c>
      <c r="C121" s="124"/>
      <c r="D121" s="125"/>
      <c r="E121" s="126"/>
      <c r="F121" s="126"/>
      <c r="G121" s="126"/>
      <c r="H121" s="126"/>
      <c r="I121" s="126"/>
      <c r="J121" s="126"/>
      <c r="K121" s="145"/>
      <c r="L121" s="145">
        <f>L120/(1+$C$20)^L94</f>
        <v>8500.861133844381</v>
      </c>
      <c r="M121" s="145">
        <f>M120/(1+$C$20)^M94</f>
        <v>8009.283376790250</v>
      </c>
      <c r="N121" s="145">
        <f>N120/(1+$C$20)^N94</f>
        <v>7507.176605377120</v>
      </c>
      <c r="O121" s="145">
        <f>O120/(1+$C$20)^O94</f>
        <v>8147.353529723070</v>
      </c>
      <c r="P121" s="145">
        <f>P120/(1+$C$20)^P94</f>
        <v>8203.193518751410</v>
      </c>
    </row>
    <row r="122" ht="21.15" customHeight="1">
      <c r="A122" s="127"/>
      <c r="B122" s="139"/>
      <c r="C122" s="129"/>
      <c r="D122" s="130"/>
      <c r="E122" s="146"/>
      <c r="F122" s="146"/>
      <c r="G122" s="146"/>
      <c r="H122" s="146"/>
      <c r="I122" s="146"/>
      <c r="J122" s="146"/>
      <c r="K122" s="146"/>
      <c r="L122" s="146"/>
      <c r="M122" s="146"/>
      <c r="N122" s="146"/>
      <c r="O122" s="146"/>
      <c r="P122" s="146"/>
    </row>
    <row r="123" ht="21" customHeight="1">
      <c r="A123" s="81"/>
      <c r="B123" t="s" s="116">
        <v>61</v>
      </c>
      <c r="C123" s="82"/>
      <c r="D123" s="147"/>
      <c r="E123" s="148"/>
      <c r="F123" s="148"/>
      <c r="G123" s="148"/>
      <c r="H123" s="148"/>
      <c r="I123" s="148"/>
      <c r="J123" s="148"/>
      <c r="K123" s="148"/>
      <c r="L123" s="148"/>
      <c r="M123" s="148"/>
      <c r="N123" s="148"/>
      <c r="O123" s="148"/>
      <c r="P123" s="149">
        <f>P120*(1+C21)/(C20-C21)</f>
        <v>208391.771608365</v>
      </c>
    </row>
    <row r="124" ht="21" customHeight="1">
      <c r="A124" s="81"/>
      <c r="B124" t="s" s="116">
        <v>62</v>
      </c>
      <c r="C124" s="82"/>
      <c r="D124" s="147"/>
      <c r="E124" s="148"/>
      <c r="F124" s="148"/>
      <c r="G124" s="148"/>
      <c r="H124" s="148"/>
      <c r="I124" s="148"/>
      <c r="J124" s="148"/>
      <c r="K124" s="148"/>
      <c r="L124" s="148"/>
      <c r="M124" s="148"/>
      <c r="N124" s="148"/>
      <c r="O124" s="148"/>
      <c r="P124" s="149">
        <f>P123/(1+C20)^P94</f>
        <v>142737.656313094</v>
      </c>
    </row>
    <row r="125" ht="21" customHeight="1">
      <c r="A125" s="81"/>
      <c r="B125" s="48"/>
      <c r="C125" s="82"/>
      <c r="D125" s="147"/>
      <c r="E125" s="148"/>
      <c r="F125" s="148"/>
      <c r="G125" s="148"/>
      <c r="H125" s="148"/>
      <c r="I125" s="148"/>
      <c r="J125" s="148"/>
      <c r="K125" s="148"/>
      <c r="L125" s="148"/>
      <c r="M125" s="148"/>
      <c r="N125" s="148"/>
      <c r="O125" s="148"/>
      <c r="P125" s="148"/>
    </row>
    <row r="126" ht="22" customHeight="1">
      <c r="A126" s="150"/>
      <c r="B126" t="s" s="151">
        <v>63</v>
      </c>
      <c r="C126" s="150"/>
      <c r="D126" s="150"/>
      <c r="E126" s="150"/>
      <c r="F126" s="150"/>
      <c r="G126" s="150"/>
      <c r="H126" s="150"/>
      <c r="I126" s="150"/>
      <c r="J126" s="150"/>
      <c r="K126" s="150"/>
      <c r="L126" s="150"/>
      <c r="M126" s="150"/>
      <c r="N126" s="150"/>
      <c r="O126" s="150"/>
      <c r="P126" s="152">
        <f>SUM(P124,P121,O121,N121,M121,L121)</f>
        <v>183105.52447758</v>
      </c>
    </row>
    <row r="127" ht="22" customHeight="1">
      <c r="A127" s="153"/>
      <c r="B127" t="s" s="154">
        <v>64</v>
      </c>
      <c r="C127" s="153"/>
      <c r="D127" s="153"/>
      <c r="E127" s="153"/>
      <c r="F127" s="153"/>
      <c r="G127" s="153"/>
      <c r="H127" s="153"/>
      <c r="I127" s="153"/>
      <c r="J127" s="153"/>
      <c r="K127" s="153"/>
      <c r="L127" s="153"/>
      <c r="M127" s="153"/>
      <c r="N127" s="153"/>
      <c r="O127" s="155"/>
      <c r="P127" s="156">
        <f>13000</f>
        <v>13000</v>
      </c>
    </row>
    <row r="128" ht="22" customHeight="1">
      <c r="A128" s="153"/>
      <c r="B128" t="s" s="154">
        <v>65</v>
      </c>
      <c r="C128" s="153"/>
      <c r="D128" s="153"/>
      <c r="E128" s="153"/>
      <c r="F128" s="153"/>
      <c r="G128" s="153"/>
      <c r="H128" s="153"/>
      <c r="I128" s="153"/>
      <c r="J128" s="153"/>
      <c r="K128" s="153"/>
      <c r="L128" s="153"/>
      <c r="M128" s="153"/>
      <c r="N128" s="153"/>
      <c r="O128" s="155"/>
      <c r="P128" s="157">
        <f>'WACC - NKE'!B14</f>
        <v>12630</v>
      </c>
    </row>
    <row r="129" ht="22" customHeight="1">
      <c r="A129" s="153"/>
      <c r="B129" t="s" s="154">
        <v>66</v>
      </c>
      <c r="C129" s="153"/>
      <c r="D129" s="153"/>
      <c r="E129" s="153"/>
      <c r="F129" s="153"/>
      <c r="G129" s="153"/>
      <c r="H129" s="153"/>
      <c r="I129" s="153"/>
      <c r="J129" s="153"/>
      <c r="K129" s="153"/>
      <c r="L129" s="153"/>
      <c r="M129" s="153"/>
      <c r="N129" s="153"/>
      <c r="O129" s="155"/>
      <c r="P129" s="156">
        <f>P126+P127-P128</f>
        <v>183475.52447758</v>
      </c>
    </row>
    <row r="130" ht="22" customHeight="1">
      <c r="A130" s="153"/>
      <c r="B130" t="s" s="154">
        <v>67</v>
      </c>
      <c r="C130" s="153"/>
      <c r="D130" s="153"/>
      <c r="E130" s="153"/>
      <c r="F130" s="153"/>
      <c r="G130" s="153"/>
      <c r="H130" s="153"/>
      <c r="I130" s="153"/>
      <c r="J130" s="153"/>
      <c r="K130" s="153"/>
      <c r="L130" s="153"/>
      <c r="M130" s="153"/>
      <c r="N130" s="153"/>
      <c r="O130" s="155"/>
      <c r="P130" s="156">
        <v>1611</v>
      </c>
    </row>
    <row r="131" ht="22" customHeight="1">
      <c r="A131" s="153"/>
      <c r="B131" t="s" s="154">
        <v>68</v>
      </c>
      <c r="C131" s="153"/>
      <c r="D131" s="153"/>
      <c r="E131" s="153"/>
      <c r="F131" s="153"/>
      <c r="G131" s="153"/>
      <c r="H131" s="153"/>
      <c r="I131" s="153"/>
      <c r="J131" s="153"/>
      <c r="K131" s="153"/>
      <c r="L131" s="153"/>
      <c r="M131" s="153"/>
      <c r="N131" s="153"/>
      <c r="O131" s="155"/>
      <c r="P131" s="158">
        <f>P129/P130</f>
        <v>113.889214449150</v>
      </c>
    </row>
    <row r="132" ht="22" customHeight="1">
      <c r="A132" s="153"/>
      <c r="B132" s="153"/>
      <c r="C132" s="153"/>
      <c r="D132" s="153"/>
      <c r="E132" s="153"/>
      <c r="F132" s="153"/>
      <c r="G132" s="153"/>
      <c r="H132" s="153"/>
      <c r="I132" s="153"/>
      <c r="J132" s="153"/>
      <c r="K132" s="153"/>
      <c r="L132" s="153"/>
      <c r="M132" s="153"/>
      <c r="N132" s="153"/>
      <c r="O132" s="153"/>
      <c r="P132" s="153"/>
    </row>
    <row r="133" ht="22" customHeight="1">
      <c r="A133" s="153"/>
      <c r="B133" s="153"/>
      <c r="C133" s="153"/>
      <c r="D133" s="153"/>
      <c r="E133" s="153"/>
      <c r="F133" s="153"/>
      <c r="G133" s="153"/>
      <c r="H133" s="153"/>
      <c r="I133" s="153"/>
      <c r="J133" s="153"/>
      <c r="K133" s="153"/>
      <c r="L133" s="153"/>
      <c r="M133" s="153"/>
      <c r="N133" s="153"/>
      <c r="O133" s="153"/>
      <c r="P133" s="153"/>
    </row>
  </sheetData>
  <mergeCells count="2">
    <mergeCell ref="A1:P1"/>
    <mergeCell ref="K22:L22"/>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E21"/>
  <sheetViews>
    <sheetView workbookViewId="0" showGridLines="0" defaultGridColor="1"/>
  </sheetViews>
  <sheetFormatPr defaultColWidth="16.3333" defaultRowHeight="19.9" customHeight="1" outlineLevelRow="0" outlineLevelCol="0"/>
  <cols>
    <col min="1" max="1" width="21.1875" style="159" customWidth="1"/>
    <col min="2" max="5" width="16.3516" style="159" customWidth="1"/>
    <col min="6" max="256" width="16.3516" style="159" customWidth="1"/>
  </cols>
  <sheetData>
    <row r="1" ht="28.65" customHeight="1">
      <c r="A1" t="s" s="160">
        <v>8</v>
      </c>
      <c r="B1" s="160"/>
      <c r="C1" s="160"/>
      <c r="D1" s="160"/>
      <c r="E1" s="160"/>
    </row>
    <row r="2" ht="19.7" customHeight="1">
      <c r="A2" s="36"/>
      <c r="B2" s="36"/>
      <c r="C2" s="36"/>
      <c r="D2" s="36"/>
      <c r="E2" s="36"/>
    </row>
    <row r="3" ht="22" customHeight="1">
      <c r="A3" t="s" s="161">
        <v>70</v>
      </c>
      <c r="B3" s="36"/>
      <c r="C3" s="36"/>
      <c r="D3" s="36"/>
      <c r="E3" s="36"/>
    </row>
    <row r="4" ht="22" customHeight="1">
      <c r="A4" t="s" s="161">
        <v>71</v>
      </c>
      <c r="B4" s="36"/>
      <c r="C4" s="36"/>
      <c r="D4" s="36"/>
      <c r="E4" s="36"/>
    </row>
    <row r="5" ht="19.7" customHeight="1">
      <c r="A5" s="36"/>
      <c r="B5" s="36"/>
      <c r="C5" s="36"/>
      <c r="D5" s="36"/>
      <c r="E5" s="36"/>
    </row>
    <row r="6" ht="22" customHeight="1">
      <c r="A6" t="s" s="162">
        <v>27</v>
      </c>
      <c r="B6" s="36"/>
      <c r="C6" s="36"/>
      <c r="D6" s="36"/>
      <c r="E6" s="36"/>
    </row>
    <row r="7" ht="19.7" customHeight="1">
      <c r="A7" t="s" s="163">
        <v>72</v>
      </c>
      <c r="B7" s="164">
        <v>160651.91936</v>
      </c>
      <c r="C7" s="36"/>
      <c r="D7" s="36"/>
      <c r="E7" s="36"/>
    </row>
    <row r="8" ht="19.7" customHeight="1">
      <c r="A8" t="s" s="163">
        <v>73</v>
      </c>
      <c r="B8" s="165">
        <f>B7/B19</f>
        <v>0.927112995708683</v>
      </c>
      <c r="C8" s="36"/>
      <c r="D8" s="36"/>
      <c r="E8" s="36"/>
    </row>
    <row r="9" ht="19.7" customHeight="1">
      <c r="A9" t="s" s="163">
        <v>74</v>
      </c>
      <c r="B9" s="166">
        <f>B10+B11*B12</f>
        <v>0.084046</v>
      </c>
      <c r="C9" s="36"/>
      <c r="D9" s="36"/>
      <c r="E9" s="36"/>
    </row>
    <row r="10" ht="19.7" customHeight="1">
      <c r="A10" t="s" s="163">
        <v>75</v>
      </c>
      <c r="B10" s="166">
        <v>0.03543</v>
      </c>
      <c r="C10" s="36"/>
      <c r="D10" s="36"/>
      <c r="E10" s="36"/>
    </row>
    <row r="11" ht="19.7" customHeight="1">
      <c r="A11" t="s" s="163">
        <v>76</v>
      </c>
      <c r="B11" s="167">
        <v>1.03</v>
      </c>
      <c r="C11" s="36"/>
      <c r="D11" s="36"/>
      <c r="E11" s="36"/>
    </row>
    <row r="12" ht="19.7" customHeight="1">
      <c r="A12" t="s" s="168">
        <v>77</v>
      </c>
      <c r="B12" s="166">
        <v>0.0472</v>
      </c>
      <c r="C12" s="36"/>
      <c r="D12" s="36"/>
      <c r="E12" s="36"/>
    </row>
    <row r="13" ht="19.7" customHeight="1">
      <c r="A13" s="169"/>
      <c r="B13" s="36"/>
      <c r="C13" s="36"/>
      <c r="D13" s="36"/>
      <c r="E13" s="36"/>
    </row>
    <row r="14" ht="19.7" customHeight="1">
      <c r="A14" t="s" s="163">
        <v>78</v>
      </c>
      <c r="B14" s="164">
        <v>12630</v>
      </c>
      <c r="C14" s="36"/>
      <c r="D14" s="36"/>
      <c r="E14" s="36"/>
    </row>
    <row r="15" ht="19.7" customHeight="1">
      <c r="A15" t="s" s="163">
        <v>79</v>
      </c>
      <c r="B15" s="170">
        <f>B14/B7</f>
        <v>0.0786171746364126</v>
      </c>
      <c r="C15" s="36"/>
      <c r="D15" s="36"/>
      <c r="E15" s="36"/>
    </row>
    <row r="16" ht="19.7" customHeight="1">
      <c r="A16" t="s" s="163">
        <v>80</v>
      </c>
      <c r="B16" s="170">
        <v>0.01</v>
      </c>
      <c r="C16" s="36"/>
      <c r="D16" s="36"/>
      <c r="E16" s="36"/>
    </row>
    <row r="17" ht="19.7" customHeight="1">
      <c r="A17" t="s" s="163">
        <v>81</v>
      </c>
      <c r="B17" s="170">
        <v>0.11</v>
      </c>
      <c r="C17" s="36"/>
      <c r="D17" s="36"/>
      <c r="E17" s="36"/>
    </row>
    <row r="18" ht="19.7" customHeight="1">
      <c r="A18" s="169"/>
      <c r="B18" s="164"/>
      <c r="C18" s="36"/>
      <c r="D18" s="36"/>
      <c r="E18" s="36"/>
    </row>
    <row r="19" ht="19.7" customHeight="1">
      <c r="A19" t="s" s="163">
        <v>82</v>
      </c>
      <c r="B19" s="164">
        <f>B7+B14</f>
        <v>173281.91936</v>
      </c>
      <c r="C19" s="36"/>
      <c r="D19" s="36"/>
      <c r="E19" s="36"/>
    </row>
    <row r="20" ht="19.7" customHeight="1">
      <c r="A20" s="169"/>
      <c r="B20" s="36"/>
      <c r="C20" s="36"/>
      <c r="D20" s="36"/>
      <c r="E20" s="36"/>
    </row>
    <row r="21" ht="19.7" customHeight="1">
      <c r="A21" t="s" s="163">
        <v>27</v>
      </c>
      <c r="B21" s="166">
        <f>(B8*B9)+(B15*B16*(1-B17))</f>
        <v>0.078619831691596</v>
      </c>
      <c r="C21" s="36"/>
      <c r="D21" s="36"/>
      <c r="E21" s="36"/>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