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Model - DCF" sheetId="2" r:id="rId5"/>
    <sheet name="WACC - WACC" sheetId="3" r:id="rId6"/>
  </sheets>
</workbook>
</file>

<file path=xl/sharedStrings.xml><?xml version="1.0" encoding="utf-8"?>
<sst xmlns="http://schemas.openxmlformats.org/spreadsheetml/2006/main" uniqueCount="83">
  <si>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</si>
  <si>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</si>
  <si>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</si>
  <si>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</si>
  <si>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Model</t>
  </si>
  <si>
    <t>DCF</t>
  </si>
  <si>
    <t>Model - DCF</t>
  </si>
  <si>
    <t>Ticker</t>
  </si>
  <si>
    <t>BAE</t>
  </si>
  <si>
    <t>Implied Share Price</t>
  </si>
  <si>
    <t>Date</t>
  </si>
  <si>
    <t xml:space="preserve">Current Share Price </t>
  </si>
  <si>
    <t>Upside (Downside)</t>
  </si>
  <si>
    <t>X</t>
  </si>
  <si>
    <t xml:space="preserve">Assumptions </t>
  </si>
  <si>
    <t>Switches</t>
  </si>
  <si>
    <t>Conservative</t>
  </si>
  <si>
    <t>Street/ Base</t>
  </si>
  <si>
    <t>Optimistic</t>
  </si>
  <si>
    <t>Electronic Systems</t>
  </si>
  <si>
    <t>Platforms &amp; Services (US)</t>
  </si>
  <si>
    <t>Air</t>
  </si>
  <si>
    <t>Maritime</t>
  </si>
  <si>
    <t>Cyber &amp; Intelligence</t>
  </si>
  <si>
    <t>HQ</t>
  </si>
  <si>
    <t>Intra-Group Sales/Revenue</t>
  </si>
  <si>
    <t>EBIT</t>
  </si>
  <si>
    <t>Step</t>
  </si>
  <si>
    <t>WACC</t>
  </si>
  <si>
    <t>TGV</t>
  </si>
  <si>
    <t>Yahoo Street Estimates</t>
  </si>
  <si>
    <t>Revenue Build</t>
  </si>
  <si>
    <r>
      <rPr>
        <b val="1"/>
        <sz val="11"/>
        <color indexed="8"/>
        <rFont val="Calibri"/>
      </rPr>
      <t>Electronic Systems</t>
    </r>
  </si>
  <si>
    <t xml:space="preserve">% growth </t>
  </si>
  <si>
    <t xml:space="preserve">   Conservative</t>
  </si>
  <si>
    <t xml:space="preserve">   Street/Base Case</t>
  </si>
  <si>
    <t xml:space="preserve">   Optimistic</t>
  </si>
  <si>
    <t>% of Revenue</t>
  </si>
  <si>
    <r>
      <rPr>
        <b val="1"/>
        <sz val="11"/>
        <color indexed="8"/>
        <rFont val="Calibri"/>
      </rPr>
      <t>Platforms &amp; Services (US)</t>
    </r>
  </si>
  <si>
    <r>
      <rPr>
        <b val="1"/>
        <sz val="11"/>
        <color indexed="8"/>
        <rFont val="Calibri"/>
      </rPr>
      <t>Air</t>
    </r>
  </si>
  <si>
    <r>
      <rPr>
        <b val="1"/>
        <sz val="11"/>
        <color indexed="8"/>
        <rFont val="Calibri"/>
      </rPr>
      <t>Maritime</t>
    </r>
  </si>
  <si>
    <r>
      <rPr>
        <b val="1"/>
        <sz val="11"/>
        <color indexed="8"/>
        <rFont val="Calibri"/>
      </rPr>
      <t>Cyber &amp; Intelligence</t>
    </r>
  </si>
  <si>
    <r>
      <rPr>
        <b val="1"/>
        <sz val="11"/>
        <color indexed="8"/>
        <rFont val="Calibri"/>
      </rPr>
      <t>HQ</t>
    </r>
  </si>
  <si>
    <r>
      <rPr>
        <b val="1"/>
        <sz val="11"/>
        <color indexed="8"/>
        <rFont val="Calibri"/>
      </rPr>
      <t>Intra-Group Sales/Revenue</t>
    </r>
  </si>
  <si>
    <t>Total Revenues</t>
  </si>
  <si>
    <t>Income Statement</t>
  </si>
  <si>
    <t>Revenue</t>
  </si>
  <si>
    <t xml:space="preserve">% of sales </t>
  </si>
  <si>
    <t>Taxes</t>
  </si>
  <si>
    <t>% of EBIT</t>
  </si>
  <si>
    <t>Cash Flow Items</t>
  </si>
  <si>
    <t>D&amp;A</t>
  </si>
  <si>
    <t>% of sales</t>
  </si>
  <si>
    <t>% of CapEx</t>
  </si>
  <si>
    <t>Capital Expenditures</t>
  </si>
  <si>
    <t xml:space="preserve">Net Working Capital </t>
  </si>
  <si>
    <t xml:space="preserve">Change in Net Working Capital </t>
  </si>
  <si>
    <t>% change in sales</t>
  </si>
  <si>
    <t>EBIAT</t>
  </si>
  <si>
    <t>Unlevered Free Cash Flow</t>
  </si>
  <si>
    <t>Present Value of Free Cash Flow</t>
  </si>
  <si>
    <t xml:space="preserve">Terminal Value </t>
  </si>
  <si>
    <t xml:space="preserve">Present Value of Terminal Value </t>
  </si>
  <si>
    <t>Enterprise Value</t>
  </si>
  <si>
    <t xml:space="preserve">(+) Cash </t>
  </si>
  <si>
    <t>(-) Debt</t>
  </si>
  <si>
    <t>Equity Value</t>
  </si>
  <si>
    <t xml:space="preserve">Shares </t>
  </si>
  <si>
    <t xml:space="preserve">Implied Share Price </t>
  </si>
  <si>
    <t>WACC - WACC</t>
  </si>
  <si>
    <t>WACC = % of equity x cost of equity + % of debt x cost of debt x (1-Tax Rate)</t>
  </si>
  <si>
    <t xml:space="preserve">Cost of equity = Risk free rate + Beta x Market Risk Premium </t>
  </si>
  <si>
    <t xml:space="preserve">Market Cap </t>
  </si>
  <si>
    <t>% of equity</t>
  </si>
  <si>
    <t>Cost of Equity</t>
  </si>
  <si>
    <t>Risk Free Rate</t>
  </si>
  <si>
    <t>Beta</t>
  </si>
  <si>
    <t xml:space="preserve">Market Risk Premium </t>
  </si>
  <si>
    <t>Debt</t>
  </si>
  <si>
    <t>% of Debt</t>
  </si>
  <si>
    <t>Cost of Debt</t>
  </si>
  <si>
    <t>Tax Rate</t>
  </si>
  <si>
    <t xml:space="preserve">Total </t>
  </si>
</sst>
</file>

<file path=xl/styles.xml><?xml version="1.0" encoding="utf-8"?>
<styleSheet xmlns="http://schemas.openxmlformats.org/spreadsheetml/2006/main">
  <numFmts count="8">
    <numFmt numFmtId="0" formatCode="General"/>
    <numFmt numFmtId="59" formatCode="[$£-809]0.00"/>
    <numFmt numFmtId="60" formatCode="dd/mm/yyyy"/>
    <numFmt numFmtId="61" formatCode="0%_);\(0%\)"/>
    <numFmt numFmtId="62" formatCode="0.0%_);\(0.0%\)"/>
    <numFmt numFmtId="63" formatCode="0.0%"/>
    <numFmt numFmtId="64" formatCode="#,##0%_);\(#,##0%\)"/>
    <numFmt numFmtId="65"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b val="1"/>
      <sz val="14"/>
      <color indexed="8"/>
      <name val="Calibri"/>
    </font>
    <font>
      <sz val="11"/>
      <color indexed="8"/>
      <name val="Calibri"/>
    </font>
    <font>
      <b val="1"/>
      <sz val="11"/>
      <color indexed="8"/>
      <name val="Calibri"/>
    </font>
    <font>
      <sz val="12"/>
      <color indexed="8"/>
      <name val="Calibri"/>
    </font>
    <font>
      <b val="1"/>
      <sz val="11"/>
      <color indexed="15"/>
      <name val="Calibri"/>
    </font>
    <font>
      <i val="1"/>
      <sz val="12"/>
      <color indexed="8"/>
      <name val="Calibri"/>
    </font>
    <font>
      <sz val="11"/>
      <color indexed="17"/>
      <name val="Calibri"/>
    </font>
    <font>
      <i val="1"/>
      <sz val="11"/>
      <color indexed="8"/>
      <name val="Calibri"/>
    </font>
    <font>
      <b val="1"/>
      <i val="1"/>
      <sz val="11"/>
      <color indexed="8"/>
      <name val="Calibri"/>
    </font>
    <font>
      <sz val="11"/>
      <color indexed="18"/>
      <name val="Calibri"/>
    </font>
    <font>
      <b val="1"/>
      <sz val="12"/>
      <color indexed="8"/>
      <name val="Calibri"/>
    </font>
    <font>
      <b val="1"/>
      <sz val="12"/>
      <color indexed="8"/>
      <name val="Helvetica Neue"/>
    </font>
    <font>
      <b val="1"/>
      <sz val="12"/>
      <color indexed="15"/>
      <name val="Calibri"/>
    </font>
    <font>
      <b val="1"/>
      <sz val="10"/>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54">
    <border>
      <left/>
      <right/>
      <top/>
      <bottom/>
      <diagonal/>
    </border>
    <border>
      <left>
        <color indexed="8"/>
      </left>
      <right>
        <color indexed="8"/>
      </right>
      <top>
        <color indexed="8"/>
      </top>
      <bottom/>
      <diagonal/>
    </border>
    <border>
      <left>
        <color indexed="8"/>
      </left>
      <right/>
      <top/>
      <bottom style="dotted">
        <color indexed="12"/>
      </bottom>
      <diagonal/>
    </border>
    <border>
      <left/>
      <right/>
      <top/>
      <bottom/>
      <diagonal/>
    </border>
    <border>
      <left/>
      <right/>
      <top/>
      <bottom style="hair">
        <color indexed="12"/>
      </bottom>
      <diagonal/>
    </border>
    <border>
      <left>
        <color indexed="8"/>
      </left>
      <right>
        <color indexed="8"/>
      </right>
      <top/>
      <bottom/>
      <diagonal/>
    </border>
    <border>
      <left>
        <color indexed="8"/>
      </left>
      <right style="dotted">
        <color indexed="12"/>
      </right>
      <top/>
      <bottom/>
      <diagonal/>
    </border>
    <border>
      <left style="dotted">
        <color indexed="12"/>
      </left>
      <right style="dotted">
        <color indexed="12"/>
      </right>
      <top style="dotted">
        <color indexed="12"/>
      </top>
      <bottom style="hair">
        <color indexed="12"/>
      </bottom>
      <diagonal/>
    </border>
    <border>
      <left style="dotted">
        <color indexed="12"/>
      </left>
      <right/>
      <top/>
      <bottom/>
      <diagonal/>
    </border>
    <border>
      <left/>
      <right style="hair">
        <color indexed="12"/>
      </right>
      <top/>
      <bottom/>
      <diagonal/>
    </border>
    <border>
      <left style="hair">
        <color indexed="12"/>
      </left>
      <right style="hair">
        <color indexed="12"/>
      </right>
      <top style="hair">
        <color indexed="12"/>
      </top>
      <bottom style="hair">
        <color indexed="12"/>
      </bottom>
      <diagonal/>
    </border>
    <border>
      <left style="hair">
        <color indexed="12"/>
      </left>
      <right/>
      <top/>
      <bottom/>
      <diagonal/>
    </border>
    <border>
      <left style="dotted">
        <color indexed="12"/>
      </left>
      <right style="dotted">
        <color indexed="12"/>
      </right>
      <top style="hair">
        <color indexed="12"/>
      </top>
      <bottom style="dotted">
        <color indexed="12"/>
      </bottom>
      <diagonal/>
    </border>
    <border>
      <left>
        <color indexed="8"/>
      </left>
      <right/>
      <top style="dotted">
        <color indexed="12"/>
      </top>
      <bottom/>
      <diagonal/>
    </border>
    <border>
      <left/>
      <right/>
      <top style="hair">
        <color indexed="12"/>
      </top>
      <bottom/>
      <diagonal/>
    </border>
    <border>
      <left>
        <color indexed="8"/>
      </left>
      <right/>
      <top/>
      <bottom/>
      <diagonal/>
    </border>
    <border>
      <left/>
      <right/>
      <top/>
      <bottom style="dotted">
        <color indexed="12"/>
      </bottom>
      <diagonal/>
    </border>
    <border>
      <left style="dotted">
        <color indexed="12"/>
      </left>
      <right style="dotted">
        <color indexed="12"/>
      </right>
      <top style="dotted">
        <color indexed="12"/>
      </top>
      <bottom style="dotted">
        <color indexed="12"/>
      </bottom>
      <diagonal/>
    </border>
    <border>
      <left style="dotted">
        <color indexed="12"/>
      </left>
      <right style="dotted">
        <color indexed="12"/>
      </right>
      <top/>
      <bottom/>
      <diagonal/>
    </border>
    <border>
      <left>
        <color indexed="8"/>
      </left>
      <right style="dotted">
        <color indexed="12"/>
      </right>
      <top/>
      <bottom>
        <color indexed="8"/>
      </bottom>
      <diagonal/>
    </border>
    <border>
      <left>
        <color indexed="8"/>
      </left>
      <right>
        <color indexed="8"/>
      </right>
      <top>
        <color indexed="8"/>
      </top>
      <bottom>
        <color indexed="8"/>
      </bottom>
      <diagonal/>
    </border>
    <border>
      <left>
        <color indexed="8"/>
      </left>
      <right/>
      <top style="hair">
        <color indexed="12"/>
      </top>
      <bottom style="dotted">
        <color indexed="12"/>
      </bottom>
      <diagonal/>
    </border>
    <border>
      <left/>
      <right/>
      <top style="hair">
        <color indexed="12"/>
      </top>
      <bottom style="dotted">
        <color indexed="12"/>
      </bottom>
      <diagonal/>
    </border>
    <border>
      <left>
        <color indexed="8"/>
      </left>
      <right style="dotted">
        <color indexed="12"/>
      </right>
      <top>
        <color indexed="8"/>
      </top>
      <bottom>
        <color indexed="8"/>
      </bottom>
      <diagonal/>
    </border>
    <border>
      <left style="dotted">
        <color indexed="12"/>
      </left>
      <right style="dotted">
        <color indexed="12"/>
      </right>
      <top style="hair">
        <color indexed="12"/>
      </top>
      <bottom style="hair">
        <color indexed="12"/>
      </bottom>
      <diagonal/>
    </border>
    <border>
      <left/>
      <right/>
      <top style="dotted">
        <color indexed="12"/>
      </top>
      <bottom/>
      <diagonal/>
    </border>
    <border>
      <left>
        <color indexed="8"/>
      </left>
      <right/>
      <top style="hair">
        <color indexed="12"/>
      </top>
      <bottom/>
      <diagonal/>
    </border>
    <border>
      <left/>
      <right style="dotted">
        <color indexed="12"/>
      </right>
      <top/>
      <bottom/>
      <diagonal/>
    </border>
    <border>
      <left/>
      <right style="dotted">
        <color indexed="12"/>
      </right>
      <top/>
      <bottom>
        <color indexed="8"/>
      </bottom>
      <diagonal/>
    </border>
    <border>
      <left/>
      <right>
        <color indexed="8"/>
      </right>
      <top/>
      <bottom/>
      <diagonal/>
    </border>
    <border>
      <left>
        <color indexed="8"/>
      </left>
      <right>
        <color indexed="8"/>
      </right>
      <top style="dotted">
        <color indexed="12"/>
      </top>
      <bottom>
        <color indexed="8"/>
      </bottom>
      <diagonal/>
    </border>
    <border>
      <left>
        <color indexed="8"/>
      </left>
      <right>
        <color indexed="8"/>
      </right>
      <top/>
      <bottom>
        <color indexed="8"/>
      </bottom>
      <diagonal/>
    </border>
    <border>
      <left>
        <color indexed="8"/>
      </left>
      <right/>
      <top/>
      <bottom>
        <color indexed="8"/>
      </bottom>
      <diagonal/>
    </border>
    <border>
      <left/>
      <right/>
      <top/>
      <bottom>
        <color indexed="8"/>
      </bottom>
      <diagonal/>
    </border>
    <border>
      <left/>
      <right/>
      <top>
        <color indexed="8"/>
      </top>
      <bottom>
        <color indexed="8"/>
      </bottom>
      <diagonal/>
    </border>
    <border>
      <left>
        <color indexed="8"/>
      </left>
      <right/>
      <top>
        <color indexed="8"/>
      </top>
      <bottom>
        <color indexed="8"/>
      </bottom>
      <diagonal/>
    </border>
    <border>
      <left>
        <color indexed="8"/>
      </left>
      <right/>
      <top>
        <color indexed="8"/>
      </top>
      <bottom/>
      <diagonal/>
    </border>
    <border>
      <left/>
      <right/>
      <top>
        <color indexed="8"/>
      </top>
      <bottom/>
      <diagonal/>
    </border>
    <border>
      <left/>
      <right/>
      <top>
        <color indexed="8"/>
      </top>
      <bottom style="dotted">
        <color indexed="12"/>
      </bottom>
      <diagonal/>
    </border>
    <border>
      <left>
        <color indexed="8"/>
      </left>
      <right>
        <color indexed="8"/>
      </right>
      <top/>
      <bottom style="thin">
        <color indexed="12"/>
      </bottom>
      <diagonal/>
    </border>
    <border>
      <left>
        <color indexed="8"/>
      </left>
      <right/>
      <top/>
      <bottom style="thin">
        <color indexed="12"/>
      </bottom>
      <diagonal/>
    </border>
    <border>
      <left/>
      <right/>
      <top/>
      <bottom style="thin">
        <color indexed="12"/>
      </bottom>
      <diagonal/>
    </border>
    <border>
      <left>
        <color indexed="8"/>
      </left>
      <right>
        <color indexed="8"/>
      </right>
      <top style="thin">
        <color indexed="12"/>
      </top>
      <bottom/>
      <diagonal/>
    </border>
    <border>
      <left>
        <color indexed="8"/>
      </left>
      <right/>
      <top style="thin">
        <color indexed="12"/>
      </top>
      <bottom/>
      <diagonal/>
    </border>
    <border>
      <left/>
      <right/>
      <top style="thin">
        <color indexed="12"/>
      </top>
      <bottom/>
      <diagonal/>
    </border>
    <border>
      <left>
        <color indexed="8"/>
      </left>
      <right>
        <color indexed="8"/>
      </right>
      <top>
        <color indexed="8"/>
      </top>
      <bottom style="thin">
        <color indexed="19"/>
      </bottom>
      <diagonal/>
    </border>
    <border>
      <left>
        <color indexed="8"/>
      </left>
      <right/>
      <top/>
      <bottom style="thin">
        <color indexed="19"/>
      </bottom>
      <diagonal/>
    </border>
    <border>
      <left/>
      <right/>
      <top/>
      <bottom style="thin">
        <color indexed="19"/>
      </bottom>
      <diagonal/>
    </border>
    <border>
      <left/>
      <right/>
      <top style="hair">
        <color indexed="12"/>
      </top>
      <bottom style="thin">
        <color indexed="19"/>
      </bottom>
      <diagonal/>
    </border>
    <border>
      <left>
        <color indexed="8"/>
      </left>
      <right>
        <color indexed="8"/>
      </right>
      <top style="thin">
        <color indexed="19"/>
      </top>
      <bottom>
        <color indexed="8"/>
      </bottom>
      <diagonal/>
    </border>
    <border>
      <left>
        <color indexed="8"/>
      </left>
      <right/>
      <top style="thin">
        <color indexed="19"/>
      </top>
      <bottom>
        <color indexed="8"/>
      </bottom>
      <diagonal/>
    </border>
    <border>
      <left/>
      <right/>
      <top style="thin">
        <color indexed="19"/>
      </top>
      <bottom>
        <color indexed="8"/>
      </bottom>
      <diagonal/>
    </border>
    <border>
      <left>
        <color indexed="8"/>
      </left>
      <right/>
      <top style="thin">
        <color indexed="19"/>
      </top>
      <bottom/>
      <diagonal/>
    </border>
    <border>
      <left/>
      <right/>
      <top style="thin">
        <color indexed="19"/>
      </top>
      <bottom/>
      <diagonal/>
    </border>
  </borders>
  <cellStyleXfs count="1">
    <xf numFmtId="0" fontId="0" applyNumberFormat="0" applyFont="1" applyFill="0" applyBorder="0" applyAlignment="1" applyProtection="0">
      <alignment vertical="top" wrapText="1"/>
    </xf>
  </cellStyleXfs>
  <cellXfs count="17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4" applyNumberFormat="0" applyFont="1" applyFill="0" applyBorder="0" applyAlignment="1" applyProtection="0">
      <alignment horizontal="left" vertical="center"/>
    </xf>
    <xf numFmtId="0" fontId="5" borderId="1" applyNumberFormat="0" applyFont="1" applyFill="0" applyBorder="1" applyAlignment="1" applyProtection="0">
      <alignment vertical="top"/>
    </xf>
    <xf numFmtId="0" fontId="6" borderId="1" applyNumberFormat="0" applyFont="1" applyFill="0" applyBorder="1" applyAlignment="1" applyProtection="0">
      <alignment vertical="top"/>
    </xf>
    <xf numFmtId="0" fontId="5" borderId="2" applyNumberFormat="0" applyFont="1" applyFill="0" applyBorder="1" applyAlignment="1" applyProtection="0">
      <alignment vertical="top"/>
    </xf>
    <xf numFmtId="0" fontId="5" borderId="3" applyNumberFormat="0" applyFont="1" applyFill="0" applyBorder="1" applyAlignment="1" applyProtection="0">
      <alignment vertical="top"/>
    </xf>
    <xf numFmtId="0" fontId="5" borderId="4" applyNumberFormat="0" applyFont="1" applyFill="0" applyBorder="1" applyAlignment="1" applyProtection="0">
      <alignment vertical="top"/>
    </xf>
    <xf numFmtId="0" fontId="5" borderId="5" applyNumberFormat="0" applyFont="1" applyFill="0" applyBorder="1" applyAlignment="1" applyProtection="0">
      <alignment vertical="top"/>
    </xf>
    <xf numFmtId="49" fontId="6" borderId="6" applyNumberFormat="1" applyFont="1" applyFill="0" applyBorder="1" applyAlignment="1" applyProtection="0">
      <alignment vertical="top"/>
    </xf>
    <xf numFmtId="49" fontId="5" fillId="4" borderId="7" applyNumberFormat="1" applyFont="1" applyFill="1" applyBorder="1" applyAlignment="1" applyProtection="0">
      <alignment vertical="top"/>
    </xf>
    <xf numFmtId="0" fontId="5" borderId="8" applyNumberFormat="0" applyFont="1" applyFill="0" applyBorder="1" applyAlignment="1" applyProtection="0">
      <alignment vertical="top"/>
    </xf>
    <xf numFmtId="49" fontId="7" borderId="9" applyNumberFormat="1" applyFont="1" applyFill="0" applyBorder="1" applyAlignment="1" applyProtection="0">
      <alignment vertical="top"/>
    </xf>
    <xf numFmtId="59" fontId="7" fillId="5" borderId="10" applyNumberFormat="1" applyFont="1" applyFill="1" applyBorder="1" applyAlignment="1" applyProtection="0">
      <alignment horizontal="right" vertical="top" wrapText="1"/>
    </xf>
    <xf numFmtId="0" fontId="7" borderId="11" applyNumberFormat="0" applyFont="1" applyFill="0" applyBorder="1" applyAlignment="1" applyProtection="0">
      <alignment vertical="top" wrapText="1"/>
    </xf>
    <xf numFmtId="0" fontId="7" borderId="3" applyNumberFormat="0" applyFont="1" applyFill="0" applyBorder="1" applyAlignment="1" applyProtection="0">
      <alignment vertical="top" wrapText="1"/>
    </xf>
    <xf numFmtId="0" fontId="7" borderId="4" applyNumberFormat="0" applyFont="1" applyFill="0" applyBorder="1" applyAlignment="1" applyProtection="0">
      <alignment vertical="top" wrapText="1"/>
    </xf>
    <xf numFmtId="60" fontId="5" fillId="5" borderId="12" applyNumberFormat="1" applyFont="1" applyFill="1" applyBorder="1" applyAlignment="1" applyProtection="0">
      <alignment horizontal="left" vertical="top"/>
    </xf>
    <xf numFmtId="61" fontId="7" fillId="5" borderId="10" applyNumberFormat="1" applyFont="1" applyFill="1" applyBorder="1" applyAlignment="1" applyProtection="0">
      <alignment horizontal="right" vertical="top" wrapText="1"/>
    </xf>
    <xf numFmtId="0" fontId="5" borderId="11" applyNumberFormat="0" applyFont="1" applyFill="0" applyBorder="1" applyAlignment="1" applyProtection="0">
      <alignment vertical="top"/>
    </xf>
    <xf numFmtId="0" fontId="6" borderId="5" applyNumberFormat="0" applyFont="1" applyFill="0" applyBorder="1" applyAlignment="1" applyProtection="0">
      <alignment vertical="top"/>
    </xf>
    <xf numFmtId="0" fontId="5" borderId="13" applyNumberFormat="0" applyFont="1" applyFill="0" applyBorder="1" applyAlignment="1" applyProtection="0">
      <alignment vertical="top"/>
    </xf>
    <xf numFmtId="0" fontId="5" borderId="14" applyNumberFormat="0" applyFont="1" applyFill="0" applyBorder="1" applyAlignment="1" applyProtection="0">
      <alignment vertical="top"/>
    </xf>
    <xf numFmtId="0" fontId="5" borderId="15" applyNumberFormat="0" applyFont="1" applyFill="0" applyBorder="1" applyAlignment="1" applyProtection="0">
      <alignment vertical="top"/>
    </xf>
    <xf numFmtId="49" fontId="5" borderId="5" applyNumberFormat="1" applyFont="1" applyFill="0" applyBorder="1" applyAlignment="1" applyProtection="0">
      <alignment vertical="top"/>
    </xf>
    <xf numFmtId="49" fontId="8" fillId="6" borderId="5" applyNumberFormat="1" applyFont="1" applyFill="1" applyBorder="1" applyAlignment="1" applyProtection="0">
      <alignment vertical="top"/>
    </xf>
    <xf numFmtId="0" fontId="8" fillId="6" borderId="5" applyNumberFormat="0" applyFont="1" applyFill="1" applyBorder="1" applyAlignment="1" applyProtection="0">
      <alignment vertical="top"/>
    </xf>
    <xf numFmtId="0" fontId="8" fillId="6" borderId="15" applyNumberFormat="0" applyFont="1" applyFill="1" applyBorder="1" applyAlignment="1" applyProtection="0">
      <alignment vertical="top"/>
    </xf>
    <xf numFmtId="0" fontId="8" fillId="6" borderId="3" applyNumberFormat="0" applyFont="1" applyFill="1" applyBorder="1" applyAlignment="1" applyProtection="0">
      <alignment vertical="top"/>
    </xf>
    <xf numFmtId="49" fontId="6" borderId="5" applyNumberFormat="1" applyFont="1" applyFill="0" applyBorder="1" applyAlignment="1" applyProtection="0">
      <alignment vertical="top"/>
    </xf>
    <xf numFmtId="49" fontId="6" borderId="16" applyNumberFormat="1" applyFont="1" applyFill="0" applyBorder="1" applyAlignment="1" applyProtection="0">
      <alignment vertical="top"/>
    </xf>
    <xf numFmtId="0" fontId="0" borderId="3" applyNumberFormat="0" applyFont="1" applyFill="0" applyBorder="1" applyAlignment="1" applyProtection="0">
      <alignment vertical="top" wrapText="1"/>
    </xf>
    <xf numFmtId="0" fontId="5" fillId="4" borderId="17" applyNumberFormat="1" applyFont="1" applyFill="1" applyBorder="1" applyAlignment="1" applyProtection="0">
      <alignment vertical="top"/>
    </xf>
    <xf numFmtId="0" fontId="5" borderId="18" applyNumberFormat="0" applyFont="1" applyFill="0" applyBorder="1" applyAlignment="1" applyProtection="0">
      <alignment vertical="top"/>
    </xf>
    <xf numFmtId="62" fontId="5" fillId="4" borderId="17" applyNumberFormat="1" applyFont="1" applyFill="1" applyBorder="1" applyAlignment="1" applyProtection="0">
      <alignment vertical="top"/>
    </xf>
    <xf numFmtId="61" fontId="5" borderId="18" applyNumberFormat="1" applyFont="1" applyFill="0" applyBorder="1" applyAlignment="1" applyProtection="0">
      <alignment vertical="top"/>
    </xf>
    <xf numFmtId="63" fontId="5" fillId="4" borderId="17" applyNumberFormat="1" applyFont="1" applyFill="1" applyBorder="1" applyAlignment="1" applyProtection="0">
      <alignment vertical="top"/>
    </xf>
    <xf numFmtId="49" fontId="6" borderId="19" applyNumberFormat="1" applyFont="1" applyFill="0" applyBorder="1" applyAlignment="1" applyProtection="0">
      <alignment vertical="top"/>
    </xf>
    <xf numFmtId="0" fontId="5" fillId="4" borderId="7" applyNumberFormat="1" applyFont="1" applyFill="1" applyBorder="1" applyAlignment="1" applyProtection="0">
      <alignment vertical="top"/>
    </xf>
    <xf numFmtId="63" fontId="5" fillId="4" borderId="7" applyNumberFormat="1" applyFont="1" applyFill="1" applyBorder="1" applyAlignment="1" applyProtection="0">
      <alignment vertical="top"/>
    </xf>
    <xf numFmtId="62" fontId="5" fillId="4" borderId="7" applyNumberFormat="1" applyFont="1" applyFill="1" applyBorder="1" applyAlignment="1" applyProtection="0">
      <alignment vertical="top"/>
    </xf>
    <xf numFmtId="0" fontId="6" borderId="20" applyNumberFormat="0" applyFont="1" applyFill="0" applyBorder="1" applyAlignment="1" applyProtection="0">
      <alignment vertical="top"/>
    </xf>
    <xf numFmtId="0" fontId="5" borderId="21" applyNumberFormat="0" applyFont="1" applyFill="0" applyBorder="1" applyAlignment="1" applyProtection="0">
      <alignment vertical="top"/>
    </xf>
    <xf numFmtId="9" fontId="5" borderId="22" applyNumberFormat="1" applyFont="1" applyFill="0" applyBorder="1" applyAlignment="1" applyProtection="0">
      <alignment vertical="top"/>
    </xf>
    <xf numFmtId="49" fontId="6" borderId="23" applyNumberFormat="1" applyFont="1" applyFill="0" applyBorder="1" applyAlignment="1" applyProtection="0">
      <alignment vertical="top"/>
    </xf>
    <xf numFmtId="49" fontId="7" borderId="16" applyNumberFormat="1" applyFont="1" applyFill="0" applyBorder="1" applyAlignment="1" applyProtection="0">
      <alignment vertical="top" wrapText="1"/>
    </xf>
    <xf numFmtId="10" fontId="5" fillId="4" borderId="7" applyNumberFormat="1" applyFont="1" applyFill="1" applyBorder="1" applyAlignment="1" applyProtection="0">
      <alignment vertical="top"/>
    </xf>
    <xf numFmtId="10" fontId="5" fillId="4" borderId="17" applyNumberFormat="1" applyFont="1" applyFill="1" applyBorder="1" applyAlignment="1" applyProtection="0">
      <alignment vertical="top"/>
    </xf>
    <xf numFmtId="10" fontId="9" fillId="5" borderId="17" applyNumberFormat="1" applyFont="1" applyFill="1" applyBorder="1" applyAlignment="1" applyProtection="0">
      <alignment horizontal="center" vertical="top" wrapText="1"/>
    </xf>
    <xf numFmtId="63" fontId="5" fillId="4" borderId="24" applyNumberFormat="1" applyFont="1" applyFill="1" applyBorder="1" applyAlignment="1" applyProtection="0">
      <alignment vertical="top"/>
    </xf>
    <xf numFmtId="9" fontId="5" fillId="4" borderId="7" applyNumberFormat="1" applyFont="1" applyFill="1" applyBorder="1" applyAlignment="1" applyProtection="0">
      <alignment vertical="top"/>
    </xf>
    <xf numFmtId="0" fontId="5" borderId="25" applyNumberFormat="0" applyFont="1" applyFill="0" applyBorder="1" applyAlignment="1" applyProtection="0">
      <alignment vertical="top"/>
    </xf>
    <xf numFmtId="0" fontId="5" borderId="26" applyNumberFormat="0" applyFont="1" applyFill="0" applyBorder="1" applyAlignment="1" applyProtection="0">
      <alignment vertical="top"/>
    </xf>
    <xf numFmtId="49" fontId="5" borderId="3" applyNumberFormat="1" applyFont="1" applyFill="0" applyBorder="1" applyAlignment="1" applyProtection="0">
      <alignment horizontal="center" vertical="top"/>
    </xf>
    <xf numFmtId="0" fontId="8" fillId="6" borderId="15" applyNumberFormat="1" applyFont="1" applyFill="1" applyBorder="1" applyAlignment="1" applyProtection="0">
      <alignment vertical="top"/>
    </xf>
    <xf numFmtId="0" fontId="8" fillId="6" borderId="3" applyNumberFormat="1" applyFont="1" applyFill="1" applyBorder="1" applyAlignment="1" applyProtection="0">
      <alignment vertical="top"/>
    </xf>
    <xf numFmtId="37" fontId="5" borderId="3" applyNumberFormat="1" applyFont="1" applyFill="0" applyBorder="1" applyAlignment="1" applyProtection="0">
      <alignment vertical="top"/>
    </xf>
    <xf numFmtId="0" fontId="5" borderId="3" applyNumberFormat="0" applyFont="1" applyFill="0" applyBorder="1" applyAlignment="1" applyProtection="0">
      <alignment vertical="top" wrapText="1"/>
    </xf>
    <xf numFmtId="37" fontId="10" borderId="3" applyNumberFormat="1" applyFont="1" applyFill="0" applyBorder="1" applyAlignment="1" applyProtection="0">
      <alignment vertical="top"/>
    </xf>
    <xf numFmtId="0" fontId="11" borderId="5" applyNumberFormat="0" applyFont="1" applyFill="0" applyBorder="1" applyAlignment="1" applyProtection="0">
      <alignment vertical="top"/>
    </xf>
    <xf numFmtId="49" fontId="12" borderId="5" applyNumberFormat="1" applyFont="1" applyFill="0" applyBorder="1" applyAlignment="1" applyProtection="0">
      <alignment vertical="top"/>
    </xf>
    <xf numFmtId="0" fontId="11" borderId="15" applyNumberFormat="0" applyFont="1" applyFill="0" applyBorder="1" applyAlignment="1" applyProtection="0">
      <alignment vertical="top"/>
    </xf>
    <xf numFmtId="0" fontId="11" borderId="3" applyNumberFormat="0" applyFont="1" applyFill="0" applyBorder="1" applyAlignment="1" applyProtection="0">
      <alignment vertical="top"/>
    </xf>
    <xf numFmtId="64" fontId="11" borderId="3" applyNumberFormat="1" applyFont="1" applyFill="0" applyBorder="1" applyAlignment="1" applyProtection="0">
      <alignment vertical="top"/>
    </xf>
    <xf numFmtId="64" fontId="11" borderId="16" applyNumberFormat="1" applyFont="1" applyFill="0" applyBorder="1" applyAlignment="1" applyProtection="0">
      <alignment vertical="top"/>
    </xf>
    <xf numFmtId="64" fontId="11" borderId="27" applyNumberFormat="1" applyFont="1" applyFill="0" applyBorder="1" applyAlignment="1" applyProtection="0">
      <alignment vertical="top"/>
    </xf>
    <xf numFmtId="61" fontId="11" fillId="4" borderId="17" applyNumberFormat="1" applyFont="1" applyFill="1" applyBorder="1" applyAlignment="1" applyProtection="0">
      <alignment vertical="top"/>
    </xf>
    <xf numFmtId="0" fontId="0" borderId="8" applyNumberFormat="0" applyFont="1" applyFill="0" applyBorder="1" applyAlignment="1" applyProtection="0">
      <alignment vertical="top" wrapText="1"/>
    </xf>
    <xf numFmtId="61" fontId="11" fillId="4" borderId="7" applyNumberFormat="1" applyFont="1" applyFill="1" applyBorder="1" applyAlignment="1" applyProtection="0">
      <alignment vertical="top"/>
    </xf>
    <xf numFmtId="64" fontId="11" borderId="28" applyNumberFormat="1" applyFont="1" applyFill="0" applyBorder="1" applyAlignment="1" applyProtection="0">
      <alignment vertical="top"/>
    </xf>
    <xf numFmtId="61" fontId="11" fillId="4" borderId="12" applyNumberFormat="1" applyFont="1" applyFill="1" applyBorder="1" applyAlignment="1" applyProtection="0">
      <alignment vertical="top"/>
    </xf>
    <xf numFmtId="64" fontId="11" borderId="29" applyNumberFormat="1" applyFont="1" applyFill="0" applyBorder="1" applyAlignment="1" applyProtection="0">
      <alignment vertical="top"/>
    </xf>
    <xf numFmtId="64" fontId="11" borderId="20" applyNumberFormat="1" applyFont="1" applyFill="0" applyBorder="1" applyAlignment="1" applyProtection="0">
      <alignment vertical="top"/>
    </xf>
    <xf numFmtId="61" fontId="11" borderId="30" applyNumberFormat="1" applyFont="1" applyFill="0" applyBorder="1" applyAlignment="1" applyProtection="0">
      <alignment vertical="top"/>
    </xf>
    <xf numFmtId="0" fontId="0" borderId="15" applyNumberFormat="0" applyFont="1" applyFill="0" applyBorder="1" applyAlignment="1" applyProtection="0">
      <alignment vertical="top" wrapText="1"/>
    </xf>
    <xf numFmtId="0" fontId="11" borderId="31" applyNumberFormat="0" applyFont="1" applyFill="0" applyBorder="1" applyAlignment="1" applyProtection="0">
      <alignment vertical="top"/>
    </xf>
    <xf numFmtId="0" fontId="12" borderId="5" applyNumberFormat="0" applyFont="1" applyFill="0" applyBorder="1" applyAlignment="1" applyProtection="0">
      <alignment vertical="top"/>
    </xf>
    <xf numFmtId="0" fontId="11" borderId="32" applyNumberFormat="0" applyFont="1" applyFill="0" applyBorder="1" applyAlignment="1" applyProtection="0">
      <alignment vertical="top"/>
    </xf>
    <xf numFmtId="0" fontId="11" borderId="33" applyNumberFormat="0" applyFont="1" applyFill="0" applyBorder="1" applyAlignment="1" applyProtection="0">
      <alignment vertical="top"/>
    </xf>
    <xf numFmtId="37" fontId="11" borderId="33" applyNumberFormat="1" applyFont="1" applyFill="0" applyBorder="1" applyAlignment="1" applyProtection="0">
      <alignment vertical="top"/>
    </xf>
    <xf numFmtId="64" fontId="11" borderId="33" applyNumberFormat="1" applyFont="1" applyFill="0" applyBorder="1" applyAlignment="1" applyProtection="0">
      <alignment vertical="top"/>
    </xf>
    <xf numFmtId="64" fontId="11" borderId="34" applyNumberFormat="1" applyFont="1" applyFill="0" applyBorder="1" applyAlignment="1" applyProtection="0">
      <alignment vertical="top"/>
    </xf>
    <xf numFmtId="0" fontId="5" borderId="20" applyNumberFormat="0" applyFont="1" applyFill="0" applyBorder="1" applyAlignment="1" applyProtection="0">
      <alignment vertical="top"/>
    </xf>
    <xf numFmtId="0" fontId="5" borderId="35" applyNumberFormat="0" applyFont="1" applyFill="0" applyBorder="1" applyAlignment="1" applyProtection="0">
      <alignment vertical="top"/>
    </xf>
    <xf numFmtId="37" fontId="10" borderId="34" applyNumberFormat="1" applyFont="1" applyFill="0" applyBorder="1" applyAlignment="1" applyProtection="0">
      <alignment vertical="top"/>
    </xf>
    <xf numFmtId="37" fontId="5" borderId="34" applyNumberFormat="1" applyFont="1" applyFill="0" applyBorder="1" applyAlignment="1" applyProtection="0">
      <alignment vertical="top"/>
    </xf>
    <xf numFmtId="0" fontId="11" borderId="1" applyNumberFormat="0" applyFont="1" applyFill="0" applyBorder="1" applyAlignment="1" applyProtection="0">
      <alignment vertical="top"/>
    </xf>
    <xf numFmtId="0" fontId="11" borderId="36" applyNumberFormat="0" applyFont="1" applyFill="0" applyBorder="1" applyAlignment="1" applyProtection="0">
      <alignment vertical="top"/>
    </xf>
    <xf numFmtId="0" fontId="11" borderId="37" applyNumberFormat="0" applyFont="1" applyFill="0" applyBorder="1" applyAlignment="1" applyProtection="0">
      <alignment vertical="top"/>
    </xf>
    <xf numFmtId="64" fontId="11" borderId="37" applyNumberFormat="1" applyFont="1" applyFill="0" applyBorder="1" applyAlignment="1" applyProtection="0">
      <alignment vertical="top"/>
    </xf>
    <xf numFmtId="64" fontId="11" borderId="38" applyNumberFormat="1" applyFont="1" applyFill="0" applyBorder="1" applyAlignment="1" applyProtection="0">
      <alignment vertical="top"/>
    </xf>
    <xf numFmtId="61" fontId="11" fillId="4" borderId="24" applyNumberFormat="1" applyFont="1" applyFill="1" applyBorder="1" applyAlignment="1" applyProtection="0">
      <alignment vertical="top"/>
    </xf>
    <xf numFmtId="64" fontId="11" borderId="14" applyNumberFormat="1" applyFont="1" applyFill="0" applyBorder="1" applyAlignment="1" applyProtection="0">
      <alignment vertical="top"/>
    </xf>
    <xf numFmtId="37" fontId="10" borderId="35" applyNumberFormat="1" applyFont="1" applyFill="0" applyBorder="1" applyAlignment="1" applyProtection="0">
      <alignment vertical="top"/>
    </xf>
    <xf numFmtId="0" fontId="11" borderId="39" applyNumberFormat="0" applyFont="1" applyFill="0" applyBorder="1" applyAlignment="1" applyProtection="0">
      <alignment vertical="top"/>
    </xf>
    <xf numFmtId="0" fontId="6" borderId="39" applyNumberFormat="0" applyFont="1" applyFill="0" applyBorder="1" applyAlignment="1" applyProtection="0">
      <alignment vertical="top"/>
    </xf>
    <xf numFmtId="0" fontId="11" borderId="40" applyNumberFormat="0" applyFont="1" applyFill="0" applyBorder="1" applyAlignment="1" applyProtection="0">
      <alignment vertical="top"/>
    </xf>
    <xf numFmtId="64" fontId="11" borderId="41" applyNumberFormat="1" applyFont="1" applyFill="0" applyBorder="1" applyAlignment="1" applyProtection="0">
      <alignment vertical="top"/>
    </xf>
    <xf numFmtId="0" fontId="6" borderId="42" applyNumberFormat="0" applyFont="1" applyFill="0" applyBorder="1" applyAlignment="1" applyProtection="0">
      <alignment vertical="top"/>
    </xf>
    <xf numFmtId="49" fontId="6" borderId="42" applyNumberFormat="1" applyFont="1" applyFill="0" applyBorder="1" applyAlignment="1" applyProtection="0">
      <alignment vertical="top"/>
    </xf>
    <xf numFmtId="0" fontId="6" borderId="43" applyNumberFormat="0" applyFont="1" applyFill="0" applyBorder="1" applyAlignment="1" applyProtection="0">
      <alignment vertical="top"/>
    </xf>
    <xf numFmtId="37" fontId="6" borderId="44" applyNumberFormat="1" applyFont="1" applyFill="0" applyBorder="1" applyAlignment="1" applyProtection="0">
      <alignment vertical="top"/>
    </xf>
    <xf numFmtId="64" fontId="12" borderId="3" applyNumberFormat="1" applyFont="1" applyFill="0" applyBorder="1" applyAlignment="1" applyProtection="0">
      <alignment vertical="top"/>
    </xf>
    <xf numFmtId="0" fontId="8" borderId="3" applyNumberFormat="0" applyFont="1" applyFill="0" applyBorder="1" applyAlignment="1" applyProtection="0">
      <alignment vertical="top"/>
    </xf>
    <xf numFmtId="37" fontId="13" borderId="3" applyNumberFormat="1" applyFont="1" applyFill="0" applyBorder="1" applyAlignment="1" applyProtection="0">
      <alignment vertical="top"/>
    </xf>
    <xf numFmtId="0" fontId="13" borderId="3" applyNumberFormat="0" applyFont="1" applyFill="0" applyBorder="1" applyAlignment="1" applyProtection="0">
      <alignment vertical="top"/>
    </xf>
    <xf numFmtId="3" fontId="5" borderId="3" applyNumberFormat="1" applyFont="1" applyFill="0" applyBorder="1" applyAlignment="1" applyProtection="0">
      <alignment vertical="top"/>
    </xf>
    <xf numFmtId="0" fontId="5" borderId="31" applyNumberFormat="0" applyFont="1" applyFill="0" applyBorder="1" applyAlignment="1" applyProtection="0">
      <alignment vertical="top"/>
    </xf>
    <xf numFmtId="0" fontId="6" borderId="31" applyNumberFormat="0" applyFont="1" applyFill="0" applyBorder="1" applyAlignment="1" applyProtection="0">
      <alignment vertical="top"/>
    </xf>
    <xf numFmtId="9" fontId="5" borderId="3" applyNumberFormat="1" applyFont="1" applyFill="0" applyBorder="1" applyAlignment="1" applyProtection="0">
      <alignment vertical="top"/>
    </xf>
    <xf numFmtId="49" fontId="6" borderId="1" applyNumberFormat="1" applyFont="1" applyFill="0" applyBorder="1" applyAlignment="1" applyProtection="0">
      <alignment vertical="top"/>
    </xf>
    <xf numFmtId="3" fontId="10" borderId="3" applyNumberFormat="1" applyFont="1" applyFill="0" applyBorder="1" applyAlignment="1" applyProtection="0">
      <alignment vertical="top"/>
    </xf>
    <xf numFmtId="49" fontId="12" borderId="31" applyNumberFormat="1" applyFont="1" applyFill="0" applyBorder="1" applyAlignment="1" applyProtection="0">
      <alignment vertical="top"/>
    </xf>
    <xf numFmtId="64" fontId="5" borderId="3" applyNumberFormat="1" applyFont="1" applyFill="0" applyBorder="1" applyAlignment="1" applyProtection="0">
      <alignment vertical="top"/>
    </xf>
    <xf numFmtId="49" fontId="5" borderId="1" applyNumberFormat="1" applyFont="1" applyFill="0" applyBorder="1" applyAlignment="1" applyProtection="0">
      <alignment vertical="top"/>
    </xf>
    <xf numFmtId="49" fontId="8" fillId="6" borderId="1" applyNumberFormat="1" applyFont="1" applyFill="1" applyBorder="1" applyAlignment="1" applyProtection="0">
      <alignment vertical="top"/>
    </xf>
    <xf numFmtId="49" fontId="6" borderId="20" applyNumberFormat="1" applyFont="1" applyFill="0" applyBorder="1" applyAlignment="1" applyProtection="0">
      <alignment vertical="top"/>
    </xf>
    <xf numFmtId="0" fontId="11" borderId="20" applyNumberFormat="0" applyFont="1" applyFill="0" applyBorder="1" applyAlignment="1" applyProtection="0">
      <alignment vertical="top"/>
    </xf>
    <xf numFmtId="49" fontId="12" borderId="20" applyNumberFormat="1" applyFont="1" applyFill="0" applyBorder="1" applyAlignment="1" applyProtection="0">
      <alignment vertical="top"/>
    </xf>
    <xf numFmtId="37" fontId="10" borderId="27" applyNumberFormat="1" applyFont="1" applyFill="0" applyBorder="1" applyAlignment="1" applyProtection="0">
      <alignment vertical="top"/>
    </xf>
    <xf numFmtId="64" fontId="5" borderId="14" applyNumberFormat="1" applyFont="1" applyFill="0" applyBorder="1" applyAlignment="1" applyProtection="0">
      <alignment vertical="top"/>
    </xf>
    <xf numFmtId="3" fontId="5" borderId="16" applyNumberFormat="1" applyFont="1" applyFill="0" applyBorder="1" applyAlignment="1" applyProtection="0">
      <alignment vertical="top"/>
    </xf>
    <xf numFmtId="0" fontId="5" borderId="45" applyNumberFormat="0" applyFont="1" applyFill="0" applyBorder="1" applyAlignment="1" applyProtection="0">
      <alignment vertical="top"/>
    </xf>
    <xf numFmtId="0" fontId="6" borderId="45" applyNumberFormat="0" applyFont="1" applyFill="0" applyBorder="1" applyAlignment="1" applyProtection="0">
      <alignment vertical="top"/>
    </xf>
    <xf numFmtId="0" fontId="5" borderId="46" applyNumberFormat="0" applyFont="1" applyFill="0" applyBorder="1" applyAlignment="1" applyProtection="0">
      <alignment vertical="top"/>
    </xf>
    <xf numFmtId="0" fontId="5" borderId="47" applyNumberFormat="0" applyFont="1" applyFill="0" applyBorder="1" applyAlignment="1" applyProtection="0">
      <alignment vertical="top"/>
    </xf>
    <xf numFmtId="64" fontId="5" borderId="47" applyNumberFormat="1" applyFont="1" applyFill="0" applyBorder="1" applyAlignment="1" applyProtection="0">
      <alignment vertical="top"/>
    </xf>
    <xf numFmtId="64" fontId="5" borderId="48" applyNumberFormat="1" applyFont="1" applyFill="0" applyBorder="1" applyAlignment="1" applyProtection="0">
      <alignment vertical="top"/>
    </xf>
    <xf numFmtId="0" fontId="5" borderId="49" applyNumberFormat="0" applyFont="1" applyFill="0" applyBorder="1" applyAlignment="1" applyProtection="0">
      <alignment vertical="top"/>
    </xf>
    <xf numFmtId="49" fontId="6" borderId="49" applyNumberFormat="1" applyFont="1" applyFill="0" applyBorder="1" applyAlignment="1" applyProtection="0">
      <alignment vertical="top"/>
    </xf>
    <xf numFmtId="0" fontId="5" borderId="50" applyNumberFormat="0" applyFont="1" applyFill="0" applyBorder="1" applyAlignment="1" applyProtection="0">
      <alignment vertical="top"/>
    </xf>
    <xf numFmtId="0" fontId="5" borderId="51" applyNumberFormat="0" applyFont="1" applyFill="0" applyBorder="1" applyAlignment="1" applyProtection="0">
      <alignment vertical="top"/>
    </xf>
    <xf numFmtId="37" fontId="6" borderId="51" applyNumberFormat="1" applyFont="1" applyFill="0" applyBorder="1" applyAlignment="1" applyProtection="0">
      <alignment vertical="top"/>
    </xf>
    <xf numFmtId="0" fontId="5" borderId="36" applyNumberFormat="0" applyFont="1" applyFill="0" applyBorder="1" applyAlignment="1" applyProtection="0">
      <alignment vertical="top"/>
    </xf>
    <xf numFmtId="0" fontId="5" borderId="37" applyNumberFormat="0" applyFont="1" applyFill="0" applyBorder="1" applyAlignment="1" applyProtection="0">
      <alignment vertical="top"/>
    </xf>
    <xf numFmtId="64" fontId="5" borderId="37" applyNumberFormat="1" applyFont="1" applyFill="0" applyBorder="1" applyAlignment="1" applyProtection="0">
      <alignment vertical="top"/>
    </xf>
    <xf numFmtId="0" fontId="5" borderId="16" applyNumberFormat="1" applyFont="1" applyFill="0" applyBorder="1" applyAlignment="1" applyProtection="0">
      <alignment vertical="top"/>
    </xf>
    <xf numFmtId="49" fontId="12" borderId="1" applyNumberFormat="1" applyFont="1" applyFill="0" applyBorder="1" applyAlignment="1" applyProtection="0">
      <alignment vertical="top"/>
    </xf>
    <xf numFmtId="64" fontId="5" borderId="27" applyNumberFormat="1" applyFont="1" applyFill="0" applyBorder="1" applyAlignment="1" applyProtection="0">
      <alignment vertical="top"/>
    </xf>
    <xf numFmtId="37" fontId="5" borderId="16" applyNumberFormat="1" applyFont="1" applyFill="0" applyBorder="1" applyAlignment="1" applyProtection="0">
      <alignment vertical="top"/>
    </xf>
    <xf numFmtId="0" fontId="6" borderId="49" applyNumberFormat="0" applyFont="1" applyFill="0" applyBorder="1" applyAlignment="1" applyProtection="0">
      <alignment vertical="top"/>
    </xf>
    <xf numFmtId="0" fontId="6" borderId="52" applyNumberFormat="0" applyFont="1" applyFill="0" applyBorder="1" applyAlignment="1" applyProtection="0">
      <alignment vertical="top"/>
    </xf>
    <xf numFmtId="0" fontId="6" borderId="53" applyNumberFormat="0" applyFont="1" applyFill="0" applyBorder="1" applyAlignment="1" applyProtection="0">
      <alignment vertical="top"/>
    </xf>
    <xf numFmtId="64" fontId="6" borderId="53" applyNumberFormat="1" applyFont="1" applyFill="0" applyBorder="1" applyAlignment="1" applyProtection="0">
      <alignment vertical="top"/>
    </xf>
    <xf numFmtId="37" fontId="6" borderId="53" applyNumberFormat="1" applyFont="1" applyFill="0" applyBorder="1" applyAlignment="1" applyProtection="0">
      <alignment vertical="top"/>
    </xf>
    <xf numFmtId="49" fontId="6" borderId="45" applyNumberFormat="1" applyFont="1" applyFill="0" applyBorder="1" applyAlignment="1" applyProtection="0">
      <alignment vertical="top"/>
    </xf>
    <xf numFmtId="37" fontId="5" borderId="47" applyNumberFormat="1" applyFont="1" applyFill="0" applyBorder="1" applyAlignment="1" applyProtection="0">
      <alignment vertical="top"/>
    </xf>
    <xf numFmtId="64" fontId="5" borderId="51" applyNumberFormat="1" applyFont="1" applyFill="0" applyBorder="1" applyAlignment="1" applyProtection="0">
      <alignment vertical="top"/>
    </xf>
    <xf numFmtId="0" fontId="5" borderId="34" applyNumberFormat="0" applyFont="1" applyFill="0" applyBorder="1" applyAlignment="1" applyProtection="0">
      <alignment vertical="top"/>
    </xf>
    <xf numFmtId="64" fontId="5" borderId="34" applyNumberFormat="1" applyFont="1" applyFill="0" applyBorder="1" applyAlignment="1" applyProtection="0">
      <alignment vertical="top"/>
    </xf>
    <xf numFmtId="0" fontId="14" borderId="1" applyNumberFormat="0" applyFont="1" applyFill="0" applyBorder="1" applyAlignment="1" applyProtection="0">
      <alignment vertical="top"/>
    </xf>
    <xf numFmtId="49" fontId="14" borderId="1" applyNumberFormat="1" applyFont="1" applyFill="0" applyBorder="1" applyAlignment="1" applyProtection="0">
      <alignment vertical="top"/>
    </xf>
    <xf numFmtId="37" fontId="14" borderId="1" applyNumberFormat="1" applyFont="1" applyFill="0" applyBorder="1" applyAlignment="1" applyProtection="0">
      <alignment vertical="top"/>
    </xf>
    <xf numFmtId="0" fontId="14" borderId="5" applyNumberFormat="0" applyFont="1" applyFill="0" applyBorder="1" applyAlignment="1" applyProtection="0">
      <alignment vertical="top"/>
    </xf>
    <xf numFmtId="49" fontId="14" borderId="5" applyNumberFormat="1" applyFont="1" applyFill="0" applyBorder="1" applyAlignment="1" applyProtection="0">
      <alignment vertical="top"/>
    </xf>
    <xf numFmtId="3" fontId="14" borderId="5" applyNumberFormat="1" applyFont="1" applyFill="0" applyBorder="1" applyAlignment="1" applyProtection="0">
      <alignment vertical="top"/>
    </xf>
    <xf numFmtId="37" fontId="14" borderId="5" applyNumberFormat="1" applyFont="1" applyFill="0" applyBorder="1" applyAlignment="1" applyProtection="0">
      <alignment vertical="top"/>
    </xf>
    <xf numFmtId="0" fontId="0" applyNumberFormat="1" applyFont="1" applyFill="0" applyBorder="0" applyAlignment="1" applyProtection="0">
      <alignment vertical="top" wrapText="1"/>
    </xf>
    <xf numFmtId="0" fontId="15" applyNumberFormat="0" applyFont="1" applyFill="0" applyBorder="0" applyAlignment="1" applyProtection="0">
      <alignment horizontal="left" vertical="center"/>
    </xf>
    <xf numFmtId="49" fontId="7" borderId="3" applyNumberFormat="1" applyFont="1" applyFill="0" applyBorder="1" applyAlignment="1" applyProtection="0">
      <alignment vertical="top"/>
    </xf>
    <xf numFmtId="49" fontId="16" fillId="6" borderId="3" applyNumberFormat="1" applyFont="1" applyFill="1" applyBorder="1" applyAlignment="1" applyProtection="0">
      <alignment vertical="top" wrapText="1"/>
    </xf>
    <xf numFmtId="49" fontId="17" borderId="3" applyNumberFormat="1" applyFont="1" applyFill="0" applyBorder="1" applyAlignment="1" applyProtection="0">
      <alignment vertical="top" wrapText="1"/>
    </xf>
    <xf numFmtId="37" fontId="0" borderId="3" applyNumberFormat="1" applyFont="1" applyFill="0" applyBorder="1" applyAlignment="1" applyProtection="0">
      <alignment vertical="top" wrapText="1"/>
    </xf>
    <xf numFmtId="64" fontId="0" borderId="3" applyNumberFormat="1" applyFont="1" applyFill="0" applyBorder="1" applyAlignment="1" applyProtection="0">
      <alignment vertical="top" wrapText="1"/>
    </xf>
    <xf numFmtId="10" fontId="0" borderId="3" applyNumberFormat="1" applyFont="1" applyFill="0" applyBorder="1" applyAlignment="1" applyProtection="0">
      <alignment vertical="top" wrapText="1"/>
    </xf>
    <xf numFmtId="0" fontId="0" borderId="3" applyNumberFormat="1" applyFont="1" applyFill="0" applyBorder="1" applyAlignment="1" applyProtection="0">
      <alignment vertical="top" wrapText="1"/>
    </xf>
    <xf numFmtId="49" fontId="17" borderId="3" applyNumberFormat="1" applyFont="1" applyFill="0" applyBorder="1" applyAlignment="1" applyProtection="0">
      <alignment vertical="top"/>
    </xf>
    <xf numFmtId="0" fontId="17" borderId="3" applyNumberFormat="0" applyFont="1" applyFill="0" applyBorder="1" applyAlignment="1" applyProtection="0">
      <alignment vertical="top" wrapText="1"/>
    </xf>
    <xf numFmtId="9" fontId="0" borderId="3" applyNumberFormat="1" applyFont="1" applyFill="0" applyBorder="1" applyAlignment="1" applyProtection="0">
      <alignment vertical="top" wrapText="1"/>
    </xf>
    <xf numFmtId="65" fontId="0" borderId="3" applyNumberFormat="1" applyFont="1" applyFill="0" applyBorder="1" applyAlignment="1" applyProtection="0">
      <alignment vertical="top" wrapText="1"/>
    </xf>
    <xf numFmtId="63" fontId="0" borderId="3"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515151"/>
      <rgbColor rgb="fffaf5d2"/>
      <rgbColor rgb="fffaf4cf"/>
      <rgbColor rgb="fffefefe"/>
      <rgbColor rgb="ff004c7f"/>
      <rgbColor rgb="ff017000"/>
      <rgbColor rgb="ff98185e"/>
      <rgbColor rgb="ffa5a5a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t="s" s="3">
        <v>28</v>
      </c>
      <c r="C11" s="3"/>
      <c r="D11" s="3"/>
    </row>
    <row r="12">
      <c r="B12" s="4"/>
      <c r="C12" t="s" s="4">
        <v>28</v>
      </c>
      <c r="D12" t="s" s="5">
        <v>69</v>
      </c>
    </row>
  </sheetData>
  <mergeCells count="1">
    <mergeCell ref="B3:D3"/>
  </mergeCells>
  <hyperlinks>
    <hyperlink ref="D10" location="'Model - DCF'!R2C1" tooltip="" display="Model - DCF"/>
    <hyperlink ref="D12" location="'WACC - WACC'!R2C1" tooltip="" display="WACC - WACC"/>
  </hyperlinks>
</worksheet>
</file>

<file path=xl/worksheets/sheet2.xml><?xml version="1.0" encoding="utf-8"?>
<worksheet xmlns:r="http://schemas.openxmlformats.org/officeDocument/2006/relationships" xmlns="http://schemas.openxmlformats.org/spreadsheetml/2006/main">
  <sheetPr>
    <pageSetUpPr fitToPage="1"/>
  </sheetPr>
  <dimension ref="A2:T143"/>
  <sheetViews>
    <sheetView workbookViewId="0" showGridLines="0" defaultGridColor="1">
      <pane topLeftCell="C1" xSplit="2" ySplit="0" activePane="topRight" state="frozen"/>
    </sheetView>
  </sheetViews>
  <sheetFormatPr defaultColWidth="16.3333" defaultRowHeight="19.9" customHeight="1" outlineLevelRow="0" outlineLevelCol="0"/>
  <cols>
    <col min="1" max="1" width="2.5" style="6" customWidth="1"/>
    <col min="2" max="2" width="31.1016" style="6" customWidth="1"/>
    <col min="3" max="20" width="16.3516" style="6" customWidth="1"/>
    <col min="21" max="256" width="16.3516" style="6" customWidth="1"/>
  </cols>
  <sheetData>
    <row r="1" ht="31" customHeight="1">
      <c r="A1" t="s" s="7">
        <v>5</v>
      </c>
      <c r="B1" s="7"/>
      <c r="C1" s="7"/>
      <c r="D1" s="7"/>
      <c r="E1" s="7"/>
      <c r="F1" s="7"/>
      <c r="G1" s="7"/>
      <c r="H1" s="7"/>
      <c r="I1" s="7"/>
      <c r="J1" s="7"/>
      <c r="K1" s="7"/>
      <c r="L1" s="7"/>
      <c r="M1" s="7"/>
      <c r="N1" s="7"/>
      <c r="O1" s="7"/>
      <c r="P1" s="7"/>
      <c r="Q1" s="7"/>
      <c r="R1" s="7"/>
      <c r="S1" s="7"/>
      <c r="T1" s="7"/>
    </row>
    <row r="2" ht="21.5" customHeight="1">
      <c r="A2" s="8"/>
      <c r="B2" s="9"/>
      <c r="C2" s="10"/>
      <c r="D2" s="11"/>
      <c r="E2" s="11"/>
      <c r="F2" s="12"/>
      <c r="G2" s="11"/>
      <c r="H2" s="11"/>
      <c r="I2" s="11"/>
      <c r="J2" s="11"/>
      <c r="K2" s="11"/>
      <c r="L2" s="11"/>
      <c r="M2" s="11"/>
      <c r="N2" s="11"/>
      <c r="O2" s="11"/>
      <c r="P2" s="11"/>
      <c r="Q2" s="11"/>
      <c r="R2" s="11"/>
      <c r="S2" s="11"/>
      <c r="T2" s="11"/>
    </row>
    <row r="3" ht="23" customHeight="1">
      <c r="A3" s="13"/>
      <c r="B3" t="s" s="14">
        <v>7</v>
      </c>
      <c r="C3" t="s" s="15">
        <v>8</v>
      </c>
      <c r="D3" s="16"/>
      <c r="E3" t="s" s="17">
        <v>9</v>
      </c>
      <c r="F3" s="18">
        <f>P141</f>
        <v>17.5844659992333</v>
      </c>
      <c r="G3" s="19"/>
      <c r="H3" s="20"/>
      <c r="I3" s="21"/>
      <c r="J3" s="11"/>
      <c r="K3" s="11"/>
      <c r="L3" s="11"/>
      <c r="M3" s="11"/>
      <c r="N3" s="11"/>
      <c r="O3" s="11"/>
      <c r="P3" s="11"/>
      <c r="Q3" s="11"/>
      <c r="R3" s="11"/>
      <c r="S3" s="11"/>
      <c r="T3" s="11"/>
    </row>
    <row r="4" ht="23" customHeight="1">
      <c r="A4" s="13"/>
      <c r="B4" t="s" s="14">
        <v>10</v>
      </c>
      <c r="C4" s="22">
        <v>43365</v>
      </c>
      <c r="D4" s="16"/>
      <c r="E4" t="s" s="17">
        <v>11</v>
      </c>
      <c r="F4" s="18">
        <v>7.94</v>
      </c>
      <c r="G4" s="19"/>
      <c r="H4" t="s" s="17">
        <v>12</v>
      </c>
      <c r="I4" s="23">
        <f>F3/F4-1</f>
        <v>1.21466826186817</v>
      </c>
      <c r="J4" s="24"/>
      <c r="K4" s="11"/>
      <c r="L4" s="11"/>
      <c r="M4" s="11"/>
      <c r="N4" s="11"/>
      <c r="O4" s="11"/>
      <c r="P4" s="11"/>
      <c r="Q4" s="11"/>
      <c r="R4" s="11"/>
      <c r="S4" s="11"/>
      <c r="T4" s="11"/>
    </row>
    <row r="5" ht="21.5" customHeight="1">
      <c r="A5" s="13"/>
      <c r="B5" s="25"/>
      <c r="C5" s="26"/>
      <c r="D5" s="11"/>
      <c r="E5" s="11"/>
      <c r="F5" s="27"/>
      <c r="G5" s="11"/>
      <c r="H5" s="11"/>
      <c r="I5" s="27"/>
      <c r="J5" s="11"/>
      <c r="K5" s="11"/>
      <c r="L5" s="11"/>
      <c r="M5" s="11"/>
      <c r="N5" s="11"/>
      <c r="O5" s="11"/>
      <c r="P5" s="11"/>
      <c r="Q5" s="11"/>
      <c r="R5" s="11"/>
      <c r="S5" s="11"/>
      <c r="T5" s="11"/>
    </row>
    <row r="6" ht="21" customHeight="1">
      <c r="A6" s="13"/>
      <c r="B6" s="25"/>
      <c r="C6" s="28"/>
      <c r="D6" s="11"/>
      <c r="E6" s="11"/>
      <c r="F6" s="11"/>
      <c r="G6" s="11"/>
      <c r="H6" s="11"/>
      <c r="I6" s="11"/>
      <c r="J6" s="11"/>
      <c r="K6" s="11"/>
      <c r="L6" s="11"/>
      <c r="M6" s="11"/>
      <c r="N6" s="11"/>
      <c r="O6" s="11"/>
      <c r="P6" s="11"/>
      <c r="Q6" s="11"/>
      <c r="R6" s="11"/>
      <c r="S6" s="11"/>
      <c r="T6" s="11"/>
    </row>
    <row r="7" ht="21" customHeight="1">
      <c r="A7" t="s" s="29">
        <v>13</v>
      </c>
      <c r="B7" t="s" s="30">
        <v>14</v>
      </c>
      <c r="C7" s="31"/>
      <c r="D7" s="32"/>
      <c r="E7" s="33"/>
      <c r="F7" s="33"/>
      <c r="G7" s="33"/>
      <c r="H7" s="33"/>
      <c r="I7" s="33"/>
      <c r="J7" s="33"/>
      <c r="K7" s="33"/>
      <c r="L7" s="33"/>
      <c r="M7" s="33"/>
      <c r="N7" s="33"/>
      <c r="O7" s="33"/>
      <c r="P7" s="33"/>
      <c r="Q7" s="33"/>
      <c r="R7" s="33"/>
      <c r="S7" s="33"/>
      <c r="T7" s="33"/>
    </row>
    <row r="8" ht="21.5" customHeight="1">
      <c r="A8" s="13"/>
      <c r="B8" t="s" s="34">
        <v>15</v>
      </c>
      <c r="C8" s="10"/>
      <c r="D8" s="11"/>
      <c r="E8" t="s" s="35">
        <v>16</v>
      </c>
      <c r="F8" s="11"/>
      <c r="G8" t="s" s="35">
        <v>17</v>
      </c>
      <c r="H8" s="36"/>
      <c r="I8" t="s" s="35">
        <v>18</v>
      </c>
      <c r="J8" s="11"/>
      <c r="K8" s="36"/>
      <c r="L8" s="11"/>
      <c r="M8" s="11"/>
      <c r="N8" s="11"/>
      <c r="O8" s="11"/>
      <c r="P8" s="11"/>
      <c r="Q8" s="11"/>
      <c r="R8" s="11"/>
      <c r="S8" s="11"/>
      <c r="T8" s="11"/>
    </row>
    <row r="9" ht="22" customHeight="1">
      <c r="A9" s="13"/>
      <c r="B9" t="s" s="14">
        <v>19</v>
      </c>
      <c r="C9" s="37">
        <v>2</v>
      </c>
      <c r="D9" s="38"/>
      <c r="E9" s="39">
        <v>0.8</v>
      </c>
      <c r="F9" s="40"/>
      <c r="G9" s="39">
        <v>0.075</v>
      </c>
      <c r="H9" s="40"/>
      <c r="I9" s="39">
        <v>1.2</v>
      </c>
      <c r="J9" s="16"/>
      <c r="K9" s="11"/>
      <c r="L9" s="11"/>
      <c r="M9" s="11"/>
      <c r="N9" s="11"/>
      <c r="O9" s="11"/>
      <c r="P9" s="11"/>
      <c r="Q9" s="11"/>
      <c r="R9" s="11"/>
      <c r="S9" s="11"/>
      <c r="T9" s="11"/>
    </row>
    <row r="10" ht="22" customHeight="1">
      <c r="A10" s="13"/>
      <c r="B10" t="s" s="14">
        <v>20</v>
      </c>
      <c r="C10" s="37">
        <v>2</v>
      </c>
      <c r="D10" s="38"/>
      <c r="E10" s="41">
        <v>0.9</v>
      </c>
      <c r="F10" s="38"/>
      <c r="G10" s="39">
        <v>0.075</v>
      </c>
      <c r="H10" s="38"/>
      <c r="I10" s="41">
        <v>1.1</v>
      </c>
      <c r="J10" s="16"/>
      <c r="K10" s="11"/>
      <c r="L10" s="11"/>
      <c r="M10" s="11"/>
      <c r="N10" s="11"/>
      <c r="O10" s="11"/>
      <c r="P10" s="11"/>
      <c r="Q10" s="11"/>
      <c r="R10" s="11"/>
      <c r="S10" s="11"/>
      <c r="T10" s="11"/>
    </row>
    <row r="11" ht="22" customHeight="1">
      <c r="A11" s="13"/>
      <c r="B11" t="s" s="14">
        <v>21</v>
      </c>
      <c r="C11" s="37">
        <v>2</v>
      </c>
      <c r="D11" s="38"/>
      <c r="E11" s="41">
        <v>0.9</v>
      </c>
      <c r="F11" s="38"/>
      <c r="G11" s="39">
        <v>0.075</v>
      </c>
      <c r="H11" s="38"/>
      <c r="I11" s="41">
        <v>1.1</v>
      </c>
      <c r="J11" s="16"/>
      <c r="K11" s="11"/>
      <c r="L11" s="11"/>
      <c r="M11" s="11"/>
      <c r="N11" s="11"/>
      <c r="O11" s="11"/>
      <c r="P11" s="11"/>
      <c r="Q11" s="11"/>
      <c r="R11" s="11"/>
      <c r="S11" s="11"/>
      <c r="T11" s="11"/>
    </row>
    <row r="12" ht="22" customHeight="1">
      <c r="A12" s="13"/>
      <c r="B12" t="s" s="14">
        <v>22</v>
      </c>
      <c r="C12" s="37">
        <v>2</v>
      </c>
      <c r="D12" s="38"/>
      <c r="E12" s="41">
        <v>0.9</v>
      </c>
      <c r="F12" s="38"/>
      <c r="G12" s="39">
        <v>0.075</v>
      </c>
      <c r="H12" s="38"/>
      <c r="I12" s="41">
        <v>1.1</v>
      </c>
      <c r="J12" s="16"/>
      <c r="K12" s="11"/>
      <c r="L12" s="11"/>
      <c r="M12" s="11"/>
      <c r="N12" s="11"/>
      <c r="O12" s="11"/>
      <c r="P12" s="11"/>
      <c r="Q12" s="11"/>
      <c r="R12" s="11"/>
      <c r="S12" s="11"/>
      <c r="T12" s="11"/>
    </row>
    <row r="13" ht="22" customHeight="1">
      <c r="A13" s="13"/>
      <c r="B13" t="s" s="14">
        <v>23</v>
      </c>
      <c r="C13" s="37">
        <v>2</v>
      </c>
      <c r="D13" s="38"/>
      <c r="E13" s="41">
        <v>0.9</v>
      </c>
      <c r="F13" s="38"/>
      <c r="G13" s="39">
        <v>0.075</v>
      </c>
      <c r="H13" s="38"/>
      <c r="I13" s="41">
        <v>1.1</v>
      </c>
      <c r="J13" s="16"/>
      <c r="K13" s="11"/>
      <c r="L13" s="11"/>
      <c r="M13" s="11"/>
      <c r="N13" s="11"/>
      <c r="O13" s="11"/>
      <c r="P13" s="11"/>
      <c r="Q13" s="11"/>
      <c r="R13" s="11"/>
      <c r="S13" s="11"/>
      <c r="T13" s="11"/>
    </row>
    <row r="14" ht="22" customHeight="1">
      <c r="A14" s="13"/>
      <c r="B14" t="s" s="14">
        <v>24</v>
      </c>
      <c r="C14" s="37">
        <v>2</v>
      </c>
      <c r="D14" s="38"/>
      <c r="E14" s="41">
        <v>0.9</v>
      </c>
      <c r="F14" s="38"/>
      <c r="G14" s="39">
        <v>0.075</v>
      </c>
      <c r="H14" s="38"/>
      <c r="I14" s="41">
        <v>1.1</v>
      </c>
      <c r="J14" s="16"/>
      <c r="K14" s="11"/>
      <c r="L14" s="11"/>
      <c r="M14" s="11"/>
      <c r="N14" s="11"/>
      <c r="O14" s="11"/>
      <c r="P14" s="11"/>
      <c r="Q14" s="11"/>
      <c r="R14" s="11"/>
      <c r="S14" s="11"/>
      <c r="T14" s="11"/>
    </row>
    <row r="15" ht="22" customHeight="1">
      <c r="A15" s="13"/>
      <c r="B15" t="s" s="42">
        <v>25</v>
      </c>
      <c r="C15" s="43">
        <v>2</v>
      </c>
      <c r="D15" s="38"/>
      <c r="E15" s="44">
        <v>0.9</v>
      </c>
      <c r="F15" s="38"/>
      <c r="G15" s="45">
        <v>0.075</v>
      </c>
      <c r="H15" s="38"/>
      <c r="I15" s="44">
        <v>1.1</v>
      </c>
      <c r="J15" s="16"/>
      <c r="K15" s="11"/>
      <c r="L15" s="11"/>
      <c r="M15" s="11"/>
      <c r="N15" s="11"/>
      <c r="O15" s="11"/>
      <c r="P15" s="11"/>
      <c r="Q15" s="11"/>
      <c r="R15" s="11"/>
      <c r="S15" s="11"/>
      <c r="T15" s="11"/>
    </row>
    <row r="16" ht="22" customHeight="1">
      <c r="A16" s="13"/>
      <c r="B16" s="46"/>
      <c r="C16" s="47"/>
      <c r="D16" s="11"/>
      <c r="E16" s="48"/>
      <c r="F16" s="11"/>
      <c r="G16" s="48"/>
      <c r="H16" s="11"/>
      <c r="I16" s="48"/>
      <c r="J16" s="11"/>
      <c r="K16" s="11"/>
      <c r="L16" s="11"/>
      <c r="M16" s="11"/>
      <c r="N16" s="11"/>
      <c r="O16" s="11"/>
      <c r="P16" s="11"/>
      <c r="Q16" s="11"/>
      <c r="R16" s="11"/>
      <c r="S16" s="11"/>
      <c r="T16" s="11"/>
    </row>
    <row r="17" ht="23" customHeight="1">
      <c r="A17" s="13"/>
      <c r="B17" t="s" s="49">
        <v>26</v>
      </c>
      <c r="C17" s="37">
        <v>1</v>
      </c>
      <c r="D17" s="38"/>
      <c r="E17" s="41">
        <v>0.9</v>
      </c>
      <c r="F17" s="38"/>
      <c r="G17" s="41">
        <v>0.1</v>
      </c>
      <c r="H17" s="38"/>
      <c r="I17" s="41">
        <v>1.1</v>
      </c>
      <c r="J17" s="16"/>
      <c r="K17" t="s" s="50">
        <v>27</v>
      </c>
      <c r="L17" s="11"/>
      <c r="M17" s="11"/>
      <c r="N17" s="11"/>
      <c r="O17" s="11"/>
      <c r="P17" s="11"/>
      <c r="Q17" s="11"/>
      <c r="R17" s="11"/>
      <c r="S17" s="11"/>
      <c r="T17" s="11"/>
    </row>
    <row r="18" ht="23" customHeight="1">
      <c r="A18" s="13"/>
      <c r="B18" t="s" s="49">
        <v>28</v>
      </c>
      <c r="C18" s="37">
        <v>2</v>
      </c>
      <c r="D18" s="38"/>
      <c r="E18" s="51">
        <f>G18+$K$18</f>
        <v>0.071613309577608</v>
      </c>
      <c r="F18" s="38"/>
      <c r="G18" s="52">
        <f>'WACC - WACC'!B21</f>
        <v>0.066613309577608</v>
      </c>
      <c r="H18" s="38"/>
      <c r="I18" s="52">
        <f>G18-$K$18</f>
        <v>0.061613309577608</v>
      </c>
      <c r="J18" s="38"/>
      <c r="K18" s="53">
        <v>0.005</v>
      </c>
      <c r="L18" s="16"/>
      <c r="M18" s="11"/>
      <c r="N18" s="11"/>
      <c r="O18" s="11"/>
      <c r="P18" s="11"/>
      <c r="Q18" s="11"/>
      <c r="R18" s="11"/>
      <c r="S18" s="11"/>
      <c r="T18" s="11"/>
    </row>
    <row r="19" ht="23" customHeight="1">
      <c r="A19" s="13"/>
      <c r="B19" t="s" s="49">
        <v>29</v>
      </c>
      <c r="C19" s="43">
        <v>2</v>
      </c>
      <c r="D19" s="38"/>
      <c r="E19" s="54">
        <f>G19-$K$19</f>
        <v>0.015</v>
      </c>
      <c r="F19" s="38"/>
      <c r="G19" s="55">
        <v>0.02</v>
      </c>
      <c r="H19" s="38"/>
      <c r="I19" s="44">
        <f>G19+$K$19</f>
        <v>0.025</v>
      </c>
      <c r="J19" s="38"/>
      <c r="K19" s="53">
        <v>0.005</v>
      </c>
      <c r="L19" s="16"/>
      <c r="M19" s="11"/>
      <c r="N19" s="11"/>
      <c r="O19" s="11"/>
      <c r="P19" s="11"/>
      <c r="Q19" s="11"/>
      <c r="R19" s="11"/>
      <c r="S19" s="11"/>
      <c r="T19" s="11"/>
    </row>
    <row r="20" ht="22" customHeight="1">
      <c r="A20" s="13"/>
      <c r="B20" s="46"/>
      <c r="C20" s="47"/>
      <c r="D20" s="11"/>
      <c r="E20" s="27"/>
      <c r="F20" s="11"/>
      <c r="G20" s="27"/>
      <c r="H20" s="11"/>
      <c r="I20" s="27"/>
      <c r="J20" s="11"/>
      <c r="K20" s="56"/>
      <c r="L20" s="11"/>
      <c r="M20" s="11"/>
      <c r="N20" s="11"/>
      <c r="O20" s="11"/>
      <c r="P20" s="11"/>
      <c r="Q20" s="11"/>
      <c r="R20" s="11"/>
      <c r="S20" s="11"/>
      <c r="T20" s="11"/>
    </row>
    <row r="21" ht="22" customHeight="1">
      <c r="A21" s="13"/>
      <c r="B21" t="s" s="49">
        <v>28</v>
      </c>
      <c r="C21" s="52">
        <f>CHOOSE(C18,E18,G18,I18)</f>
        <v>0.066613309577608</v>
      </c>
      <c r="D21" s="16"/>
      <c r="E21" s="11"/>
      <c r="F21" s="11"/>
      <c r="G21" s="11"/>
      <c r="H21" s="11"/>
      <c r="I21" s="11"/>
      <c r="J21" s="11"/>
      <c r="K21" s="11"/>
      <c r="L21" s="11"/>
      <c r="M21" s="11"/>
      <c r="N21" s="11"/>
      <c r="O21" s="11"/>
      <c r="P21" s="11"/>
      <c r="Q21" s="11"/>
      <c r="R21" s="11"/>
      <c r="S21" s="11"/>
      <c r="T21" s="11"/>
    </row>
    <row r="22" ht="22" customHeight="1">
      <c r="A22" s="13"/>
      <c r="B22" t="s" s="49">
        <v>29</v>
      </c>
      <c r="C22" s="55">
        <f>CHOOSE(C19,E19,G19,I19)</f>
        <v>0.02</v>
      </c>
      <c r="D22" s="16"/>
      <c r="E22" s="11"/>
      <c r="F22" s="11"/>
      <c r="G22" s="11"/>
      <c r="H22" s="11"/>
      <c r="I22" s="11"/>
      <c r="J22" s="11"/>
      <c r="K22" s="11"/>
      <c r="L22" s="11"/>
      <c r="M22" s="11"/>
      <c r="N22" s="11"/>
      <c r="O22" s="11"/>
      <c r="P22" s="11"/>
      <c r="Q22" s="11"/>
      <c r="R22" s="11"/>
      <c r="S22" s="11"/>
      <c r="T22" s="11"/>
    </row>
    <row r="23" ht="21.5" customHeight="1">
      <c r="A23" s="13"/>
      <c r="B23" s="9"/>
      <c r="C23" s="57"/>
      <c r="D23" s="11"/>
      <c r="E23" s="11"/>
      <c r="F23" s="11"/>
      <c r="G23" s="11"/>
      <c r="H23" s="11"/>
      <c r="I23" s="11"/>
      <c r="J23" s="11"/>
      <c r="K23" t="s" s="58">
        <v>30</v>
      </c>
      <c r="L23" s="36"/>
      <c r="M23" s="11"/>
      <c r="N23" s="11"/>
      <c r="O23" s="11"/>
      <c r="P23" s="11"/>
      <c r="Q23" s="11"/>
      <c r="R23" s="11"/>
      <c r="S23" s="11"/>
      <c r="T23" s="11"/>
    </row>
    <row r="24" ht="21" customHeight="1">
      <c r="A24" t="s" s="29">
        <v>13</v>
      </c>
      <c r="B24" t="s" s="30">
        <v>31</v>
      </c>
      <c r="C24" s="31"/>
      <c r="D24" s="59">
        <v>2015</v>
      </c>
      <c r="E24" s="60">
        <v>2016</v>
      </c>
      <c r="F24" s="60">
        <v>2017</v>
      </c>
      <c r="G24" s="60">
        <v>2018</v>
      </c>
      <c r="H24" s="60">
        <v>2019</v>
      </c>
      <c r="I24" s="60">
        <v>2020</v>
      </c>
      <c r="J24" s="60">
        <v>2021</v>
      </c>
      <c r="K24" s="60">
        <v>2022</v>
      </c>
      <c r="L24" s="60">
        <v>2023</v>
      </c>
      <c r="M24" s="60">
        <v>2024</v>
      </c>
      <c r="N24" s="60">
        <v>2025</v>
      </c>
      <c r="O24" s="60">
        <v>2026</v>
      </c>
      <c r="P24" s="60">
        <v>2027</v>
      </c>
      <c r="Q24" s="36"/>
      <c r="R24" s="36"/>
      <c r="S24" s="36"/>
      <c r="T24" s="36"/>
    </row>
    <row r="25" ht="21" customHeight="1">
      <c r="A25" s="13"/>
      <c r="B25" s="25"/>
      <c r="C25" s="28"/>
      <c r="D25" s="11"/>
      <c r="E25" s="61"/>
      <c r="F25" s="61"/>
      <c r="G25" s="61"/>
      <c r="H25" s="61"/>
      <c r="I25" s="61"/>
      <c r="J25" s="62"/>
      <c r="K25" s="61"/>
      <c r="L25" s="61"/>
      <c r="M25" s="61"/>
      <c r="N25" s="61"/>
      <c r="O25" s="61"/>
      <c r="P25" s="61"/>
      <c r="Q25" s="36"/>
      <c r="R25" s="36"/>
      <c r="S25" s="36"/>
      <c r="T25" s="36"/>
    </row>
    <row r="26" ht="21" customHeight="1">
      <c r="A26" s="13"/>
      <c r="B26" t="s" s="34">
        <f>$B9</f>
        <v>32</v>
      </c>
      <c r="C26" s="28"/>
      <c r="D26" s="63">
        <v>2638</v>
      </c>
      <c r="E26" s="63">
        <v>3282</v>
      </c>
      <c r="F26" s="63">
        <v>3635</v>
      </c>
      <c r="G26" s="63">
        <v>3965</v>
      </c>
      <c r="H26" s="63">
        <v>4439</v>
      </c>
      <c r="I26" s="63">
        <v>4557</v>
      </c>
      <c r="J26" s="63">
        <v>4491</v>
      </c>
      <c r="K26" s="61">
        <f>2276*2.5</f>
        <v>5690</v>
      </c>
      <c r="L26" s="61">
        <f>K26*(1+L27)</f>
        <v>5968.81</v>
      </c>
      <c r="M26" s="61">
        <f>L26*(1+M27)</f>
        <v>6300.078955</v>
      </c>
      <c r="N26" s="61">
        <f>M26*(1+N27)</f>
        <v>6690.68385021</v>
      </c>
      <c r="O26" s="61">
        <f>N26*(1+O27)</f>
        <v>7148.995693949390</v>
      </c>
      <c r="P26" s="61">
        <f>O26*(1+P27)</f>
        <v>7685.170370995590</v>
      </c>
      <c r="Q26" s="36"/>
      <c r="R26" s="36"/>
      <c r="S26" s="36"/>
      <c r="T26" s="36"/>
    </row>
    <row r="27" ht="21.5" customHeight="1">
      <c r="A27" s="64"/>
      <c r="B27" t="s" s="65">
        <v>33</v>
      </c>
      <c r="C27" s="66"/>
      <c r="D27" s="67"/>
      <c r="E27" s="68">
        <f>E26/D26-1</f>
        <v>0.24412433661865</v>
      </c>
      <c r="F27" s="68">
        <f>F26/E26-1</f>
        <v>0.107556368068251</v>
      </c>
      <c r="G27" s="68">
        <f>G26/F26-1</f>
        <v>0.09078404401650619</v>
      </c>
      <c r="H27" s="68">
        <f>H26/G26-1</f>
        <v>0.119546027742749</v>
      </c>
      <c r="I27" s="68">
        <f>I26/H26-1</f>
        <v>0.0265825636404596</v>
      </c>
      <c r="J27" s="68">
        <f>J26/I26-1</f>
        <v>-0.0144832126398947</v>
      </c>
      <c r="K27" s="68">
        <f>K26/J26-1</f>
        <v>0.266978401246938</v>
      </c>
      <c r="L27" s="69">
        <f>OFFSET(L27,$C$9,0)</f>
        <v>0.049</v>
      </c>
      <c r="M27" s="69">
        <f>OFFSET(M27,$C$9,0)</f>
        <v>0.0555</v>
      </c>
      <c r="N27" s="69">
        <f>OFFSET(N27,$C$9,0)</f>
        <v>0.062</v>
      </c>
      <c r="O27" s="69">
        <f>OFFSET(O27,$C$9,0)</f>
        <v>0.06850000000000001</v>
      </c>
      <c r="P27" s="69">
        <f>OFFSET(P27,$C$9,0)</f>
        <v>0.075</v>
      </c>
      <c r="Q27" s="36"/>
      <c r="R27" s="36"/>
      <c r="S27" s="36"/>
      <c r="T27" s="36"/>
    </row>
    <row r="28" ht="22" customHeight="1">
      <c r="A28" s="13"/>
      <c r="B28" t="s" s="34">
        <v>34</v>
      </c>
      <c r="C28" s="28"/>
      <c r="D28" s="11"/>
      <c r="E28" s="63"/>
      <c r="F28" s="63"/>
      <c r="G28" s="63"/>
      <c r="H28" s="63"/>
      <c r="I28" s="63"/>
      <c r="J28" s="63"/>
      <c r="K28" s="70"/>
      <c r="L28" s="71">
        <f>L29</f>
        <v>0.049</v>
      </c>
      <c r="M28" s="71">
        <f>M29*$E$9</f>
        <v>0.0444</v>
      </c>
      <c r="N28" s="71">
        <f>N29*$E$9</f>
        <v>0.0496</v>
      </c>
      <c r="O28" s="71">
        <f>O29*$E$9</f>
        <v>0.0548</v>
      </c>
      <c r="P28" s="71">
        <f>P29*$E$9</f>
        <v>0.06</v>
      </c>
      <c r="Q28" s="72"/>
      <c r="R28" s="36"/>
      <c r="S28" s="36"/>
      <c r="T28" s="36"/>
    </row>
    <row r="29" ht="22" customHeight="1">
      <c r="A29" s="13"/>
      <c r="B29" t="s" s="34">
        <v>35</v>
      </c>
      <c r="C29" s="28"/>
      <c r="D29" s="11"/>
      <c r="E29" s="63"/>
      <c r="F29" s="63"/>
      <c r="G29" s="63"/>
      <c r="H29" s="63"/>
      <c r="I29" s="63"/>
      <c r="J29" s="63"/>
      <c r="K29" s="70"/>
      <c r="L29" s="71">
        <v>0.049</v>
      </c>
      <c r="M29" s="73">
        <f>L29-(L29-$P$29)/($P$24-L24)</f>
        <v>0.0555</v>
      </c>
      <c r="N29" s="73">
        <f>M29-(M29-$P$29)/($P$24-M24)</f>
        <v>0.062</v>
      </c>
      <c r="O29" s="73">
        <f>N29-(N29-$P$29)/($P$24-N24)</f>
        <v>0.06850000000000001</v>
      </c>
      <c r="P29" s="71">
        <v>0.075</v>
      </c>
      <c r="Q29" s="72"/>
      <c r="R29" s="36"/>
      <c r="S29" s="36"/>
      <c r="T29" s="36"/>
    </row>
    <row r="30" ht="22" customHeight="1">
      <c r="A30" s="13"/>
      <c r="B30" t="s" s="34">
        <v>36</v>
      </c>
      <c r="C30" s="28"/>
      <c r="D30" s="11"/>
      <c r="E30" s="63"/>
      <c r="F30" s="63"/>
      <c r="G30" s="63"/>
      <c r="H30" s="63"/>
      <c r="I30" s="63"/>
      <c r="J30" s="63"/>
      <c r="K30" s="74"/>
      <c r="L30" s="71">
        <f>L29</f>
        <v>0.049</v>
      </c>
      <c r="M30" s="75">
        <f>M29*$I$9</f>
        <v>0.06660000000000001</v>
      </c>
      <c r="N30" s="75">
        <f>N29*$I$9</f>
        <v>0.07439999999999999</v>
      </c>
      <c r="O30" s="75">
        <f>O29*$I$9</f>
        <v>0.0822</v>
      </c>
      <c r="P30" s="71">
        <f>P29*$I$9</f>
        <v>0.09</v>
      </c>
      <c r="Q30" s="72"/>
      <c r="R30" s="36"/>
      <c r="S30" s="36"/>
      <c r="T30" s="36"/>
    </row>
    <row r="31" ht="21.5" customHeight="1">
      <c r="A31" s="13"/>
      <c r="B31" t="s" s="34">
        <v>37</v>
      </c>
      <c r="C31" s="28"/>
      <c r="D31" s="68">
        <f>D26/D75</f>
        <v>0.147341376228776</v>
      </c>
      <c r="E31" s="68">
        <f>E26/E75</f>
        <v>0.172555205047319</v>
      </c>
      <c r="F31" s="68">
        <f>F26/F75</f>
        <v>0.185213492306125</v>
      </c>
      <c r="G31" s="68">
        <f>G26/G75</f>
        <v>0.215407182050307</v>
      </c>
      <c r="H31" s="68">
        <f>H26/H75</f>
        <v>0.220746929235666</v>
      </c>
      <c r="I31" s="68">
        <f>I26/I75</f>
        <v>0.218435432844406</v>
      </c>
      <c r="J31" s="76">
        <f>J26/J75</f>
        <v>0.210746128578132</v>
      </c>
      <c r="K31" s="77">
        <f>K26/K75</f>
        <v>0.235264931467201</v>
      </c>
      <c r="L31" s="78">
        <f>AVERAGE(K31,J31,I31)</f>
        <v>0.22148216429658</v>
      </c>
      <c r="M31" s="78"/>
      <c r="N31" s="78"/>
      <c r="O31" s="78"/>
      <c r="P31" s="78"/>
      <c r="Q31" s="79"/>
      <c r="R31" s="36"/>
      <c r="S31" s="36"/>
      <c r="T31" s="36"/>
    </row>
    <row r="32" ht="21" customHeight="1">
      <c r="A32" s="80"/>
      <c r="B32" s="81"/>
      <c r="C32" s="82"/>
      <c r="D32" s="83"/>
      <c r="E32" s="84"/>
      <c r="F32" s="85"/>
      <c r="G32" s="85"/>
      <c r="H32" s="85"/>
      <c r="I32" s="85"/>
      <c r="J32" s="85"/>
      <c r="K32" s="86"/>
      <c r="L32" s="86"/>
      <c r="M32" s="86"/>
      <c r="N32" s="86"/>
      <c r="O32" s="86"/>
      <c r="P32" s="86"/>
      <c r="Q32" s="36"/>
      <c r="R32" s="36"/>
      <c r="S32" s="36"/>
      <c r="T32" s="36"/>
    </row>
    <row r="33" ht="21" customHeight="1">
      <c r="A33" s="87"/>
      <c r="B33" t="s" s="34">
        <f>$B10</f>
        <v>38</v>
      </c>
      <c r="C33" s="88"/>
      <c r="D33" s="89">
        <v>2779</v>
      </c>
      <c r="E33" s="89">
        <v>2874</v>
      </c>
      <c r="F33" s="89">
        <v>2928</v>
      </c>
      <c r="G33" s="89">
        <v>3005</v>
      </c>
      <c r="H33" s="89">
        <v>3337</v>
      </c>
      <c r="I33" s="89">
        <v>3503</v>
      </c>
      <c r="J33" s="89">
        <v>3395</v>
      </c>
      <c r="K33" s="90">
        <f>1638*2.5</f>
        <v>4095</v>
      </c>
      <c r="L33" s="90">
        <f>K33*(1+L34)</f>
        <v>4295.655</v>
      </c>
      <c r="M33" s="90">
        <f>L33*(1+M34)</f>
        <v>4534.0638525</v>
      </c>
      <c r="N33" s="90">
        <f>M33*(1+N34)</f>
        <v>4815.175811355</v>
      </c>
      <c r="O33" s="90">
        <f>N33*(1+O34)</f>
        <v>5145.015354432820</v>
      </c>
      <c r="P33" s="90">
        <f>O33*(1+P34)</f>
        <v>5530.891506015280</v>
      </c>
      <c r="Q33" s="36"/>
      <c r="R33" s="36"/>
      <c r="S33" s="36"/>
      <c r="T33" s="36"/>
    </row>
    <row r="34" ht="21.5" customHeight="1">
      <c r="A34" s="91"/>
      <c r="B34" t="s" s="65">
        <v>33</v>
      </c>
      <c r="C34" s="92"/>
      <c r="D34" s="93"/>
      <c r="E34" s="94">
        <f>E33/D33-1</f>
        <v>0.034184958618208</v>
      </c>
      <c r="F34" s="94">
        <f>F33/E33-1</f>
        <v>0.0187891440501044</v>
      </c>
      <c r="G34" s="94">
        <f>G33/F33-1</f>
        <v>0.0262978142076503</v>
      </c>
      <c r="H34" s="94">
        <f>H33/G33-1</f>
        <v>0.110482529118136</v>
      </c>
      <c r="I34" s="94">
        <f>I33/H33-1</f>
        <v>0.049745280191789</v>
      </c>
      <c r="J34" s="94">
        <f>J33/I33-1</f>
        <v>-0.0308307165286897</v>
      </c>
      <c r="K34" s="94">
        <f>K33/J33-1</f>
        <v>0.206185567010309</v>
      </c>
      <c r="L34" s="95">
        <f>OFFSET(L34,$C$10,0)</f>
        <v>0.049</v>
      </c>
      <c r="M34" s="95">
        <f>OFFSET(M34,$C$10,0)</f>
        <v>0.0555</v>
      </c>
      <c r="N34" s="95">
        <f>OFFSET(N34,$C$10,0)</f>
        <v>0.062</v>
      </c>
      <c r="O34" s="95">
        <f>OFFSET(O34,$C$10,0)</f>
        <v>0.06850000000000001</v>
      </c>
      <c r="P34" s="95">
        <f>OFFSET(P34,$C$10,0)</f>
        <v>0.075</v>
      </c>
      <c r="Q34" s="36"/>
      <c r="R34" s="36"/>
      <c r="S34" s="36"/>
      <c r="T34" s="36"/>
    </row>
    <row r="35" ht="22" customHeight="1">
      <c r="A35" s="13"/>
      <c r="B35" t="s" s="34">
        <v>34</v>
      </c>
      <c r="C35" s="28"/>
      <c r="D35" s="11"/>
      <c r="E35" s="63"/>
      <c r="F35" s="63"/>
      <c r="G35" s="63"/>
      <c r="H35" s="63"/>
      <c r="I35" s="63"/>
      <c r="J35" s="63"/>
      <c r="K35" s="70"/>
      <c r="L35" s="71">
        <f>L36</f>
        <v>0.049</v>
      </c>
      <c r="M35" s="71">
        <f>M36*$E$10</f>
        <v>0.04995</v>
      </c>
      <c r="N35" s="71">
        <f>N36*$E$10</f>
        <v>0.0558</v>
      </c>
      <c r="O35" s="71">
        <f>O36*$E$10</f>
        <v>0.06165</v>
      </c>
      <c r="P35" s="71">
        <f>P36*$E$10</f>
        <v>0.0675</v>
      </c>
      <c r="Q35" s="72"/>
      <c r="R35" s="36"/>
      <c r="S35" s="36"/>
      <c r="T35" s="36"/>
    </row>
    <row r="36" ht="22" customHeight="1">
      <c r="A36" s="13"/>
      <c r="B36" t="s" s="34">
        <v>35</v>
      </c>
      <c r="C36" s="28"/>
      <c r="D36" s="11"/>
      <c r="E36" s="63"/>
      <c r="F36" s="63"/>
      <c r="G36" s="63"/>
      <c r="H36" s="63"/>
      <c r="I36" s="63"/>
      <c r="J36" s="63"/>
      <c r="K36" s="70"/>
      <c r="L36" s="73">
        <v>0.049</v>
      </c>
      <c r="M36" s="73">
        <f>L36-(L36-$P$36)/($P$24-L24)</f>
        <v>0.0555</v>
      </c>
      <c r="N36" s="73">
        <f>M36-(M36-$P$36)/($P$24-M24)</f>
        <v>0.062</v>
      </c>
      <c r="O36" s="73">
        <f>N36-(N36-$P$36)/($P$24-N24)</f>
        <v>0.06850000000000001</v>
      </c>
      <c r="P36" s="71">
        <f>G10</f>
        <v>0.075</v>
      </c>
      <c r="Q36" s="72"/>
      <c r="R36" s="36"/>
      <c r="S36" s="36"/>
      <c r="T36" s="36"/>
    </row>
    <row r="37" ht="22" customHeight="1">
      <c r="A37" s="13"/>
      <c r="B37" t="s" s="34">
        <v>36</v>
      </c>
      <c r="C37" s="28"/>
      <c r="D37" s="11"/>
      <c r="E37" s="63"/>
      <c r="F37" s="63"/>
      <c r="G37" s="63"/>
      <c r="H37" s="63"/>
      <c r="I37" s="63"/>
      <c r="J37" s="63"/>
      <c r="K37" s="70"/>
      <c r="L37" s="96">
        <f>L36</f>
        <v>0.049</v>
      </c>
      <c r="M37" s="96">
        <f>M36*$I$10</f>
        <v>0.06105</v>
      </c>
      <c r="N37" s="96">
        <f>N36*$I$10</f>
        <v>0.0682</v>
      </c>
      <c r="O37" s="96">
        <f>O36*$I$10</f>
        <v>0.07535</v>
      </c>
      <c r="P37" s="73">
        <f>P36*$I$10</f>
        <v>0.0825</v>
      </c>
      <c r="Q37" s="72"/>
      <c r="R37" s="36"/>
      <c r="S37" s="36"/>
      <c r="T37" s="36"/>
    </row>
    <row r="38" ht="21.5" customHeight="1">
      <c r="A38" s="64"/>
      <c r="B38" t="s" s="34">
        <v>37</v>
      </c>
      <c r="C38" s="66"/>
      <c r="D38" s="68">
        <f>D33/D75</f>
        <v>0.155216711349419</v>
      </c>
      <c r="E38" s="68">
        <f>E33/E75</f>
        <v>0.151104100946372</v>
      </c>
      <c r="F38" s="68">
        <f>F33/F75</f>
        <v>0.149189850198716</v>
      </c>
      <c r="G38" s="68">
        <f>G33/G75</f>
        <v>0.163253110229804</v>
      </c>
      <c r="H38" s="68">
        <f>H33/H75</f>
        <v>0.16594559649908</v>
      </c>
      <c r="I38" s="68">
        <f>I33/I75</f>
        <v>0.167912951778353</v>
      </c>
      <c r="J38" s="68">
        <f>J33/J75</f>
        <v>0.159314875645237</v>
      </c>
      <c r="K38" s="68">
        <f>K33/K75</f>
        <v>0.169316325897749</v>
      </c>
      <c r="L38" s="97">
        <f>AVERAGE(K38,J38,I38)</f>
        <v>0.16551471777378</v>
      </c>
      <c r="M38" s="97"/>
      <c r="N38" s="97"/>
      <c r="O38" s="97"/>
      <c r="P38" s="97"/>
      <c r="Q38" s="36"/>
      <c r="R38" s="36"/>
      <c r="S38" s="36"/>
      <c r="T38" s="36"/>
    </row>
    <row r="39" ht="21" customHeight="1">
      <c r="A39" s="64"/>
      <c r="B39" s="25"/>
      <c r="C39" s="82"/>
      <c r="D39" s="85"/>
      <c r="E39" s="85"/>
      <c r="F39" s="85"/>
      <c r="G39" s="85"/>
      <c r="H39" s="85"/>
      <c r="I39" s="85"/>
      <c r="J39" s="85"/>
      <c r="K39" s="85"/>
      <c r="L39" s="85"/>
      <c r="M39" s="85"/>
      <c r="N39" s="85"/>
      <c r="O39" s="85"/>
      <c r="P39" s="85"/>
      <c r="Q39" s="36"/>
      <c r="R39" s="36"/>
      <c r="S39" s="36"/>
      <c r="T39" s="36"/>
    </row>
    <row r="40" ht="21" customHeight="1">
      <c r="A40" s="64"/>
      <c r="B40" t="s" s="34">
        <f>$B11</f>
        <v>39</v>
      </c>
      <c r="C40" s="98"/>
      <c r="D40" s="89">
        <v>7405</v>
      </c>
      <c r="E40" s="89">
        <v>7806</v>
      </c>
      <c r="F40" s="89">
        <v>7682</v>
      </c>
      <c r="G40" s="89">
        <v>6712</v>
      </c>
      <c r="H40" s="89">
        <v>7457</v>
      </c>
      <c r="I40" s="89">
        <v>7910</v>
      </c>
      <c r="J40" s="89">
        <v>8321</v>
      </c>
      <c r="K40" s="90">
        <f>3497*2</f>
        <v>6994</v>
      </c>
      <c r="L40" s="90">
        <f>K40*(1+L41)</f>
        <v>7336.706</v>
      </c>
      <c r="M40" s="90">
        <f>L40*(1+M41)</f>
        <v>7743.893183</v>
      </c>
      <c r="N40" s="90">
        <f>M40*(1+N41)</f>
        <v>8224.014560346001</v>
      </c>
      <c r="O40" s="90">
        <f>N40*(1+O41)</f>
        <v>8787.3595577297</v>
      </c>
      <c r="P40" s="90">
        <f>O40*(1+P41)</f>
        <v>9446.411524559429</v>
      </c>
      <c r="Q40" s="36"/>
      <c r="R40" s="36"/>
      <c r="S40" s="36"/>
      <c r="T40" s="36"/>
    </row>
    <row r="41" ht="21.5" customHeight="1">
      <c r="A41" s="64"/>
      <c r="B41" t="s" s="65">
        <v>33</v>
      </c>
      <c r="C41" s="92"/>
      <c r="D41" s="94"/>
      <c r="E41" s="94">
        <f>E40/D40-1</f>
        <v>0.0541525995948683</v>
      </c>
      <c r="F41" s="94">
        <f>F40/E40-1</f>
        <v>-0.0158852165001281</v>
      </c>
      <c r="G41" s="94">
        <f>G40/F40-1</f>
        <v>-0.126269200728977</v>
      </c>
      <c r="H41" s="94">
        <f>H40/G40-1</f>
        <v>0.110995232419547</v>
      </c>
      <c r="I41" s="94">
        <f>I40/H40-1</f>
        <v>0.0607482901971302</v>
      </c>
      <c r="J41" s="94">
        <f>J40/I40-1</f>
        <v>0.0519595448798989</v>
      </c>
      <c r="K41" s="94">
        <f>K40/J40-1</f>
        <v>-0.159476024516284</v>
      </c>
      <c r="L41" s="95">
        <f>OFFSET(L41,$C$11,0)</f>
        <v>0.049</v>
      </c>
      <c r="M41" s="95">
        <f>OFFSET(M41,$C$11,0)</f>
        <v>0.0555</v>
      </c>
      <c r="N41" s="95">
        <f>OFFSET(N41,$C$11,0)</f>
        <v>0.062</v>
      </c>
      <c r="O41" s="95">
        <f>OFFSET(O41,$C$11,0)</f>
        <v>0.06850000000000001</v>
      </c>
      <c r="P41" s="95">
        <f>OFFSET(P41,$C$11,0)</f>
        <v>0.075</v>
      </c>
      <c r="Q41" s="36"/>
      <c r="R41" s="36"/>
      <c r="S41" s="36"/>
      <c r="T41" s="36"/>
    </row>
    <row r="42" ht="22" customHeight="1">
      <c r="A42" s="64"/>
      <c r="B42" t="s" s="34">
        <v>34</v>
      </c>
      <c r="C42" s="66"/>
      <c r="D42" s="68"/>
      <c r="E42" s="68"/>
      <c r="F42" s="68"/>
      <c r="G42" s="68"/>
      <c r="H42" s="68"/>
      <c r="I42" s="68"/>
      <c r="J42" s="68"/>
      <c r="K42" s="70"/>
      <c r="L42" s="71">
        <f>L43</f>
        <v>0.049</v>
      </c>
      <c r="M42" s="71">
        <f>M43*$E$10</f>
        <v>0.04995</v>
      </c>
      <c r="N42" s="71">
        <f>N43*$E$10</f>
        <v>0.0558</v>
      </c>
      <c r="O42" s="71">
        <f>O43*$E$10</f>
        <v>0.06165</v>
      </c>
      <c r="P42" s="71">
        <f>P43*$E$10</f>
        <v>0.0675</v>
      </c>
      <c r="Q42" s="72"/>
      <c r="R42" s="36"/>
      <c r="S42" s="36"/>
      <c r="T42" s="36"/>
    </row>
    <row r="43" ht="22" customHeight="1">
      <c r="A43" s="64"/>
      <c r="B43" t="s" s="34">
        <v>35</v>
      </c>
      <c r="C43" s="66"/>
      <c r="D43" s="68"/>
      <c r="E43" s="68"/>
      <c r="F43" s="68"/>
      <c r="G43" s="68"/>
      <c r="H43" s="68"/>
      <c r="I43" s="68"/>
      <c r="J43" s="68"/>
      <c r="K43" s="70"/>
      <c r="L43" s="73">
        <v>0.049</v>
      </c>
      <c r="M43" s="73">
        <f>L43-(L43-$P$43)/($P$24-L24)</f>
        <v>0.0555</v>
      </c>
      <c r="N43" s="73">
        <f>M43-(M43-$P$43)/($P$24-M24)</f>
        <v>0.062</v>
      </c>
      <c r="O43" s="73">
        <f>N43-(N43-$P$43)/($P$24-N24)</f>
        <v>0.06850000000000001</v>
      </c>
      <c r="P43" s="71">
        <f>G11</f>
        <v>0.075</v>
      </c>
      <c r="Q43" s="72"/>
      <c r="R43" s="36"/>
      <c r="S43" s="36"/>
      <c r="T43" s="36"/>
    </row>
    <row r="44" ht="22" customHeight="1">
      <c r="A44" s="64"/>
      <c r="B44" t="s" s="34">
        <v>36</v>
      </c>
      <c r="C44" s="66"/>
      <c r="D44" s="68"/>
      <c r="E44" s="68"/>
      <c r="F44" s="68"/>
      <c r="G44" s="68"/>
      <c r="H44" s="68"/>
      <c r="I44" s="68"/>
      <c r="J44" s="68"/>
      <c r="K44" s="70"/>
      <c r="L44" s="96">
        <f>L43</f>
        <v>0.049</v>
      </c>
      <c r="M44" s="96">
        <f>M43*$I$10</f>
        <v>0.06105</v>
      </c>
      <c r="N44" s="96">
        <f>N43*$I$10</f>
        <v>0.0682</v>
      </c>
      <c r="O44" s="96">
        <f>O43*$I$10</f>
        <v>0.07535</v>
      </c>
      <c r="P44" s="73">
        <f>P43*$I$10</f>
        <v>0.0825</v>
      </c>
      <c r="Q44" s="72"/>
      <c r="R44" s="36"/>
      <c r="S44" s="36"/>
      <c r="T44" s="36"/>
    </row>
    <row r="45" ht="21.5" customHeight="1">
      <c r="A45" s="64"/>
      <c r="B45" t="s" s="34">
        <v>37</v>
      </c>
      <c r="C45" s="66"/>
      <c r="D45" s="68"/>
      <c r="E45" s="68"/>
      <c r="F45" s="68"/>
      <c r="G45" s="68"/>
      <c r="H45" s="68"/>
      <c r="I45" s="68"/>
      <c r="J45" s="68"/>
      <c r="K45" s="68"/>
      <c r="L45" s="97"/>
      <c r="M45" s="97"/>
      <c r="N45" s="97"/>
      <c r="O45" s="97"/>
      <c r="P45" s="97"/>
      <c r="Q45" s="36"/>
      <c r="R45" s="36"/>
      <c r="S45" s="36"/>
      <c r="T45" s="36"/>
    </row>
    <row r="46" ht="21" customHeight="1">
      <c r="A46" s="64"/>
      <c r="B46" s="81"/>
      <c r="C46" s="66"/>
      <c r="D46" s="85"/>
      <c r="E46" s="85"/>
      <c r="F46" s="85"/>
      <c r="G46" s="85"/>
      <c r="H46" s="85"/>
      <c r="I46" s="85"/>
      <c r="J46" s="85"/>
      <c r="K46" s="85"/>
      <c r="L46" s="85"/>
      <c r="M46" s="85"/>
      <c r="N46" s="85"/>
      <c r="O46" s="85"/>
      <c r="P46" s="85"/>
      <c r="Q46" s="36"/>
      <c r="R46" s="36"/>
      <c r="S46" s="36"/>
      <c r="T46" s="36"/>
    </row>
    <row r="47" ht="21" customHeight="1">
      <c r="A47" s="64"/>
      <c r="B47" t="s" s="34">
        <f>$B12</f>
        <v>40</v>
      </c>
      <c r="C47" s="66"/>
      <c r="D47" s="89">
        <v>3742</v>
      </c>
      <c r="E47" s="89">
        <v>3943</v>
      </c>
      <c r="F47" s="89">
        <v>4138</v>
      </c>
      <c r="G47" s="89">
        <v>2975</v>
      </c>
      <c r="H47" s="89">
        <v>3116</v>
      </c>
      <c r="I47" s="89">
        <v>3257</v>
      </c>
      <c r="J47" s="89">
        <v>3416</v>
      </c>
      <c r="K47" s="90">
        <f>2155*2.3</f>
        <v>4956.5</v>
      </c>
      <c r="L47" s="90">
        <f>K47*(1+L48)</f>
        <v>5199.3685</v>
      </c>
      <c r="M47" s="90">
        <f>L47*(1+M48)</f>
        <v>5487.93345175</v>
      </c>
      <c r="N47" s="90">
        <f>M47*(1+N48)</f>
        <v>5828.1853257585</v>
      </c>
      <c r="O47" s="90">
        <f>N47*(1+O48)</f>
        <v>6227.416020572960</v>
      </c>
      <c r="P47" s="90">
        <f>O47*(1+P48)</f>
        <v>6694.472222115930</v>
      </c>
      <c r="Q47" s="36"/>
      <c r="R47" s="36"/>
      <c r="S47" s="36"/>
      <c r="T47" s="36"/>
    </row>
    <row r="48" ht="21.5" customHeight="1">
      <c r="A48" s="64"/>
      <c r="B48" t="s" s="65">
        <v>33</v>
      </c>
      <c r="C48" s="66"/>
      <c r="D48" s="94"/>
      <c r="E48" s="94">
        <f>E47/D47-1</f>
        <v>0.0537145911277392</v>
      </c>
      <c r="F48" s="94">
        <f>F47/E47-1</f>
        <v>0.0494547299010905</v>
      </c>
      <c r="G48" s="94">
        <f>G47/F47-1</f>
        <v>-0.281053649105848</v>
      </c>
      <c r="H48" s="94">
        <f>H47/G47-1</f>
        <v>0.0473949579831933</v>
      </c>
      <c r="I48" s="94">
        <f>I47/H47-1</f>
        <v>0.0452503209242619</v>
      </c>
      <c r="J48" s="94">
        <f>J47/I47-1</f>
        <v>0.0488179306109917</v>
      </c>
      <c r="K48" s="94">
        <f>K47/J47-1</f>
        <v>0.450966042154567</v>
      </c>
      <c r="L48" s="95">
        <f>OFFSET(L48,$C$12,0)</f>
        <v>0.049</v>
      </c>
      <c r="M48" s="95">
        <f>OFFSET(M48,$C$12,0)</f>
        <v>0.0555</v>
      </c>
      <c r="N48" s="95">
        <f>OFFSET(N48,$C$12,0)</f>
        <v>0.062</v>
      </c>
      <c r="O48" s="95">
        <f>OFFSET(O48,$C$12,0)</f>
        <v>0.06850000000000001</v>
      </c>
      <c r="P48" s="95">
        <f>OFFSET(P48,$C$12,0)</f>
        <v>0.075</v>
      </c>
      <c r="Q48" s="36"/>
      <c r="R48" s="36"/>
      <c r="S48" s="36"/>
      <c r="T48" s="36"/>
    </row>
    <row r="49" ht="22" customHeight="1">
      <c r="A49" s="64"/>
      <c r="B49" t="s" s="34">
        <v>34</v>
      </c>
      <c r="C49" s="66"/>
      <c r="D49" s="68"/>
      <c r="E49" s="68"/>
      <c r="F49" s="68"/>
      <c r="G49" s="68"/>
      <c r="H49" s="68"/>
      <c r="I49" s="68"/>
      <c r="J49" s="68"/>
      <c r="K49" s="70"/>
      <c r="L49" s="71">
        <f>L50</f>
        <v>0.049</v>
      </c>
      <c r="M49" s="71">
        <f>M50*$E$10</f>
        <v>0.04995</v>
      </c>
      <c r="N49" s="71">
        <f>N50*$E$10</f>
        <v>0.0558</v>
      </c>
      <c r="O49" s="71">
        <f>O50*$E$10</f>
        <v>0.06165</v>
      </c>
      <c r="P49" s="71">
        <f>P50*$E$10</f>
        <v>0.0675</v>
      </c>
      <c r="Q49" s="72"/>
      <c r="R49" s="36"/>
      <c r="S49" s="36"/>
      <c r="T49" s="36"/>
    </row>
    <row r="50" ht="22" customHeight="1">
      <c r="A50" s="64"/>
      <c r="B50" t="s" s="34">
        <v>35</v>
      </c>
      <c r="C50" s="66"/>
      <c r="D50" s="68"/>
      <c r="E50" s="68"/>
      <c r="F50" s="68"/>
      <c r="G50" s="68"/>
      <c r="H50" s="68"/>
      <c r="I50" s="68"/>
      <c r="J50" s="68"/>
      <c r="K50" s="70"/>
      <c r="L50" s="73">
        <v>0.049</v>
      </c>
      <c r="M50" s="73">
        <f>L50-(L50-$P$50)/($P$24-L24)</f>
        <v>0.0555</v>
      </c>
      <c r="N50" s="73">
        <f>M50-(M50-$P$50)/($P$24-M24)</f>
        <v>0.062</v>
      </c>
      <c r="O50" s="73">
        <f>N50-(N50-$P$50)/($P$24-N24)</f>
        <v>0.06850000000000001</v>
      </c>
      <c r="P50" s="71">
        <f>G12</f>
        <v>0.075</v>
      </c>
      <c r="Q50" s="72"/>
      <c r="R50" s="36"/>
      <c r="S50" s="36"/>
      <c r="T50" s="36"/>
    </row>
    <row r="51" ht="22" customHeight="1">
      <c r="A51" s="64"/>
      <c r="B51" t="s" s="34">
        <v>36</v>
      </c>
      <c r="C51" s="66"/>
      <c r="D51" s="68"/>
      <c r="E51" s="68"/>
      <c r="F51" s="68"/>
      <c r="G51" s="68"/>
      <c r="H51" s="68"/>
      <c r="I51" s="68"/>
      <c r="J51" s="68"/>
      <c r="K51" s="70"/>
      <c r="L51" s="96">
        <f>L50</f>
        <v>0.049</v>
      </c>
      <c r="M51" s="96">
        <f>M50*$I$10</f>
        <v>0.06105</v>
      </c>
      <c r="N51" s="96">
        <f>N50*$I$10</f>
        <v>0.0682</v>
      </c>
      <c r="O51" s="96">
        <f>O50*$I$10</f>
        <v>0.07535</v>
      </c>
      <c r="P51" s="73">
        <f>P50*$I$10</f>
        <v>0.0825</v>
      </c>
      <c r="Q51" s="72"/>
      <c r="R51" s="36"/>
      <c r="S51" s="36"/>
      <c r="T51" s="36"/>
    </row>
    <row r="52" ht="21.5" customHeight="1">
      <c r="A52" s="64"/>
      <c r="B52" t="s" s="34">
        <v>37</v>
      </c>
      <c r="C52" s="66"/>
      <c r="D52" s="68"/>
      <c r="E52" s="68"/>
      <c r="F52" s="68"/>
      <c r="G52" s="68"/>
      <c r="H52" s="68"/>
      <c r="I52" s="68"/>
      <c r="J52" s="68"/>
      <c r="K52" s="68"/>
      <c r="L52" s="97"/>
      <c r="M52" s="97"/>
      <c r="N52" s="97"/>
      <c r="O52" s="97"/>
      <c r="P52" s="97"/>
      <c r="Q52" s="36"/>
      <c r="R52" s="36"/>
      <c r="S52" s="36"/>
      <c r="T52" s="36"/>
    </row>
    <row r="53" ht="21" customHeight="1">
      <c r="A53" s="64"/>
      <c r="B53" s="25"/>
      <c r="C53" s="66"/>
      <c r="D53" s="85"/>
      <c r="E53" s="85"/>
      <c r="F53" s="85"/>
      <c r="G53" s="85"/>
      <c r="H53" s="85"/>
      <c r="I53" s="85"/>
      <c r="J53" s="85"/>
      <c r="K53" s="85"/>
      <c r="L53" s="85"/>
      <c r="M53" s="85"/>
      <c r="N53" s="85"/>
      <c r="O53" s="85"/>
      <c r="P53" s="85"/>
      <c r="Q53" s="36"/>
      <c r="R53" s="36"/>
      <c r="S53" s="36"/>
      <c r="T53" s="36"/>
    </row>
    <row r="54" ht="21" customHeight="1">
      <c r="A54" s="64"/>
      <c r="B54" t="s" s="34">
        <f>$B13</f>
        <v>41</v>
      </c>
      <c r="C54" s="66"/>
      <c r="D54" s="89">
        <v>1848</v>
      </c>
      <c r="E54" s="89">
        <v>1778</v>
      </c>
      <c r="F54" s="89">
        <v>1820</v>
      </c>
      <c r="G54" s="89">
        <v>1678</v>
      </c>
      <c r="H54" s="89">
        <v>1732</v>
      </c>
      <c r="I54" s="89">
        <v>1812</v>
      </c>
      <c r="J54" s="89">
        <v>1752</v>
      </c>
      <c r="K54" s="90">
        <f>1050*2.4</f>
        <v>2520</v>
      </c>
      <c r="L54" s="90">
        <f>K54*(1+L55)</f>
        <v>2643.48</v>
      </c>
      <c r="M54" s="90">
        <f>L54*(1+M55)</f>
        <v>2790.19314</v>
      </c>
      <c r="N54" s="90">
        <f>M54*(1+N55)</f>
        <v>2963.18511468</v>
      </c>
      <c r="O54" s="90">
        <f>N54*(1+O55)</f>
        <v>3166.163295035580</v>
      </c>
      <c r="P54" s="90">
        <f>O54*(1+P55)</f>
        <v>3403.625542163250</v>
      </c>
      <c r="Q54" s="36"/>
      <c r="R54" s="36"/>
      <c r="S54" s="36"/>
      <c r="T54" s="36"/>
    </row>
    <row r="55" ht="21.5" customHeight="1">
      <c r="A55" s="64"/>
      <c r="B55" t="s" s="65">
        <v>33</v>
      </c>
      <c r="C55" s="66"/>
      <c r="D55" s="94"/>
      <c r="E55" s="94">
        <f>E54/D54-1</f>
        <v>-0.0378787878787879</v>
      </c>
      <c r="F55" s="94">
        <f>F54/E54-1</f>
        <v>0.0236220472440945</v>
      </c>
      <c r="G55" s="94">
        <f>G54/F54-1</f>
        <v>-0.07802197802197799</v>
      </c>
      <c r="H55" s="94">
        <f>H54/G54-1</f>
        <v>0.032181168057211</v>
      </c>
      <c r="I55" s="94">
        <f>I54/H54-1</f>
        <v>0.046189376443418</v>
      </c>
      <c r="J55" s="94">
        <f>J54/I54-1</f>
        <v>-0.033112582781457</v>
      </c>
      <c r="K55" s="94">
        <f>K54/J54-1</f>
        <v>0.438356164383562</v>
      </c>
      <c r="L55" s="95">
        <f>OFFSET(L55,$C$13,0)</f>
        <v>0.049</v>
      </c>
      <c r="M55" s="95">
        <f>OFFSET(M55,$C$13,0)</f>
        <v>0.0555</v>
      </c>
      <c r="N55" s="95">
        <f>OFFSET(N55,$C$13,0)</f>
        <v>0.062</v>
      </c>
      <c r="O55" s="95">
        <f>OFFSET(O55,$C$13,0)</f>
        <v>0.06850000000000001</v>
      </c>
      <c r="P55" s="95">
        <f>OFFSET(P55,$C$13,0)</f>
        <v>0.075</v>
      </c>
      <c r="Q55" s="36"/>
      <c r="R55" s="36"/>
      <c r="S55" s="36"/>
      <c r="T55" s="36"/>
    </row>
    <row r="56" ht="22" customHeight="1">
      <c r="A56" s="64"/>
      <c r="B56" t="s" s="34">
        <v>34</v>
      </c>
      <c r="C56" s="66"/>
      <c r="D56" s="68"/>
      <c r="E56" s="68"/>
      <c r="F56" s="68"/>
      <c r="G56" s="68"/>
      <c r="H56" s="68"/>
      <c r="I56" s="68"/>
      <c r="J56" s="68"/>
      <c r="K56" s="70"/>
      <c r="L56" s="71">
        <f>L57</f>
        <v>0.049</v>
      </c>
      <c r="M56" s="71">
        <f>M57*$E$10</f>
        <v>0.04995</v>
      </c>
      <c r="N56" s="71">
        <f>N57*$E$10</f>
        <v>0.0558</v>
      </c>
      <c r="O56" s="71">
        <f>O57*$E$10</f>
        <v>0.06165</v>
      </c>
      <c r="P56" s="71">
        <f>P57*$E$10</f>
        <v>0.0675</v>
      </c>
      <c r="Q56" s="72"/>
      <c r="R56" s="36"/>
      <c r="S56" s="36"/>
      <c r="T56" s="36"/>
    </row>
    <row r="57" ht="22" customHeight="1">
      <c r="A57" s="64"/>
      <c r="B57" t="s" s="34">
        <v>35</v>
      </c>
      <c r="C57" s="66"/>
      <c r="D57" s="68"/>
      <c r="E57" s="68"/>
      <c r="F57" s="68"/>
      <c r="G57" s="68"/>
      <c r="H57" s="68"/>
      <c r="I57" s="68"/>
      <c r="J57" s="68"/>
      <c r="K57" s="70"/>
      <c r="L57" s="73">
        <v>0.049</v>
      </c>
      <c r="M57" s="73">
        <f>L57-(L57-$P$57)/($P$24-L24)</f>
        <v>0.0555</v>
      </c>
      <c r="N57" s="73">
        <f>M57-(M57-$P$57)/($P$24-M24)</f>
        <v>0.062</v>
      </c>
      <c r="O57" s="73">
        <f>N57-(N57-$P$57)/($P$24-N24)</f>
        <v>0.06850000000000001</v>
      </c>
      <c r="P57" s="71">
        <f>G13</f>
        <v>0.075</v>
      </c>
      <c r="Q57" s="72"/>
      <c r="R57" s="36"/>
      <c r="S57" s="36"/>
      <c r="T57" s="36"/>
    </row>
    <row r="58" ht="22" customHeight="1">
      <c r="A58" s="64"/>
      <c r="B58" t="s" s="34">
        <v>36</v>
      </c>
      <c r="C58" s="66"/>
      <c r="D58" s="68"/>
      <c r="E58" s="68"/>
      <c r="F58" s="68"/>
      <c r="G58" s="68"/>
      <c r="H58" s="68"/>
      <c r="I58" s="68"/>
      <c r="J58" s="68"/>
      <c r="K58" s="70"/>
      <c r="L58" s="96">
        <f>L57</f>
        <v>0.049</v>
      </c>
      <c r="M58" s="96">
        <f>M57*$I$10</f>
        <v>0.06105</v>
      </c>
      <c r="N58" s="96">
        <f>N57*$I$10</f>
        <v>0.0682</v>
      </c>
      <c r="O58" s="96">
        <f>O57*$I$10</f>
        <v>0.07535</v>
      </c>
      <c r="P58" s="73">
        <f>P57*$I$10</f>
        <v>0.0825</v>
      </c>
      <c r="Q58" s="72"/>
      <c r="R58" s="36"/>
      <c r="S58" s="36"/>
      <c r="T58" s="36"/>
    </row>
    <row r="59" ht="21.5" customHeight="1">
      <c r="A59" s="64"/>
      <c r="B59" t="s" s="34">
        <v>37</v>
      </c>
      <c r="C59" s="66"/>
      <c r="D59" s="68"/>
      <c r="E59" s="68"/>
      <c r="F59" s="68"/>
      <c r="G59" s="68"/>
      <c r="H59" s="68"/>
      <c r="I59" s="68"/>
      <c r="J59" s="68"/>
      <c r="K59" s="68"/>
      <c r="L59" s="97"/>
      <c r="M59" s="97"/>
      <c r="N59" s="97"/>
      <c r="O59" s="97"/>
      <c r="P59" s="97"/>
      <c r="Q59" s="36"/>
      <c r="R59" s="36"/>
      <c r="S59" s="36"/>
      <c r="T59" s="36"/>
    </row>
    <row r="60" ht="21" customHeight="1">
      <c r="A60" s="64"/>
      <c r="B60" s="81"/>
      <c r="C60" s="66"/>
      <c r="D60" s="85"/>
      <c r="E60" s="85"/>
      <c r="F60" s="85"/>
      <c r="G60" s="85"/>
      <c r="H60" s="85"/>
      <c r="I60" s="85"/>
      <c r="J60" s="85"/>
      <c r="K60" s="85"/>
      <c r="L60" s="85"/>
      <c r="M60" s="85"/>
      <c r="N60" s="85"/>
      <c r="O60" s="85"/>
      <c r="P60" s="85"/>
      <c r="Q60" s="36"/>
      <c r="R60" s="36"/>
      <c r="S60" s="36"/>
      <c r="T60" s="36"/>
    </row>
    <row r="61" ht="21" customHeight="1">
      <c r="A61" s="64"/>
      <c r="B61" t="s" s="34">
        <f>$B14</f>
        <v>42</v>
      </c>
      <c r="C61" s="66"/>
      <c r="D61" s="89">
        <v>237</v>
      </c>
      <c r="E61" s="89">
        <v>233</v>
      </c>
      <c r="F61" s="89">
        <v>287</v>
      </c>
      <c r="G61" s="89">
        <v>350</v>
      </c>
      <c r="H61" s="89">
        <v>387</v>
      </c>
      <c r="I61" s="89">
        <v>190</v>
      </c>
      <c r="J61" s="89">
        <v>307</v>
      </c>
      <c r="K61" s="90">
        <f>157*2</f>
        <v>314</v>
      </c>
      <c r="L61" s="90">
        <f>K61*(1+L62)</f>
        <v>329.386</v>
      </c>
      <c r="M61" s="90">
        <f>L61*(1+M62)</f>
        <v>345.530139442457</v>
      </c>
      <c r="N61" s="90">
        <f>M61*(1+N62)</f>
        <v>362.469978690745</v>
      </c>
      <c r="O61" s="90">
        <f>N61*(1+O62)</f>
        <v>380.244949304926</v>
      </c>
      <c r="P61" s="90">
        <f>O61*(1+P62)</f>
        <v>408.763320502795</v>
      </c>
      <c r="Q61" s="36"/>
      <c r="R61" s="36"/>
      <c r="S61" s="36"/>
      <c r="T61" s="36"/>
    </row>
    <row r="62" ht="21.5" customHeight="1">
      <c r="A62" s="64"/>
      <c r="B62" t="s" s="65">
        <v>33</v>
      </c>
      <c r="C62" s="66"/>
      <c r="D62" s="94"/>
      <c r="E62" s="94">
        <f>E61/D61-1</f>
        <v>-0.0168776371308017</v>
      </c>
      <c r="F62" s="94">
        <f>F61/E61-1</f>
        <v>0.231759656652361</v>
      </c>
      <c r="G62" s="94">
        <f>G61/F61-1</f>
        <v>0.219512195121951</v>
      </c>
      <c r="H62" s="94">
        <f>H61/G61-1</f>
        <v>0.105714285714286</v>
      </c>
      <c r="I62" s="94">
        <f>I61/H61-1</f>
        <v>-0.509043927648579</v>
      </c>
      <c r="J62" s="94">
        <f>J61/I61-1</f>
        <v>0.615789473684211</v>
      </c>
      <c r="K62" s="94">
        <f>K61/J61-1</f>
        <v>0.0228013029315961</v>
      </c>
      <c r="L62" s="95">
        <f>OFFSET(L62,$C$14,0)</f>
        <v>0.049</v>
      </c>
      <c r="M62" s="95">
        <f>OFFSET(M62,$C$14,0)</f>
        <v>0.0490128282393815</v>
      </c>
      <c r="N62" s="95">
        <f>OFFSET(N62,$C$14,0)</f>
        <v>0.0490256487483902</v>
      </c>
      <c r="O62" s="95">
        <f>OFFSET(O62,$C$14,0)</f>
        <v>0.0490384629325301</v>
      </c>
      <c r="P62" s="95">
        <f>OFFSET(P62,$C$14,0)</f>
        <v>0.075</v>
      </c>
      <c r="Q62" s="36"/>
      <c r="R62" s="36"/>
      <c r="S62" s="36"/>
      <c r="T62" s="36"/>
    </row>
    <row r="63" ht="22" customHeight="1">
      <c r="A63" s="64"/>
      <c r="B63" t="s" s="34">
        <v>34</v>
      </c>
      <c r="C63" s="66"/>
      <c r="D63" s="68"/>
      <c r="E63" s="68"/>
      <c r="F63" s="68"/>
      <c r="G63" s="68"/>
      <c r="H63" s="68"/>
      <c r="I63" s="68"/>
      <c r="J63" s="68"/>
      <c r="K63" s="70"/>
      <c r="L63" s="71">
        <f>L64</f>
        <v>0.049</v>
      </c>
      <c r="M63" s="71">
        <f>M64*$E$10</f>
        <v>0.0441115454154434</v>
      </c>
      <c r="N63" s="71">
        <f>N64*$E$10</f>
        <v>0.0441230838735512</v>
      </c>
      <c r="O63" s="71">
        <f>O64*$E$10</f>
        <v>0.0441346166392771</v>
      </c>
      <c r="P63" s="71">
        <f>P64*$E$10</f>
        <v>0.0675</v>
      </c>
      <c r="Q63" s="72"/>
      <c r="R63" s="36"/>
      <c r="S63" s="36"/>
      <c r="T63" s="36"/>
    </row>
    <row r="64" ht="22" customHeight="1">
      <c r="A64" s="64"/>
      <c r="B64" t="s" s="34">
        <v>35</v>
      </c>
      <c r="C64" s="66"/>
      <c r="D64" s="68"/>
      <c r="E64" s="68"/>
      <c r="F64" s="68"/>
      <c r="G64" s="68"/>
      <c r="H64" s="68"/>
      <c r="I64" s="68"/>
      <c r="J64" s="68"/>
      <c r="K64" s="70"/>
      <c r="L64" s="73">
        <v>0.049</v>
      </c>
      <c r="M64" s="73">
        <f>L64-(L64-$P$64)/($P$24-L31)</f>
        <v>0.0490128282393815</v>
      </c>
      <c r="N64" s="73">
        <f>M64-(M64-$P$64)/($P$24-M31)</f>
        <v>0.0490256487483902</v>
      </c>
      <c r="O64" s="73">
        <f>N64-(N64-$P$64)/($P$24-N31)</f>
        <v>0.0490384629325301</v>
      </c>
      <c r="P64" s="71">
        <f>G14</f>
        <v>0.075</v>
      </c>
      <c r="Q64" s="72"/>
      <c r="R64" s="36"/>
      <c r="S64" s="36"/>
      <c r="T64" s="36"/>
    </row>
    <row r="65" ht="22" customHeight="1">
      <c r="A65" s="64"/>
      <c r="B65" t="s" s="34">
        <v>36</v>
      </c>
      <c r="C65" s="66"/>
      <c r="D65" s="68"/>
      <c r="E65" s="68"/>
      <c r="F65" s="68"/>
      <c r="G65" s="68"/>
      <c r="H65" s="68"/>
      <c r="I65" s="68"/>
      <c r="J65" s="68"/>
      <c r="K65" s="70"/>
      <c r="L65" s="96">
        <f>L64</f>
        <v>0.049</v>
      </c>
      <c r="M65" s="96">
        <f>M64*$I$10</f>
        <v>0.0539141110633197</v>
      </c>
      <c r="N65" s="96">
        <f>N64*$I$10</f>
        <v>0.0539282136232292</v>
      </c>
      <c r="O65" s="96">
        <f>O64*$I$10</f>
        <v>0.0539423092257831</v>
      </c>
      <c r="P65" s="73">
        <f>P64*$I$10</f>
        <v>0.0825</v>
      </c>
      <c r="Q65" s="72"/>
      <c r="R65" s="36"/>
      <c r="S65" s="36"/>
      <c r="T65" s="36"/>
    </row>
    <row r="66" ht="21.5" customHeight="1">
      <c r="A66" s="64"/>
      <c r="B66" t="s" s="34">
        <v>37</v>
      </c>
      <c r="C66" s="66"/>
      <c r="D66" s="68"/>
      <c r="E66" s="68"/>
      <c r="F66" s="68"/>
      <c r="G66" s="68"/>
      <c r="H66" s="68"/>
      <c r="I66" s="68"/>
      <c r="J66" s="68"/>
      <c r="K66" s="68"/>
      <c r="L66" s="97"/>
      <c r="M66" s="97"/>
      <c r="N66" s="97"/>
      <c r="O66" s="97"/>
      <c r="P66" s="97"/>
      <c r="Q66" s="36"/>
      <c r="R66" s="36"/>
      <c r="S66" s="36"/>
      <c r="T66" s="36"/>
    </row>
    <row r="67" ht="21" customHeight="1">
      <c r="A67" s="64"/>
      <c r="B67" s="25"/>
      <c r="C67" s="66"/>
      <c r="D67" s="85"/>
      <c r="E67" s="85"/>
      <c r="F67" s="85"/>
      <c r="G67" s="85"/>
      <c r="H67" s="85"/>
      <c r="I67" s="85"/>
      <c r="J67" s="85"/>
      <c r="K67" s="85"/>
      <c r="L67" s="85"/>
      <c r="M67" s="85"/>
      <c r="N67" s="85"/>
      <c r="O67" s="85"/>
      <c r="P67" s="85"/>
      <c r="Q67" s="36"/>
      <c r="R67" s="36"/>
      <c r="S67" s="36"/>
      <c r="T67" s="36"/>
    </row>
    <row r="68" ht="21" customHeight="1">
      <c r="A68" s="64"/>
      <c r="B68" t="s" s="34">
        <f>$B15</f>
        <v>43</v>
      </c>
      <c r="C68" s="66"/>
      <c r="D68" s="89">
        <v>-745</v>
      </c>
      <c r="E68" s="89">
        <v>-896</v>
      </c>
      <c r="F68" s="89">
        <v>-864</v>
      </c>
      <c r="G68" s="89">
        <v>-278</v>
      </c>
      <c r="H68" s="89">
        <v>-359</v>
      </c>
      <c r="I68" s="89">
        <v>-367</v>
      </c>
      <c r="J68" s="89">
        <v>-372</v>
      </c>
      <c r="K68" s="90">
        <f>-192*2</f>
        <v>-384</v>
      </c>
      <c r="L68" s="90">
        <f>K68*(1+L69)</f>
        <v>-402.816</v>
      </c>
      <c r="M68" s="90">
        <f>L68*(1+M69)</f>
        <v>-422.559151277386</v>
      </c>
      <c r="N68" s="90">
        <f>M68*(1+N69)</f>
        <v>-443.275387653720</v>
      </c>
      <c r="O68" s="90">
        <f>N68*(1+O69)</f>
        <v>-465.012931163214</v>
      </c>
      <c r="P68" s="90">
        <f>O68*(1+P69)</f>
        <v>-499.888901000455</v>
      </c>
      <c r="Q68" s="36"/>
      <c r="R68" s="36"/>
      <c r="S68" s="36"/>
      <c r="T68" s="36"/>
    </row>
    <row r="69" ht="21.5" customHeight="1">
      <c r="A69" s="64"/>
      <c r="B69" t="s" s="65">
        <v>33</v>
      </c>
      <c r="C69" s="66"/>
      <c r="D69" s="94"/>
      <c r="E69" s="94">
        <f>E68/D68-1</f>
        <v>0.202684563758389</v>
      </c>
      <c r="F69" s="94">
        <f>F68/E68-1</f>
        <v>-0.0357142857142857</v>
      </c>
      <c r="G69" s="94">
        <f>G68/F68-1</f>
        <v>-0.678240740740741</v>
      </c>
      <c r="H69" s="94">
        <f>H68/G68-1</f>
        <v>0.29136690647482</v>
      </c>
      <c r="I69" s="94">
        <f>I68/H68-1</f>
        <v>0.0222841225626741</v>
      </c>
      <c r="J69" s="94">
        <f>J68/I68-1</f>
        <v>0.0136239782016349</v>
      </c>
      <c r="K69" s="94">
        <f>K68/J68-1</f>
        <v>0.032258064516129</v>
      </c>
      <c r="L69" s="95">
        <f>OFFSET(L69,$C$15,0)</f>
        <v>0.049</v>
      </c>
      <c r="M69" s="95">
        <f>OFFSET(M69,$C$15,0)</f>
        <v>0.0490128278851523</v>
      </c>
      <c r="N69" s="95">
        <f>OFFSET(N69,$C$15,0)</f>
        <v>0.0490256483943357</v>
      </c>
      <c r="O69" s="95">
        <f>OFFSET(O69,$C$15,0)</f>
        <v>0.0490384625786503</v>
      </c>
      <c r="P69" s="95">
        <f>OFFSET(P69,$C$15,0)</f>
        <v>0.075</v>
      </c>
      <c r="Q69" s="36"/>
      <c r="R69" s="36"/>
      <c r="S69" s="36"/>
      <c r="T69" s="36"/>
    </row>
    <row r="70" ht="22" customHeight="1">
      <c r="A70" s="64"/>
      <c r="B70" t="s" s="34">
        <v>34</v>
      </c>
      <c r="C70" s="66"/>
      <c r="D70" s="68"/>
      <c r="E70" s="68"/>
      <c r="F70" s="68"/>
      <c r="G70" s="68"/>
      <c r="H70" s="68"/>
      <c r="I70" s="68"/>
      <c r="J70" s="68"/>
      <c r="K70" s="70"/>
      <c r="L70" s="71">
        <f>L71</f>
        <v>0.049</v>
      </c>
      <c r="M70" s="71">
        <f>M71*$E$10</f>
        <v>0.0441115450966371</v>
      </c>
      <c r="N70" s="71">
        <f>N71*$E$10</f>
        <v>0.0441230835549021</v>
      </c>
      <c r="O70" s="71">
        <f>O71*$E$10</f>
        <v>0.0441346163207853</v>
      </c>
      <c r="P70" s="71">
        <f>P71*$E$10</f>
        <v>0.0675</v>
      </c>
      <c r="Q70" s="72"/>
      <c r="R70" s="36"/>
      <c r="S70" s="36"/>
      <c r="T70" s="36"/>
    </row>
    <row r="71" ht="22" customHeight="1">
      <c r="A71" s="64"/>
      <c r="B71" t="s" s="34">
        <v>35</v>
      </c>
      <c r="C71" s="66"/>
      <c r="D71" s="68"/>
      <c r="E71" s="68"/>
      <c r="F71" s="68"/>
      <c r="G71" s="68"/>
      <c r="H71" s="68"/>
      <c r="I71" s="68"/>
      <c r="J71" s="68"/>
      <c r="K71" s="70"/>
      <c r="L71" s="73">
        <v>0.049</v>
      </c>
      <c r="M71" s="73">
        <f>L71-(L71-$P$71)/($P$24-L38)</f>
        <v>0.0490128278851523</v>
      </c>
      <c r="N71" s="73">
        <f>M71-(M71-$P$71)/($P$24-M38)</f>
        <v>0.0490256483943357</v>
      </c>
      <c r="O71" s="73">
        <f>N71-(N71-$P$71)/($P$24-N38)</f>
        <v>0.0490384625786503</v>
      </c>
      <c r="P71" s="71">
        <f>G15</f>
        <v>0.075</v>
      </c>
      <c r="Q71" s="72"/>
      <c r="R71" s="36"/>
      <c r="S71" s="36"/>
      <c r="T71" s="36"/>
    </row>
    <row r="72" ht="22" customHeight="1">
      <c r="A72" s="64"/>
      <c r="B72" t="s" s="34">
        <v>36</v>
      </c>
      <c r="C72" s="66"/>
      <c r="D72" s="68"/>
      <c r="E72" s="68"/>
      <c r="F72" s="68"/>
      <c r="G72" s="68"/>
      <c r="H72" s="68"/>
      <c r="I72" s="68"/>
      <c r="J72" s="68"/>
      <c r="K72" s="70"/>
      <c r="L72" s="96">
        <f>L71</f>
        <v>0.049</v>
      </c>
      <c r="M72" s="96">
        <f>M71*$I$10</f>
        <v>0.0539141106736675</v>
      </c>
      <c r="N72" s="96">
        <f>N71*$I$10</f>
        <v>0.0539282132337693</v>
      </c>
      <c r="O72" s="96">
        <f>O71*$I$10</f>
        <v>0.0539423088365153</v>
      </c>
      <c r="P72" s="73">
        <f>P71*$I$10</f>
        <v>0.0825</v>
      </c>
      <c r="Q72" s="72"/>
      <c r="R72" s="36"/>
      <c r="S72" s="36"/>
      <c r="T72" s="36"/>
    </row>
    <row r="73" ht="21.5" customHeight="1">
      <c r="A73" s="64"/>
      <c r="B73" t="s" s="34">
        <v>37</v>
      </c>
      <c r="C73" s="66"/>
      <c r="D73" s="68"/>
      <c r="E73" s="68"/>
      <c r="F73" s="68"/>
      <c r="G73" s="68"/>
      <c r="H73" s="68"/>
      <c r="I73" s="68"/>
      <c r="J73" s="68"/>
      <c r="K73" s="68"/>
      <c r="L73" s="97"/>
      <c r="M73" s="97"/>
      <c r="N73" s="97"/>
      <c r="O73" s="97"/>
      <c r="P73" s="97"/>
      <c r="Q73" s="36"/>
      <c r="R73" s="36"/>
      <c r="S73" s="36"/>
      <c r="T73" s="36"/>
    </row>
    <row r="74" ht="21.5" customHeight="1">
      <c r="A74" s="99"/>
      <c r="B74" s="100"/>
      <c r="C74" s="101"/>
      <c r="D74" s="102"/>
      <c r="E74" s="102"/>
      <c r="F74" s="102"/>
      <c r="G74" s="102"/>
      <c r="H74" s="102"/>
      <c r="I74" s="102"/>
      <c r="J74" s="102"/>
      <c r="K74" s="102"/>
      <c r="L74" s="102"/>
      <c r="M74" s="102"/>
      <c r="N74" s="102"/>
      <c r="O74" s="102"/>
      <c r="P74" s="102"/>
      <c r="Q74" s="36"/>
      <c r="R74" s="36"/>
      <c r="S74" s="36"/>
      <c r="T74" s="36"/>
    </row>
    <row r="75" ht="21.5" customHeight="1">
      <c r="A75" s="103"/>
      <c r="B75" t="s" s="104">
        <v>44</v>
      </c>
      <c r="C75" s="105"/>
      <c r="D75" s="106">
        <f>SUM(D26,D33,D40,D47,D54,D61,D68)</f>
        <v>17904</v>
      </c>
      <c r="E75" s="106">
        <f>SUM(E26,E33,E40,E47,E54,E61,E68)</f>
        <v>19020</v>
      </c>
      <c r="F75" s="106">
        <f>SUM(F26,F33,F40,F47,F54,F61,F68)</f>
        <v>19626</v>
      </c>
      <c r="G75" s="106">
        <f>SUM(G26,G33,G40,G47,G54,G61,G68)</f>
        <v>18407</v>
      </c>
      <c r="H75" s="106">
        <f>SUM(H26,H33,H40,H47,H54,H61,H68)</f>
        <v>20109</v>
      </c>
      <c r="I75" s="106">
        <f>SUM(I26,I33,I40,I47,I54,I61,I68)</f>
        <v>20862</v>
      </c>
      <c r="J75" s="106">
        <f>SUM(J26,J33,J40,J47,J54,J61,J68)</f>
        <v>21310</v>
      </c>
      <c r="K75" s="106">
        <f>SUM(K26,K33,K40,K47,K54,K61,K68)</f>
        <v>24185.5</v>
      </c>
      <c r="L75" s="106">
        <f>SUM(L26,L33,L40,L47,L54,L61,L68)</f>
        <v>25370.5895</v>
      </c>
      <c r="M75" s="106">
        <f>SUM(M26,M33,M40,M47,M54,M61,M68)</f>
        <v>26779.1335704151</v>
      </c>
      <c r="N75" s="106">
        <f>SUM(N26,N33,N40,N47,N54,N61,N68)</f>
        <v>28440.4392533865</v>
      </c>
      <c r="O75" s="106">
        <f>SUM(O26,O33,O40,O47,O54,O61,O68)</f>
        <v>30390.1819398622</v>
      </c>
      <c r="P75" s="106">
        <f>SUM(P26,P33,P40,P47,P54,P61,P68)</f>
        <v>32669.4455853518</v>
      </c>
      <c r="Q75" s="36"/>
      <c r="R75" s="36"/>
      <c r="S75" s="36"/>
      <c r="T75" s="36"/>
    </row>
    <row r="76" ht="21" customHeight="1">
      <c r="A76" s="13"/>
      <c r="B76" t="s" s="65">
        <v>33</v>
      </c>
      <c r="C76" s="28"/>
      <c r="D76" s="11"/>
      <c r="E76" s="107">
        <f>E75/D75-1</f>
        <v>0.0623324396782842</v>
      </c>
      <c r="F76" s="107">
        <f>F75/E75-1</f>
        <v>0.0318611987381703</v>
      </c>
      <c r="G76" s="107">
        <f>G75/F75-1</f>
        <v>-0.0621114847651075</v>
      </c>
      <c r="H76" s="107">
        <f>H75/G75-1</f>
        <v>0.0924648231651002</v>
      </c>
      <c r="I76" s="107">
        <f>I75/H75-1</f>
        <v>0.037445919737431</v>
      </c>
      <c r="J76" s="107">
        <f>J75/I75-1</f>
        <v>0.0214744511552104</v>
      </c>
      <c r="K76" s="107">
        <f>K75/J75-1</f>
        <v>0.134936649460347</v>
      </c>
      <c r="L76" s="107">
        <f>L75/K75-1</f>
        <v>0.049</v>
      </c>
      <c r="M76" s="107">
        <f>M75/L75-1</f>
        <v>0.055518775802001</v>
      </c>
      <c r="N76" s="107">
        <f>N75/M75-1</f>
        <v>0.062037320162097</v>
      </c>
      <c r="O76" s="107">
        <f>O75/N75-1</f>
        <v>0.0685552944209024</v>
      </c>
      <c r="P76" s="107">
        <f>P75/O75-1</f>
        <v>0.0749999999999979</v>
      </c>
      <c r="Q76" s="36"/>
      <c r="R76" s="36"/>
      <c r="S76" s="36"/>
      <c r="T76" s="36"/>
    </row>
    <row r="77" ht="21" customHeight="1">
      <c r="A77" s="13"/>
      <c r="B77" s="25"/>
      <c r="C77" s="28"/>
      <c r="D77" s="11"/>
      <c r="E77" s="61"/>
      <c r="F77" s="61"/>
      <c r="G77" s="61"/>
      <c r="H77" s="61"/>
      <c r="I77" s="61"/>
      <c r="J77" s="61"/>
      <c r="K77" s="61"/>
      <c r="L77" s="61"/>
      <c r="M77" s="61"/>
      <c r="N77" s="61"/>
      <c r="O77" s="61"/>
      <c r="P77" s="61"/>
      <c r="Q77" s="36"/>
      <c r="R77" s="36"/>
      <c r="S77" s="36"/>
      <c r="T77" s="36"/>
    </row>
    <row r="78" ht="21" customHeight="1">
      <c r="A78" t="s" s="29">
        <v>13</v>
      </c>
      <c r="B78" t="s" s="30">
        <v>45</v>
      </c>
      <c r="C78" s="31"/>
      <c r="D78" s="59">
        <v>2015</v>
      </c>
      <c r="E78" s="60">
        <v>2016</v>
      </c>
      <c r="F78" s="60">
        <v>2017</v>
      </c>
      <c r="G78" s="60">
        <v>2018</v>
      </c>
      <c r="H78" s="60">
        <v>2019</v>
      </c>
      <c r="I78" s="60">
        <v>2020</v>
      </c>
      <c r="J78" s="60">
        <v>2021</v>
      </c>
      <c r="K78" s="36"/>
      <c r="L78" s="36"/>
      <c r="M78" s="36"/>
      <c r="N78" s="36"/>
      <c r="O78" s="36"/>
      <c r="P78" s="108"/>
      <c r="Q78" s="36"/>
      <c r="R78" s="36"/>
      <c r="S78" s="36"/>
      <c r="T78" s="36"/>
    </row>
    <row r="79" ht="21" customHeight="1">
      <c r="A79" s="13"/>
      <c r="B79" s="25"/>
      <c r="C79" s="28"/>
      <c r="D79" s="11"/>
      <c r="E79" s="11"/>
      <c r="F79" s="11"/>
      <c r="G79" s="11"/>
      <c r="H79" s="11"/>
      <c r="I79" s="11"/>
      <c r="J79" s="11"/>
      <c r="K79" s="36"/>
      <c r="L79" s="36"/>
      <c r="M79" s="36"/>
      <c r="N79" s="36"/>
      <c r="O79" s="36"/>
      <c r="P79" s="11"/>
      <c r="Q79" s="36"/>
      <c r="R79" s="36"/>
      <c r="S79" s="36"/>
      <c r="T79" s="36"/>
    </row>
    <row r="80" ht="21" customHeight="1">
      <c r="A80" s="13"/>
      <c r="B80" t="s" s="34">
        <v>46</v>
      </c>
      <c r="C80" s="28"/>
      <c r="D80" s="109">
        <f>D75</f>
        <v>17904</v>
      </c>
      <c r="E80" s="109">
        <f>E75</f>
        <v>19020</v>
      </c>
      <c r="F80" s="109">
        <f>F75</f>
        <v>19626</v>
      </c>
      <c r="G80" s="109">
        <f>G75</f>
        <v>18407</v>
      </c>
      <c r="H80" s="109">
        <f>H75</f>
        <v>20109</v>
      </c>
      <c r="I80" s="109">
        <f>I75</f>
        <v>20862</v>
      </c>
      <c r="J80" s="109">
        <f>J75</f>
        <v>21310</v>
      </c>
      <c r="K80" s="36"/>
      <c r="L80" s="36"/>
      <c r="M80" s="36"/>
      <c r="N80" s="36"/>
      <c r="O80" s="36"/>
      <c r="P80" s="110"/>
      <c r="Q80" s="36"/>
      <c r="R80" s="36"/>
      <c r="S80" s="36"/>
      <c r="T80" s="36"/>
    </row>
    <row r="81" ht="21" customHeight="1">
      <c r="A81" s="64"/>
      <c r="B81" t="s" s="65">
        <v>33</v>
      </c>
      <c r="C81" s="66"/>
      <c r="D81" s="67"/>
      <c r="E81" s="68">
        <f>E80/D80-1</f>
        <v>0.0623324396782842</v>
      </c>
      <c r="F81" s="68">
        <f>F80/E80-1</f>
        <v>0.0318611987381703</v>
      </c>
      <c r="G81" s="68">
        <f>G80/F80-1</f>
        <v>-0.0621114847651075</v>
      </c>
      <c r="H81" s="68">
        <f>H80/G80-1</f>
        <v>0.0924648231651002</v>
      </c>
      <c r="I81" s="68">
        <f>I80/H80-1</f>
        <v>0.037445919737431</v>
      </c>
      <c r="J81" s="68">
        <f>J80/I80-1</f>
        <v>0.0214744511552104</v>
      </c>
      <c r="K81" s="36"/>
      <c r="L81" s="36"/>
      <c r="M81" s="36"/>
      <c r="N81" s="36"/>
      <c r="O81" s="36"/>
      <c r="P81" s="68"/>
      <c r="Q81" s="36"/>
      <c r="R81" s="36"/>
      <c r="S81" s="36"/>
      <c r="T81" s="36"/>
    </row>
    <row r="82" ht="21" customHeight="1">
      <c r="A82" s="13"/>
      <c r="B82" s="25"/>
      <c r="C82" s="28"/>
      <c r="D82" s="11"/>
      <c r="E82" s="11"/>
      <c r="F82" s="11"/>
      <c r="G82" s="11"/>
      <c r="H82" s="11"/>
      <c r="I82" s="11"/>
      <c r="J82" s="11"/>
      <c r="K82" s="36"/>
      <c r="L82" s="36"/>
      <c r="M82" s="36"/>
      <c r="N82" s="36"/>
      <c r="O82" s="36"/>
      <c r="P82" s="11"/>
      <c r="Q82" s="36"/>
      <c r="R82" s="36"/>
      <c r="S82" s="36"/>
      <c r="T82" s="36"/>
    </row>
    <row r="83" ht="21" customHeight="1">
      <c r="A83" s="13"/>
      <c r="B83" t="s" s="34">
        <v>26</v>
      </c>
      <c r="C83" s="28"/>
      <c r="D83" s="61">
        <v>1502</v>
      </c>
      <c r="E83" s="61">
        <v>1905</v>
      </c>
      <c r="F83" s="61">
        <v>2034</v>
      </c>
      <c r="G83" s="111">
        <v>1605</v>
      </c>
      <c r="H83" s="111">
        <v>1899</v>
      </c>
      <c r="I83" s="61">
        <v>1930</v>
      </c>
      <c r="J83" s="111">
        <v>2389</v>
      </c>
      <c r="K83" s="36"/>
      <c r="L83" s="36"/>
      <c r="M83" s="36"/>
      <c r="N83" s="36"/>
      <c r="O83" s="36"/>
      <c r="P83" s="111"/>
      <c r="Q83" s="36"/>
      <c r="R83" s="36"/>
      <c r="S83" s="36"/>
      <c r="T83" s="36"/>
    </row>
    <row r="84" ht="21" customHeight="1">
      <c r="A84" s="64"/>
      <c r="B84" t="s" s="65">
        <v>47</v>
      </c>
      <c r="C84" s="66"/>
      <c r="D84" s="68">
        <f>D83/D80</f>
        <v>0.0838918677390527</v>
      </c>
      <c r="E84" s="68">
        <f>E83/E80</f>
        <v>0.100157728706625</v>
      </c>
      <c r="F84" s="68">
        <f>F83/F80</f>
        <v>0.103638031183124</v>
      </c>
      <c r="G84" s="68">
        <f>G83/G80</f>
        <v>0.08719508882490359</v>
      </c>
      <c r="H84" s="68">
        <f>H83/H80</f>
        <v>0.094435327465314</v>
      </c>
      <c r="I84" s="68">
        <f>I83/I80</f>
        <v>0.09251270252133061</v>
      </c>
      <c r="J84" s="68">
        <f>J83/J80</f>
        <v>0.112106992022525</v>
      </c>
      <c r="K84" s="36"/>
      <c r="L84" s="36"/>
      <c r="M84" s="36"/>
      <c r="N84" s="36"/>
      <c r="O84" s="36"/>
      <c r="P84" s="68"/>
      <c r="Q84" s="36"/>
      <c r="R84" s="36"/>
      <c r="S84" s="36"/>
      <c r="T84" s="36"/>
    </row>
    <row r="85" ht="21" customHeight="1">
      <c r="A85" s="112"/>
      <c r="B85" s="113"/>
      <c r="C85" s="28"/>
      <c r="D85" s="114"/>
      <c r="E85" s="11"/>
      <c r="F85" s="11"/>
      <c r="G85" s="11"/>
      <c r="H85" s="11"/>
      <c r="I85" s="11"/>
      <c r="J85" s="11"/>
      <c r="K85" s="36"/>
      <c r="L85" s="36"/>
      <c r="M85" s="36"/>
      <c r="N85" s="36"/>
      <c r="O85" s="36"/>
      <c r="P85" s="11"/>
      <c r="Q85" s="36"/>
      <c r="R85" s="36"/>
      <c r="S85" s="36"/>
      <c r="T85" s="36"/>
    </row>
    <row r="86" ht="21" customHeight="1">
      <c r="A86" s="8"/>
      <c r="B86" t="s" s="115">
        <v>48</v>
      </c>
      <c r="C86" s="28"/>
      <c r="D86" s="116">
        <v>147</v>
      </c>
      <c r="E86" s="116">
        <v>213</v>
      </c>
      <c r="F86" s="116">
        <v>250</v>
      </c>
      <c r="G86" s="63">
        <v>191</v>
      </c>
      <c r="H86" s="116">
        <v>94</v>
      </c>
      <c r="I86" s="63">
        <v>225</v>
      </c>
      <c r="J86" s="63">
        <v>198</v>
      </c>
      <c r="K86" s="36"/>
      <c r="L86" s="36"/>
      <c r="M86" s="36"/>
      <c r="N86" s="36"/>
      <c r="O86" s="36"/>
      <c r="P86" s="111"/>
      <c r="Q86" s="36"/>
      <c r="R86" s="36"/>
      <c r="S86" s="36"/>
      <c r="T86" s="36"/>
    </row>
    <row r="87" ht="21" customHeight="1">
      <c r="A87" s="80"/>
      <c r="B87" t="s" s="117">
        <v>49</v>
      </c>
      <c r="C87" s="66"/>
      <c r="D87" s="68">
        <f>D86/D83</f>
        <v>0.0978695073235686</v>
      </c>
      <c r="E87" s="68">
        <f>E86/E83</f>
        <v>0.111811023622047</v>
      </c>
      <c r="F87" s="68">
        <f>F86/F83</f>
        <v>0.12291052114061</v>
      </c>
      <c r="G87" s="68">
        <f>G86/G83</f>
        <v>0.119003115264798</v>
      </c>
      <c r="H87" s="68">
        <f>H86/H83</f>
        <v>0.0494997367035282</v>
      </c>
      <c r="I87" s="68">
        <f>I86/I83</f>
        <v>0.116580310880829</v>
      </c>
      <c r="J87" s="68">
        <f>J86/J83</f>
        <v>0.0828798660527417</v>
      </c>
      <c r="K87" s="36"/>
      <c r="L87" s="36"/>
      <c r="M87" s="36"/>
      <c r="N87" s="36"/>
      <c r="O87" s="36"/>
      <c r="P87" s="68"/>
      <c r="Q87" s="36"/>
      <c r="R87" s="36"/>
      <c r="S87" s="36"/>
      <c r="T87" s="36"/>
    </row>
    <row r="88" ht="21" customHeight="1">
      <c r="A88" s="87"/>
      <c r="B88" s="46"/>
      <c r="C88" s="28"/>
      <c r="D88" s="11"/>
      <c r="E88" s="118"/>
      <c r="F88" s="118"/>
      <c r="G88" s="118"/>
      <c r="H88" s="118"/>
      <c r="I88" s="118"/>
      <c r="J88" s="118"/>
      <c r="K88" s="36"/>
      <c r="L88" s="36"/>
      <c r="M88" s="36"/>
      <c r="N88" s="36"/>
      <c r="O88" s="36"/>
      <c r="P88" s="118"/>
      <c r="Q88" s="36"/>
      <c r="R88" s="36"/>
      <c r="S88" s="36"/>
      <c r="T88" s="36"/>
    </row>
    <row r="89" ht="21" customHeight="1">
      <c r="A89" t="s" s="119">
        <v>13</v>
      </c>
      <c r="B89" t="s" s="120">
        <v>50</v>
      </c>
      <c r="C89" s="31"/>
      <c r="D89" s="59">
        <v>2015</v>
      </c>
      <c r="E89" s="60">
        <v>2016</v>
      </c>
      <c r="F89" s="60">
        <v>2017</v>
      </c>
      <c r="G89" s="60">
        <v>2018</v>
      </c>
      <c r="H89" s="60">
        <v>2019</v>
      </c>
      <c r="I89" s="60">
        <v>2020</v>
      </c>
      <c r="J89" s="60">
        <v>2021</v>
      </c>
      <c r="K89" s="36"/>
      <c r="L89" s="36"/>
      <c r="M89" s="36"/>
      <c r="N89" s="36"/>
      <c r="O89" s="36"/>
      <c r="P89" s="118"/>
      <c r="Q89" s="36"/>
      <c r="R89" s="36"/>
      <c r="S89" s="36"/>
      <c r="T89" s="36"/>
    </row>
    <row r="90" ht="21" customHeight="1">
      <c r="A90" s="112"/>
      <c r="B90" s="113"/>
      <c r="C90" s="28"/>
      <c r="D90" s="11"/>
      <c r="E90" s="118"/>
      <c r="F90" s="118"/>
      <c r="G90" s="118"/>
      <c r="H90" s="118"/>
      <c r="I90" s="118"/>
      <c r="J90" s="118"/>
      <c r="K90" s="36"/>
      <c r="L90" s="36"/>
      <c r="M90" s="36"/>
      <c r="N90" s="36"/>
      <c r="O90" s="36"/>
      <c r="P90" s="118"/>
      <c r="Q90" s="36"/>
      <c r="R90" s="36"/>
      <c r="S90" s="36"/>
      <c r="T90" s="36"/>
    </row>
    <row r="91" ht="21" customHeight="1">
      <c r="A91" s="87"/>
      <c r="B91" t="s" s="121">
        <v>51</v>
      </c>
      <c r="C91" s="28"/>
      <c r="D91" s="116">
        <v>1435</v>
      </c>
      <c r="E91" s="116">
        <v>345</v>
      </c>
      <c r="F91" s="116">
        <v>728</v>
      </c>
      <c r="G91" s="116">
        <v>411</v>
      </c>
      <c r="H91" s="116">
        <v>660</v>
      </c>
      <c r="I91" s="116">
        <v>675</v>
      </c>
      <c r="J91" s="116">
        <v>720</v>
      </c>
      <c r="K91" s="36"/>
      <c r="L91" s="36"/>
      <c r="M91" s="36"/>
      <c r="N91" s="36"/>
      <c r="O91" s="36"/>
      <c r="P91" s="118"/>
      <c r="Q91" s="36"/>
      <c r="R91" s="36"/>
      <c r="S91" s="36"/>
      <c r="T91" s="36"/>
    </row>
    <row r="92" ht="21" customHeight="1">
      <c r="A92" s="122"/>
      <c r="B92" t="s" s="123">
        <v>52</v>
      </c>
      <c r="C92" s="66"/>
      <c r="D92" s="68">
        <f>D91/D75</f>
        <v>0.0801496872207328</v>
      </c>
      <c r="E92" s="68">
        <f>E91/E75</f>
        <v>0.0181388012618297</v>
      </c>
      <c r="F92" s="68">
        <f>F91/F75</f>
        <v>0.0370936512789157</v>
      </c>
      <c r="G92" s="68">
        <f>G91/G75</f>
        <v>0.0223284619981529</v>
      </c>
      <c r="H92" s="68">
        <f>H91/H75</f>
        <v>0.0328211248694614</v>
      </c>
      <c r="I92" s="68">
        <f>I91/I75</f>
        <v>0.0323554788610871</v>
      </c>
      <c r="J92" s="68">
        <f>J91/J75</f>
        <v>0.0337869544814641</v>
      </c>
      <c r="K92" s="36"/>
      <c r="L92" s="36"/>
      <c r="M92" s="36"/>
      <c r="N92" s="36"/>
      <c r="O92" s="36"/>
      <c r="P92" s="68"/>
      <c r="Q92" s="36"/>
      <c r="R92" s="36"/>
      <c r="S92" s="36"/>
      <c r="T92" s="36"/>
    </row>
    <row r="93" ht="21" customHeight="1">
      <c r="A93" s="122"/>
      <c r="B93" t="s" s="123">
        <v>53</v>
      </c>
      <c r="C93" s="66"/>
      <c r="D93" s="68">
        <f>D91/D95</f>
        <v>0.982203969883641</v>
      </c>
      <c r="E93" s="68">
        <f>E91/E95</f>
        <v>0.845588235294118</v>
      </c>
      <c r="F93" s="68">
        <f>F91/F95</f>
        <v>1.87146529562982</v>
      </c>
      <c r="G93" s="68">
        <f>G91/G95</f>
        <v>1.14804469273743</v>
      </c>
      <c r="H93" s="68">
        <f>H91/H95</f>
        <v>1.83333333333333</v>
      </c>
      <c r="I93" s="68">
        <f>I91/I95</f>
        <v>1.75324675324675</v>
      </c>
      <c r="J93" s="68">
        <f>J91/J95</f>
        <v>1.9672131147541</v>
      </c>
      <c r="K93" s="36"/>
      <c r="L93" s="36"/>
      <c r="M93" s="36"/>
      <c r="N93" s="36"/>
      <c r="O93" s="36"/>
      <c r="P93" s="68"/>
      <c r="Q93" s="36"/>
      <c r="R93" s="36"/>
      <c r="S93" s="36"/>
      <c r="T93" s="36"/>
    </row>
    <row r="94" ht="21" customHeight="1">
      <c r="A94" s="87"/>
      <c r="B94" s="46"/>
      <c r="C94" s="28"/>
      <c r="D94" s="11"/>
      <c r="E94" s="118"/>
      <c r="F94" s="118"/>
      <c r="G94" s="118"/>
      <c r="H94" s="118"/>
      <c r="I94" s="118"/>
      <c r="J94" s="118"/>
      <c r="K94" s="36"/>
      <c r="L94" s="36"/>
      <c r="M94" s="36"/>
      <c r="N94" s="36"/>
      <c r="O94" s="36"/>
      <c r="P94" s="118"/>
      <c r="Q94" s="36"/>
      <c r="R94" s="36"/>
      <c r="S94" s="36"/>
      <c r="T94" s="36"/>
    </row>
    <row r="95" ht="21" customHeight="1">
      <c r="A95" s="87"/>
      <c r="B95" t="s" s="121">
        <v>54</v>
      </c>
      <c r="C95" s="28"/>
      <c r="D95" s="63">
        <v>1461</v>
      </c>
      <c r="E95" s="63">
        <v>408</v>
      </c>
      <c r="F95" s="116">
        <v>389</v>
      </c>
      <c r="G95" s="116">
        <v>358</v>
      </c>
      <c r="H95" s="116">
        <v>360</v>
      </c>
      <c r="I95" s="116">
        <v>385</v>
      </c>
      <c r="J95" s="116">
        <v>366</v>
      </c>
      <c r="K95" s="36"/>
      <c r="L95" s="36"/>
      <c r="M95" s="36"/>
      <c r="N95" s="36"/>
      <c r="O95" s="36"/>
      <c r="P95" s="118"/>
      <c r="Q95" s="36"/>
      <c r="R95" s="36"/>
      <c r="S95" s="36"/>
      <c r="T95" s="36"/>
    </row>
    <row r="96" ht="21" customHeight="1">
      <c r="A96" s="122"/>
      <c r="B96" t="s" s="123">
        <v>47</v>
      </c>
      <c r="C96" s="66"/>
      <c r="D96" s="68">
        <f>D95/D75</f>
        <v>0.0816018766756032</v>
      </c>
      <c r="E96" s="68">
        <f>E95/E75</f>
        <v>0.0214511041009464</v>
      </c>
      <c r="F96" s="68">
        <f>F95/F75</f>
        <v>0.0198206460817283</v>
      </c>
      <c r="G96" s="68">
        <f>G95/G75</f>
        <v>0.0194491226163959</v>
      </c>
      <c r="H96" s="68">
        <f>H95/H75</f>
        <v>0.017902431746979</v>
      </c>
      <c r="I96" s="68">
        <f>I95/I75</f>
        <v>0.018454606461509</v>
      </c>
      <c r="J96" s="68">
        <f>J95/J75</f>
        <v>0.0171750351947443</v>
      </c>
      <c r="K96" s="36"/>
      <c r="L96" s="36"/>
      <c r="M96" s="36"/>
      <c r="N96" s="36"/>
      <c r="O96" s="36"/>
      <c r="P96" s="68"/>
      <c r="Q96" s="36"/>
      <c r="R96" s="36"/>
      <c r="S96" s="36"/>
      <c r="T96" s="36"/>
    </row>
    <row r="97" ht="21" customHeight="1">
      <c r="A97" s="87"/>
      <c r="B97" s="46"/>
      <c r="C97" s="28"/>
      <c r="D97" s="11"/>
      <c r="E97" s="118"/>
      <c r="F97" s="118"/>
      <c r="G97" s="118"/>
      <c r="H97" s="118"/>
      <c r="I97" s="118"/>
      <c r="J97" s="118"/>
      <c r="K97" s="36"/>
      <c r="L97" s="36"/>
      <c r="M97" s="36"/>
      <c r="N97" s="36"/>
      <c r="O97" s="36"/>
      <c r="P97" s="118"/>
      <c r="Q97" s="36"/>
      <c r="R97" s="36"/>
      <c r="S97" s="36"/>
      <c r="T97" s="36"/>
    </row>
    <row r="98" ht="21" customHeight="1">
      <c r="A98" s="87"/>
      <c r="B98" t="s" s="121">
        <v>55</v>
      </c>
      <c r="C98" s="28"/>
      <c r="D98" s="61">
        <f>6332-7153</f>
        <v>-821</v>
      </c>
      <c r="E98" s="61">
        <f>7029-7299</f>
        <v>-270</v>
      </c>
      <c r="F98" s="61">
        <f>7715-7106</f>
        <v>609</v>
      </c>
      <c r="G98" s="61">
        <f>9576-9285</f>
        <v>291</v>
      </c>
      <c r="H98" s="61">
        <f>9244-9133</f>
        <v>111</v>
      </c>
      <c r="I98" s="61">
        <f>9406-9383</f>
        <v>23</v>
      </c>
      <c r="J98" s="61">
        <f>8818-8696</f>
        <v>122</v>
      </c>
      <c r="K98" s="36"/>
      <c r="L98" s="36"/>
      <c r="M98" s="36"/>
      <c r="N98" s="36"/>
      <c r="O98" s="36"/>
      <c r="P98" s="118"/>
      <c r="Q98" s="36"/>
      <c r="R98" s="36"/>
      <c r="S98" s="36"/>
      <c r="T98" s="36"/>
    </row>
    <row r="99" ht="21" customHeight="1">
      <c r="A99" s="87"/>
      <c r="B99" s="46"/>
      <c r="C99" s="28"/>
      <c r="D99" s="11"/>
      <c r="E99" s="118"/>
      <c r="F99" s="118"/>
      <c r="G99" s="118"/>
      <c r="H99" s="118"/>
      <c r="I99" s="118"/>
      <c r="J99" s="118"/>
      <c r="K99" s="36"/>
      <c r="L99" s="36"/>
      <c r="M99" s="36"/>
      <c r="N99" s="36"/>
      <c r="O99" s="36"/>
      <c r="P99" s="118"/>
      <c r="Q99" s="36"/>
      <c r="R99" s="36"/>
      <c r="S99" s="36"/>
      <c r="T99" s="36"/>
    </row>
    <row r="100" ht="21" customHeight="1">
      <c r="A100" s="87"/>
      <c r="B100" t="s" s="121">
        <v>56</v>
      </c>
      <c r="C100" s="28"/>
      <c r="D100" s="61"/>
      <c r="E100" s="61">
        <f>D98-E98</f>
        <v>-551</v>
      </c>
      <c r="F100" s="61">
        <f>E98-F98</f>
        <v>-879</v>
      </c>
      <c r="G100" s="61">
        <f>F98-G98</f>
        <v>318</v>
      </c>
      <c r="H100" s="61">
        <f>G98-H98</f>
        <v>180</v>
      </c>
      <c r="I100" s="61">
        <f>H98-I98</f>
        <v>88</v>
      </c>
      <c r="J100" s="61">
        <f>I98-J98</f>
        <v>-99</v>
      </c>
      <c r="K100" s="36"/>
      <c r="L100" s="36"/>
      <c r="M100" s="36"/>
      <c r="N100" s="36"/>
      <c r="O100" s="36"/>
      <c r="P100" s="118"/>
      <c r="Q100" s="36"/>
      <c r="R100" s="36"/>
      <c r="S100" s="36"/>
      <c r="T100" s="36"/>
    </row>
    <row r="101" ht="21" customHeight="1">
      <c r="A101" s="122"/>
      <c r="B101" t="s" s="123">
        <v>47</v>
      </c>
      <c r="C101" s="66"/>
      <c r="D101" s="68">
        <f>D100/D80</f>
        <v>0</v>
      </c>
      <c r="E101" s="68">
        <f>E100/E80</f>
        <v>-0.0289695057833859</v>
      </c>
      <c r="F101" s="68">
        <f>F100/F80</f>
        <v>-0.0447875267502293</v>
      </c>
      <c r="G101" s="68">
        <f>G100/G80</f>
        <v>0.0172760362905416</v>
      </c>
      <c r="H101" s="68">
        <f>H100/H80</f>
        <v>0.008951215873489481</v>
      </c>
      <c r="I101" s="68">
        <f>I100/I80</f>
        <v>0.00421819576263062</v>
      </c>
      <c r="J101" s="68">
        <f>J100/J80</f>
        <v>-0.00464570624120131</v>
      </c>
      <c r="K101" s="36"/>
      <c r="L101" s="36"/>
      <c r="M101" s="36"/>
      <c r="N101" s="36"/>
      <c r="O101" s="36"/>
      <c r="P101" s="68"/>
      <c r="Q101" s="36"/>
      <c r="R101" s="36"/>
      <c r="S101" s="36"/>
      <c r="T101" s="36"/>
    </row>
    <row r="102" ht="21" customHeight="1">
      <c r="A102" s="122"/>
      <c r="B102" t="s" s="123">
        <v>57</v>
      </c>
      <c r="C102" s="66"/>
      <c r="D102" s="68">
        <f>(D100-C100)/(D80-C80)</f>
        <v>0</v>
      </c>
      <c r="E102" s="68">
        <f>(E100-D100)/(E80-D80)</f>
        <v>-0.493727598566308</v>
      </c>
      <c r="F102" s="68">
        <f>(F100-E100)/(F80-E80)</f>
        <v>-0.541254125412541</v>
      </c>
      <c r="G102" s="68">
        <f>(G100-F100)/(G80-F80)</f>
        <v>-0.981952420016407</v>
      </c>
      <c r="H102" s="68">
        <f>(H100-G100)/(H80-G80)</f>
        <v>-0.0810810810810811</v>
      </c>
      <c r="I102" s="68">
        <f>(I100-H100)/(I80-H80)</f>
        <v>-0.122177954847278</v>
      </c>
      <c r="J102" s="68">
        <f>(J100-I100)/(J80-I80)</f>
        <v>-0.417410714285714</v>
      </c>
      <c r="K102" s="36"/>
      <c r="L102" s="36"/>
      <c r="M102" s="36"/>
      <c r="N102" s="36"/>
      <c r="O102" s="36"/>
      <c r="P102" s="68"/>
      <c r="Q102" s="36"/>
      <c r="R102" s="36"/>
      <c r="S102" s="36"/>
      <c r="T102" s="36"/>
    </row>
    <row r="103" ht="21" customHeight="1">
      <c r="A103" s="87"/>
      <c r="B103" s="46"/>
      <c r="C103" s="28"/>
      <c r="D103" s="11"/>
      <c r="E103" s="61"/>
      <c r="F103" s="61"/>
      <c r="G103" s="61"/>
      <c r="H103" s="61"/>
      <c r="I103" s="61"/>
      <c r="J103" s="61"/>
      <c r="K103" s="118"/>
      <c r="L103" s="118"/>
      <c r="M103" s="118"/>
      <c r="N103" s="118"/>
      <c r="O103" s="118"/>
      <c r="P103" s="118"/>
      <c r="Q103" s="36"/>
      <c r="R103" s="36"/>
      <c r="S103" s="36"/>
      <c r="T103" s="36"/>
    </row>
    <row r="104" ht="21" customHeight="1">
      <c r="A104" s="87"/>
      <c r="B104" s="46"/>
      <c r="C104" s="28"/>
      <c r="D104" s="11"/>
      <c r="E104" s="61"/>
      <c r="F104" s="61"/>
      <c r="G104" s="61"/>
      <c r="H104" s="61"/>
      <c r="I104" s="61"/>
      <c r="J104" s="61"/>
      <c r="K104" s="61">
        <v>1</v>
      </c>
      <c r="L104" s="61">
        <v>2</v>
      </c>
      <c r="M104" s="61">
        <v>3</v>
      </c>
      <c r="N104" s="61">
        <v>4</v>
      </c>
      <c r="O104" s="61">
        <v>5</v>
      </c>
      <c r="P104" s="61">
        <v>6</v>
      </c>
      <c r="Q104" s="36"/>
      <c r="R104" s="36"/>
      <c r="S104" s="36"/>
      <c r="T104" s="36"/>
    </row>
    <row r="105" ht="21" customHeight="1">
      <c r="A105" t="s" s="119">
        <v>13</v>
      </c>
      <c r="B105" t="s" s="120">
        <v>5</v>
      </c>
      <c r="C105" s="31"/>
      <c r="D105" s="59">
        <v>2015</v>
      </c>
      <c r="E105" s="60">
        <v>2016</v>
      </c>
      <c r="F105" s="60">
        <v>2017</v>
      </c>
      <c r="G105" s="60">
        <v>2018</v>
      </c>
      <c r="H105" s="60">
        <v>2019</v>
      </c>
      <c r="I105" s="60">
        <v>2020</v>
      </c>
      <c r="J105" s="60">
        <v>2021</v>
      </c>
      <c r="K105" s="60">
        <v>2022</v>
      </c>
      <c r="L105" s="60">
        <v>2023</v>
      </c>
      <c r="M105" s="60">
        <v>2024</v>
      </c>
      <c r="N105" s="60">
        <v>2025</v>
      </c>
      <c r="O105" s="60">
        <v>2026</v>
      </c>
      <c r="P105" s="60">
        <v>2027</v>
      </c>
      <c r="Q105" s="36"/>
      <c r="R105" s="36"/>
      <c r="S105" s="36"/>
      <c r="T105" s="36"/>
    </row>
    <row r="106" ht="21" customHeight="1">
      <c r="A106" s="112"/>
      <c r="B106" s="113"/>
      <c r="C106" s="28"/>
      <c r="D106" s="11"/>
      <c r="E106" s="118"/>
      <c r="F106" s="118"/>
      <c r="G106" s="118"/>
      <c r="H106" s="118"/>
      <c r="I106" s="118"/>
      <c r="J106" s="118"/>
      <c r="K106" s="118"/>
      <c r="L106" s="118"/>
      <c r="M106" s="118"/>
      <c r="N106" s="118"/>
      <c r="O106" s="118"/>
      <c r="P106" s="118"/>
      <c r="Q106" s="36"/>
      <c r="R106" s="36"/>
      <c r="S106" s="36"/>
      <c r="T106" s="36"/>
    </row>
    <row r="107" ht="21" customHeight="1">
      <c r="A107" s="8"/>
      <c r="B107" t="s" s="115">
        <v>46</v>
      </c>
      <c r="C107" s="28"/>
      <c r="D107" s="109">
        <f>D75</f>
        <v>17904</v>
      </c>
      <c r="E107" s="109">
        <f>E75</f>
        <v>19020</v>
      </c>
      <c r="F107" s="109">
        <f>F75</f>
        <v>19626</v>
      </c>
      <c r="G107" s="109">
        <f>G75</f>
        <v>18407</v>
      </c>
      <c r="H107" s="109">
        <f>H75</f>
        <v>20109</v>
      </c>
      <c r="I107" s="109">
        <f>I75</f>
        <v>20862</v>
      </c>
      <c r="J107" s="109">
        <f>J75</f>
        <v>21310</v>
      </c>
      <c r="K107" s="109">
        <f>K75</f>
        <v>24185.5</v>
      </c>
      <c r="L107" s="109">
        <f>L75</f>
        <v>25370.5895</v>
      </c>
      <c r="M107" s="109">
        <f>M75</f>
        <v>26779.1335704151</v>
      </c>
      <c r="N107" s="109">
        <f>N75</f>
        <v>28440.4392533865</v>
      </c>
      <c r="O107" s="109">
        <f>O75</f>
        <v>30390.1819398622</v>
      </c>
      <c r="P107" s="109">
        <f>P75</f>
        <v>32669.4455853518</v>
      </c>
      <c r="Q107" s="36"/>
      <c r="R107" s="36"/>
      <c r="S107" s="36"/>
      <c r="T107" s="36"/>
    </row>
    <row r="108" ht="21" customHeight="1">
      <c r="A108" s="112"/>
      <c r="B108" t="s" s="65">
        <v>33</v>
      </c>
      <c r="C108" s="28"/>
      <c r="D108" s="11"/>
      <c r="E108" s="118">
        <f>E107/D107-1</f>
        <v>0.0623324396782842</v>
      </c>
      <c r="F108" s="118">
        <f>F107/E107-1</f>
        <v>0.0318611987381703</v>
      </c>
      <c r="G108" s="118">
        <f>G107/F107-1</f>
        <v>-0.0621114847651075</v>
      </c>
      <c r="H108" s="118">
        <f>H107/G107-1</f>
        <v>0.0924648231651002</v>
      </c>
      <c r="I108" s="118">
        <f>I107/H107-1</f>
        <v>0.037445919737431</v>
      </c>
      <c r="J108" s="118">
        <f>J107/I107-1</f>
        <v>0.0214744511552104</v>
      </c>
      <c r="K108" s="118">
        <f>K107/J107-1</f>
        <v>0.134936649460347</v>
      </c>
      <c r="L108" s="118">
        <f>L107/K107-1</f>
        <v>0.049</v>
      </c>
      <c r="M108" s="118">
        <f>M107/L107-1</f>
        <v>0.055518775802001</v>
      </c>
      <c r="N108" s="118">
        <f>N107/M107-1</f>
        <v>0.062037320162097</v>
      </c>
      <c r="O108" s="118">
        <f>O107/N107-1</f>
        <v>0.0685552944209024</v>
      </c>
      <c r="P108" s="118">
        <f>P107/O107-1</f>
        <v>0.0749999999999979</v>
      </c>
      <c r="Q108" s="36"/>
      <c r="R108" s="36"/>
      <c r="S108" s="36"/>
      <c r="T108" s="36"/>
    </row>
    <row r="109" ht="21" customHeight="1">
      <c r="A109" s="87"/>
      <c r="B109" s="113"/>
      <c r="C109" s="28"/>
      <c r="D109" s="11"/>
      <c r="E109" s="118"/>
      <c r="F109" s="118"/>
      <c r="G109" s="118"/>
      <c r="H109" s="118"/>
      <c r="I109" s="118"/>
      <c r="J109" s="118"/>
      <c r="K109" s="118"/>
      <c r="L109" s="118"/>
      <c r="M109" s="118"/>
      <c r="N109" s="118"/>
      <c r="O109" s="118"/>
      <c r="P109" s="118"/>
      <c r="Q109" s="36"/>
      <c r="R109" s="36"/>
      <c r="S109" s="36"/>
      <c r="T109" s="36"/>
    </row>
    <row r="110" ht="21" customHeight="1">
      <c r="A110" s="8"/>
      <c r="B110" t="s" s="115">
        <v>26</v>
      </c>
      <c r="C110" s="28"/>
      <c r="D110" s="61">
        <f>D83</f>
        <v>1502</v>
      </c>
      <c r="E110" s="61">
        <f>E83</f>
        <v>1905</v>
      </c>
      <c r="F110" s="61">
        <f>F83</f>
        <v>2034</v>
      </c>
      <c r="G110" s="111">
        <f>G83</f>
        <v>1605</v>
      </c>
      <c r="H110" s="111">
        <f>H83</f>
        <v>1899</v>
      </c>
      <c r="I110" s="61">
        <f>I83</f>
        <v>1930</v>
      </c>
      <c r="J110" s="111">
        <f>J83</f>
        <v>2389</v>
      </c>
      <c r="K110" s="61">
        <f>K107*K111</f>
        <v>2169.838570440830</v>
      </c>
      <c r="L110" s="61">
        <f>L107*L111</f>
        <v>2277.599139313950</v>
      </c>
      <c r="M110" s="61">
        <f>M107*M111</f>
        <v>2405.5669968066</v>
      </c>
      <c r="N110" s="61">
        <f>N107*N111</f>
        <v>2556.4144621075</v>
      </c>
      <c r="O110" s="61">
        <f>O107*O111</f>
        <v>2733.393291403370</v>
      </c>
      <c r="P110" s="61">
        <f>P107*P111</f>
        <v>2940.250102681660</v>
      </c>
      <c r="Q110" s="36"/>
      <c r="R110" s="36"/>
      <c r="S110" s="36"/>
      <c r="T110" s="36"/>
    </row>
    <row r="111" ht="21.5" customHeight="1">
      <c r="A111" s="80"/>
      <c r="B111" t="s" s="65">
        <v>47</v>
      </c>
      <c r="C111" s="66"/>
      <c r="D111" s="68">
        <f>D110/D107</f>
        <v>0.0838918677390527</v>
      </c>
      <c r="E111" s="68">
        <f>E110/E107</f>
        <v>0.100157728706625</v>
      </c>
      <c r="F111" s="68">
        <f>F110/F107</f>
        <v>0.103638031183124</v>
      </c>
      <c r="G111" s="68">
        <f>G110/G107</f>
        <v>0.08719508882490359</v>
      </c>
      <c r="H111" s="68">
        <f>H110/H107</f>
        <v>0.094435327465314</v>
      </c>
      <c r="I111" s="68">
        <f>I110/I107</f>
        <v>0.09251270252133061</v>
      </c>
      <c r="J111" s="68">
        <f>J110/J107</f>
        <v>0.112106992022525</v>
      </c>
      <c r="K111" s="69">
        <f>OFFSET(K111,$C$17,0)</f>
        <v>0.08971650660275091</v>
      </c>
      <c r="L111" s="69">
        <f>OFFSET(L111,$C$17,0)</f>
        <v>0.0897732052822007</v>
      </c>
      <c r="M111" s="69">
        <f>OFFSET(M111,$C$17,0)</f>
        <v>0.0898299039616505</v>
      </c>
      <c r="N111" s="69">
        <f>OFFSET(N111,$C$17,0)</f>
        <v>0.08988660264110029</v>
      </c>
      <c r="O111" s="69">
        <f>OFFSET(O111,$C$17,0)</f>
        <v>0.0899433013205502</v>
      </c>
      <c r="P111" s="69">
        <f>OFFSET(P111,$C$17,0)</f>
        <v>0.09</v>
      </c>
      <c r="Q111" s="36"/>
      <c r="R111" s="36"/>
      <c r="S111" s="36"/>
      <c r="T111" s="36"/>
    </row>
    <row r="112" ht="22" customHeight="1">
      <c r="A112" s="8"/>
      <c r="B112" t="s" s="34">
        <v>34</v>
      </c>
      <c r="C112" s="28"/>
      <c r="D112" s="11"/>
      <c r="E112" s="63"/>
      <c r="F112" s="63"/>
      <c r="G112" s="63"/>
      <c r="H112" s="63"/>
      <c r="I112" s="63"/>
      <c r="J112" s="124"/>
      <c r="K112" s="71">
        <f>K113*$E$17</f>
        <v>0.08971650660275091</v>
      </c>
      <c r="L112" s="71">
        <f>L113*$E$17</f>
        <v>0.0897732052822007</v>
      </c>
      <c r="M112" s="71">
        <f>M113*$E$17</f>
        <v>0.0898299039616505</v>
      </c>
      <c r="N112" s="71">
        <f>N113*$E$17</f>
        <v>0.08988660264110029</v>
      </c>
      <c r="O112" s="71">
        <f>O113*$E$17</f>
        <v>0.0899433013205502</v>
      </c>
      <c r="P112" s="71">
        <f>P113*$E$17</f>
        <v>0.09</v>
      </c>
      <c r="Q112" s="72"/>
      <c r="R112" s="36"/>
      <c r="S112" s="36"/>
      <c r="T112" s="36"/>
    </row>
    <row r="113" ht="22" customHeight="1">
      <c r="A113" s="13"/>
      <c r="B113" t="s" s="34">
        <v>35</v>
      </c>
      <c r="C113" s="28"/>
      <c r="D113" s="11"/>
      <c r="E113" s="63"/>
      <c r="F113" s="63"/>
      <c r="G113" s="63"/>
      <c r="H113" s="63"/>
      <c r="I113" s="63"/>
      <c r="J113" s="124"/>
      <c r="K113" s="71">
        <f>AVERAGE(J111,I111,H111)</f>
        <v>0.09968500733638989</v>
      </c>
      <c r="L113" s="73">
        <f>K113-(K113-$P$113)/($P$105-K105)</f>
        <v>0.09974800586911189</v>
      </c>
      <c r="M113" s="73">
        <f>L113-(L113-$P$113)/($P$105-L105)</f>
        <v>0.09981100440183389</v>
      </c>
      <c r="N113" s="73">
        <f>M113-(M113-$P$113)/($P$105-M105)</f>
        <v>0.09987400293455589</v>
      </c>
      <c r="O113" s="73">
        <f>N113-(N113-$P$113)/($P$105-N105)</f>
        <v>0.09993700146727801</v>
      </c>
      <c r="P113" s="71">
        <f>G17</f>
        <v>0.1</v>
      </c>
      <c r="Q113" s="72"/>
      <c r="R113" s="36"/>
      <c r="S113" s="36"/>
      <c r="T113" s="36"/>
    </row>
    <row r="114" ht="22" customHeight="1">
      <c r="A114" s="13"/>
      <c r="B114" t="s" s="34">
        <v>36</v>
      </c>
      <c r="C114" s="28"/>
      <c r="D114" s="11"/>
      <c r="E114" s="63"/>
      <c r="F114" s="63"/>
      <c r="G114" s="63"/>
      <c r="H114" s="63"/>
      <c r="I114" s="63"/>
      <c r="J114" s="124"/>
      <c r="K114" s="73">
        <f>K113*$I$17</f>
        <v>0.109653508070029</v>
      </c>
      <c r="L114" s="96">
        <f>L113*$I$17</f>
        <v>0.109722806456023</v>
      </c>
      <c r="M114" s="96">
        <f>M113*$I$17</f>
        <v>0.109792104842017</v>
      </c>
      <c r="N114" s="96">
        <f>N113*$I$17</f>
        <v>0.109861403228011</v>
      </c>
      <c r="O114" s="96">
        <f>O113*$I$17</f>
        <v>0.109930701614006</v>
      </c>
      <c r="P114" s="73">
        <f>P113*$I$17</f>
        <v>0.11</v>
      </c>
      <c r="Q114" s="72"/>
      <c r="R114" s="36"/>
      <c r="S114" s="36"/>
      <c r="T114" s="36"/>
    </row>
    <row r="115" ht="21.5" customHeight="1">
      <c r="A115" s="112"/>
      <c r="B115" s="113"/>
      <c r="C115" s="28"/>
      <c r="D115" s="11"/>
      <c r="E115" s="118"/>
      <c r="F115" s="118"/>
      <c r="G115" s="118"/>
      <c r="H115" s="118"/>
      <c r="I115" s="118"/>
      <c r="J115" s="118"/>
      <c r="K115" s="125"/>
      <c r="L115" s="125"/>
      <c r="M115" s="125"/>
      <c r="N115" s="125"/>
      <c r="O115" s="125"/>
      <c r="P115" s="125"/>
      <c r="Q115" s="36"/>
      <c r="R115" s="36"/>
      <c r="S115" s="36"/>
      <c r="T115" s="36"/>
    </row>
    <row r="116" ht="21.5" customHeight="1">
      <c r="A116" s="87"/>
      <c r="B116" t="s" s="115">
        <v>48</v>
      </c>
      <c r="C116" s="28"/>
      <c r="D116" s="111">
        <f>D86</f>
        <v>147</v>
      </c>
      <c r="E116" s="111">
        <f>E86</f>
        <v>213</v>
      </c>
      <c r="F116" s="111">
        <f>F86</f>
        <v>250</v>
      </c>
      <c r="G116" s="61">
        <f>G86</f>
        <v>191</v>
      </c>
      <c r="H116" s="111">
        <f>H86</f>
        <v>94</v>
      </c>
      <c r="I116" s="61">
        <f>I86</f>
        <v>225</v>
      </c>
      <c r="J116" s="61">
        <f>J86</f>
        <v>198</v>
      </c>
      <c r="K116" s="126">
        <f>K110*K117</f>
        <v>213.023272418290</v>
      </c>
      <c r="L116" s="126">
        <f>L110*L117</f>
        <v>225.964320776356</v>
      </c>
      <c r="M116" s="126">
        <f>M110*M117</f>
        <v>224.733044389703</v>
      </c>
      <c r="N116" s="126">
        <f>N110*N117</f>
        <v>247.808939405829</v>
      </c>
      <c r="O116" s="126">
        <f>O110*O117</f>
        <v>263.836079735673</v>
      </c>
      <c r="P116" s="126">
        <f>P110*P117</f>
        <v>281.167768801164</v>
      </c>
      <c r="Q116" s="36"/>
      <c r="R116" s="36"/>
      <c r="S116" s="36"/>
      <c r="T116" s="36"/>
    </row>
    <row r="117" ht="22" customHeight="1">
      <c r="A117" s="122"/>
      <c r="B117" t="s" s="117">
        <v>49</v>
      </c>
      <c r="C117" s="66"/>
      <c r="D117" s="68">
        <f>D116/D110</f>
        <v>0.0978695073235686</v>
      </c>
      <c r="E117" s="68">
        <f>E116/E110</f>
        <v>0.111811023622047</v>
      </c>
      <c r="F117" s="68">
        <f>F116/F110</f>
        <v>0.12291052114061</v>
      </c>
      <c r="G117" s="68">
        <f>G116/G110</f>
        <v>0.119003115264798</v>
      </c>
      <c r="H117" s="68">
        <f>H116/H110</f>
        <v>0.0494997367035282</v>
      </c>
      <c r="I117" s="68">
        <f>I116/I110</f>
        <v>0.116580310880829</v>
      </c>
      <c r="J117" s="70">
        <f>J116/J110</f>
        <v>0.0828798660527417</v>
      </c>
      <c r="K117" s="73">
        <f>AVERAGE(J117,I117,H117,G117,F117)</f>
        <v>0.09817471000850141</v>
      </c>
      <c r="L117" s="73">
        <f>AVERAGE(K117,J117,I117)</f>
        <v>0.09921162898069071</v>
      </c>
      <c r="M117" s="73">
        <f>AVERAGE(L117,K117,J117)</f>
        <v>0.0934220683473113</v>
      </c>
      <c r="N117" s="73">
        <f>AVERAGE(M117,L117,K117)</f>
        <v>0.0969361357788345</v>
      </c>
      <c r="O117" s="73">
        <f>AVERAGE(N117,M117,L117)</f>
        <v>0.0965232777022788</v>
      </c>
      <c r="P117" s="73">
        <f>AVERAGE(O117,N117,M117)</f>
        <v>0.0956271606094749</v>
      </c>
      <c r="Q117" s="72"/>
      <c r="R117" s="36"/>
      <c r="S117" s="36"/>
      <c r="T117" s="36"/>
    </row>
    <row r="118" ht="21.65" customHeight="1">
      <c r="A118" s="127"/>
      <c r="B118" s="128"/>
      <c r="C118" s="129"/>
      <c r="D118" s="130"/>
      <c r="E118" s="131"/>
      <c r="F118" s="131"/>
      <c r="G118" s="131"/>
      <c r="H118" s="131"/>
      <c r="I118" s="131"/>
      <c r="J118" s="131"/>
      <c r="K118" s="132"/>
      <c r="L118" s="132"/>
      <c r="M118" s="132"/>
      <c r="N118" s="132"/>
      <c r="O118" s="132"/>
      <c r="P118" s="132"/>
      <c r="Q118" s="36"/>
      <c r="R118" s="36"/>
      <c r="S118" s="36"/>
      <c r="T118" s="36"/>
    </row>
    <row r="119" ht="21.15" customHeight="1">
      <c r="A119" s="133"/>
      <c r="B119" t="s" s="134">
        <v>58</v>
      </c>
      <c r="C119" s="135"/>
      <c r="D119" s="136"/>
      <c r="E119" s="137"/>
      <c r="F119" s="137"/>
      <c r="G119" s="137"/>
      <c r="H119" s="137"/>
      <c r="I119" s="137"/>
      <c r="J119" s="137"/>
      <c r="K119" s="137">
        <f>K110-K116</f>
        <v>1956.815298022540</v>
      </c>
      <c r="L119" s="137">
        <f>L110-L116</f>
        <v>2051.634818537590</v>
      </c>
      <c r="M119" s="137">
        <f>M110-M116</f>
        <v>2180.8339524169</v>
      </c>
      <c r="N119" s="137">
        <f>N110-N116</f>
        <v>2308.605522701670</v>
      </c>
      <c r="O119" s="137">
        <f>O110-O116</f>
        <v>2469.5572116677</v>
      </c>
      <c r="P119" s="137">
        <f>P110-P116</f>
        <v>2659.0823338805</v>
      </c>
      <c r="Q119" s="36"/>
      <c r="R119" s="36"/>
      <c r="S119" s="36"/>
      <c r="T119" s="36"/>
    </row>
    <row r="120" ht="21" customHeight="1">
      <c r="A120" s="87"/>
      <c r="B120" s="46"/>
      <c r="C120" s="138"/>
      <c r="D120" s="139"/>
      <c r="E120" s="140"/>
      <c r="F120" s="140"/>
      <c r="G120" s="140"/>
      <c r="H120" s="140"/>
      <c r="I120" s="140"/>
      <c r="J120" s="140"/>
      <c r="K120" s="140"/>
      <c r="L120" s="140"/>
      <c r="M120" s="140"/>
      <c r="N120" s="140"/>
      <c r="O120" s="140"/>
      <c r="P120" s="140"/>
      <c r="Q120" s="36"/>
      <c r="R120" s="36"/>
      <c r="S120" s="36"/>
      <c r="T120" s="36"/>
    </row>
    <row r="121" ht="21.5" customHeight="1">
      <c r="A121" s="87"/>
      <c r="B121" t="s" s="121">
        <v>51</v>
      </c>
      <c r="C121" s="28"/>
      <c r="D121" s="111">
        <f>D91</f>
        <v>1435</v>
      </c>
      <c r="E121" s="111">
        <f>E91</f>
        <v>345</v>
      </c>
      <c r="F121" s="111">
        <f>F91</f>
        <v>728</v>
      </c>
      <c r="G121" s="111">
        <f>G91</f>
        <v>411</v>
      </c>
      <c r="H121" s="111">
        <f>H91</f>
        <v>660</v>
      </c>
      <c r="I121" s="111">
        <f>I91</f>
        <v>675</v>
      </c>
      <c r="J121" s="111">
        <f>J91</f>
        <v>720</v>
      </c>
      <c r="K121" s="141">
        <f>K75*K122</f>
        <v>797.827712378876</v>
      </c>
      <c r="L121" s="141">
        <f>L75*L122</f>
        <v>838.331265050139</v>
      </c>
      <c r="M121" s="141">
        <f>M75*M122</f>
        <v>891.015290751091</v>
      </c>
      <c r="N121" s="141">
        <f>N75*N122</f>
        <v>941.416713321316</v>
      </c>
      <c r="O121" s="141">
        <f>O75*O122</f>
        <v>1007.105468870070</v>
      </c>
      <c r="P121" s="141">
        <f>P75*P122</f>
        <v>1083.681006830730</v>
      </c>
      <c r="Q121" s="36"/>
      <c r="R121" s="36"/>
      <c r="S121" s="36"/>
      <c r="T121" s="36"/>
    </row>
    <row r="122" ht="22" customHeight="1">
      <c r="A122" s="87"/>
      <c r="B122" t="s" s="142">
        <v>47</v>
      </c>
      <c r="C122" s="28"/>
      <c r="D122" s="118">
        <f>D121/D75</f>
        <v>0.0801496872207328</v>
      </c>
      <c r="E122" s="118">
        <f>E121/E75</f>
        <v>0.0181388012618297</v>
      </c>
      <c r="F122" s="118">
        <f>F121/F75</f>
        <v>0.0370936512789157</v>
      </c>
      <c r="G122" s="118">
        <f>G121/G75</f>
        <v>0.0223284619981529</v>
      </c>
      <c r="H122" s="118">
        <f>H121/H75</f>
        <v>0.0328211248694614</v>
      </c>
      <c r="I122" s="118">
        <f>I121/I75</f>
        <v>0.0323554788610871</v>
      </c>
      <c r="J122" s="143">
        <f>J121/J75</f>
        <v>0.0337869544814641</v>
      </c>
      <c r="K122" s="73">
        <f>AVERAGE(J122,I122,H122)</f>
        <v>0.0329878527373375</v>
      </c>
      <c r="L122" s="73">
        <f>AVERAGE(K122,J122,I122)</f>
        <v>0.0330434286932962</v>
      </c>
      <c r="M122" s="73">
        <f>AVERAGE(L122,K122,J122)</f>
        <v>0.0332727453040326</v>
      </c>
      <c r="N122" s="73">
        <f>AVERAGE(M122,L122,K122)</f>
        <v>0.0331013422448888</v>
      </c>
      <c r="O122" s="73">
        <f>AVERAGE(N122,M122,L122)</f>
        <v>0.0331391720807392</v>
      </c>
      <c r="P122" s="73">
        <f>AVERAGE(O122,N122,M122)</f>
        <v>0.0331710865432202</v>
      </c>
      <c r="Q122" s="72"/>
      <c r="R122" s="36"/>
      <c r="S122" s="36"/>
      <c r="T122" s="36"/>
    </row>
    <row r="123" ht="21.5" customHeight="1">
      <c r="A123" s="87"/>
      <c r="B123" s="113"/>
      <c r="C123" s="28"/>
      <c r="D123" s="11"/>
      <c r="E123" s="118"/>
      <c r="F123" s="118"/>
      <c r="G123" s="118"/>
      <c r="H123" s="118"/>
      <c r="I123" s="118"/>
      <c r="J123" s="118"/>
      <c r="K123" s="125"/>
      <c r="L123" s="125"/>
      <c r="M123" s="125"/>
      <c r="N123" s="125"/>
      <c r="O123" s="125"/>
      <c r="P123" s="125"/>
      <c r="Q123" s="36"/>
      <c r="R123" s="36"/>
      <c r="S123" s="36"/>
      <c r="T123" s="36"/>
    </row>
    <row r="124" ht="21.5" customHeight="1">
      <c r="A124" s="87"/>
      <c r="B124" t="s" s="121">
        <v>54</v>
      </c>
      <c r="C124" s="28"/>
      <c r="D124" s="61">
        <f>D95</f>
        <v>1461</v>
      </c>
      <c r="E124" s="61">
        <f>E95</f>
        <v>408</v>
      </c>
      <c r="F124" s="111">
        <f>F95</f>
        <v>389</v>
      </c>
      <c r="G124" s="111">
        <f>G95</f>
        <v>358</v>
      </c>
      <c r="H124" s="111">
        <f>H95</f>
        <v>360</v>
      </c>
      <c r="I124" s="111">
        <f>I95</f>
        <v>385</v>
      </c>
      <c r="J124" s="111">
        <f>J95</f>
        <v>366</v>
      </c>
      <c r="K124" s="126">
        <f>K107*K125</f>
        <v>431.566653764625</v>
      </c>
      <c r="L124" s="126">
        <f>L107*L125</f>
        <v>452.219477430665</v>
      </c>
      <c r="M124" s="126">
        <f>M107*M125</f>
        <v>471.702075141184</v>
      </c>
      <c r="N124" s="126">
        <f>N107*N125</f>
        <v>505.131762020157</v>
      </c>
      <c r="O124" s="126">
        <f>O107*O125</f>
        <v>538.920574877697</v>
      </c>
      <c r="P124" s="126">
        <f>P107*P125</f>
        <v>578.3467100261209</v>
      </c>
      <c r="Q124" s="36"/>
      <c r="R124" s="36"/>
      <c r="S124" s="36"/>
      <c r="T124" s="36"/>
    </row>
    <row r="125" ht="22" customHeight="1">
      <c r="A125" s="87"/>
      <c r="B125" t="s" s="142">
        <v>47</v>
      </c>
      <c r="C125" s="28"/>
      <c r="D125" s="118">
        <f>D124/D75</f>
        <v>0.0816018766756032</v>
      </c>
      <c r="E125" s="118">
        <f>E124/E75</f>
        <v>0.0214511041009464</v>
      </c>
      <c r="F125" s="118">
        <f>F124/F75</f>
        <v>0.0198206460817283</v>
      </c>
      <c r="G125" s="118">
        <f>G124/G75</f>
        <v>0.0194491226163959</v>
      </c>
      <c r="H125" s="118">
        <f>H124/H75</f>
        <v>0.017902431746979</v>
      </c>
      <c r="I125" s="118">
        <f>I124/I75</f>
        <v>0.018454606461509</v>
      </c>
      <c r="J125" s="143">
        <f>J124/J75</f>
        <v>0.0171750351947443</v>
      </c>
      <c r="K125" s="73">
        <f>AVERAGE(J125,I125,H125)</f>
        <v>0.0178440244677441</v>
      </c>
      <c r="L125" s="73">
        <f>AVERAGE(K125,J125,I125)</f>
        <v>0.0178245553746658</v>
      </c>
      <c r="M125" s="73">
        <f>AVERAGE(L125,K125,J125)</f>
        <v>0.0176145383457181</v>
      </c>
      <c r="N125" s="73">
        <f>AVERAGE(M125,L125,K125)</f>
        <v>0.0177610393960427</v>
      </c>
      <c r="O125" s="73">
        <f>AVERAGE(N125,M125,L125)</f>
        <v>0.0177333777054755</v>
      </c>
      <c r="P125" s="73">
        <f>AVERAGE(O125,N125,M125)</f>
        <v>0.0177029851490788</v>
      </c>
      <c r="Q125" s="72"/>
      <c r="R125" s="36"/>
      <c r="S125" s="36"/>
      <c r="T125" s="36"/>
    </row>
    <row r="126" ht="21.5" customHeight="1">
      <c r="A126" s="87"/>
      <c r="B126" s="113"/>
      <c r="C126" s="28"/>
      <c r="D126" s="11"/>
      <c r="E126" s="118"/>
      <c r="F126" s="118"/>
      <c r="G126" s="118"/>
      <c r="H126" s="118"/>
      <c r="I126" s="118"/>
      <c r="J126" s="118"/>
      <c r="K126" s="125"/>
      <c r="L126" s="125"/>
      <c r="M126" s="125"/>
      <c r="N126" s="125"/>
      <c r="O126" s="125"/>
      <c r="P126" s="125"/>
      <c r="Q126" s="36"/>
      <c r="R126" s="36"/>
      <c r="S126" s="36"/>
      <c r="T126" s="36"/>
    </row>
    <row r="127" ht="21.5" customHeight="1">
      <c r="A127" s="87"/>
      <c r="B127" t="s" s="121">
        <v>56</v>
      </c>
      <c r="C127" s="28"/>
      <c r="D127" s="11"/>
      <c r="E127" s="61">
        <f>E100</f>
        <v>-551</v>
      </c>
      <c r="F127" s="61">
        <f>F100</f>
        <v>-879</v>
      </c>
      <c r="G127" s="61">
        <f>G100</f>
        <v>318</v>
      </c>
      <c r="H127" s="61">
        <f>H100</f>
        <v>180</v>
      </c>
      <c r="I127" s="61">
        <f>I100</f>
        <v>88</v>
      </c>
      <c r="J127" s="61">
        <f>J100</f>
        <v>-99</v>
      </c>
      <c r="K127" s="141">
        <f>K128*K75</f>
        <v>68.7166922762695</v>
      </c>
      <c r="L127" s="144">
        <f>L107*L128</f>
        <v>20.4125391130137</v>
      </c>
      <c r="M127" s="144">
        <f>M107*M128</f>
        <v>-8.92545152377649</v>
      </c>
      <c r="N127" s="144">
        <f>N107*N128</f>
        <v>31.4030918905904</v>
      </c>
      <c r="O127" s="144">
        <f>O107*O128</f>
        <v>15.9593692730168</v>
      </c>
      <c r="P127" s="144">
        <f>P107*P128</f>
        <v>14.1134241567176</v>
      </c>
      <c r="Q127" s="36"/>
      <c r="R127" s="36"/>
      <c r="S127" s="36"/>
      <c r="T127" s="36"/>
    </row>
    <row r="128" ht="22" customHeight="1">
      <c r="A128" s="87"/>
      <c r="B128" t="s" s="123">
        <v>47</v>
      </c>
      <c r="C128" s="28"/>
      <c r="D128" s="68"/>
      <c r="E128" s="68">
        <f>E127/E75</f>
        <v>-0.0289695057833859</v>
      </c>
      <c r="F128" s="68">
        <f>F127/F75</f>
        <v>-0.0447875267502293</v>
      </c>
      <c r="G128" s="68">
        <f>G127/G75</f>
        <v>0.0172760362905416</v>
      </c>
      <c r="H128" s="68">
        <f>H127/H75</f>
        <v>0.008951215873489481</v>
      </c>
      <c r="I128" s="68">
        <f>I127/I75</f>
        <v>0.00421819576263062</v>
      </c>
      <c r="J128" s="70">
        <f>J127/J75</f>
        <v>-0.00464570624120131</v>
      </c>
      <c r="K128" s="73">
        <f>AVERAGE(J128,I128,H128)</f>
        <v>0.0028412351316396</v>
      </c>
      <c r="L128" s="73">
        <f>AVERAGE(K128,J128,I128)</f>
        <v>0.000804574884356303</v>
      </c>
      <c r="M128" s="73">
        <f>AVERAGE(L128,K128,J128)</f>
        <v>-0.000333298741735136</v>
      </c>
      <c r="N128" s="73">
        <f>AVERAGE(M128,L128,K128)</f>
        <v>0.00110417042475359</v>
      </c>
      <c r="O128" s="73">
        <f>AVERAGE(N128,M128,L128)</f>
        <v>0.0005251488557915859</v>
      </c>
      <c r="P128" s="73">
        <f>AVERAGE(O128,N128,M128)</f>
        <v>0.000432006846270013</v>
      </c>
      <c r="Q128" s="72"/>
      <c r="R128" s="36"/>
      <c r="S128" s="36"/>
      <c r="T128" s="36"/>
    </row>
    <row r="129" ht="21.65" customHeight="1">
      <c r="A129" s="127"/>
      <c r="B129" s="128"/>
      <c r="C129" s="129"/>
      <c r="D129" s="130"/>
      <c r="E129" s="131"/>
      <c r="F129" s="131"/>
      <c r="G129" s="131"/>
      <c r="H129" s="131"/>
      <c r="I129" s="131"/>
      <c r="J129" s="131"/>
      <c r="K129" s="132"/>
      <c r="L129" s="132"/>
      <c r="M129" s="132"/>
      <c r="N129" s="132"/>
      <c r="O129" s="132"/>
      <c r="P129" s="132"/>
      <c r="Q129" s="36"/>
      <c r="R129" s="36"/>
      <c r="S129" s="36"/>
      <c r="T129" s="36"/>
    </row>
    <row r="130" ht="21.15" customHeight="1">
      <c r="A130" s="145"/>
      <c r="B130" t="s" s="134">
        <v>59</v>
      </c>
      <c r="C130" s="146"/>
      <c r="D130" s="147"/>
      <c r="E130" s="148"/>
      <c r="F130" s="148"/>
      <c r="G130" s="148"/>
      <c r="H130" s="148"/>
      <c r="I130" s="148"/>
      <c r="J130" s="148"/>
      <c r="K130" s="149">
        <f>K119+K121-K124-K127</f>
        <v>2254.359664360520</v>
      </c>
      <c r="L130" s="149">
        <f>L119+L121-L124-L127</f>
        <v>2417.334067044050</v>
      </c>
      <c r="M130" s="149">
        <f>M119+M121-M124-M127</f>
        <v>2609.072619550580</v>
      </c>
      <c r="N130" s="149">
        <f>N119+N121-N124-N127</f>
        <v>2713.487382112240</v>
      </c>
      <c r="O130" s="149">
        <f>O119+O121-O124-O127</f>
        <v>2921.782736387060</v>
      </c>
      <c r="P130" s="149">
        <f>P119+P121-P124-P127</f>
        <v>3150.303206528390</v>
      </c>
      <c r="Q130" s="36"/>
      <c r="R130" s="36"/>
      <c r="S130" s="36"/>
      <c r="T130" s="36"/>
    </row>
    <row r="131" ht="21.15" customHeight="1">
      <c r="A131" s="127"/>
      <c r="B131" t="s" s="150">
        <v>60</v>
      </c>
      <c r="C131" s="129"/>
      <c r="D131" s="130"/>
      <c r="E131" s="131"/>
      <c r="F131" s="131"/>
      <c r="G131" s="131"/>
      <c r="H131" s="131"/>
      <c r="I131" s="131"/>
      <c r="J131" s="131"/>
      <c r="K131" s="151">
        <f>K130/(1+$C$21)^K104</f>
        <v>2113.567910804780</v>
      </c>
      <c r="L131" s="151">
        <f>L130/(1+$C$21)^L104</f>
        <v>2124.822591449110</v>
      </c>
      <c r="M131" s="151">
        <f>M130/(1+$C$21)^M104</f>
        <v>2150.132239877820</v>
      </c>
      <c r="N131" s="151">
        <f>N130/(1+$C$21)^N104</f>
        <v>2096.5238716786</v>
      </c>
      <c r="O131" s="151">
        <f>O130/(1+$C$21)^O104</f>
        <v>2116.473939884120</v>
      </c>
      <c r="P131" s="151">
        <f>P130/(1+$C$21)^P104</f>
        <v>2139.490504232680</v>
      </c>
      <c r="Q131" s="36"/>
      <c r="R131" s="36"/>
      <c r="S131" s="36"/>
      <c r="T131" s="36"/>
    </row>
    <row r="132" ht="21.15" customHeight="1">
      <c r="A132" s="133"/>
      <c r="B132" s="145"/>
      <c r="C132" s="135"/>
      <c r="D132" s="136"/>
      <c r="E132" s="152"/>
      <c r="F132" s="152"/>
      <c r="G132" s="152"/>
      <c r="H132" s="152"/>
      <c r="I132" s="152"/>
      <c r="J132" s="152"/>
      <c r="K132" s="152"/>
      <c r="L132" s="152"/>
      <c r="M132" s="152"/>
      <c r="N132" s="152"/>
      <c r="O132" s="152"/>
      <c r="P132" s="152"/>
      <c r="Q132" s="36"/>
      <c r="R132" s="36"/>
      <c r="S132" s="36"/>
      <c r="T132" s="36"/>
    </row>
    <row r="133" ht="21" customHeight="1">
      <c r="A133" s="87"/>
      <c r="B133" t="s" s="121">
        <v>61</v>
      </c>
      <c r="C133" s="88"/>
      <c r="D133" s="153"/>
      <c r="E133" s="154"/>
      <c r="F133" s="154"/>
      <c r="G133" s="154"/>
      <c r="H133" s="154"/>
      <c r="I133" s="154"/>
      <c r="J133" s="154"/>
      <c r="K133" s="154"/>
      <c r="L133" s="154"/>
      <c r="M133" s="154"/>
      <c r="N133" s="154"/>
      <c r="O133" s="154"/>
      <c r="P133" s="90">
        <f>P130*(1+C22)/(C21-C22)</f>
        <v>68935.4456865805</v>
      </c>
      <c r="Q133" s="36"/>
      <c r="R133" s="36"/>
      <c r="S133" s="36"/>
      <c r="T133" s="36"/>
    </row>
    <row r="134" ht="21" customHeight="1">
      <c r="A134" s="87"/>
      <c r="B134" t="s" s="121">
        <v>62</v>
      </c>
      <c r="C134" s="88"/>
      <c r="D134" s="153"/>
      <c r="E134" s="154"/>
      <c r="F134" s="154"/>
      <c r="G134" s="154"/>
      <c r="H134" s="154"/>
      <c r="I134" s="154"/>
      <c r="J134" s="154"/>
      <c r="K134" s="154"/>
      <c r="L134" s="154"/>
      <c r="M134" s="154"/>
      <c r="N134" s="154"/>
      <c r="O134" s="154"/>
      <c r="P134" s="90">
        <f>P133/(1+C21)^P104</f>
        <v>46816.6781996885</v>
      </c>
      <c r="Q134" s="36"/>
      <c r="R134" s="36"/>
      <c r="S134" s="36"/>
      <c r="T134" s="36"/>
    </row>
    <row r="135" ht="21" customHeight="1">
      <c r="A135" s="87"/>
      <c r="B135" s="46"/>
      <c r="C135" s="88"/>
      <c r="D135" s="153"/>
      <c r="E135" s="154"/>
      <c r="F135" s="154"/>
      <c r="G135" s="154"/>
      <c r="H135" s="154"/>
      <c r="I135" s="154"/>
      <c r="J135" s="154"/>
      <c r="K135" s="154"/>
      <c r="L135" s="154"/>
      <c r="M135" s="154"/>
      <c r="N135" s="154"/>
      <c r="O135" s="154"/>
      <c r="P135" s="90"/>
      <c r="Q135" s="36"/>
      <c r="R135" s="36"/>
      <c r="S135" s="36"/>
      <c r="T135" s="36"/>
    </row>
    <row r="136" ht="22" customHeight="1">
      <c r="A136" s="155"/>
      <c r="B136" t="s" s="156">
        <v>63</v>
      </c>
      <c r="C136" s="155"/>
      <c r="D136" s="155"/>
      <c r="E136" s="155"/>
      <c r="F136" s="155"/>
      <c r="G136" s="155"/>
      <c r="H136" s="155"/>
      <c r="I136" s="155"/>
      <c r="J136" s="155"/>
      <c r="K136" s="155"/>
      <c r="L136" s="155"/>
      <c r="M136" s="155"/>
      <c r="N136" s="155"/>
      <c r="O136" s="155"/>
      <c r="P136" s="157">
        <f>SUM(P134,P131,O131,N131,M131,L131,K131)</f>
        <v>59557.6892576156</v>
      </c>
      <c r="Q136" s="79"/>
      <c r="R136" s="36"/>
      <c r="S136" s="36"/>
      <c r="T136" s="36"/>
    </row>
    <row r="137" ht="22" customHeight="1">
      <c r="A137" s="158"/>
      <c r="B137" t="s" s="159">
        <v>64</v>
      </c>
      <c r="C137" s="158"/>
      <c r="D137" s="158"/>
      <c r="E137" s="158"/>
      <c r="F137" s="158"/>
      <c r="G137" s="158"/>
      <c r="H137" s="158"/>
      <c r="I137" s="158"/>
      <c r="J137" s="158"/>
      <c r="K137" s="158"/>
      <c r="L137" s="158"/>
      <c r="M137" s="158"/>
      <c r="N137" s="158"/>
      <c r="O137" s="158"/>
      <c r="P137" s="160">
        <v>1960</v>
      </c>
      <c r="Q137" s="79"/>
      <c r="R137" s="36"/>
      <c r="S137" s="36"/>
      <c r="T137" s="36"/>
    </row>
    <row r="138" ht="22" customHeight="1">
      <c r="A138" s="158"/>
      <c r="B138" t="s" s="159">
        <v>65</v>
      </c>
      <c r="C138" s="158"/>
      <c r="D138" s="158"/>
      <c r="E138" s="158"/>
      <c r="F138" s="158"/>
      <c r="G138" s="158"/>
      <c r="H138" s="158"/>
      <c r="I138" s="158"/>
      <c r="J138" s="158"/>
      <c r="K138" s="158"/>
      <c r="L138" s="158"/>
      <c r="M138" s="158"/>
      <c r="N138" s="158"/>
      <c r="O138" s="158"/>
      <c r="P138" s="161">
        <f>'WACC - WACC'!B14</f>
        <v>6830</v>
      </c>
      <c r="Q138" s="79"/>
      <c r="R138" s="36"/>
      <c r="S138" s="36"/>
      <c r="T138" s="36"/>
    </row>
    <row r="139" ht="22" customHeight="1">
      <c r="A139" s="158"/>
      <c r="B139" t="s" s="159">
        <v>66</v>
      </c>
      <c r="C139" s="158"/>
      <c r="D139" s="158"/>
      <c r="E139" s="158"/>
      <c r="F139" s="158"/>
      <c r="G139" s="158"/>
      <c r="H139" s="158"/>
      <c r="I139" s="158"/>
      <c r="J139" s="158"/>
      <c r="K139" s="158"/>
      <c r="L139" s="158"/>
      <c r="M139" s="158"/>
      <c r="N139" s="158"/>
      <c r="O139" s="158"/>
      <c r="P139" s="160">
        <f>P136+P137-P138</f>
        <v>54687.6892576156</v>
      </c>
      <c r="Q139" s="79"/>
      <c r="R139" s="36"/>
      <c r="S139" s="36"/>
      <c r="T139" s="36"/>
    </row>
    <row r="140" ht="22" customHeight="1">
      <c r="A140" s="158"/>
      <c r="B140" t="s" s="159">
        <v>67</v>
      </c>
      <c r="C140" s="158"/>
      <c r="D140" s="158"/>
      <c r="E140" s="158"/>
      <c r="F140" s="158"/>
      <c r="G140" s="158"/>
      <c r="H140" s="158"/>
      <c r="I140" s="158"/>
      <c r="J140" s="158"/>
      <c r="K140" s="158"/>
      <c r="L140" s="158"/>
      <c r="M140" s="158"/>
      <c r="N140" s="158"/>
      <c r="O140" s="158"/>
      <c r="P140" s="161">
        <v>3110</v>
      </c>
      <c r="Q140" s="79"/>
      <c r="R140" s="36"/>
      <c r="S140" s="36"/>
      <c r="T140" s="36"/>
    </row>
    <row r="141" ht="22" customHeight="1">
      <c r="A141" s="158"/>
      <c r="B141" t="s" s="159">
        <v>68</v>
      </c>
      <c r="C141" s="158"/>
      <c r="D141" s="158"/>
      <c r="E141" s="158"/>
      <c r="F141" s="158"/>
      <c r="G141" s="158"/>
      <c r="H141" s="158"/>
      <c r="I141" s="158"/>
      <c r="J141" s="158"/>
      <c r="K141" s="158"/>
      <c r="L141" s="158"/>
      <c r="M141" s="158"/>
      <c r="N141" s="158"/>
      <c r="O141" s="158"/>
      <c r="P141" s="160">
        <f>P139/P140</f>
        <v>17.5844659992333</v>
      </c>
      <c r="Q141" s="79"/>
      <c r="R141" s="36"/>
      <c r="S141" s="36"/>
      <c r="T141" s="36"/>
    </row>
    <row r="142" ht="22" customHeight="1">
      <c r="A142" s="158"/>
      <c r="B142" s="158"/>
      <c r="C142" s="158"/>
      <c r="D142" s="158"/>
      <c r="E142" s="158"/>
      <c r="F142" s="158"/>
      <c r="G142" s="158"/>
      <c r="H142" s="158"/>
      <c r="I142" s="158"/>
      <c r="J142" s="158"/>
      <c r="K142" s="158"/>
      <c r="L142" s="158"/>
      <c r="M142" s="158"/>
      <c r="N142" s="158"/>
      <c r="O142" s="158"/>
      <c r="P142" s="158"/>
      <c r="Q142" s="79"/>
      <c r="R142" s="36"/>
      <c r="S142" s="36"/>
      <c r="T142" s="36"/>
    </row>
    <row r="143" ht="22" customHeight="1">
      <c r="A143" s="158"/>
      <c r="B143" s="158"/>
      <c r="C143" s="158"/>
      <c r="D143" s="158"/>
      <c r="E143" s="158"/>
      <c r="F143" s="158"/>
      <c r="G143" s="158"/>
      <c r="H143" s="158"/>
      <c r="I143" s="158"/>
      <c r="J143" s="158"/>
      <c r="K143" s="158"/>
      <c r="L143" s="158"/>
      <c r="M143" s="158"/>
      <c r="N143" s="158"/>
      <c r="O143" s="158"/>
      <c r="P143" s="158"/>
      <c r="Q143" s="79"/>
      <c r="R143" s="36"/>
      <c r="S143" s="36"/>
      <c r="T143" s="36"/>
    </row>
  </sheetData>
  <mergeCells count="2">
    <mergeCell ref="A1:T1"/>
    <mergeCell ref="K23:L23"/>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21"/>
  <sheetViews>
    <sheetView workbookViewId="0" showGridLines="0" defaultGridColor="1"/>
  </sheetViews>
  <sheetFormatPr defaultColWidth="16.3333" defaultRowHeight="19.9" customHeight="1" outlineLevelRow="0" outlineLevelCol="0"/>
  <cols>
    <col min="1" max="1" width="21.1875" style="162" customWidth="1"/>
    <col min="2" max="5" width="16.3516" style="162" customWidth="1"/>
    <col min="6" max="256" width="16.3516" style="162" customWidth="1"/>
  </cols>
  <sheetData>
    <row r="1" ht="28.65" customHeight="1">
      <c r="A1" t="s" s="163">
        <v>28</v>
      </c>
      <c r="B1" s="163"/>
      <c r="C1" s="163"/>
      <c r="D1" s="163"/>
      <c r="E1" s="163"/>
    </row>
    <row r="2" ht="19.7" customHeight="1">
      <c r="A2" s="36"/>
      <c r="B2" s="36"/>
      <c r="C2" s="36"/>
      <c r="D2" s="36"/>
      <c r="E2" s="36"/>
    </row>
    <row r="3" ht="22" customHeight="1">
      <c r="A3" t="s" s="164">
        <v>70</v>
      </c>
      <c r="B3" s="36"/>
      <c r="C3" s="36"/>
      <c r="D3" s="36"/>
      <c r="E3" s="36"/>
    </row>
    <row r="4" ht="22" customHeight="1">
      <c r="A4" t="s" s="164">
        <v>71</v>
      </c>
      <c r="B4" s="36"/>
      <c r="C4" s="36"/>
      <c r="D4" s="36"/>
      <c r="E4" s="36"/>
    </row>
    <row r="5" ht="19.7" customHeight="1">
      <c r="A5" s="36"/>
      <c r="B5" s="36"/>
      <c r="C5" s="36"/>
      <c r="D5" s="36"/>
      <c r="E5" s="36"/>
    </row>
    <row r="6" ht="22" customHeight="1">
      <c r="A6" t="s" s="165">
        <v>28</v>
      </c>
      <c r="B6" s="36"/>
      <c r="C6" s="36"/>
      <c r="D6" s="36"/>
      <c r="E6" s="36"/>
    </row>
    <row r="7" ht="19.7" customHeight="1">
      <c r="A7" t="s" s="166">
        <v>72</v>
      </c>
      <c r="B7" s="167">
        <v>24730</v>
      </c>
      <c r="C7" s="36"/>
      <c r="D7" s="36"/>
      <c r="E7" s="36"/>
    </row>
    <row r="8" ht="19.7" customHeight="1">
      <c r="A8" t="s" s="166">
        <v>73</v>
      </c>
      <c r="B8" s="168">
        <f>B7/B19</f>
        <v>0.783586818757921</v>
      </c>
      <c r="C8" s="36"/>
      <c r="D8" s="36"/>
      <c r="E8" s="36"/>
    </row>
    <row r="9" ht="19.7" customHeight="1">
      <c r="A9" t="s" s="166">
        <v>74</v>
      </c>
      <c r="B9" s="169">
        <f>B10+B11*B12</f>
        <v>0.0693404</v>
      </c>
      <c r="C9" s="36"/>
      <c r="D9" s="36"/>
      <c r="E9" s="36"/>
    </row>
    <row r="10" ht="19.7" customHeight="1">
      <c r="A10" t="s" s="166">
        <v>75</v>
      </c>
      <c r="B10" s="169">
        <v>0.03715</v>
      </c>
      <c r="C10" s="36"/>
      <c r="D10" s="36"/>
      <c r="E10" s="36"/>
    </row>
    <row r="11" ht="19.7" customHeight="1">
      <c r="A11" t="s" s="166">
        <v>76</v>
      </c>
      <c r="B11" s="170">
        <v>0.6820000000000001</v>
      </c>
      <c r="C11" s="36"/>
      <c r="D11" s="36"/>
      <c r="E11" s="36"/>
    </row>
    <row r="12" ht="19.7" customHeight="1">
      <c r="A12" t="s" s="171">
        <v>77</v>
      </c>
      <c r="B12" s="169">
        <v>0.0472</v>
      </c>
      <c r="C12" s="36"/>
      <c r="D12" s="36"/>
      <c r="E12" s="36"/>
    </row>
    <row r="13" ht="19.7" customHeight="1">
      <c r="A13" s="172"/>
      <c r="B13" s="36"/>
      <c r="C13" s="36"/>
      <c r="D13" s="36"/>
      <c r="E13" s="36"/>
    </row>
    <row r="14" ht="19.7" customHeight="1">
      <c r="A14" t="s" s="166">
        <v>78</v>
      </c>
      <c r="B14" s="167">
        <v>6830</v>
      </c>
      <c r="C14" s="36"/>
      <c r="D14" s="36"/>
      <c r="E14" s="36"/>
    </row>
    <row r="15" ht="19.7" customHeight="1">
      <c r="A15" t="s" s="166">
        <v>79</v>
      </c>
      <c r="B15" s="173">
        <f>B14/B7</f>
        <v>0.276182773958755</v>
      </c>
      <c r="C15" s="36"/>
      <c r="D15" s="36"/>
      <c r="E15" s="36"/>
    </row>
    <row r="16" ht="19.7" customHeight="1">
      <c r="A16" t="s" s="166">
        <v>80</v>
      </c>
      <c r="B16" s="174">
        <v>0.0494</v>
      </c>
      <c r="C16" s="36"/>
      <c r="D16" s="36"/>
      <c r="E16" s="36"/>
    </row>
    <row r="17" ht="19.7" customHeight="1">
      <c r="A17" t="s" s="166">
        <v>81</v>
      </c>
      <c r="B17" s="175">
        <v>0.1</v>
      </c>
      <c r="C17" s="36"/>
      <c r="D17" s="36"/>
      <c r="E17" s="36"/>
    </row>
    <row r="18" ht="19.7" customHeight="1">
      <c r="A18" s="172"/>
      <c r="B18" s="167"/>
      <c r="C18" s="36"/>
      <c r="D18" s="36"/>
      <c r="E18" s="36"/>
    </row>
    <row r="19" ht="19.7" customHeight="1">
      <c r="A19" t="s" s="166">
        <v>82</v>
      </c>
      <c r="B19" s="167">
        <f>B7+B14</f>
        <v>31560</v>
      </c>
      <c r="C19" s="36"/>
      <c r="D19" s="36"/>
      <c r="E19" s="36"/>
    </row>
    <row r="20" ht="19.7" customHeight="1">
      <c r="A20" s="172"/>
      <c r="B20" s="36"/>
      <c r="C20" s="36"/>
      <c r="D20" s="36"/>
      <c r="E20" s="36"/>
    </row>
    <row r="21" ht="19.7" customHeight="1">
      <c r="A21" t="s" s="166">
        <v>28</v>
      </c>
      <c r="B21" s="169">
        <f>(B8*B9)+(B15*B16*(1-B17))</f>
        <v>0.066613309577608</v>
      </c>
      <c r="C21" s="36"/>
      <c r="D21" s="36"/>
      <c r="E21" s="36"/>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