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Model - SPOT DCF" sheetId="2" r:id="rId5"/>
    <sheet name="WACC - SPOT" sheetId="3" r:id="rId6"/>
  </sheets>
</workbook>
</file>

<file path=xl/sharedStrings.xml><?xml version="1.0" encoding="utf-8"?>
<sst xmlns="http://schemas.openxmlformats.org/spreadsheetml/2006/main" uniqueCount="82">
  <si>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</si>
  <si>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</si>
  <si>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</si>
  <si>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</si>
  <si>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Model</t>
  </si>
  <si>
    <t>SPOT DCF</t>
  </si>
  <si>
    <t>Model - SPOT DCF</t>
  </si>
  <si>
    <t>Ticker</t>
  </si>
  <si>
    <t>SPOT</t>
  </si>
  <si>
    <t>Implied Share Price</t>
  </si>
  <si>
    <t>Date</t>
  </si>
  <si>
    <t xml:space="preserve">Current Share Price </t>
  </si>
  <si>
    <t>Upside (Downside)</t>
  </si>
  <si>
    <t>X</t>
  </si>
  <si>
    <t xml:space="preserve">Assumptions </t>
  </si>
  <si>
    <t>Switches</t>
  </si>
  <si>
    <t>Conservative</t>
  </si>
  <si>
    <t>Street/ Base</t>
  </si>
  <si>
    <t>Optimistic</t>
  </si>
  <si>
    <t xml:space="preserve">Premium Subscribers </t>
  </si>
  <si>
    <t xml:space="preserve">Ad-Supported MAUs </t>
  </si>
  <si>
    <t xml:space="preserve">Premium Revenue </t>
  </si>
  <si>
    <t>Ad-Supported Revenue</t>
  </si>
  <si>
    <t>EBIT</t>
  </si>
  <si>
    <t>Step</t>
  </si>
  <si>
    <t>WACC</t>
  </si>
  <si>
    <t>TGV</t>
  </si>
  <si>
    <t>Yahoo Street Estimates</t>
  </si>
  <si>
    <t>Revenue Build</t>
  </si>
  <si>
    <r>
      <rPr>
        <b val="1"/>
        <sz val="11"/>
        <color indexed="8"/>
        <rFont val="Calibri"/>
      </rPr>
      <t xml:space="preserve">Premium Subscribers </t>
    </r>
  </si>
  <si>
    <t xml:space="preserve">% growth </t>
  </si>
  <si>
    <t xml:space="preserve">   Conservative</t>
  </si>
  <si>
    <t xml:space="preserve">   Street/Base Case</t>
  </si>
  <si>
    <t xml:space="preserve">   Optimistic</t>
  </si>
  <si>
    <r>
      <rPr>
        <b val="1"/>
        <sz val="11"/>
        <color indexed="8"/>
        <rFont val="Calibri"/>
      </rPr>
      <t xml:space="preserve">Ad-Supported MAUs </t>
    </r>
  </si>
  <si>
    <t>Total MAUs</t>
  </si>
  <si>
    <r>
      <rPr>
        <b val="1"/>
        <sz val="11"/>
        <color indexed="8"/>
        <rFont val="Calibri"/>
      </rPr>
      <t xml:space="preserve">Premium Revenue </t>
    </r>
  </si>
  <si>
    <t>% of Revenue</t>
  </si>
  <si>
    <r>
      <rPr>
        <b val="1"/>
        <sz val="11"/>
        <color indexed="8"/>
        <rFont val="Calibri"/>
      </rPr>
      <t>Ad-Supported Revenue</t>
    </r>
  </si>
  <si>
    <t>Premium ARPU</t>
  </si>
  <si>
    <t>Ad-Supported ARPU</t>
  </si>
  <si>
    <t>Total ARPU</t>
  </si>
  <si>
    <t>Total Revenues</t>
  </si>
  <si>
    <t>Income Statement</t>
  </si>
  <si>
    <t>Revenue</t>
  </si>
  <si>
    <t xml:space="preserve">% of sales </t>
  </si>
  <si>
    <t>Taxes</t>
  </si>
  <si>
    <t>% of EBIT</t>
  </si>
  <si>
    <t>Cash Flow Items</t>
  </si>
  <si>
    <t>D&amp;A</t>
  </si>
  <si>
    <t>% of sales</t>
  </si>
  <si>
    <t>% of CapEx</t>
  </si>
  <si>
    <t>Capital Expenditures</t>
  </si>
  <si>
    <t xml:space="preserve">Net Working Capital </t>
  </si>
  <si>
    <t xml:space="preserve">Change in Net Working Capital </t>
  </si>
  <si>
    <t>% change in sales</t>
  </si>
  <si>
    <t>DCF</t>
  </si>
  <si>
    <t>EBIAT</t>
  </si>
  <si>
    <t>Unlevered Free Cash Flow</t>
  </si>
  <si>
    <t>Present Value of Free Cash Flow</t>
  </si>
  <si>
    <t xml:space="preserve">Terminal Value </t>
  </si>
  <si>
    <t xml:space="preserve">Present Value of Terminal Value </t>
  </si>
  <si>
    <t>Enterprise Value</t>
  </si>
  <si>
    <t xml:space="preserve">(+) Cash </t>
  </si>
  <si>
    <t>(-) Debt</t>
  </si>
  <si>
    <t>Equity Value</t>
  </si>
  <si>
    <t xml:space="preserve">Shares </t>
  </si>
  <si>
    <t xml:space="preserve">Implied Share Price </t>
  </si>
  <si>
    <t>WACC - SPOT</t>
  </si>
  <si>
    <t>WACC = % of equity x cost of equity + % of debt x cost of debt x (1-Tax Rate)</t>
  </si>
  <si>
    <t xml:space="preserve">Cost of equity = Risk free rate + Beta x Market Risk Premium </t>
  </si>
  <si>
    <t xml:space="preserve">Market Cap </t>
  </si>
  <si>
    <t>% of equity</t>
  </si>
  <si>
    <t>Cost of Equity</t>
  </si>
  <si>
    <t>Risk Free Rate</t>
  </si>
  <si>
    <t>Beta</t>
  </si>
  <si>
    <t xml:space="preserve">Market Risk Premium </t>
  </si>
  <si>
    <t>Debt</t>
  </si>
  <si>
    <t>% of Debt</t>
  </si>
  <si>
    <t>Cost of Debt</t>
  </si>
  <si>
    <t>Tax Rate</t>
  </si>
  <si>
    <t xml:space="preserve">Total </t>
  </si>
</sst>
</file>

<file path=xl/styles.xml><?xml version="1.0" encoding="utf-8"?>
<styleSheet xmlns="http://schemas.openxmlformats.org/spreadsheetml/2006/main">
  <numFmts count="9">
    <numFmt numFmtId="0" formatCode="General"/>
    <numFmt numFmtId="59" formatCode="[$$-409]0.00"/>
    <numFmt numFmtId="60" formatCode="dd/mm/yyyy"/>
    <numFmt numFmtId="61" formatCode="0%_);\(0%\)"/>
    <numFmt numFmtId="62" formatCode="0.0%_);\(0.0%\)"/>
    <numFmt numFmtId="63" formatCode="0.0%"/>
    <numFmt numFmtId="64" formatCode="#,##0%_);\(#,##0%\)"/>
    <numFmt numFmtId="65" formatCode="#,##0.00%_);\(#,##0.00%\)"/>
    <numFmt numFmtId="66"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b val="1"/>
      <sz val="14"/>
      <color indexed="8"/>
      <name val="Calibri"/>
    </font>
    <font>
      <sz val="11"/>
      <color indexed="8"/>
      <name val="Calibri"/>
    </font>
    <font>
      <b val="1"/>
      <sz val="11"/>
      <color indexed="8"/>
      <name val="Calibri"/>
    </font>
    <font>
      <sz val="12"/>
      <color indexed="8"/>
      <name val="Calibri"/>
    </font>
    <font>
      <b val="1"/>
      <sz val="11"/>
      <color indexed="15"/>
      <name val="Calibri"/>
    </font>
    <font>
      <i val="1"/>
      <sz val="12"/>
      <color indexed="8"/>
      <name val="Calibri"/>
    </font>
    <font>
      <sz val="11"/>
      <color indexed="17"/>
      <name val="Calibri"/>
    </font>
    <font>
      <i val="1"/>
      <sz val="11"/>
      <color indexed="8"/>
      <name val="Calibri"/>
    </font>
    <font>
      <b val="1"/>
      <i val="1"/>
      <sz val="11"/>
      <color indexed="8"/>
      <name val="Calibri"/>
    </font>
    <font>
      <i val="1"/>
      <sz val="11"/>
      <color indexed="17"/>
      <name val="Calibri"/>
    </font>
    <font>
      <sz val="11"/>
      <color indexed="18"/>
      <name val="Calibri"/>
    </font>
    <font>
      <b val="1"/>
      <sz val="12"/>
      <color indexed="8"/>
      <name val="Calibri"/>
    </font>
    <font>
      <b val="1"/>
      <sz val="12"/>
      <color indexed="8"/>
      <name val="Helvetica Neue"/>
    </font>
    <font>
      <b val="1"/>
      <sz val="12"/>
      <color indexed="15"/>
      <name val="Calibri"/>
    </font>
    <font>
      <b val="1"/>
      <sz val="10"/>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61">
    <border>
      <left/>
      <right/>
      <top/>
      <bottom/>
      <diagonal/>
    </border>
    <border>
      <left>
        <color indexed="8"/>
      </left>
      <right>
        <color indexed="8"/>
      </right>
      <top>
        <color indexed="8"/>
      </top>
      <bottom/>
      <diagonal/>
    </border>
    <border>
      <left>
        <color indexed="8"/>
      </left>
      <right/>
      <top/>
      <bottom style="dotted">
        <color indexed="12"/>
      </bottom>
      <diagonal/>
    </border>
    <border>
      <left/>
      <right/>
      <top/>
      <bottom/>
      <diagonal/>
    </border>
    <border>
      <left/>
      <right/>
      <top/>
      <bottom style="hair">
        <color indexed="12"/>
      </bottom>
      <diagonal/>
    </border>
    <border>
      <left>
        <color indexed="8"/>
      </left>
      <right>
        <color indexed="8"/>
      </right>
      <top/>
      <bottom/>
      <diagonal/>
    </border>
    <border>
      <left>
        <color indexed="8"/>
      </left>
      <right style="dotted">
        <color indexed="12"/>
      </right>
      <top/>
      <bottom/>
      <diagonal/>
    </border>
    <border>
      <left style="dotted">
        <color indexed="12"/>
      </left>
      <right style="dotted">
        <color indexed="12"/>
      </right>
      <top style="dotted">
        <color indexed="12"/>
      </top>
      <bottom style="hair">
        <color indexed="12"/>
      </bottom>
      <diagonal/>
    </border>
    <border>
      <left style="dotted">
        <color indexed="12"/>
      </left>
      <right/>
      <top/>
      <bottom/>
      <diagonal/>
    </border>
    <border>
      <left/>
      <right style="hair">
        <color indexed="12"/>
      </right>
      <top/>
      <bottom/>
      <diagonal/>
    </border>
    <border>
      <left style="hair">
        <color indexed="12"/>
      </left>
      <right style="hair">
        <color indexed="12"/>
      </right>
      <top style="hair">
        <color indexed="12"/>
      </top>
      <bottom style="hair">
        <color indexed="12"/>
      </bottom>
      <diagonal/>
    </border>
    <border>
      <left style="hair">
        <color indexed="12"/>
      </left>
      <right/>
      <top/>
      <bottom/>
      <diagonal/>
    </border>
    <border>
      <left style="dotted">
        <color indexed="12"/>
      </left>
      <right style="dotted">
        <color indexed="12"/>
      </right>
      <top style="hair">
        <color indexed="12"/>
      </top>
      <bottom style="dotted">
        <color indexed="12"/>
      </bottom>
      <diagonal/>
    </border>
    <border>
      <left>
        <color indexed="8"/>
      </left>
      <right/>
      <top style="dotted">
        <color indexed="12"/>
      </top>
      <bottom/>
      <diagonal/>
    </border>
    <border>
      <left/>
      <right/>
      <top style="hair">
        <color indexed="12"/>
      </top>
      <bottom/>
      <diagonal/>
    </border>
    <border>
      <left>
        <color indexed="8"/>
      </left>
      <right/>
      <top/>
      <bottom/>
      <diagonal/>
    </border>
    <border>
      <left/>
      <right/>
      <top/>
      <bottom style="dotted">
        <color indexed="12"/>
      </bottom>
      <diagonal/>
    </border>
    <border>
      <left style="dotted">
        <color indexed="12"/>
      </left>
      <right style="dotted">
        <color indexed="12"/>
      </right>
      <top style="dotted">
        <color indexed="12"/>
      </top>
      <bottom style="dotted">
        <color indexed="12"/>
      </bottom>
      <diagonal/>
    </border>
    <border>
      <left style="dotted">
        <color indexed="12"/>
      </left>
      <right style="dotted">
        <color indexed="12"/>
      </right>
      <top/>
      <bottom/>
      <diagonal/>
    </border>
    <border>
      <left>
        <color indexed="8"/>
      </left>
      <right style="dotted">
        <color indexed="12"/>
      </right>
      <top/>
      <bottom>
        <color indexed="8"/>
      </bottom>
      <diagonal/>
    </border>
    <border>
      <left>
        <color indexed="8"/>
      </left>
      <right>
        <color indexed="8"/>
      </right>
      <top>
        <color indexed="8"/>
      </top>
      <bottom>
        <color indexed="8"/>
      </bottom>
      <diagonal/>
    </border>
    <border>
      <left>
        <color indexed="8"/>
      </left>
      <right/>
      <top style="hair">
        <color indexed="12"/>
      </top>
      <bottom style="dotted">
        <color indexed="12"/>
      </bottom>
      <diagonal/>
    </border>
    <border>
      <left/>
      <right/>
      <top style="hair">
        <color indexed="12"/>
      </top>
      <bottom style="dotted">
        <color indexed="12"/>
      </bottom>
      <diagonal/>
    </border>
    <border>
      <left>
        <color indexed="8"/>
      </left>
      <right style="dotted">
        <color indexed="12"/>
      </right>
      <top>
        <color indexed="8"/>
      </top>
      <bottom>
        <color indexed="8"/>
      </bottom>
      <diagonal/>
    </border>
    <border>
      <left style="dotted">
        <color indexed="12"/>
      </left>
      <right style="dotted">
        <color indexed="12"/>
      </right>
      <top style="hair">
        <color indexed="12"/>
      </top>
      <bottom style="hair">
        <color indexed="12"/>
      </bottom>
      <diagonal/>
    </border>
    <border>
      <left/>
      <right/>
      <top style="dotted">
        <color indexed="12"/>
      </top>
      <bottom/>
      <diagonal/>
    </border>
    <border>
      <left>
        <color indexed="8"/>
      </left>
      <right/>
      <top style="hair">
        <color indexed="12"/>
      </top>
      <bottom/>
      <diagonal/>
    </border>
    <border>
      <left/>
      <right style="dotted">
        <color indexed="12"/>
      </right>
      <top/>
      <bottom/>
      <diagonal/>
    </border>
    <border>
      <left>
        <color indexed="8"/>
      </left>
      <right>
        <color indexed="8"/>
      </right>
      <top/>
      <bottom>
        <color indexed="8"/>
      </bottom>
      <diagonal/>
    </border>
    <border>
      <left>
        <color indexed="8"/>
      </left>
      <right/>
      <top/>
      <bottom>
        <color indexed="8"/>
      </bottom>
      <diagonal/>
    </border>
    <border>
      <left/>
      <right/>
      <top/>
      <bottom>
        <color indexed="8"/>
      </bottom>
      <diagonal/>
    </border>
    <border>
      <left/>
      <right/>
      <top style="dotted">
        <color indexed="12"/>
      </top>
      <bottom>
        <color indexed="8"/>
      </bottom>
      <diagonal/>
    </border>
    <border>
      <left>
        <color indexed="8"/>
      </left>
      <right/>
      <top>
        <color indexed="8"/>
      </top>
      <bottom>
        <color indexed="8"/>
      </bottom>
      <diagonal/>
    </border>
    <border>
      <left/>
      <right/>
      <top>
        <color indexed="8"/>
      </top>
      <bottom>
        <color indexed="8"/>
      </bottom>
      <diagonal/>
    </border>
    <border>
      <left>
        <color indexed="8"/>
      </left>
      <right/>
      <top>
        <color indexed="8"/>
      </top>
      <bottom/>
      <diagonal/>
    </border>
    <border>
      <left/>
      <right/>
      <top>
        <color indexed="8"/>
      </top>
      <bottom/>
      <diagonal/>
    </border>
    <border>
      <left/>
      <right/>
      <top>
        <color indexed="8"/>
      </top>
      <bottom style="dotted">
        <color indexed="12"/>
      </bottom>
      <diagonal/>
    </border>
    <border>
      <left>
        <color indexed="8"/>
      </left>
      <right>
        <color indexed="8"/>
      </right>
      <top/>
      <bottom style="hair">
        <color indexed="12"/>
      </bottom>
      <diagonal/>
    </border>
    <border>
      <left>
        <color indexed="8"/>
      </left>
      <right/>
      <top/>
      <bottom style="hair">
        <color indexed="12"/>
      </bottom>
      <diagonal/>
    </border>
    <border>
      <left/>
      <right/>
      <top style="hair">
        <color indexed="12"/>
      </top>
      <bottom style="hair">
        <color indexed="12"/>
      </bottom>
      <diagonal/>
    </border>
    <border>
      <left>
        <color indexed="8"/>
      </left>
      <right>
        <color indexed="8"/>
      </right>
      <top style="hair">
        <color indexed="12"/>
      </top>
      <bottom style="hair">
        <color indexed="12"/>
      </bottom>
      <diagonal/>
    </border>
    <border>
      <left>
        <color indexed="8"/>
      </left>
      <right/>
      <top style="hair">
        <color indexed="12"/>
      </top>
      <bottom style="hair">
        <color indexed="12"/>
      </bottom>
      <diagonal/>
    </border>
    <border>
      <left>
        <color indexed="8"/>
      </left>
      <right>
        <color indexed="8"/>
      </right>
      <top style="hair">
        <color indexed="12"/>
      </top>
      <bottom/>
      <diagonal/>
    </border>
    <border>
      <left/>
      <right/>
      <top style="hair">
        <color indexed="12"/>
      </top>
      <bottom>
        <color indexed="8"/>
      </bottom>
      <diagonal/>
    </border>
    <border>
      <left>
        <color indexed="8"/>
      </left>
      <right>
        <color indexed="8"/>
      </right>
      <top/>
      <bottom style="thin">
        <color indexed="12"/>
      </bottom>
      <diagonal/>
    </border>
    <border>
      <left>
        <color indexed="8"/>
      </left>
      <right/>
      <top/>
      <bottom style="thin">
        <color indexed="12"/>
      </bottom>
      <diagonal/>
    </border>
    <border>
      <left/>
      <right/>
      <top/>
      <bottom style="thin">
        <color indexed="12"/>
      </bottom>
      <diagonal/>
    </border>
    <border>
      <left>
        <color indexed="8"/>
      </left>
      <right>
        <color indexed="8"/>
      </right>
      <top style="thin">
        <color indexed="12"/>
      </top>
      <bottom/>
      <diagonal/>
    </border>
    <border>
      <left>
        <color indexed="8"/>
      </left>
      <right/>
      <top style="thin">
        <color indexed="12"/>
      </top>
      <bottom/>
      <diagonal/>
    </border>
    <border>
      <left/>
      <right/>
      <top style="thin">
        <color indexed="12"/>
      </top>
      <bottom/>
      <diagonal/>
    </border>
    <border>
      <left>
        <color indexed="8"/>
      </left>
      <right>
        <color indexed="8"/>
      </right>
      <top>
        <color indexed="8"/>
      </top>
      <bottom style="thin">
        <color indexed="19"/>
      </bottom>
      <diagonal/>
    </border>
    <border>
      <left>
        <color indexed="8"/>
      </left>
      <right/>
      <top/>
      <bottom style="thin">
        <color indexed="19"/>
      </bottom>
      <diagonal/>
    </border>
    <border>
      <left/>
      <right/>
      <top/>
      <bottom style="thin">
        <color indexed="19"/>
      </bottom>
      <diagonal/>
    </border>
    <border>
      <left>
        <color indexed="8"/>
      </left>
      <right>
        <color indexed="8"/>
      </right>
      <top style="thin">
        <color indexed="19"/>
      </top>
      <bottom>
        <color indexed="8"/>
      </bottom>
      <diagonal/>
    </border>
    <border>
      <left>
        <color indexed="8"/>
      </left>
      <right/>
      <top style="thin">
        <color indexed="19"/>
      </top>
      <bottom>
        <color indexed="8"/>
      </bottom>
      <diagonal/>
    </border>
    <border>
      <left/>
      <right/>
      <top style="thin">
        <color indexed="19"/>
      </top>
      <bottom>
        <color indexed="8"/>
      </bottom>
      <diagonal/>
    </border>
    <border>
      <left/>
      <right>
        <color indexed="8"/>
      </right>
      <top style="thin">
        <color indexed="19"/>
      </top>
      <bottom>
        <color indexed="8"/>
      </bottom>
      <diagonal/>
    </border>
    <border>
      <left/>
      <right/>
      <top style="hair">
        <color indexed="12"/>
      </top>
      <bottom style="thin">
        <color indexed="19"/>
      </bottom>
      <diagonal/>
    </border>
    <border>
      <left>
        <color indexed="8"/>
      </left>
      <right/>
      <top style="thin">
        <color indexed="19"/>
      </top>
      <bottom/>
      <diagonal/>
    </border>
    <border>
      <left/>
      <right/>
      <top style="thin">
        <color indexed="19"/>
      </top>
      <bottom/>
      <diagonal/>
    </border>
    <border>
      <left/>
      <right>
        <color indexed="8"/>
      </right>
      <top>
        <color indexed="8"/>
      </top>
      <bottom>
        <color indexed="8"/>
      </bottom>
      <diagonal/>
    </border>
  </borders>
  <cellStyleXfs count="1">
    <xf numFmtId="0" fontId="0" applyNumberFormat="0" applyFont="1" applyFill="0" applyBorder="0" applyAlignment="1" applyProtection="0">
      <alignment vertical="top" wrapText="1"/>
    </xf>
  </cellStyleXfs>
  <cellXfs count="18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4" applyNumberFormat="0" applyFont="1" applyFill="0" applyBorder="0" applyAlignment="1" applyProtection="0">
      <alignment horizontal="left" vertical="center"/>
    </xf>
    <xf numFmtId="0" fontId="5" borderId="1" applyNumberFormat="0" applyFont="1" applyFill="0" applyBorder="1" applyAlignment="1" applyProtection="0">
      <alignment vertical="top"/>
    </xf>
    <xf numFmtId="0" fontId="6" borderId="1" applyNumberFormat="0" applyFont="1" applyFill="0" applyBorder="1" applyAlignment="1" applyProtection="0">
      <alignment vertical="top"/>
    </xf>
    <xf numFmtId="0" fontId="5" borderId="2" applyNumberFormat="0" applyFont="1" applyFill="0" applyBorder="1" applyAlignment="1" applyProtection="0">
      <alignment vertical="top"/>
    </xf>
    <xf numFmtId="0" fontId="5" borderId="3" applyNumberFormat="0" applyFont="1" applyFill="0" applyBorder="1" applyAlignment="1" applyProtection="0">
      <alignment vertical="top"/>
    </xf>
    <xf numFmtId="0" fontId="5" borderId="4" applyNumberFormat="0" applyFont="1" applyFill="0" applyBorder="1" applyAlignment="1" applyProtection="0">
      <alignment vertical="top"/>
    </xf>
    <xf numFmtId="0" fontId="5" borderId="5" applyNumberFormat="0" applyFont="1" applyFill="0" applyBorder="1" applyAlignment="1" applyProtection="0">
      <alignment vertical="top"/>
    </xf>
    <xf numFmtId="49" fontId="6" borderId="6" applyNumberFormat="1" applyFont="1" applyFill="0" applyBorder="1" applyAlignment="1" applyProtection="0">
      <alignment vertical="top"/>
    </xf>
    <xf numFmtId="49" fontId="5" fillId="4" borderId="7" applyNumberFormat="1" applyFont="1" applyFill="1" applyBorder="1" applyAlignment="1" applyProtection="0">
      <alignment vertical="top"/>
    </xf>
    <xf numFmtId="0" fontId="5" borderId="8" applyNumberFormat="0" applyFont="1" applyFill="0" applyBorder="1" applyAlignment="1" applyProtection="0">
      <alignment vertical="top"/>
    </xf>
    <xf numFmtId="49" fontId="7" borderId="9" applyNumberFormat="1" applyFont="1" applyFill="0" applyBorder="1" applyAlignment="1" applyProtection="0">
      <alignment vertical="top"/>
    </xf>
    <xf numFmtId="59" fontId="7" fillId="5" borderId="10" applyNumberFormat="1" applyFont="1" applyFill="1" applyBorder="1" applyAlignment="1" applyProtection="0">
      <alignment horizontal="right" vertical="top" wrapText="1"/>
    </xf>
    <xf numFmtId="0" fontId="7" borderId="11" applyNumberFormat="0" applyFont="1" applyFill="0" applyBorder="1" applyAlignment="1" applyProtection="0">
      <alignment vertical="top" wrapText="1"/>
    </xf>
    <xf numFmtId="0" fontId="7" borderId="3" applyNumberFormat="0" applyFont="1" applyFill="0" applyBorder="1" applyAlignment="1" applyProtection="0">
      <alignment vertical="top" wrapText="1"/>
    </xf>
    <xf numFmtId="0" fontId="7" borderId="4" applyNumberFormat="0" applyFont="1" applyFill="0" applyBorder="1" applyAlignment="1" applyProtection="0">
      <alignment vertical="top" wrapText="1"/>
    </xf>
    <xf numFmtId="60" fontId="5" fillId="5" borderId="12" applyNumberFormat="1" applyFont="1" applyFill="1" applyBorder="1" applyAlignment="1" applyProtection="0">
      <alignment horizontal="left" vertical="top"/>
    </xf>
    <xf numFmtId="61" fontId="7" fillId="5" borderId="10" applyNumberFormat="1" applyFont="1" applyFill="1" applyBorder="1" applyAlignment="1" applyProtection="0">
      <alignment horizontal="right" vertical="top" wrapText="1"/>
    </xf>
    <xf numFmtId="0" fontId="5" borderId="11" applyNumberFormat="0" applyFont="1" applyFill="0" applyBorder="1" applyAlignment="1" applyProtection="0">
      <alignment vertical="top"/>
    </xf>
    <xf numFmtId="0" fontId="6" borderId="5" applyNumberFormat="0" applyFont="1" applyFill="0" applyBorder="1" applyAlignment="1" applyProtection="0">
      <alignment vertical="top"/>
    </xf>
    <xf numFmtId="0" fontId="5" borderId="13" applyNumberFormat="0" applyFont="1" applyFill="0" applyBorder="1" applyAlignment="1" applyProtection="0">
      <alignment vertical="top"/>
    </xf>
    <xf numFmtId="0" fontId="5" borderId="14" applyNumberFormat="0" applyFont="1" applyFill="0" applyBorder="1" applyAlignment="1" applyProtection="0">
      <alignment vertical="top"/>
    </xf>
    <xf numFmtId="0" fontId="5" borderId="15" applyNumberFormat="0" applyFont="1" applyFill="0" applyBorder="1" applyAlignment="1" applyProtection="0">
      <alignment vertical="top"/>
    </xf>
    <xf numFmtId="49" fontId="5" borderId="5" applyNumberFormat="1" applyFont="1" applyFill="0" applyBorder="1" applyAlignment="1" applyProtection="0">
      <alignment vertical="top"/>
    </xf>
    <xf numFmtId="49" fontId="8" fillId="6" borderId="5" applyNumberFormat="1" applyFont="1" applyFill="1" applyBorder="1" applyAlignment="1" applyProtection="0">
      <alignment vertical="top"/>
    </xf>
    <xf numFmtId="0" fontId="8" fillId="6" borderId="5" applyNumberFormat="0" applyFont="1" applyFill="1" applyBorder="1" applyAlignment="1" applyProtection="0">
      <alignment vertical="top"/>
    </xf>
    <xf numFmtId="0" fontId="8" fillId="6" borderId="15" applyNumberFormat="0" applyFont="1" applyFill="1" applyBorder="1" applyAlignment="1" applyProtection="0">
      <alignment vertical="top"/>
    </xf>
    <xf numFmtId="0" fontId="8" fillId="6" borderId="3" applyNumberFormat="0" applyFont="1" applyFill="1" applyBorder="1" applyAlignment="1" applyProtection="0">
      <alignment vertical="top"/>
    </xf>
    <xf numFmtId="49" fontId="6" borderId="5" applyNumberFormat="1" applyFont="1" applyFill="0" applyBorder="1" applyAlignment="1" applyProtection="0">
      <alignment vertical="top"/>
    </xf>
    <xf numFmtId="49" fontId="6" borderId="16" applyNumberFormat="1" applyFont="1" applyFill="0" applyBorder="1" applyAlignment="1" applyProtection="0">
      <alignment vertical="top"/>
    </xf>
    <xf numFmtId="0" fontId="0" borderId="3" applyNumberFormat="0" applyFont="1" applyFill="0" applyBorder="1" applyAlignment="1" applyProtection="0">
      <alignment vertical="top" wrapText="1"/>
    </xf>
    <xf numFmtId="0" fontId="5" fillId="4" borderId="17" applyNumberFormat="1" applyFont="1" applyFill="1" applyBorder="1" applyAlignment="1" applyProtection="0">
      <alignment vertical="top"/>
    </xf>
    <xf numFmtId="0" fontId="5" borderId="18" applyNumberFormat="0" applyFont="1" applyFill="0" applyBorder="1" applyAlignment="1" applyProtection="0">
      <alignment vertical="top"/>
    </xf>
    <xf numFmtId="62" fontId="5" fillId="4" borderId="17" applyNumberFormat="1" applyFont="1" applyFill="1" applyBorder="1" applyAlignment="1" applyProtection="0">
      <alignment vertical="top"/>
    </xf>
    <xf numFmtId="61" fontId="5" borderId="18" applyNumberFormat="1" applyFont="1" applyFill="0" applyBorder="1" applyAlignment="1" applyProtection="0">
      <alignment vertical="top"/>
    </xf>
    <xf numFmtId="61" fontId="5" fillId="4" borderId="17" applyNumberFormat="1" applyFont="1" applyFill="1" applyBorder="1" applyAlignment="1" applyProtection="0">
      <alignment vertical="top"/>
    </xf>
    <xf numFmtId="63" fontId="5" fillId="4" borderId="17" applyNumberFormat="1" applyFont="1" applyFill="1" applyBorder="1" applyAlignment="1" applyProtection="0">
      <alignment vertical="top"/>
    </xf>
    <xf numFmtId="9" fontId="5" fillId="4" borderId="17" applyNumberFormat="1" applyFont="1" applyFill="1" applyBorder="1" applyAlignment="1" applyProtection="0">
      <alignment vertical="top"/>
    </xf>
    <xf numFmtId="49" fontId="6" borderId="19" applyNumberFormat="1" applyFont="1" applyFill="0" applyBorder="1" applyAlignment="1" applyProtection="0">
      <alignment vertical="top"/>
    </xf>
    <xf numFmtId="0" fontId="5" fillId="4" borderId="7" applyNumberFormat="1" applyFont="1" applyFill="1" applyBorder="1" applyAlignment="1" applyProtection="0">
      <alignment vertical="top"/>
    </xf>
    <xf numFmtId="63" fontId="5" fillId="4" borderId="7" applyNumberFormat="1" applyFont="1" applyFill="1" applyBorder="1" applyAlignment="1" applyProtection="0">
      <alignment vertical="top"/>
    </xf>
    <xf numFmtId="9" fontId="5" fillId="4" borderId="7" applyNumberFormat="1" applyFont="1" applyFill="1" applyBorder="1" applyAlignment="1" applyProtection="0">
      <alignment vertical="top"/>
    </xf>
    <xf numFmtId="0" fontId="6" borderId="20" applyNumberFormat="0" applyFont="1" applyFill="0" applyBorder="1" applyAlignment="1" applyProtection="0">
      <alignment vertical="top"/>
    </xf>
    <xf numFmtId="0" fontId="5" borderId="21" applyNumberFormat="0" applyFont="1" applyFill="0" applyBorder="1" applyAlignment="1" applyProtection="0">
      <alignment vertical="top"/>
    </xf>
    <xf numFmtId="9" fontId="5" borderId="22" applyNumberFormat="1" applyFont="1" applyFill="0" applyBorder="1" applyAlignment="1" applyProtection="0">
      <alignment vertical="top"/>
    </xf>
    <xf numFmtId="49" fontId="6" borderId="23" applyNumberFormat="1" applyFont="1" applyFill="0" applyBorder="1" applyAlignment="1" applyProtection="0">
      <alignment vertical="top"/>
    </xf>
    <xf numFmtId="49" fontId="7" borderId="16" applyNumberFormat="1" applyFont="1" applyFill="0" applyBorder="1" applyAlignment="1" applyProtection="0">
      <alignment vertical="top" wrapText="1"/>
    </xf>
    <xf numFmtId="10" fontId="5" fillId="4" borderId="7" applyNumberFormat="1" applyFont="1" applyFill="1" applyBorder="1" applyAlignment="1" applyProtection="0">
      <alignment vertical="top"/>
    </xf>
    <xf numFmtId="10" fontId="5" fillId="4" borderId="17" applyNumberFormat="1" applyFont="1" applyFill="1" applyBorder="1" applyAlignment="1" applyProtection="0">
      <alignment vertical="top"/>
    </xf>
    <xf numFmtId="10" fontId="9" fillId="5" borderId="17" applyNumberFormat="1" applyFont="1" applyFill="1" applyBorder="1" applyAlignment="1" applyProtection="0">
      <alignment horizontal="center" vertical="top" wrapText="1"/>
    </xf>
    <xf numFmtId="63" fontId="5" fillId="4" borderId="24" applyNumberFormat="1" applyFont="1" applyFill="1" applyBorder="1" applyAlignment="1" applyProtection="0">
      <alignment vertical="top"/>
    </xf>
    <xf numFmtId="0" fontId="5" borderId="25" applyNumberFormat="0" applyFont="1" applyFill="0" applyBorder="1" applyAlignment="1" applyProtection="0">
      <alignment vertical="top"/>
    </xf>
    <xf numFmtId="0" fontId="5" borderId="26" applyNumberFormat="0" applyFont="1" applyFill="0" applyBorder="1" applyAlignment="1" applyProtection="0">
      <alignment vertical="top"/>
    </xf>
    <xf numFmtId="49" fontId="5" borderId="3" applyNumberFormat="1" applyFont="1" applyFill="0" applyBorder="1" applyAlignment="1" applyProtection="0">
      <alignment horizontal="center" vertical="top"/>
    </xf>
    <xf numFmtId="0" fontId="8" fillId="6" borderId="3" applyNumberFormat="1" applyFont="1" applyFill="1" applyBorder="1" applyAlignment="1" applyProtection="0">
      <alignment vertical="top"/>
    </xf>
    <xf numFmtId="37" fontId="5" borderId="3" applyNumberFormat="1" applyFont="1" applyFill="0" applyBorder="1" applyAlignment="1" applyProtection="0">
      <alignment vertical="top"/>
    </xf>
    <xf numFmtId="0" fontId="5" borderId="3" applyNumberFormat="0" applyFont="1" applyFill="0" applyBorder="1" applyAlignment="1" applyProtection="0">
      <alignment vertical="top" wrapText="1"/>
    </xf>
    <xf numFmtId="37" fontId="10" borderId="3" applyNumberFormat="1" applyFont="1" applyFill="0" applyBorder="1" applyAlignment="1" applyProtection="0">
      <alignment vertical="top"/>
    </xf>
    <xf numFmtId="0" fontId="11" borderId="5" applyNumberFormat="0" applyFont="1" applyFill="0" applyBorder="1" applyAlignment="1" applyProtection="0">
      <alignment vertical="top"/>
    </xf>
    <xf numFmtId="49" fontId="12" borderId="5" applyNumberFormat="1" applyFont="1" applyFill="0" applyBorder="1" applyAlignment="1" applyProtection="0">
      <alignment vertical="top"/>
    </xf>
    <xf numFmtId="0" fontId="11" borderId="15" applyNumberFormat="0" applyFont="1" applyFill="0" applyBorder="1" applyAlignment="1" applyProtection="0">
      <alignment vertical="top"/>
    </xf>
    <xf numFmtId="0" fontId="11" borderId="3" applyNumberFormat="0" applyFont="1" applyFill="0" applyBorder="1" applyAlignment="1" applyProtection="0">
      <alignment vertical="top"/>
    </xf>
    <xf numFmtId="64" fontId="11" borderId="3" applyNumberFormat="1" applyFont="1" applyFill="0" applyBorder="1" applyAlignment="1" applyProtection="0">
      <alignment vertical="top"/>
    </xf>
    <xf numFmtId="64" fontId="11" borderId="16" applyNumberFormat="1" applyFont="1" applyFill="0" applyBorder="1" applyAlignment="1" applyProtection="0">
      <alignment vertical="top"/>
    </xf>
    <xf numFmtId="37" fontId="10" borderId="27" applyNumberFormat="1" applyFont="1" applyFill="0" applyBorder="1" applyAlignment="1" applyProtection="0">
      <alignment vertical="top"/>
    </xf>
    <xf numFmtId="61" fontId="11" fillId="4" borderId="17" applyNumberFormat="1" applyFont="1" applyFill="1" applyBorder="1" applyAlignment="1" applyProtection="0">
      <alignment vertical="top"/>
    </xf>
    <xf numFmtId="0" fontId="11" borderId="28" applyNumberFormat="0" applyFont="1" applyFill="0" applyBorder="1" applyAlignment="1" applyProtection="0">
      <alignment vertical="top"/>
    </xf>
    <xf numFmtId="0" fontId="12" borderId="5" applyNumberFormat="0" applyFont="1" applyFill="0" applyBorder="1" applyAlignment="1" applyProtection="0">
      <alignment vertical="top"/>
    </xf>
    <xf numFmtId="0" fontId="11" borderId="29" applyNumberFormat="0" applyFont="1" applyFill="0" applyBorder="1" applyAlignment="1" applyProtection="0">
      <alignment vertical="top"/>
    </xf>
    <xf numFmtId="37" fontId="11" borderId="30" applyNumberFormat="1" applyFont="1" applyFill="0" applyBorder="1" applyAlignment="1" applyProtection="0">
      <alignment vertical="top"/>
    </xf>
    <xf numFmtId="64" fontId="11" borderId="30" applyNumberFormat="1" applyFont="1" applyFill="0" applyBorder="1" applyAlignment="1" applyProtection="0">
      <alignment vertical="top"/>
    </xf>
    <xf numFmtId="64" fontId="11" borderId="31" applyNumberFormat="1" applyFont="1" applyFill="0" applyBorder="1" applyAlignment="1" applyProtection="0">
      <alignment vertical="top"/>
    </xf>
    <xf numFmtId="0" fontId="5" borderId="20" applyNumberFormat="0" applyFont="1" applyFill="0" applyBorder="1" applyAlignment="1" applyProtection="0">
      <alignment vertical="top"/>
    </xf>
    <xf numFmtId="0" fontId="5" borderId="32" applyNumberFormat="0" applyFont="1" applyFill="0" applyBorder="1" applyAlignment="1" applyProtection="0">
      <alignment vertical="top"/>
    </xf>
    <xf numFmtId="37" fontId="10" borderId="33" applyNumberFormat="1" applyFont="1" applyFill="0" applyBorder="1" applyAlignment="1" applyProtection="0">
      <alignment vertical="top"/>
    </xf>
    <xf numFmtId="37" fontId="5" borderId="33" applyNumberFormat="1" applyFont="1" applyFill="0" applyBorder="1" applyAlignment="1" applyProtection="0">
      <alignment vertical="top"/>
    </xf>
    <xf numFmtId="0" fontId="11" borderId="1" applyNumberFormat="0" applyFont="1" applyFill="0" applyBorder="1" applyAlignment="1" applyProtection="0">
      <alignment vertical="top"/>
    </xf>
    <xf numFmtId="0" fontId="11" borderId="34" applyNumberFormat="0" applyFont="1" applyFill="0" applyBorder="1" applyAlignment="1" applyProtection="0">
      <alignment vertical="top"/>
    </xf>
    <xf numFmtId="64" fontId="11" borderId="35" applyNumberFormat="1" applyFont="1" applyFill="0" applyBorder="1" applyAlignment="1" applyProtection="0">
      <alignment vertical="top"/>
    </xf>
    <xf numFmtId="64" fontId="11" borderId="36" applyNumberFormat="1" applyFont="1" applyFill="0" applyBorder="1" applyAlignment="1" applyProtection="0">
      <alignment vertical="top"/>
    </xf>
    <xf numFmtId="61" fontId="11" fillId="4" borderId="7" applyNumberFormat="1" applyFont="1" applyFill="1" applyBorder="1" applyAlignment="1" applyProtection="0">
      <alignment vertical="top"/>
    </xf>
    <xf numFmtId="61" fontId="11" fillId="4" borderId="24" applyNumberFormat="1" applyFont="1" applyFill="1" applyBorder="1" applyAlignment="1" applyProtection="0">
      <alignment vertical="top"/>
    </xf>
    <xf numFmtId="0" fontId="11" borderId="37" applyNumberFormat="0" applyFont="1" applyFill="0" applyBorder="1" applyAlignment="1" applyProtection="0">
      <alignment vertical="top"/>
    </xf>
    <xf numFmtId="0" fontId="6" borderId="37" applyNumberFormat="0" applyFont="1" applyFill="0" applyBorder="1" applyAlignment="1" applyProtection="0">
      <alignment vertical="top"/>
    </xf>
    <xf numFmtId="0" fontId="11" borderId="38" applyNumberFormat="0" applyFont="1" applyFill="0" applyBorder="1" applyAlignment="1" applyProtection="0">
      <alignment vertical="top"/>
    </xf>
    <xf numFmtId="64" fontId="11" borderId="4" applyNumberFormat="1" applyFont="1" applyFill="0" applyBorder="1" applyAlignment="1" applyProtection="0">
      <alignment vertical="top"/>
    </xf>
    <xf numFmtId="64" fontId="11" borderId="39" applyNumberFormat="1" applyFont="1" applyFill="0" applyBorder="1" applyAlignment="1" applyProtection="0">
      <alignment vertical="top"/>
    </xf>
    <xf numFmtId="0" fontId="11" borderId="40" applyNumberFormat="0" applyFont="1" applyFill="0" applyBorder="1" applyAlignment="1" applyProtection="0">
      <alignment vertical="top"/>
    </xf>
    <xf numFmtId="49" fontId="6" borderId="40" applyNumberFormat="1" applyFont="1" applyFill="0" applyBorder="1" applyAlignment="1" applyProtection="0">
      <alignment vertical="top"/>
    </xf>
    <xf numFmtId="0" fontId="11" borderId="41" applyNumberFormat="0" applyFont="1" applyFill="0" applyBorder="1" applyAlignment="1" applyProtection="0">
      <alignment vertical="top"/>
    </xf>
    <xf numFmtId="37" fontId="5" borderId="39" applyNumberFormat="1" applyFont="1" applyFill="0" applyBorder="1" applyAlignment="1" applyProtection="0">
      <alignment vertical="top"/>
    </xf>
    <xf numFmtId="0" fontId="11" borderId="42" applyNumberFormat="0" applyFont="1" applyFill="0" applyBorder="1" applyAlignment="1" applyProtection="0">
      <alignment vertical="top"/>
    </xf>
    <xf numFmtId="0" fontId="6" borderId="42" applyNumberFormat="0" applyFont="1" applyFill="0" applyBorder="1" applyAlignment="1" applyProtection="0">
      <alignment vertical="top"/>
    </xf>
    <xf numFmtId="0" fontId="11" borderId="26" applyNumberFormat="0" applyFont="1" applyFill="0" applyBorder="1" applyAlignment="1" applyProtection="0">
      <alignment vertical="top"/>
    </xf>
    <xf numFmtId="64" fontId="11" borderId="14" applyNumberFormat="1" applyFont="1" applyFill="0" applyBorder="1" applyAlignment="1" applyProtection="0">
      <alignment vertical="top"/>
    </xf>
    <xf numFmtId="64" fontId="11" borderId="43" applyNumberFormat="1" applyFont="1" applyFill="0" applyBorder="1" applyAlignment="1" applyProtection="0">
      <alignment vertical="top"/>
    </xf>
    <xf numFmtId="64" fontId="11" borderId="27" applyNumberFormat="1" applyFont="1" applyFill="0" applyBorder="1" applyAlignment="1" applyProtection="0">
      <alignment vertical="top"/>
    </xf>
    <xf numFmtId="61" fontId="11" fillId="4" borderId="12" applyNumberFormat="1" applyFont="1" applyFill="1" applyBorder="1" applyAlignment="1" applyProtection="0">
      <alignment vertical="top"/>
    </xf>
    <xf numFmtId="0" fontId="11" borderId="44" applyNumberFormat="0" applyFont="1" applyFill="0" applyBorder="1" applyAlignment="1" applyProtection="0">
      <alignment vertical="top"/>
    </xf>
    <xf numFmtId="0" fontId="6" borderId="44" applyNumberFormat="0" applyFont="1" applyFill="0" applyBorder="1" applyAlignment="1" applyProtection="0">
      <alignment vertical="top"/>
    </xf>
    <xf numFmtId="0" fontId="11" borderId="45" applyNumberFormat="0" applyFont="1" applyFill="0" applyBorder="1" applyAlignment="1" applyProtection="0">
      <alignment vertical="top"/>
    </xf>
    <xf numFmtId="0" fontId="11" borderId="46" applyNumberFormat="0" applyFont="1" applyFill="0" applyBorder="1" applyAlignment="1" applyProtection="0">
      <alignment vertical="top"/>
    </xf>
    <xf numFmtId="37" fontId="13" borderId="46" applyNumberFormat="1" applyFont="1" applyFill="0" applyBorder="1" applyAlignment="1" applyProtection="0">
      <alignment vertical="top"/>
    </xf>
    <xf numFmtId="64" fontId="11" borderId="46" applyNumberFormat="1" applyFont="1" applyFill="0" applyBorder="1" applyAlignment="1" applyProtection="0">
      <alignment vertical="top"/>
    </xf>
    <xf numFmtId="0" fontId="6" borderId="47" applyNumberFormat="0" applyFont="1" applyFill="0" applyBorder="1" applyAlignment="1" applyProtection="0">
      <alignment vertical="top"/>
    </xf>
    <xf numFmtId="49" fontId="6" borderId="47" applyNumberFormat="1" applyFont="1" applyFill="0" applyBorder="1" applyAlignment="1" applyProtection="0">
      <alignment vertical="top"/>
    </xf>
    <xf numFmtId="0" fontId="6" borderId="48" applyNumberFormat="0" applyFont="1" applyFill="0" applyBorder="1" applyAlignment="1" applyProtection="0">
      <alignment vertical="top"/>
    </xf>
    <xf numFmtId="37" fontId="6" borderId="49" applyNumberFormat="1" applyFont="1" applyFill="0" applyBorder="1" applyAlignment="1" applyProtection="0">
      <alignment vertical="top"/>
    </xf>
    <xf numFmtId="64" fontId="12" borderId="3" applyNumberFormat="1" applyFont="1" applyFill="0" applyBorder="1" applyAlignment="1" applyProtection="0">
      <alignment vertical="top"/>
    </xf>
    <xf numFmtId="65" fontId="12" borderId="3" applyNumberFormat="1" applyFont="1" applyFill="0" applyBorder="1" applyAlignment="1" applyProtection="0">
      <alignment vertical="top"/>
    </xf>
    <xf numFmtId="0" fontId="8" borderId="3" applyNumberFormat="0" applyFont="1" applyFill="0" applyBorder="1" applyAlignment="1" applyProtection="0">
      <alignment vertical="top"/>
    </xf>
    <xf numFmtId="0" fontId="14" borderId="3" applyNumberFormat="0" applyFont="1" applyFill="0" applyBorder="1" applyAlignment="1" applyProtection="0">
      <alignment vertical="top"/>
    </xf>
    <xf numFmtId="37" fontId="14" borderId="3" applyNumberFormat="1" applyFont="1" applyFill="0" applyBorder="1" applyAlignment="1" applyProtection="0">
      <alignment vertical="top"/>
    </xf>
    <xf numFmtId="3" fontId="5" borderId="3" applyNumberFormat="1" applyFont="1" applyFill="0" applyBorder="1" applyAlignment="1" applyProtection="0">
      <alignment vertical="top"/>
    </xf>
    <xf numFmtId="0" fontId="5" borderId="28" applyNumberFormat="0" applyFont="1" applyFill="0" applyBorder="1" applyAlignment="1" applyProtection="0">
      <alignment vertical="top"/>
    </xf>
    <xf numFmtId="0" fontId="6" borderId="28" applyNumberFormat="0" applyFont="1" applyFill="0" applyBorder="1" applyAlignment="1" applyProtection="0">
      <alignment vertical="top"/>
    </xf>
    <xf numFmtId="9" fontId="5" borderId="3" applyNumberFormat="1" applyFont="1" applyFill="0" applyBorder="1" applyAlignment="1" applyProtection="0">
      <alignment vertical="top"/>
    </xf>
    <xf numFmtId="49" fontId="6" borderId="1" applyNumberFormat="1" applyFont="1" applyFill="0" applyBorder="1" applyAlignment="1" applyProtection="0">
      <alignment vertical="top"/>
    </xf>
    <xf numFmtId="3" fontId="10" borderId="3" applyNumberFormat="1" applyFont="1" applyFill="0" applyBorder="1" applyAlignment="1" applyProtection="0">
      <alignment vertical="top"/>
    </xf>
    <xf numFmtId="49" fontId="12" borderId="28" applyNumberFormat="1" applyFont="1" applyFill="0" applyBorder="1" applyAlignment="1" applyProtection="0">
      <alignment vertical="top"/>
    </xf>
    <xf numFmtId="64" fontId="5" borderId="3" applyNumberFormat="1" applyFont="1" applyFill="0" applyBorder="1" applyAlignment="1" applyProtection="0">
      <alignment vertical="top"/>
    </xf>
    <xf numFmtId="49" fontId="5" borderId="1" applyNumberFormat="1" applyFont="1" applyFill="0" applyBorder="1" applyAlignment="1" applyProtection="0">
      <alignment vertical="top"/>
    </xf>
    <xf numFmtId="49" fontId="8" fillId="6" borderId="1" applyNumberFormat="1" applyFont="1" applyFill="1" applyBorder="1" applyAlignment="1" applyProtection="0">
      <alignment vertical="top"/>
    </xf>
    <xf numFmtId="49" fontId="6" borderId="20" applyNumberFormat="1" applyFont="1" applyFill="0" applyBorder="1" applyAlignment="1" applyProtection="0">
      <alignment vertical="top"/>
    </xf>
    <xf numFmtId="0" fontId="11" borderId="20" applyNumberFormat="0" applyFont="1" applyFill="0" applyBorder="1" applyAlignment="1" applyProtection="0">
      <alignment vertical="top"/>
    </xf>
    <xf numFmtId="49" fontId="12" borderId="20" applyNumberFormat="1" applyFont="1" applyFill="0" applyBorder="1" applyAlignment="1" applyProtection="0">
      <alignment vertical="top"/>
    </xf>
    <xf numFmtId="64" fontId="5" borderId="14" applyNumberFormat="1" applyFont="1" applyFill="0" applyBorder="1" applyAlignment="1" applyProtection="0">
      <alignment vertical="top"/>
    </xf>
    <xf numFmtId="0" fontId="14" borderId="3" applyNumberFormat="1" applyFont="1" applyFill="0" applyBorder="1" applyAlignment="1" applyProtection="0">
      <alignment vertical="top"/>
    </xf>
    <xf numFmtId="0" fontId="5" borderId="50" applyNumberFormat="0" applyFont="1" applyFill="0" applyBorder="1" applyAlignment="1" applyProtection="0">
      <alignment vertical="top"/>
    </xf>
    <xf numFmtId="0" fontId="6" borderId="50" applyNumberFormat="0" applyFont="1" applyFill="0" applyBorder="1" applyAlignment="1" applyProtection="0">
      <alignment vertical="top"/>
    </xf>
    <xf numFmtId="0" fontId="5" borderId="51" applyNumberFormat="0" applyFont="1" applyFill="0" applyBorder="1" applyAlignment="1" applyProtection="0">
      <alignment vertical="top"/>
    </xf>
    <xf numFmtId="0" fontId="5" borderId="52" applyNumberFormat="0" applyFont="1" applyFill="0" applyBorder="1" applyAlignment="1" applyProtection="0">
      <alignment vertical="top"/>
    </xf>
    <xf numFmtId="64" fontId="5" borderId="52" applyNumberFormat="1" applyFont="1" applyFill="0" applyBorder="1" applyAlignment="1" applyProtection="0">
      <alignment vertical="top"/>
    </xf>
    <xf numFmtId="0" fontId="5" borderId="53" applyNumberFormat="0" applyFont="1" applyFill="0" applyBorder="1" applyAlignment="1" applyProtection="0">
      <alignment vertical="top"/>
    </xf>
    <xf numFmtId="49" fontId="6" borderId="53" applyNumberFormat="1" applyFont="1" applyFill="0" applyBorder="1" applyAlignment="1" applyProtection="0">
      <alignment vertical="top"/>
    </xf>
    <xf numFmtId="0" fontId="5" borderId="54" applyNumberFormat="0" applyFont="1" applyFill="0" applyBorder="1" applyAlignment="1" applyProtection="0">
      <alignment vertical="top"/>
    </xf>
    <xf numFmtId="0" fontId="5" borderId="55" applyNumberFormat="0" applyFont="1" applyFill="0" applyBorder="1" applyAlignment="1" applyProtection="0">
      <alignment vertical="top"/>
    </xf>
    <xf numFmtId="37" fontId="6" borderId="55" applyNumberFormat="1" applyFont="1" applyFill="0" applyBorder="1" applyAlignment="1" applyProtection="0">
      <alignment vertical="top"/>
    </xf>
    <xf numFmtId="37" fontId="6" borderId="56" applyNumberFormat="1" applyFont="1" applyFill="0" applyBorder="1" applyAlignment="1" applyProtection="0">
      <alignment vertical="top"/>
    </xf>
    <xf numFmtId="0" fontId="5" borderId="34" applyNumberFormat="0" applyFont="1" applyFill="0" applyBorder="1" applyAlignment="1" applyProtection="0">
      <alignment vertical="top"/>
    </xf>
    <xf numFmtId="0" fontId="5" borderId="35" applyNumberFormat="0" applyFont="1" applyFill="0" applyBorder="1" applyAlignment="1" applyProtection="0">
      <alignment vertical="top"/>
    </xf>
    <xf numFmtId="64" fontId="5" borderId="35" applyNumberFormat="1" applyFont="1" applyFill="0" applyBorder="1" applyAlignment="1" applyProtection="0">
      <alignment vertical="top"/>
    </xf>
    <xf numFmtId="0" fontId="5" borderId="16" applyNumberFormat="1" applyFont="1" applyFill="0" applyBorder="1" applyAlignment="1" applyProtection="0">
      <alignment vertical="top"/>
    </xf>
    <xf numFmtId="49" fontId="12" borderId="1" applyNumberFormat="1" applyFont="1" applyFill="0" applyBorder="1" applyAlignment="1" applyProtection="0">
      <alignment vertical="top"/>
    </xf>
    <xf numFmtId="64" fontId="5" borderId="27" applyNumberFormat="1" applyFont="1" applyFill="0" applyBorder="1" applyAlignment="1" applyProtection="0">
      <alignment vertical="top"/>
    </xf>
    <xf numFmtId="37" fontId="5" borderId="16" applyNumberFormat="1" applyFont="1" applyFill="0" applyBorder="1" applyAlignment="1" applyProtection="0">
      <alignment vertical="top"/>
    </xf>
    <xf numFmtId="64" fontId="5" borderId="57" applyNumberFormat="1" applyFont="1" applyFill="0" applyBorder="1" applyAlignment="1" applyProtection="0">
      <alignment vertical="top"/>
    </xf>
    <xf numFmtId="0" fontId="5" borderId="57" applyNumberFormat="0" applyFont="1" applyFill="0" applyBorder="1" applyAlignment="1" applyProtection="0">
      <alignment vertical="top"/>
    </xf>
    <xf numFmtId="0" fontId="6" borderId="53" applyNumberFormat="0" applyFont="1" applyFill="0" applyBorder="1" applyAlignment="1" applyProtection="0">
      <alignment vertical="top"/>
    </xf>
    <xf numFmtId="0" fontId="6" borderId="58" applyNumberFormat="0" applyFont="1" applyFill="0" applyBorder="1" applyAlignment="1" applyProtection="0">
      <alignment vertical="top"/>
    </xf>
    <xf numFmtId="0" fontId="6" borderId="59" applyNumberFormat="0" applyFont="1" applyFill="0" applyBorder="1" applyAlignment="1" applyProtection="0">
      <alignment vertical="top"/>
    </xf>
    <xf numFmtId="64" fontId="6" borderId="59" applyNumberFormat="1" applyFont="1" applyFill="0" applyBorder="1" applyAlignment="1" applyProtection="0">
      <alignment vertical="top"/>
    </xf>
    <xf numFmtId="37" fontId="6" borderId="59" applyNumberFormat="1" applyFont="1" applyFill="0" applyBorder="1" applyAlignment="1" applyProtection="0">
      <alignment vertical="top"/>
    </xf>
    <xf numFmtId="49" fontId="6" borderId="50" applyNumberFormat="1" applyFont="1" applyFill="0" applyBorder="1" applyAlignment="1" applyProtection="0">
      <alignment vertical="top"/>
    </xf>
    <xf numFmtId="37" fontId="5" borderId="52" applyNumberFormat="1" applyFont="1" applyFill="0" applyBorder="1" applyAlignment="1" applyProtection="0">
      <alignment vertical="top"/>
    </xf>
    <xf numFmtId="64" fontId="5" borderId="55" applyNumberFormat="1" applyFont="1" applyFill="0" applyBorder="1" applyAlignment="1" applyProtection="0">
      <alignment vertical="top"/>
    </xf>
    <xf numFmtId="0" fontId="5" borderId="56" applyNumberFormat="0" applyFont="1" applyFill="0" applyBorder="1" applyAlignment="1" applyProtection="0">
      <alignment vertical="top"/>
    </xf>
    <xf numFmtId="0" fontId="5" borderId="33" applyNumberFormat="0" applyFont="1" applyFill="0" applyBorder="1" applyAlignment="1" applyProtection="0">
      <alignment vertical="top"/>
    </xf>
    <xf numFmtId="64" fontId="5" borderId="33" applyNumberFormat="1" applyFont="1" applyFill="0" applyBorder="1" applyAlignment="1" applyProtection="0">
      <alignment vertical="top"/>
    </xf>
    <xf numFmtId="3" fontId="5" borderId="60" applyNumberFormat="1" applyFont="1" applyFill="0" applyBorder="1" applyAlignment="1" applyProtection="0">
      <alignment vertical="top"/>
    </xf>
    <xf numFmtId="0" fontId="5" borderId="60" applyNumberFormat="0" applyFont="1" applyFill="0" applyBorder="1" applyAlignment="1" applyProtection="0">
      <alignment vertical="top"/>
    </xf>
    <xf numFmtId="0" fontId="15" borderId="1" applyNumberFormat="0" applyFont="1" applyFill="0" applyBorder="1" applyAlignment="1" applyProtection="0">
      <alignment vertical="top"/>
    </xf>
    <xf numFmtId="49" fontId="15" borderId="1" applyNumberFormat="1" applyFont="1" applyFill="0" applyBorder="1" applyAlignment="1" applyProtection="0">
      <alignment vertical="top"/>
    </xf>
    <xf numFmtId="3" fontId="15" borderId="1" applyNumberFormat="1" applyFont="1" applyFill="0" applyBorder="1" applyAlignment="1" applyProtection="0">
      <alignment vertical="top"/>
    </xf>
    <xf numFmtId="0" fontId="15" borderId="5" applyNumberFormat="0" applyFont="1" applyFill="0" applyBorder="1" applyAlignment="1" applyProtection="0">
      <alignment vertical="top"/>
    </xf>
    <xf numFmtId="49" fontId="15" borderId="5" applyNumberFormat="1" applyFont="1" applyFill="0" applyBorder="1" applyAlignment="1" applyProtection="0">
      <alignment vertical="top"/>
    </xf>
    <xf numFmtId="3" fontId="15" borderId="5" applyNumberFormat="1" applyFont="1" applyFill="0" applyBorder="1" applyAlignment="1" applyProtection="0">
      <alignment vertical="top"/>
    </xf>
    <xf numFmtId="37" fontId="15" borderId="5" applyNumberFormat="1" applyFont="1" applyFill="0" applyBorder="1" applyAlignment="1" applyProtection="0">
      <alignment vertical="top"/>
    </xf>
    <xf numFmtId="0" fontId="0" applyNumberFormat="1" applyFont="1" applyFill="0" applyBorder="0" applyAlignment="1" applyProtection="0">
      <alignment vertical="top" wrapText="1"/>
    </xf>
    <xf numFmtId="0" fontId="16" applyNumberFormat="0" applyFont="1" applyFill="0" applyBorder="0" applyAlignment="1" applyProtection="0">
      <alignment horizontal="left" vertical="center"/>
    </xf>
    <xf numFmtId="49" fontId="7" borderId="3" applyNumberFormat="1" applyFont="1" applyFill="0" applyBorder="1" applyAlignment="1" applyProtection="0">
      <alignment vertical="top"/>
    </xf>
    <xf numFmtId="49" fontId="17" fillId="6" borderId="3" applyNumberFormat="1" applyFont="1" applyFill="1" applyBorder="1" applyAlignment="1" applyProtection="0">
      <alignment vertical="top" wrapText="1"/>
    </xf>
    <xf numFmtId="49" fontId="18" borderId="3" applyNumberFormat="1" applyFont="1" applyFill="0" applyBorder="1" applyAlignment="1" applyProtection="0">
      <alignment vertical="top" wrapText="1"/>
    </xf>
    <xf numFmtId="37" fontId="0" borderId="3" applyNumberFormat="1" applyFont="1" applyFill="0" applyBorder="1" applyAlignment="1" applyProtection="0">
      <alignment vertical="top" wrapText="1"/>
    </xf>
    <xf numFmtId="64" fontId="0" borderId="3" applyNumberFormat="1" applyFont="1" applyFill="0" applyBorder="1" applyAlignment="1" applyProtection="0">
      <alignment vertical="top" wrapText="1"/>
    </xf>
    <xf numFmtId="10" fontId="0" borderId="3" applyNumberFormat="1" applyFont="1" applyFill="0" applyBorder="1" applyAlignment="1" applyProtection="0">
      <alignment vertical="top" wrapText="1"/>
    </xf>
    <xf numFmtId="0" fontId="0" borderId="3" applyNumberFormat="1" applyFont="1" applyFill="0" applyBorder="1" applyAlignment="1" applyProtection="0">
      <alignment vertical="top" wrapText="1"/>
    </xf>
    <xf numFmtId="49" fontId="18" borderId="3" applyNumberFormat="1" applyFont="1" applyFill="0" applyBorder="1" applyAlignment="1" applyProtection="0">
      <alignment vertical="top"/>
    </xf>
    <xf numFmtId="0" fontId="18" borderId="3" applyNumberFormat="0" applyFont="1" applyFill="0" applyBorder="1" applyAlignment="1" applyProtection="0">
      <alignment vertical="top" wrapText="1"/>
    </xf>
    <xf numFmtId="9" fontId="0" borderId="3" applyNumberFormat="1" applyFont="1" applyFill="0" applyBorder="1" applyAlignment="1" applyProtection="0">
      <alignment vertical="top" wrapText="1"/>
    </xf>
    <xf numFmtId="66" fontId="0" borderId="3"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515151"/>
      <rgbColor rgb="fffaf5d2"/>
      <rgbColor rgb="fffaf4cf"/>
      <rgbColor rgb="fffefefe"/>
      <rgbColor rgb="ff004c7f"/>
      <rgbColor rgb="ff017000"/>
      <rgbColor rgb="ff98185e"/>
      <rgbColor rgb="ffa5a5a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t="s" s="3">
        <v>25</v>
      </c>
      <c r="C11" s="3"/>
      <c r="D11" s="3"/>
    </row>
    <row r="12">
      <c r="B12" s="4"/>
      <c r="C12" t="s" s="4">
        <v>8</v>
      </c>
      <c r="D12" t="s" s="5">
        <v>68</v>
      </c>
    </row>
  </sheetData>
  <mergeCells count="1">
    <mergeCell ref="B3:D3"/>
  </mergeCells>
  <hyperlinks>
    <hyperlink ref="D10" location="'Model - SPOT DCF'!R2C1" tooltip="" display="Model - SPOT DCF"/>
    <hyperlink ref="D12" location="'WACC - SPOT'!R2C1" tooltip="" display="WACC - SPOT"/>
  </hyperlinks>
</worksheet>
</file>

<file path=xl/worksheets/sheet2.xml><?xml version="1.0" encoding="utf-8"?>
<worksheet xmlns:r="http://schemas.openxmlformats.org/officeDocument/2006/relationships" xmlns="http://schemas.openxmlformats.org/spreadsheetml/2006/main">
  <sheetPr>
    <pageSetUpPr fitToPage="1"/>
  </sheetPr>
  <dimension ref="A2:T128"/>
  <sheetViews>
    <sheetView workbookViewId="0" showGridLines="0" defaultGridColor="1">
      <pane topLeftCell="C1" xSplit="2" ySplit="0" activePane="topRight" state="frozen"/>
    </sheetView>
  </sheetViews>
  <sheetFormatPr defaultColWidth="16.3333" defaultRowHeight="19.9" customHeight="1" outlineLevelRow="0" outlineLevelCol="0"/>
  <cols>
    <col min="1" max="1" width="2.5" style="6" customWidth="1"/>
    <col min="2" max="2" width="31.1016" style="6" customWidth="1"/>
    <col min="3" max="20" width="16.3516" style="6" customWidth="1"/>
    <col min="21" max="256" width="16.3516" style="6" customWidth="1"/>
  </cols>
  <sheetData>
    <row r="1" ht="31" customHeight="1">
      <c r="A1" t="s" s="7">
        <v>5</v>
      </c>
      <c r="B1" s="7"/>
      <c r="C1" s="7"/>
      <c r="D1" s="7"/>
      <c r="E1" s="7"/>
      <c r="F1" s="7"/>
      <c r="G1" s="7"/>
      <c r="H1" s="7"/>
      <c r="I1" s="7"/>
      <c r="J1" s="7"/>
      <c r="K1" s="7"/>
      <c r="L1" s="7"/>
      <c r="M1" s="7"/>
      <c r="N1" s="7"/>
      <c r="O1" s="7"/>
      <c r="P1" s="7"/>
      <c r="Q1" s="7"/>
      <c r="R1" s="7"/>
      <c r="S1" s="7"/>
      <c r="T1" s="7"/>
    </row>
    <row r="2" ht="21.5" customHeight="1">
      <c r="A2" s="8"/>
      <c r="B2" s="9"/>
      <c r="C2" s="10"/>
      <c r="D2" s="11"/>
      <c r="E2" s="11"/>
      <c r="F2" s="12"/>
      <c r="G2" s="11"/>
      <c r="H2" s="11"/>
      <c r="I2" s="11"/>
      <c r="J2" s="11"/>
      <c r="K2" s="11"/>
      <c r="L2" s="11"/>
      <c r="M2" s="11"/>
      <c r="N2" s="11"/>
      <c r="O2" s="11"/>
      <c r="P2" s="11"/>
      <c r="Q2" s="11"/>
      <c r="R2" s="11"/>
      <c r="S2" s="11"/>
      <c r="T2" s="11"/>
    </row>
    <row r="3" ht="23" customHeight="1">
      <c r="A3" s="13"/>
      <c r="B3" t="s" s="14">
        <v>7</v>
      </c>
      <c r="C3" t="s" s="15">
        <v>8</v>
      </c>
      <c r="D3" s="16"/>
      <c r="E3" t="s" s="17">
        <v>9</v>
      </c>
      <c r="F3" s="18">
        <f>T126</f>
        <v>86.31945131302091</v>
      </c>
      <c r="G3" s="19"/>
      <c r="H3" s="20"/>
      <c r="I3" s="21"/>
      <c r="J3" s="11"/>
      <c r="K3" s="11"/>
      <c r="L3" s="11"/>
      <c r="M3" s="11"/>
      <c r="N3" s="11"/>
      <c r="O3" s="11"/>
      <c r="P3" s="11"/>
      <c r="Q3" s="11"/>
      <c r="R3" s="11"/>
      <c r="S3" s="11"/>
      <c r="T3" s="11"/>
    </row>
    <row r="4" ht="23" customHeight="1">
      <c r="A4" s="13"/>
      <c r="B4" t="s" s="14">
        <v>10</v>
      </c>
      <c r="C4" s="22">
        <v>43362</v>
      </c>
      <c r="D4" s="16"/>
      <c r="E4" t="s" s="17">
        <v>11</v>
      </c>
      <c r="F4" s="18">
        <v>99.7</v>
      </c>
      <c r="G4" s="19"/>
      <c r="H4" t="s" s="17">
        <v>12</v>
      </c>
      <c r="I4" s="23">
        <f>F3/F4-1</f>
        <v>-0.134208111203401</v>
      </c>
      <c r="J4" s="24"/>
      <c r="K4" s="11"/>
      <c r="L4" s="11"/>
      <c r="M4" s="11"/>
      <c r="N4" s="11"/>
      <c r="O4" s="11"/>
      <c r="P4" s="11"/>
      <c r="Q4" s="11"/>
      <c r="R4" s="11"/>
      <c r="S4" s="11"/>
      <c r="T4" s="11"/>
    </row>
    <row r="5" ht="21.5" customHeight="1">
      <c r="A5" s="13"/>
      <c r="B5" s="25"/>
      <c r="C5" s="26"/>
      <c r="D5" s="11"/>
      <c r="E5" s="11"/>
      <c r="F5" s="27"/>
      <c r="G5" s="11"/>
      <c r="H5" s="11"/>
      <c r="I5" s="27"/>
      <c r="J5" s="11"/>
      <c r="K5" s="11"/>
      <c r="L5" s="11"/>
      <c r="M5" s="11"/>
      <c r="N5" s="11"/>
      <c r="O5" s="11"/>
      <c r="P5" s="11"/>
      <c r="Q5" s="11"/>
      <c r="R5" s="11"/>
      <c r="S5" s="11"/>
      <c r="T5" s="11"/>
    </row>
    <row r="6" ht="21" customHeight="1">
      <c r="A6" s="13"/>
      <c r="B6" s="25"/>
      <c r="C6" s="28"/>
      <c r="D6" s="11"/>
      <c r="E6" s="11"/>
      <c r="F6" s="11"/>
      <c r="G6" s="11"/>
      <c r="H6" s="11"/>
      <c r="I6" s="11"/>
      <c r="J6" s="11"/>
      <c r="K6" s="11"/>
      <c r="L6" s="11"/>
      <c r="M6" s="11"/>
      <c r="N6" s="11"/>
      <c r="O6" s="11"/>
      <c r="P6" s="11"/>
      <c r="Q6" s="11"/>
      <c r="R6" s="11"/>
      <c r="S6" s="11"/>
      <c r="T6" s="11"/>
    </row>
    <row r="7" ht="21" customHeight="1">
      <c r="A7" t="s" s="29">
        <v>13</v>
      </c>
      <c r="B7" t="s" s="30">
        <v>14</v>
      </c>
      <c r="C7" s="31"/>
      <c r="D7" s="32"/>
      <c r="E7" s="33"/>
      <c r="F7" s="33"/>
      <c r="G7" s="33"/>
      <c r="H7" s="33"/>
      <c r="I7" s="33"/>
      <c r="J7" s="33"/>
      <c r="K7" s="33"/>
      <c r="L7" s="33"/>
      <c r="M7" s="33"/>
      <c r="N7" s="33"/>
      <c r="O7" s="33"/>
      <c r="P7" s="33"/>
      <c r="Q7" s="33"/>
      <c r="R7" s="33"/>
      <c r="S7" s="33"/>
      <c r="T7" s="33"/>
    </row>
    <row r="8" ht="21.5" customHeight="1">
      <c r="A8" s="13"/>
      <c r="B8" t="s" s="34">
        <v>15</v>
      </c>
      <c r="C8" s="10"/>
      <c r="D8" s="11"/>
      <c r="E8" t="s" s="35">
        <v>16</v>
      </c>
      <c r="F8" s="11"/>
      <c r="G8" t="s" s="35">
        <v>17</v>
      </c>
      <c r="H8" s="36"/>
      <c r="I8" t="s" s="35">
        <v>18</v>
      </c>
      <c r="J8" s="11"/>
      <c r="K8" s="36"/>
      <c r="L8" s="11"/>
      <c r="M8" s="11"/>
      <c r="N8" s="11"/>
      <c r="O8" s="11"/>
      <c r="P8" s="11"/>
      <c r="Q8" s="11"/>
      <c r="R8" s="11"/>
      <c r="S8" s="11"/>
      <c r="T8" s="11"/>
    </row>
    <row r="9" ht="22" customHeight="1">
      <c r="A9" s="13"/>
      <c r="B9" t="s" s="14">
        <v>19</v>
      </c>
      <c r="C9" s="37">
        <v>2</v>
      </c>
      <c r="D9" s="38"/>
      <c r="E9" s="39">
        <v>0.8</v>
      </c>
      <c r="F9" s="40"/>
      <c r="G9" s="41">
        <v>0.03</v>
      </c>
      <c r="H9" s="40"/>
      <c r="I9" s="39">
        <v>1.2</v>
      </c>
      <c r="J9" s="16"/>
      <c r="K9" s="11"/>
      <c r="L9" s="11"/>
      <c r="M9" s="11"/>
      <c r="N9" s="11"/>
      <c r="O9" s="11"/>
      <c r="P9" s="11"/>
      <c r="Q9" s="11"/>
      <c r="R9" s="11"/>
      <c r="S9" s="11"/>
      <c r="T9" s="11"/>
    </row>
    <row r="10" ht="22" customHeight="1">
      <c r="A10" s="13"/>
      <c r="B10" t="s" s="14">
        <v>20</v>
      </c>
      <c r="C10" s="37">
        <v>2</v>
      </c>
      <c r="D10" s="38"/>
      <c r="E10" s="42">
        <v>0.9</v>
      </c>
      <c r="F10" s="38"/>
      <c r="G10" s="43">
        <v>0.04</v>
      </c>
      <c r="H10" s="38"/>
      <c r="I10" s="42">
        <v>1.1</v>
      </c>
      <c r="J10" s="16"/>
      <c r="K10" s="11"/>
      <c r="L10" s="11"/>
      <c r="M10" s="11"/>
      <c r="N10" s="11"/>
      <c r="O10" s="11"/>
      <c r="P10" s="11"/>
      <c r="Q10" s="11"/>
      <c r="R10" s="11"/>
      <c r="S10" s="11"/>
      <c r="T10" s="11"/>
    </row>
    <row r="11" ht="22" customHeight="1">
      <c r="A11" s="13"/>
      <c r="B11" t="s" s="14">
        <v>21</v>
      </c>
      <c r="C11" s="37">
        <v>2</v>
      </c>
      <c r="D11" s="38"/>
      <c r="E11" s="42">
        <v>0.9</v>
      </c>
      <c r="F11" s="38"/>
      <c r="G11" s="43">
        <v>0.08</v>
      </c>
      <c r="H11" s="38"/>
      <c r="I11" s="42">
        <v>1.1</v>
      </c>
      <c r="J11" s="16"/>
      <c r="K11" s="11"/>
      <c r="L11" s="11"/>
      <c r="M11" s="11"/>
      <c r="N11" s="11"/>
      <c r="O11" s="11"/>
      <c r="P11" s="11"/>
      <c r="Q11" s="11"/>
      <c r="R11" s="11"/>
      <c r="S11" s="11"/>
      <c r="T11" s="11"/>
    </row>
    <row r="12" ht="22" customHeight="1">
      <c r="A12" s="13"/>
      <c r="B12" t="s" s="44">
        <v>22</v>
      </c>
      <c r="C12" s="45">
        <v>2</v>
      </c>
      <c r="D12" s="38"/>
      <c r="E12" s="46">
        <v>0.9</v>
      </c>
      <c r="F12" s="38"/>
      <c r="G12" s="47">
        <v>0.16</v>
      </c>
      <c r="H12" s="38"/>
      <c r="I12" s="46">
        <v>1.1</v>
      </c>
      <c r="J12" s="16"/>
      <c r="K12" s="11"/>
      <c r="L12" s="11"/>
      <c r="M12" s="11"/>
      <c r="N12" s="11"/>
      <c r="O12" s="11"/>
      <c r="P12" s="11"/>
      <c r="Q12" s="11"/>
      <c r="R12" s="11"/>
      <c r="S12" s="11"/>
      <c r="T12" s="11"/>
    </row>
    <row r="13" ht="22" customHeight="1">
      <c r="A13" s="13"/>
      <c r="B13" s="48"/>
      <c r="C13" s="49"/>
      <c r="D13" s="11"/>
      <c r="E13" s="50"/>
      <c r="F13" s="11"/>
      <c r="G13" s="50"/>
      <c r="H13" s="11"/>
      <c r="I13" s="50"/>
      <c r="J13" s="11"/>
      <c r="K13" s="11"/>
      <c r="L13" s="11"/>
      <c r="M13" s="11"/>
      <c r="N13" s="11"/>
      <c r="O13" s="11"/>
      <c r="P13" s="11"/>
      <c r="Q13" s="11"/>
      <c r="R13" s="11"/>
      <c r="S13" s="11"/>
      <c r="T13" s="11"/>
    </row>
    <row r="14" ht="23" customHeight="1">
      <c r="A14" s="13"/>
      <c r="B14" t="s" s="51">
        <v>23</v>
      </c>
      <c r="C14" s="37">
        <v>2</v>
      </c>
      <c r="D14" s="38"/>
      <c r="E14" s="42">
        <v>0.9</v>
      </c>
      <c r="F14" s="38"/>
      <c r="G14" s="43">
        <v>0.03</v>
      </c>
      <c r="H14" s="38"/>
      <c r="I14" s="42">
        <v>1.1</v>
      </c>
      <c r="J14" s="16"/>
      <c r="K14" t="s" s="52">
        <v>24</v>
      </c>
      <c r="L14" s="11"/>
      <c r="M14" s="11"/>
      <c r="N14" s="11"/>
      <c r="O14" s="11"/>
      <c r="P14" s="11"/>
      <c r="Q14" s="11"/>
      <c r="R14" s="11"/>
      <c r="S14" s="11"/>
      <c r="T14" s="11"/>
    </row>
    <row r="15" ht="23" customHeight="1">
      <c r="A15" s="13"/>
      <c r="B15" t="s" s="51">
        <v>25</v>
      </c>
      <c r="C15" s="37">
        <v>2</v>
      </c>
      <c r="D15" s="38"/>
      <c r="E15" s="53">
        <f>G15+$K$15</f>
        <v>0.114595352233716</v>
      </c>
      <c r="F15" s="38"/>
      <c r="G15" s="54">
        <f>'WACC - SPOT'!B21</f>
        <v>0.109595352233716</v>
      </c>
      <c r="H15" s="38"/>
      <c r="I15" s="54">
        <f>G15-$K$15</f>
        <v>0.104595352233716</v>
      </c>
      <c r="J15" s="38"/>
      <c r="K15" s="55">
        <v>0.005</v>
      </c>
      <c r="L15" s="16"/>
      <c r="M15" s="11"/>
      <c r="N15" s="11"/>
      <c r="O15" s="11"/>
      <c r="P15" s="11"/>
      <c r="Q15" s="11"/>
      <c r="R15" s="11"/>
      <c r="S15" s="11"/>
      <c r="T15" s="11"/>
    </row>
    <row r="16" ht="23" customHeight="1">
      <c r="A16" s="13"/>
      <c r="B16" t="s" s="51">
        <v>26</v>
      </c>
      <c r="C16" s="45">
        <v>2</v>
      </c>
      <c r="D16" s="38"/>
      <c r="E16" s="56">
        <f>G16-$K$16</f>
        <v>0.015</v>
      </c>
      <c r="F16" s="38"/>
      <c r="G16" s="47">
        <v>0.02</v>
      </c>
      <c r="H16" s="38"/>
      <c r="I16" s="46">
        <f>G16+$K$16</f>
        <v>0.025</v>
      </c>
      <c r="J16" s="38"/>
      <c r="K16" s="55">
        <v>0.005</v>
      </c>
      <c r="L16" s="16"/>
      <c r="M16" s="11"/>
      <c r="N16" s="11"/>
      <c r="O16" s="11"/>
      <c r="P16" s="11"/>
      <c r="Q16" s="11"/>
      <c r="R16" s="11"/>
      <c r="S16" s="11"/>
      <c r="T16" s="11"/>
    </row>
    <row r="17" ht="22" customHeight="1">
      <c r="A17" s="13"/>
      <c r="B17" s="48"/>
      <c r="C17" s="49"/>
      <c r="D17" s="11"/>
      <c r="E17" s="27"/>
      <c r="F17" s="11"/>
      <c r="G17" s="27"/>
      <c r="H17" s="11"/>
      <c r="I17" s="27"/>
      <c r="J17" s="11"/>
      <c r="K17" s="57"/>
      <c r="L17" s="11"/>
      <c r="M17" s="11"/>
      <c r="N17" s="11"/>
      <c r="O17" s="11"/>
      <c r="P17" s="11"/>
      <c r="Q17" s="11"/>
      <c r="R17" s="11"/>
      <c r="S17" s="11"/>
      <c r="T17" s="11"/>
    </row>
    <row r="18" ht="22" customHeight="1">
      <c r="A18" s="13"/>
      <c r="B18" t="s" s="51">
        <v>25</v>
      </c>
      <c r="C18" s="54">
        <f>CHOOSE(C15,E15,G15,I15)</f>
        <v>0.109595352233716</v>
      </c>
      <c r="D18" s="16"/>
      <c r="E18" s="11"/>
      <c r="F18" s="11"/>
      <c r="G18" s="11"/>
      <c r="H18" s="11"/>
      <c r="I18" s="11"/>
      <c r="J18" s="11"/>
      <c r="K18" s="11"/>
      <c r="L18" s="11"/>
      <c r="M18" s="11"/>
      <c r="N18" s="11"/>
      <c r="O18" s="11"/>
      <c r="P18" s="11"/>
      <c r="Q18" s="11"/>
      <c r="R18" s="11"/>
      <c r="S18" s="11"/>
      <c r="T18" s="11"/>
    </row>
    <row r="19" ht="22" customHeight="1">
      <c r="A19" s="13"/>
      <c r="B19" t="s" s="51">
        <v>26</v>
      </c>
      <c r="C19" s="47">
        <f>CHOOSE(C16,E16,G16,I16)</f>
        <v>0.02</v>
      </c>
      <c r="D19" s="16"/>
      <c r="E19" s="11"/>
      <c r="F19" s="11"/>
      <c r="G19" s="11"/>
      <c r="H19" s="11"/>
      <c r="I19" s="11"/>
      <c r="J19" s="11"/>
      <c r="K19" s="11"/>
      <c r="L19" s="11"/>
      <c r="M19" s="11"/>
      <c r="N19" s="11"/>
      <c r="O19" s="11"/>
      <c r="P19" s="11"/>
      <c r="Q19" s="11"/>
      <c r="R19" s="11"/>
      <c r="S19" s="11"/>
      <c r="T19" s="11"/>
    </row>
    <row r="20" ht="21.5" customHeight="1">
      <c r="A20" s="13"/>
      <c r="B20" s="9"/>
      <c r="C20" s="58"/>
      <c r="D20" s="11"/>
      <c r="E20" s="11"/>
      <c r="F20" s="11"/>
      <c r="G20" s="11"/>
      <c r="H20" s="11"/>
      <c r="I20" s="11"/>
      <c r="J20" s="11"/>
      <c r="K20" t="s" s="59">
        <v>27</v>
      </c>
      <c r="L20" s="36"/>
      <c r="M20" s="11"/>
      <c r="N20" s="11"/>
      <c r="O20" s="11"/>
      <c r="P20" s="11"/>
      <c r="Q20" s="11"/>
      <c r="R20" s="11"/>
      <c r="S20" s="11"/>
      <c r="T20" s="11"/>
    </row>
    <row r="21" ht="21" customHeight="1">
      <c r="A21" t="s" s="29">
        <v>13</v>
      </c>
      <c r="B21" t="s" s="30">
        <v>28</v>
      </c>
      <c r="C21" s="31"/>
      <c r="D21" s="32"/>
      <c r="E21" s="60">
        <v>2016</v>
      </c>
      <c r="F21" s="60">
        <v>2017</v>
      </c>
      <c r="G21" s="60">
        <v>2018</v>
      </c>
      <c r="H21" s="60">
        <v>2019</v>
      </c>
      <c r="I21" s="60">
        <v>2020</v>
      </c>
      <c r="J21" s="60">
        <v>2021</v>
      </c>
      <c r="K21" s="60">
        <v>2022</v>
      </c>
      <c r="L21" s="60">
        <v>2023</v>
      </c>
      <c r="M21" s="60">
        <v>2024</v>
      </c>
      <c r="N21" s="60">
        <v>2025</v>
      </c>
      <c r="O21" s="60">
        <v>2026</v>
      </c>
      <c r="P21" s="60">
        <v>2027</v>
      </c>
      <c r="Q21" s="60">
        <v>2028</v>
      </c>
      <c r="R21" s="60">
        <v>2029</v>
      </c>
      <c r="S21" s="60">
        <v>2030</v>
      </c>
      <c r="T21" s="60">
        <v>2031</v>
      </c>
    </row>
    <row r="22" ht="21" customHeight="1">
      <c r="A22" s="13"/>
      <c r="B22" s="25"/>
      <c r="C22" s="28"/>
      <c r="D22" s="11"/>
      <c r="E22" s="61"/>
      <c r="F22" s="61"/>
      <c r="G22" s="61"/>
      <c r="H22" s="61"/>
      <c r="I22" s="61"/>
      <c r="J22" s="62"/>
      <c r="K22" s="61"/>
      <c r="L22" s="61"/>
      <c r="M22" s="61"/>
      <c r="N22" s="61"/>
      <c r="O22" s="61"/>
      <c r="P22" s="61"/>
      <c r="Q22" s="61"/>
      <c r="R22" s="61"/>
      <c r="S22" s="61"/>
      <c r="T22" s="61"/>
    </row>
    <row r="23" ht="21" customHeight="1">
      <c r="A23" s="13"/>
      <c r="B23" t="s" s="34">
        <f>$B9</f>
        <v>29</v>
      </c>
      <c r="C23" s="28"/>
      <c r="D23" s="63"/>
      <c r="E23" s="63">
        <v>48</v>
      </c>
      <c r="F23" s="63">
        <v>71</v>
      </c>
      <c r="G23" s="63">
        <v>96</v>
      </c>
      <c r="H23" s="63">
        <v>124</v>
      </c>
      <c r="I23" s="63">
        <v>155</v>
      </c>
      <c r="J23" s="63">
        <v>180</v>
      </c>
      <c r="K23" s="61">
        <f>J23*(1+K24)</f>
        <v>216</v>
      </c>
      <c r="L23" s="61">
        <f>K23*(1+L24)</f>
        <v>255.12</v>
      </c>
      <c r="M23" s="61">
        <f>L23*(1+M24)</f>
        <v>296.506133333333</v>
      </c>
      <c r="N23" s="61">
        <f>M23*(1+N24)</f>
        <v>339.005345777777</v>
      </c>
      <c r="O23" s="61">
        <f>N23*(1+O24)</f>
        <v>381.192677696789</v>
      </c>
      <c r="P23" s="61">
        <f>O23*(1+P24)</f>
        <v>421.429682564783</v>
      </c>
      <c r="Q23" s="61">
        <f>P23*(1+Q24)</f>
        <v>457.953588387064</v>
      </c>
      <c r="R23" s="61">
        <f>Q23*(1+R24)</f>
        <v>488.992664933298</v>
      </c>
      <c r="S23" s="61">
        <f>R23*(1+S24)</f>
        <v>512.8989729967039</v>
      </c>
      <c r="T23" s="61">
        <f>S23*(1+T24)</f>
        <v>528.285942186605</v>
      </c>
    </row>
    <row r="24" ht="21.5" customHeight="1">
      <c r="A24" s="64"/>
      <c r="B24" t="s" s="65">
        <v>30</v>
      </c>
      <c r="C24" s="66"/>
      <c r="D24" s="67"/>
      <c r="E24" s="68"/>
      <c r="F24" s="68">
        <f>F23/E23-1</f>
        <v>0.479166666666667</v>
      </c>
      <c r="G24" s="68">
        <f>G23/F23-1</f>
        <v>0.352112676056338</v>
      </c>
      <c r="H24" s="68">
        <f>H23/G23-1</f>
        <v>0.291666666666667</v>
      </c>
      <c r="I24" s="68">
        <f>I23/H23-1</f>
        <v>0.25</v>
      </c>
      <c r="J24" s="68">
        <f>J23/I23-1</f>
        <v>0.161290322580645</v>
      </c>
      <c r="K24" s="69">
        <f>OFFSET(K24,$C$9,0)</f>
        <v>0.2</v>
      </c>
      <c r="L24" s="69">
        <f>OFFSET(L24,$C$9,0)</f>
        <v>0.181111111111111</v>
      </c>
      <c r="M24" s="69">
        <f>OFFSET(M24,$C$9,0)</f>
        <v>0.162222222222222</v>
      </c>
      <c r="N24" s="69">
        <f>OFFSET(N24,$C$9,0)</f>
        <v>0.143333333333333</v>
      </c>
      <c r="O24" s="69">
        <f>OFFSET(O24,$C$9,0)</f>
        <v>0.124444444444444</v>
      </c>
      <c r="P24" s="69">
        <f>OFFSET(P24,$C$9,0)</f>
        <v>0.105555555555555</v>
      </c>
      <c r="Q24" s="69">
        <f>OFFSET(Q24,$C$9,0)</f>
        <v>0.08666666666666629</v>
      </c>
      <c r="R24" s="69">
        <f>OFFSET(R24,$C$9,0)</f>
        <v>0.06777777777777751</v>
      </c>
      <c r="S24" s="69">
        <f>OFFSET(S24,$C$9,0)</f>
        <v>0.0488888888888888</v>
      </c>
      <c r="T24" s="69">
        <f>OFFSET(T24,$C$9,0)</f>
        <v>0.03</v>
      </c>
    </row>
    <row r="25" ht="22" customHeight="1">
      <c r="A25" s="13"/>
      <c r="B25" t="s" s="34">
        <v>31</v>
      </c>
      <c r="C25" s="28"/>
      <c r="D25" s="11"/>
      <c r="E25" s="63"/>
      <c r="F25" s="63"/>
      <c r="G25" s="63"/>
      <c r="H25" s="63"/>
      <c r="I25" s="63"/>
      <c r="J25" s="70"/>
      <c r="K25" s="71">
        <f>K26</f>
        <v>0.2</v>
      </c>
      <c r="L25" s="71">
        <f>L26</f>
        <v>0.181111111111111</v>
      </c>
      <c r="M25" s="71">
        <f>M26*$E$9</f>
        <v>0.129777777777778</v>
      </c>
      <c r="N25" s="71">
        <f>N26*$E$9</f>
        <v>0.114666666666666</v>
      </c>
      <c r="O25" s="71">
        <f>O26*$E$9</f>
        <v>0.0995555555555552</v>
      </c>
      <c r="P25" s="71">
        <f>P26*$E$9</f>
        <v>0.084444444444444</v>
      </c>
      <c r="Q25" s="71">
        <f>Q26*$E$9</f>
        <v>0.069333333333333</v>
      </c>
      <c r="R25" s="71">
        <f>R26*$E$9</f>
        <v>0.054222222222222</v>
      </c>
      <c r="S25" s="71">
        <f>S26*$E$9</f>
        <v>0.039111111111111</v>
      </c>
      <c r="T25" s="71">
        <f>T26*$E$9</f>
        <v>0.024</v>
      </c>
    </row>
    <row r="26" ht="22" customHeight="1">
      <c r="A26" s="13"/>
      <c r="B26" t="s" s="34">
        <v>32</v>
      </c>
      <c r="C26" s="28"/>
      <c r="D26" s="11"/>
      <c r="E26" s="63"/>
      <c r="F26" s="63"/>
      <c r="G26" s="63"/>
      <c r="H26" s="63"/>
      <c r="I26" s="63"/>
      <c r="J26" s="70"/>
      <c r="K26" s="71">
        <v>0.2</v>
      </c>
      <c r="L26" s="71">
        <f>K26-(K26-$T$26)/($T$21-K21)</f>
        <v>0.181111111111111</v>
      </c>
      <c r="M26" s="71">
        <f>L26-(L26-$T$26)/($T$21-L21)</f>
        <v>0.162222222222222</v>
      </c>
      <c r="N26" s="71">
        <f>M26-(M26-$T$26)/($T$21-M21)</f>
        <v>0.143333333333333</v>
      </c>
      <c r="O26" s="71">
        <f>N26-(N26-$T$26)/($T$21-N21)</f>
        <v>0.124444444444444</v>
      </c>
      <c r="P26" s="71">
        <f>O26-(O26-$T$26)/($T$21-O21)</f>
        <v>0.105555555555555</v>
      </c>
      <c r="Q26" s="71">
        <f>P26-(P26-$T$26)/($T$21-P21)</f>
        <v>0.08666666666666629</v>
      </c>
      <c r="R26" s="71">
        <f>Q26-(Q26-$T$26)/($T$21-Q21)</f>
        <v>0.06777777777777751</v>
      </c>
      <c r="S26" s="71">
        <f>R26-(R26-$T$26)/($T$21-R21)</f>
        <v>0.0488888888888888</v>
      </c>
      <c r="T26" s="71">
        <f>G9</f>
        <v>0.03</v>
      </c>
    </row>
    <row r="27" ht="22" customHeight="1">
      <c r="A27" s="13"/>
      <c r="B27" t="s" s="34">
        <v>33</v>
      </c>
      <c r="C27" s="28"/>
      <c r="D27" s="11"/>
      <c r="E27" s="63"/>
      <c r="F27" s="63"/>
      <c r="G27" s="63"/>
      <c r="H27" s="63"/>
      <c r="I27" s="63"/>
      <c r="J27" s="70"/>
      <c r="K27" s="71">
        <f>K26</f>
        <v>0.2</v>
      </c>
      <c r="L27" s="71">
        <f>L26</f>
        <v>0.181111111111111</v>
      </c>
      <c r="M27" s="71">
        <f>M26*$I$9</f>
        <v>0.194666666666666</v>
      </c>
      <c r="N27" s="71">
        <f>N26*$I$9</f>
        <v>0.172</v>
      </c>
      <c r="O27" s="71">
        <f>O26*$I$9</f>
        <v>0.149333333333333</v>
      </c>
      <c r="P27" s="71">
        <f>P26*$I$9</f>
        <v>0.126666666666666</v>
      </c>
      <c r="Q27" s="71">
        <f>Q26*$I$9</f>
        <v>0.104</v>
      </c>
      <c r="R27" s="71">
        <f>R26*$I$9</f>
        <v>0.08133333333333299</v>
      </c>
      <c r="S27" s="71">
        <f>S26*$I$9</f>
        <v>0.0586666666666666</v>
      </c>
      <c r="T27" s="71">
        <f>T26*$I$9</f>
        <v>0.036</v>
      </c>
    </row>
    <row r="28" ht="21.5" customHeight="1">
      <c r="A28" s="72"/>
      <c r="B28" s="73"/>
      <c r="C28" s="74"/>
      <c r="D28" s="67"/>
      <c r="E28" s="75"/>
      <c r="F28" s="76"/>
      <c r="G28" s="76"/>
      <c r="H28" s="76"/>
      <c r="I28" s="76"/>
      <c r="J28" s="76"/>
      <c r="K28" s="77"/>
      <c r="L28" s="77"/>
      <c r="M28" s="77"/>
      <c r="N28" s="77"/>
      <c r="O28" s="77"/>
      <c r="P28" s="77"/>
      <c r="Q28" s="77"/>
      <c r="R28" s="77"/>
      <c r="S28" s="77"/>
      <c r="T28" s="77"/>
    </row>
    <row r="29" ht="21" customHeight="1">
      <c r="A29" s="78"/>
      <c r="B29" t="s" s="34">
        <f>$B10</f>
        <v>34</v>
      </c>
      <c r="C29" s="79"/>
      <c r="D29" s="63"/>
      <c r="E29" s="80">
        <v>78</v>
      </c>
      <c r="F29" s="80">
        <v>93</v>
      </c>
      <c r="G29" s="80">
        <v>116</v>
      </c>
      <c r="H29" s="80">
        <v>153</v>
      </c>
      <c r="I29" s="80">
        <v>199</v>
      </c>
      <c r="J29" s="80">
        <v>236</v>
      </c>
      <c r="K29" s="81">
        <f>J29*(1+K30)</f>
        <v>285.56</v>
      </c>
      <c r="L29" s="81">
        <f>K29*(1+L30)</f>
        <v>340.133688888889</v>
      </c>
      <c r="M29" s="81">
        <f>L29*(1+M30)</f>
        <v>398.712268641975</v>
      </c>
      <c r="N29" s="81">
        <f>M29*(1+N30)</f>
        <v>459.848149833744</v>
      </c>
      <c r="O29" s="81">
        <f>N29*(1+O30)</f>
        <v>521.672178866947</v>
      </c>
      <c r="P29" s="81">
        <f>O29*(1+P30)</f>
        <v>581.954297313794</v>
      </c>
      <c r="Q29" s="81">
        <f>P29*(1+Q30)</f>
        <v>638.209879387461</v>
      </c>
      <c r="R29" s="81">
        <f>Q29*(1+R30)</f>
        <v>687.848425562041</v>
      </c>
      <c r="S29" s="81">
        <f>R29*(1+S30)</f>
        <v>728.355055067361</v>
      </c>
      <c r="T29" s="81">
        <f>S29*(1+T30)</f>
        <v>757.489257270055</v>
      </c>
    </row>
    <row r="30" ht="21.5" customHeight="1">
      <c r="A30" s="82"/>
      <c r="B30" t="s" s="65">
        <v>30</v>
      </c>
      <c r="C30" s="83"/>
      <c r="D30" s="67"/>
      <c r="E30" s="84"/>
      <c r="F30" s="84">
        <f>F29/E29-1</f>
        <v>0.192307692307692</v>
      </c>
      <c r="G30" s="84">
        <f>G29/F29-1</f>
        <v>0.247311827956989</v>
      </c>
      <c r="H30" s="84">
        <f>H29/G29-1</f>
        <v>0.318965517241379</v>
      </c>
      <c r="I30" s="84">
        <f>I29/H29-1</f>
        <v>0.300653594771242</v>
      </c>
      <c r="J30" s="84">
        <f>J29/I29-1</f>
        <v>0.185929648241206</v>
      </c>
      <c r="K30" s="85">
        <f>OFFSET(K30,$C$10,0)</f>
        <v>0.21</v>
      </c>
      <c r="L30" s="85">
        <f>OFFSET(L30,$C$10,0)</f>
        <v>0.191111111111111</v>
      </c>
      <c r="M30" s="85">
        <f>OFFSET(M30,$C$10,0)</f>
        <v>0.172222222222222</v>
      </c>
      <c r="N30" s="85">
        <f>OFFSET(N30,$C$10,0)</f>
        <v>0.153333333333333</v>
      </c>
      <c r="O30" s="85">
        <f>OFFSET(O30,$C$10,0)</f>
        <v>0.134444444444444</v>
      </c>
      <c r="P30" s="85">
        <f>OFFSET(P30,$C$10,0)</f>
        <v>0.115555555555555</v>
      </c>
      <c r="Q30" s="85">
        <f>OFFSET(Q30,$C$10,0)</f>
        <v>0.0966666666666663</v>
      </c>
      <c r="R30" s="85">
        <f>OFFSET(R30,$C$10,0)</f>
        <v>0.0777777777777775</v>
      </c>
      <c r="S30" s="85">
        <f>OFFSET(S30,$C$10,0)</f>
        <v>0.0588888888888888</v>
      </c>
      <c r="T30" s="85">
        <f>OFFSET(T30,$C$10,0)</f>
        <v>0.04</v>
      </c>
    </row>
    <row r="31" ht="22" customHeight="1">
      <c r="A31" s="13"/>
      <c r="B31" t="s" s="34">
        <v>31</v>
      </c>
      <c r="C31" s="28"/>
      <c r="D31" s="11"/>
      <c r="E31" s="63"/>
      <c r="F31" s="63"/>
      <c r="G31" s="63"/>
      <c r="H31" s="63"/>
      <c r="I31" s="63"/>
      <c r="J31" s="70"/>
      <c r="K31" s="71">
        <f>K32</f>
        <v>0.21</v>
      </c>
      <c r="L31" s="71">
        <f>L32</f>
        <v>0.191111111111111</v>
      </c>
      <c r="M31" s="71">
        <f>M32*$E$10</f>
        <v>0.155</v>
      </c>
      <c r="N31" s="71">
        <f>N32*$E$10</f>
        <v>0.138</v>
      </c>
      <c r="O31" s="71">
        <f>O32*$E$10</f>
        <v>0.121</v>
      </c>
      <c r="P31" s="71">
        <f>P32*$E$10</f>
        <v>0.104</v>
      </c>
      <c r="Q31" s="71">
        <f>Q32*$E$10</f>
        <v>0.0869999999999997</v>
      </c>
      <c r="R31" s="71">
        <f>R32*$E$10</f>
        <v>0.0699999999999998</v>
      </c>
      <c r="S31" s="71">
        <f>S32*$E$10</f>
        <v>0.0529999999999999</v>
      </c>
      <c r="T31" s="71">
        <f>T32*$E$10</f>
        <v>0.036</v>
      </c>
    </row>
    <row r="32" ht="22" customHeight="1">
      <c r="A32" s="13"/>
      <c r="B32" t="s" s="34">
        <v>32</v>
      </c>
      <c r="C32" s="28"/>
      <c r="D32" s="11"/>
      <c r="E32" s="63"/>
      <c r="F32" s="63"/>
      <c r="G32" s="63"/>
      <c r="H32" s="63"/>
      <c r="I32" s="63"/>
      <c r="J32" s="70"/>
      <c r="K32" s="71">
        <v>0.21</v>
      </c>
      <c r="L32" s="86">
        <f>K32-(K32-$T$32)/($T$21-K21)</f>
        <v>0.191111111111111</v>
      </c>
      <c r="M32" s="71">
        <f>L32-(L32-$T$32)/($T$21-L21)</f>
        <v>0.172222222222222</v>
      </c>
      <c r="N32" s="71">
        <f>M32-(M32-$T$32)/($T$21-M21)</f>
        <v>0.153333333333333</v>
      </c>
      <c r="O32" s="71">
        <f>N32-(N32-$T$32)/($T$21-N21)</f>
        <v>0.134444444444444</v>
      </c>
      <c r="P32" s="71">
        <f>O32-(O32-$T$32)/($T$21-O21)</f>
        <v>0.115555555555555</v>
      </c>
      <c r="Q32" s="71">
        <f>P32-(P32-$T$32)/($T$21-P21)</f>
        <v>0.0966666666666663</v>
      </c>
      <c r="R32" s="71">
        <f>Q32-(Q32-$T$32)/($T$21-Q21)</f>
        <v>0.0777777777777775</v>
      </c>
      <c r="S32" s="71">
        <f>R32-(R32-$T$32)/($T$21-R21)</f>
        <v>0.0588888888888888</v>
      </c>
      <c r="T32" s="71">
        <f>G10</f>
        <v>0.04</v>
      </c>
    </row>
    <row r="33" ht="22" customHeight="1">
      <c r="A33" s="13"/>
      <c r="B33" t="s" s="34">
        <v>33</v>
      </c>
      <c r="C33" s="28"/>
      <c r="D33" s="11"/>
      <c r="E33" s="63"/>
      <c r="F33" s="63"/>
      <c r="G33" s="63"/>
      <c r="H33" s="63"/>
      <c r="I33" s="63"/>
      <c r="J33" s="70"/>
      <c r="K33" s="86">
        <f>K32</f>
        <v>0.21</v>
      </c>
      <c r="L33" s="87">
        <f>L32</f>
        <v>0.191111111111111</v>
      </c>
      <c r="M33" s="86">
        <f>M32*$I$10</f>
        <v>0.189444444444444</v>
      </c>
      <c r="N33" s="86">
        <f>N32*$I$10</f>
        <v>0.168666666666666</v>
      </c>
      <c r="O33" s="86">
        <f>O32*$I$10</f>
        <v>0.147888888888888</v>
      </c>
      <c r="P33" s="86">
        <f>P32*$I$10</f>
        <v>0.127111111111111</v>
      </c>
      <c r="Q33" s="86">
        <f>Q32*$I$10</f>
        <v>0.106333333333333</v>
      </c>
      <c r="R33" s="86">
        <f>R32*$I$10</f>
        <v>0.0855555555555553</v>
      </c>
      <c r="S33" s="86">
        <f>S32*$I$10</f>
        <v>0.0647777777777777</v>
      </c>
      <c r="T33" s="86">
        <f>T32*$I$10</f>
        <v>0.044</v>
      </c>
    </row>
    <row r="34" ht="22" customHeight="1">
      <c r="A34" s="88"/>
      <c r="B34" s="89"/>
      <c r="C34" s="90"/>
      <c r="D34" s="91"/>
      <c r="E34" s="91"/>
      <c r="F34" s="91"/>
      <c r="G34" s="91"/>
      <c r="H34" s="91"/>
      <c r="I34" s="91"/>
      <c r="J34" s="91"/>
      <c r="K34" s="92"/>
      <c r="L34" s="92"/>
      <c r="M34" s="92"/>
      <c r="N34" s="92"/>
      <c r="O34" s="92"/>
      <c r="P34" s="92"/>
      <c r="Q34" s="92"/>
      <c r="R34" s="92"/>
      <c r="S34" s="92"/>
      <c r="T34" s="92"/>
    </row>
    <row r="35" ht="22" customHeight="1">
      <c r="A35" s="93"/>
      <c r="B35" t="s" s="94">
        <v>35</v>
      </c>
      <c r="C35" s="95"/>
      <c r="D35" s="92"/>
      <c r="E35" s="96">
        <f>E23+E29</f>
        <v>126</v>
      </c>
      <c r="F35" s="96">
        <f>F23+F29</f>
        <v>164</v>
      </c>
      <c r="G35" s="96">
        <f>G23+G29</f>
        <v>212</v>
      </c>
      <c r="H35" s="96">
        <f>H23+H29</f>
        <v>277</v>
      </c>
      <c r="I35" s="96">
        <f>I23+I29</f>
        <v>354</v>
      </c>
      <c r="J35" s="96">
        <f>J23+J29</f>
        <v>416</v>
      </c>
      <c r="K35" s="96">
        <f>K23+K29</f>
        <v>501.56</v>
      </c>
      <c r="L35" s="96">
        <f>L23+L29</f>
        <v>595.253688888889</v>
      </c>
      <c r="M35" s="96">
        <f>M23+M29</f>
        <v>695.218401975308</v>
      </c>
      <c r="N35" s="96">
        <f>N23+N29</f>
        <v>798.853495611521</v>
      </c>
      <c r="O35" s="96">
        <f>O23+O29</f>
        <v>902.864856563736</v>
      </c>
      <c r="P35" s="96">
        <f>P23+P29</f>
        <v>1003.383979878580</v>
      </c>
      <c r="Q35" s="96">
        <f>Q23+Q29</f>
        <v>1096.163467774530</v>
      </c>
      <c r="R35" s="96">
        <f>R23+R29</f>
        <v>1176.841090495340</v>
      </c>
      <c r="S35" s="96">
        <f>S23+S29</f>
        <v>1241.254028064070</v>
      </c>
      <c r="T35" s="96">
        <f>T23+T29</f>
        <v>1285.775199456660</v>
      </c>
    </row>
    <row r="36" ht="21.5" customHeight="1">
      <c r="A36" s="97"/>
      <c r="B36" s="98"/>
      <c r="C36" s="99"/>
      <c r="D36" s="100"/>
      <c r="E36" s="101"/>
      <c r="F36" s="101"/>
      <c r="G36" s="101"/>
      <c r="H36" s="101"/>
      <c r="I36" s="101"/>
      <c r="J36" s="101"/>
      <c r="K36" s="101"/>
      <c r="L36" s="101"/>
      <c r="M36" s="101"/>
      <c r="N36" s="101"/>
      <c r="O36" s="101"/>
      <c r="P36" s="101"/>
      <c r="Q36" s="101"/>
      <c r="R36" s="101"/>
      <c r="S36" s="101"/>
      <c r="T36" s="101"/>
    </row>
    <row r="37" ht="21" customHeight="1">
      <c r="A37" s="64"/>
      <c r="B37" t="s" s="34">
        <f>$B11</f>
        <v>36</v>
      </c>
      <c r="C37" s="66"/>
      <c r="D37" s="68"/>
      <c r="E37" s="80">
        <v>2657</v>
      </c>
      <c r="F37" s="80">
        <v>3674</v>
      </c>
      <c r="G37" s="80">
        <v>4717</v>
      </c>
      <c r="H37" s="80">
        <v>6086</v>
      </c>
      <c r="I37" s="80">
        <v>7135</v>
      </c>
      <c r="J37" s="80">
        <v>8460</v>
      </c>
      <c r="K37" s="81">
        <f>J37*(1+K38)</f>
        <v>9280.620000000001</v>
      </c>
      <c r="L37" s="81">
        <f>K37*(1+L38)</f>
        <v>10723.75641</v>
      </c>
      <c r="M37" s="81">
        <f>L37*(1+M38)</f>
        <v>12290.0950806356</v>
      </c>
      <c r="N37" s="81">
        <f>M37*(1+N38)</f>
        <v>13969.2293210274</v>
      </c>
      <c r="O37" s="81">
        <f>N37*(1+O38)</f>
        <v>15745.9406752956</v>
      </c>
      <c r="P37" s="81">
        <f>O37*(1+P38)</f>
        <v>17600.0251898117</v>
      </c>
      <c r="Q37" s="81">
        <f>P37*(1+Q38)</f>
        <v>19506.3279181832</v>
      </c>
      <c r="R37" s="81">
        <f>Q37*(1+R38)</f>
        <v>21435.0160910936</v>
      </c>
      <c r="S37" s="81">
        <f>R37*(1+S38)</f>
        <v>23352.1103427408</v>
      </c>
      <c r="T37" s="81">
        <f>S37*(1+T38)</f>
        <v>25220.2791701601</v>
      </c>
    </row>
    <row r="38" ht="21.5" customHeight="1">
      <c r="A38" s="64"/>
      <c r="B38" t="s" s="65">
        <v>30</v>
      </c>
      <c r="C38" s="66"/>
      <c r="D38" s="68"/>
      <c r="E38" s="84"/>
      <c r="F38" s="84">
        <f>F37/E37-1</f>
        <v>0.382762514113662</v>
      </c>
      <c r="G38" s="84">
        <f>G37/F37-1</f>
        <v>0.283886771910724</v>
      </c>
      <c r="H38" s="84">
        <f>H37/G37-1</f>
        <v>0.290226839092644</v>
      </c>
      <c r="I38" s="84">
        <f>I37/H37-1</f>
        <v>0.172362799868551</v>
      </c>
      <c r="J38" s="84">
        <f>J37/I37-1</f>
        <v>0.185704274702172</v>
      </c>
      <c r="K38" s="85">
        <f>OFFSET(K38,$C$11,0)</f>
        <v>0.097</v>
      </c>
      <c r="L38" s="85">
        <f>OFFSET(L38,$C$11,0)</f>
        <v>0.1555</v>
      </c>
      <c r="M38" s="85">
        <f>OFFSET(M38,$C$11,0)</f>
        <v>0.1460625</v>
      </c>
      <c r="N38" s="85">
        <f>OFFSET(N38,$C$11,0)</f>
        <v>0.136625</v>
      </c>
      <c r="O38" s="85">
        <f>OFFSET(O38,$C$11,0)</f>
        <v>0.1271875</v>
      </c>
      <c r="P38" s="85">
        <f>OFFSET(P38,$C$11,0)</f>
        <v>0.11775</v>
      </c>
      <c r="Q38" s="85">
        <f>OFFSET(Q38,$C$11,0)</f>
        <v>0.1083125</v>
      </c>
      <c r="R38" s="85">
        <f>OFFSET(R38,$C$11,0)</f>
        <v>0.098875</v>
      </c>
      <c r="S38" s="85">
        <f>OFFSET(S38,$C$11,0)</f>
        <v>0.0894375</v>
      </c>
      <c r="T38" s="85">
        <f>OFFSET(T38,$C$11,0)</f>
        <v>0.08</v>
      </c>
    </row>
    <row r="39" ht="22" customHeight="1">
      <c r="A39" s="64"/>
      <c r="B39" t="s" s="34">
        <v>31</v>
      </c>
      <c r="C39" s="66"/>
      <c r="D39" s="68"/>
      <c r="E39" s="68"/>
      <c r="F39" s="68"/>
      <c r="G39" s="68"/>
      <c r="H39" s="68"/>
      <c r="I39" s="68"/>
      <c r="J39" s="102"/>
      <c r="K39" s="71">
        <f>K40</f>
        <v>0.097</v>
      </c>
      <c r="L39" s="86">
        <f>L40</f>
        <v>0.1555</v>
      </c>
      <c r="M39" s="86">
        <f>M40*$E$11</f>
        <v>0.13145625</v>
      </c>
      <c r="N39" s="86">
        <f>N40*$E$11</f>
        <v>0.1229625</v>
      </c>
      <c r="O39" s="86">
        <f>O40*$E$11</f>
        <v>0.11446875</v>
      </c>
      <c r="P39" s="86">
        <f>P40*$E$11</f>
        <v>0.105975</v>
      </c>
      <c r="Q39" s="86">
        <f>Q40*$E$11</f>
        <v>0.09748125000000001</v>
      </c>
      <c r="R39" s="86">
        <f>R40*$E$11</f>
        <v>0.0889875</v>
      </c>
      <c r="S39" s="86">
        <f>S40*$E$11</f>
        <v>0.08049375</v>
      </c>
      <c r="T39" s="86">
        <f>T40*$E$11</f>
        <v>0.07199999999999999</v>
      </c>
    </row>
    <row r="40" ht="22" customHeight="1">
      <c r="A40" s="64"/>
      <c r="B40" t="s" s="34">
        <v>32</v>
      </c>
      <c r="C40" s="66"/>
      <c r="D40" s="68"/>
      <c r="E40" s="68"/>
      <c r="F40" s="68"/>
      <c r="G40" s="68"/>
      <c r="H40" s="68"/>
      <c r="I40" s="68"/>
      <c r="J40" s="102"/>
      <c r="K40" s="71">
        <v>0.097</v>
      </c>
      <c r="L40" s="103">
        <v>0.1555</v>
      </c>
      <c r="M40" s="103">
        <f>L40-(L40-$T$40)/($T$21-L21)</f>
        <v>0.1460625</v>
      </c>
      <c r="N40" s="103">
        <f>M40-(M40-$T$40)/($T$21-M21)</f>
        <v>0.136625</v>
      </c>
      <c r="O40" s="103">
        <f>N40-(N40-$T$40)/($T$21-N21)</f>
        <v>0.1271875</v>
      </c>
      <c r="P40" s="103">
        <f>O40-(O40-$T$40)/($T$21-O21)</f>
        <v>0.11775</v>
      </c>
      <c r="Q40" s="103">
        <f>P40-(P40-$T$40)/($T$21-P21)</f>
        <v>0.1083125</v>
      </c>
      <c r="R40" s="103">
        <f>Q40-(Q40-$T$40)/($T$21-Q21)</f>
        <v>0.098875</v>
      </c>
      <c r="S40" s="103">
        <f>R40-(R40-$T$40)/($T$21-R21)</f>
        <v>0.0894375</v>
      </c>
      <c r="T40" s="103">
        <f>G11</f>
        <v>0.08</v>
      </c>
    </row>
    <row r="41" ht="22" customHeight="1">
      <c r="A41" s="64"/>
      <c r="B41" t="s" s="34">
        <v>33</v>
      </c>
      <c r="C41" s="66"/>
      <c r="D41" s="68"/>
      <c r="E41" s="68"/>
      <c r="F41" s="68"/>
      <c r="G41" s="68"/>
      <c r="H41" s="68"/>
      <c r="I41" s="68"/>
      <c r="J41" s="102"/>
      <c r="K41" s="86">
        <f>K40</f>
        <v>0.097</v>
      </c>
      <c r="L41" s="86">
        <f>L40</f>
        <v>0.1555</v>
      </c>
      <c r="M41" s="86">
        <f>M40*$I$11</f>
        <v>0.16066875</v>
      </c>
      <c r="N41" s="86">
        <f>N40*$I$11</f>
        <v>0.1502875</v>
      </c>
      <c r="O41" s="86">
        <f>O40*$I$11</f>
        <v>0.13990625</v>
      </c>
      <c r="P41" s="86">
        <f>P40*$I$11</f>
        <v>0.129525</v>
      </c>
      <c r="Q41" s="86">
        <f>Q40*$I$11</f>
        <v>0.11914375</v>
      </c>
      <c r="R41" s="86">
        <f>R40*$I$11</f>
        <v>0.1087625</v>
      </c>
      <c r="S41" s="86">
        <f>S40*$I$11</f>
        <v>0.09838125</v>
      </c>
      <c r="T41" s="86">
        <f>T40*$I$11</f>
        <v>0.08799999999999999</v>
      </c>
    </row>
    <row r="42" ht="21.5" customHeight="1">
      <c r="A42" s="64"/>
      <c r="B42" t="s" s="34">
        <v>37</v>
      </c>
      <c r="C42" s="66"/>
      <c r="D42" s="68"/>
      <c r="E42" s="68"/>
      <c r="F42" s="68">
        <f>F37/F60</f>
        <v>0.898288508557457</v>
      </c>
      <c r="G42" s="68">
        <f>G37/G60</f>
        <v>0.896938581479369</v>
      </c>
      <c r="H42" s="68">
        <f>H37/H60</f>
        <v>0.899763453577765</v>
      </c>
      <c r="I42" s="68">
        <f>I37/I60</f>
        <v>0.905456852791878</v>
      </c>
      <c r="J42" s="68">
        <f>J37/J60</f>
        <v>0.875051717004551</v>
      </c>
      <c r="K42" s="100">
        <f>K37/K60</f>
        <v>0.874255095869609</v>
      </c>
      <c r="L42" s="100">
        <f>L37/L60</f>
        <v>0.872403813730751</v>
      </c>
      <c r="M42" s="100">
        <f>M37/M60</f>
        <v>0.869783168066261</v>
      </c>
      <c r="N42" s="100">
        <f>N37/N60</f>
        <v>0.866346549333823</v>
      </c>
      <c r="O42" s="100">
        <f>O37/O60</f>
        <v>0.862034413767132</v>
      </c>
      <c r="P42" s="100">
        <f>P37/P60</f>
        <v>0.856773210805562</v>
      </c>
      <c r="Q42" s="100">
        <f>Q37/Q60</f>
        <v>0.85047419758401</v>
      </c>
      <c r="R42" s="100">
        <f>R37/R60</f>
        <v>0.843032202415271</v>
      </c>
      <c r="S42" s="100">
        <f>S37/S60</f>
        <v>0.834324438168482</v>
      </c>
      <c r="T42" s="100">
        <f>T37/T60</f>
        <v>0.824209521462178</v>
      </c>
    </row>
    <row r="43" ht="21" customHeight="1">
      <c r="A43" s="64"/>
      <c r="B43" s="25"/>
      <c r="C43" s="66"/>
      <c r="D43" s="68"/>
      <c r="E43" s="76"/>
      <c r="F43" s="76"/>
      <c r="G43" s="76"/>
      <c r="H43" s="76"/>
      <c r="I43" s="76"/>
      <c r="J43" s="76"/>
      <c r="K43" s="76"/>
      <c r="L43" s="76"/>
      <c r="M43" s="76"/>
      <c r="N43" s="76"/>
      <c r="O43" s="76"/>
      <c r="P43" s="76"/>
      <c r="Q43" s="76"/>
      <c r="R43" s="76"/>
      <c r="S43" s="76"/>
      <c r="T43" s="76"/>
    </row>
    <row r="44" ht="21" customHeight="1">
      <c r="A44" s="64"/>
      <c r="B44" t="s" s="34">
        <f>$B12</f>
        <v>38</v>
      </c>
      <c r="C44" s="66"/>
      <c r="D44" s="68"/>
      <c r="E44" s="80">
        <v>295</v>
      </c>
      <c r="F44" s="80">
        <v>416</v>
      </c>
      <c r="G44" s="80">
        <v>542</v>
      </c>
      <c r="H44" s="80">
        <v>678</v>
      </c>
      <c r="I44" s="80">
        <v>745</v>
      </c>
      <c r="J44" s="80">
        <v>1208</v>
      </c>
      <c r="K44" s="81">
        <f>J44*(1+K45)</f>
        <v>1334.84</v>
      </c>
      <c r="L44" s="81">
        <f>K44*(1+L45)</f>
        <v>1568.437</v>
      </c>
      <c r="M44" s="81">
        <f>L44*(1+M45)</f>
        <v>1839.972655625</v>
      </c>
      <c r="N44" s="81">
        <f>M44*(1+N45)</f>
        <v>2155.067972900780</v>
      </c>
      <c r="O44" s="81">
        <f>N44*(1+O45)</f>
        <v>2520.082610810850</v>
      </c>
      <c r="P44" s="81">
        <f>O44*(1+P45)</f>
        <v>2942.196448121670</v>
      </c>
      <c r="Q44" s="81">
        <f>P44*(1+Q45)</f>
        <v>3429.497734841820</v>
      </c>
      <c r="R44" s="81">
        <f>Q44*(1+R45)</f>
        <v>3991.077988922170</v>
      </c>
      <c r="S44" s="81">
        <f>R44*(1+S45)</f>
        <v>4637.133738378950</v>
      </c>
      <c r="T44" s="81">
        <f>S44*(1+T45)</f>
        <v>5379.075136519580</v>
      </c>
    </row>
    <row r="45" ht="21.5" customHeight="1">
      <c r="A45" s="64"/>
      <c r="B45" t="s" s="65">
        <v>30</v>
      </c>
      <c r="C45" s="66"/>
      <c r="D45" s="68"/>
      <c r="E45" s="84"/>
      <c r="F45" s="84">
        <f>F44/E44-1</f>
        <v>0.410169491525424</v>
      </c>
      <c r="G45" s="84">
        <f>G44/F44-1</f>
        <v>0.302884615384615</v>
      </c>
      <c r="H45" s="84">
        <f>H44/G44-1</f>
        <v>0.250922509225092</v>
      </c>
      <c r="I45" s="84">
        <f>I44/H44-1</f>
        <v>0.0988200589970501</v>
      </c>
      <c r="J45" s="84">
        <f>J44/I44-1</f>
        <v>0.621476510067114</v>
      </c>
      <c r="K45" s="85">
        <f>OFFSET(K45,$C$12,0)</f>
        <v>0.105</v>
      </c>
      <c r="L45" s="85">
        <f>OFFSET(L45,$C$12,0)</f>
        <v>0.175</v>
      </c>
      <c r="M45" s="85">
        <f>OFFSET(M45,$C$12,0)</f>
        <v>0.173125</v>
      </c>
      <c r="N45" s="85">
        <f>OFFSET(N45,$C$12,0)</f>
        <v>0.17125</v>
      </c>
      <c r="O45" s="85">
        <f>OFFSET(O45,$C$12,0)</f>
        <v>0.169375</v>
      </c>
      <c r="P45" s="85">
        <f>OFFSET(P45,$C$12,0)</f>
        <v>0.1675</v>
      </c>
      <c r="Q45" s="85">
        <f>OFFSET(Q45,$C$12,0)</f>
        <v>0.165625</v>
      </c>
      <c r="R45" s="85">
        <f>OFFSET(R45,$C$12,0)</f>
        <v>0.16375</v>
      </c>
      <c r="S45" s="85">
        <f>OFFSET(S45,$C$12,0)</f>
        <v>0.161875</v>
      </c>
      <c r="T45" s="85">
        <f>OFFSET(T45,$C$12,0)</f>
        <v>0.16</v>
      </c>
    </row>
    <row r="46" ht="22" customHeight="1">
      <c r="A46" s="64"/>
      <c r="B46" t="s" s="34">
        <v>31</v>
      </c>
      <c r="C46" s="66"/>
      <c r="D46" s="68"/>
      <c r="E46" s="68"/>
      <c r="F46" s="68"/>
      <c r="G46" s="68"/>
      <c r="H46" s="68"/>
      <c r="I46" s="68"/>
      <c r="J46" s="102"/>
      <c r="K46" s="86">
        <v>0.105</v>
      </c>
      <c r="L46" s="71">
        <f>L47</f>
        <v>0.175</v>
      </c>
      <c r="M46" s="86">
        <f>M47*$E$12</f>
        <v>0.1558125</v>
      </c>
      <c r="N46" s="86">
        <f>N47*$E$12</f>
        <v>0.154125</v>
      </c>
      <c r="O46" s="86">
        <f>O47*$E$12</f>
        <v>0.1524375</v>
      </c>
      <c r="P46" s="86">
        <f>P47*$E$12</f>
        <v>0.15075</v>
      </c>
      <c r="Q46" s="86">
        <f>Q47*$E$12</f>
        <v>0.1490625</v>
      </c>
      <c r="R46" s="86">
        <f>R47*$E$12</f>
        <v>0.147375</v>
      </c>
      <c r="S46" s="86">
        <f>S47*$E$12</f>
        <v>0.1456875</v>
      </c>
      <c r="T46" s="86">
        <f>T47*$E$12</f>
        <v>0.144</v>
      </c>
    </row>
    <row r="47" ht="22" customHeight="1">
      <c r="A47" s="64"/>
      <c r="B47" t="s" s="34">
        <v>32</v>
      </c>
      <c r="C47" s="66"/>
      <c r="D47" s="68"/>
      <c r="E47" s="68"/>
      <c r="F47" s="68"/>
      <c r="G47" s="68"/>
      <c r="H47" s="68"/>
      <c r="I47" s="68"/>
      <c r="J47" s="102"/>
      <c r="K47" s="103">
        <v>0.105</v>
      </c>
      <c r="L47" s="86">
        <v>0.175</v>
      </c>
      <c r="M47" s="103">
        <f>L47-(L47-$T$47)/($T$21-L21)</f>
        <v>0.173125</v>
      </c>
      <c r="N47" s="103">
        <f>M47-(M47-$T$47)/($T$21-M21)</f>
        <v>0.17125</v>
      </c>
      <c r="O47" s="103">
        <f>N47-(N47-$T$47)/($T$21-N21)</f>
        <v>0.169375</v>
      </c>
      <c r="P47" s="103">
        <f>O47-(O47-$T$47)/($T$21-O21)</f>
        <v>0.1675</v>
      </c>
      <c r="Q47" s="103">
        <f>P47-(P47-$T$47)/($T$21-P21)</f>
        <v>0.165625</v>
      </c>
      <c r="R47" s="103">
        <f>Q47-(Q47-$T$47)/($T$21-Q21)</f>
        <v>0.16375</v>
      </c>
      <c r="S47" s="103">
        <f>R47-(R47-$T$47)/($T$21-R21)</f>
        <v>0.161875</v>
      </c>
      <c r="T47" s="103">
        <f>G12</f>
        <v>0.16</v>
      </c>
    </row>
    <row r="48" ht="22" customHeight="1">
      <c r="A48" s="64"/>
      <c r="B48" t="s" s="34">
        <v>33</v>
      </c>
      <c r="C48" s="66"/>
      <c r="D48" s="68"/>
      <c r="E48" s="68"/>
      <c r="F48" s="68"/>
      <c r="G48" s="68"/>
      <c r="H48" s="68"/>
      <c r="I48" s="68"/>
      <c r="J48" s="102"/>
      <c r="K48" s="86">
        <v>0.105</v>
      </c>
      <c r="L48" s="87">
        <f>L47</f>
        <v>0.175</v>
      </c>
      <c r="M48" s="86">
        <f>M47*$I$12</f>
        <v>0.1904375</v>
      </c>
      <c r="N48" s="86">
        <f>N47*$I$12</f>
        <v>0.188375</v>
      </c>
      <c r="O48" s="86">
        <f>O47*$I$12</f>
        <v>0.1863125</v>
      </c>
      <c r="P48" s="86">
        <f>P47*$I$12</f>
        <v>0.18425</v>
      </c>
      <c r="Q48" s="86">
        <f>Q47*$I$12</f>
        <v>0.1821875</v>
      </c>
      <c r="R48" s="86">
        <f>R47*$I$12</f>
        <v>0.180125</v>
      </c>
      <c r="S48" s="86">
        <f>S47*$I$12</f>
        <v>0.1780625</v>
      </c>
      <c r="T48" s="86">
        <f>T47*$I$12</f>
        <v>0.176</v>
      </c>
    </row>
    <row r="49" ht="21.5" customHeight="1">
      <c r="A49" s="64"/>
      <c r="B49" t="s" s="34">
        <v>37</v>
      </c>
      <c r="C49" s="66"/>
      <c r="D49" s="68"/>
      <c r="E49" s="68"/>
      <c r="F49" s="68">
        <f>F44/F60</f>
        <v>0.101711491442543</v>
      </c>
      <c r="G49" s="68">
        <f>G44/G60</f>
        <v>0.103061418520631</v>
      </c>
      <c r="H49" s="68">
        <f>H44/H60</f>
        <v>0.100236546422235</v>
      </c>
      <c r="I49" s="68">
        <f>I44/I60</f>
        <v>0.09454314720812181</v>
      </c>
      <c r="J49" s="68">
        <f>J44/J60</f>
        <v>0.124948282995449</v>
      </c>
      <c r="K49" s="100">
        <f>K44/K60</f>
        <v>0.125744904130391</v>
      </c>
      <c r="L49" s="100">
        <f>L44/L60</f>
        <v>0.127596186269249</v>
      </c>
      <c r="M49" s="100">
        <f>M44/M60</f>
        <v>0.130216831933739</v>
      </c>
      <c r="N49" s="100">
        <f>N44/N60</f>
        <v>0.133653450666176</v>
      </c>
      <c r="O49" s="100">
        <f>O44/O60</f>
        <v>0.137965586232865</v>
      </c>
      <c r="P49" s="100">
        <f>P44/P60</f>
        <v>0.143226789194436</v>
      </c>
      <c r="Q49" s="100">
        <f>Q44/Q60</f>
        <v>0.14952580241599</v>
      </c>
      <c r="R49" s="100">
        <f>R44/R60</f>
        <v>0.156967797584728</v>
      </c>
      <c r="S49" s="100">
        <f>S44/S60</f>
        <v>0.165675561831516</v>
      </c>
      <c r="T49" s="100">
        <f>T44/T60</f>
        <v>0.175790478537822</v>
      </c>
    </row>
    <row r="50" ht="21" customHeight="1">
      <c r="A50" s="64"/>
      <c r="B50" s="25"/>
      <c r="C50" s="66"/>
      <c r="D50" s="68"/>
      <c r="E50" s="76"/>
      <c r="F50" s="68"/>
      <c r="G50" s="68"/>
      <c r="H50" s="68"/>
      <c r="I50" s="68"/>
      <c r="J50" s="68"/>
      <c r="K50" s="68"/>
      <c r="L50" s="68"/>
      <c r="M50" s="68"/>
      <c r="N50" s="68"/>
      <c r="O50" s="68"/>
      <c r="P50" s="68"/>
      <c r="Q50" s="68"/>
      <c r="R50" s="68"/>
      <c r="S50" s="68"/>
      <c r="T50" s="68"/>
    </row>
    <row r="51" ht="21" customHeight="1">
      <c r="A51" s="64"/>
      <c r="B51" t="s" s="34">
        <v>39</v>
      </c>
      <c r="C51" s="66"/>
      <c r="D51" s="68"/>
      <c r="E51" s="81">
        <f>E37/E23</f>
        <v>55.3541666666667</v>
      </c>
      <c r="F51" s="61">
        <f>F37/F23</f>
        <v>51.7464788732394</v>
      </c>
      <c r="G51" s="61">
        <f>G37/G23</f>
        <v>49.1354166666667</v>
      </c>
      <c r="H51" s="61">
        <f>H37/H23</f>
        <v>49.0806451612903</v>
      </c>
      <c r="I51" s="61">
        <f>I37/I23</f>
        <v>46.0322580645161</v>
      </c>
      <c r="J51" s="61">
        <f>J37/J23</f>
        <v>47</v>
      </c>
      <c r="K51" s="61">
        <f>K37/K23</f>
        <v>42.9658333333333</v>
      </c>
      <c r="L51" s="61">
        <f>L37/L23</f>
        <v>42.0341659219191</v>
      </c>
      <c r="M51" s="61">
        <f>M37/M23</f>
        <v>41.4497162081266</v>
      </c>
      <c r="N51" s="61">
        <f>N37/N23</f>
        <v>41.2065163426197</v>
      </c>
      <c r="O51" s="61">
        <f>O37/O23</f>
        <v>41.307038662008</v>
      </c>
      <c r="P51" s="61">
        <f>P37/P23</f>
        <v>41.7626615256418</v>
      </c>
      <c r="Q51" s="61">
        <f>Q37/Q23</f>
        <v>42.5945519651576</v>
      </c>
      <c r="R51" s="61">
        <f>R37/R23</f>
        <v>43.835046266016</v>
      </c>
      <c r="S51" s="61">
        <f>S37/S23</f>
        <v>45.5296492529551</v>
      </c>
      <c r="T51" s="61">
        <f>T37/T23</f>
        <v>47.7398264011568</v>
      </c>
    </row>
    <row r="52" ht="21" customHeight="1">
      <c r="A52" s="64"/>
      <c r="B52" t="s" s="65">
        <v>30</v>
      </c>
      <c r="C52" s="66"/>
      <c r="D52" s="68"/>
      <c r="E52" s="84"/>
      <c r="F52" s="68">
        <f>F51/E51-1</f>
        <v>-0.06517463834569449</v>
      </c>
      <c r="G52" s="68">
        <f>G51/F51-1</f>
        <v>-0.0504587416076924</v>
      </c>
      <c r="H52" s="68">
        <f>H51/G51-1</f>
        <v>-0.00111470521859962</v>
      </c>
      <c r="I52" s="68">
        <f>I51/H51-1</f>
        <v>-0.0621097601051595</v>
      </c>
      <c r="J52" s="68">
        <f>J51/I51-1</f>
        <v>0.0210231254379824</v>
      </c>
      <c r="K52" s="68">
        <f>K51/J51-1</f>
        <v>-0.085833333333334</v>
      </c>
      <c r="L52" s="68">
        <f>L51/K51-1</f>
        <v>-0.0216839134524921</v>
      </c>
      <c r="M52" s="68">
        <f>M51/L51-1</f>
        <v>-0.0139041586998098</v>
      </c>
      <c r="N52" s="68">
        <f>N51/M51-1</f>
        <v>-0.00586734693877635</v>
      </c>
      <c r="O52" s="68">
        <f>O51/N51-1</f>
        <v>0.00243947628458779</v>
      </c>
      <c r="P52" s="68">
        <f>P51/O51-1</f>
        <v>0.0110301507537711</v>
      </c>
      <c r="Q52" s="68">
        <f>Q51/P51-1</f>
        <v>0.0199194785276084</v>
      </c>
      <c r="R52" s="68">
        <f>R51/Q51-1</f>
        <v>0.0291233090530715</v>
      </c>
      <c r="S52" s="68">
        <f>S51/R51-1</f>
        <v>0.0386586334745784</v>
      </c>
      <c r="T52" s="68">
        <f>T51/S51-1</f>
        <v>0.0485436893203883</v>
      </c>
    </row>
    <row r="53" ht="21" customHeight="1">
      <c r="A53" s="64"/>
      <c r="B53" s="73"/>
      <c r="C53" s="66"/>
      <c r="D53" s="68"/>
      <c r="E53" s="76"/>
      <c r="F53" s="76"/>
      <c r="G53" s="76"/>
      <c r="H53" s="76"/>
      <c r="I53" s="76"/>
      <c r="J53" s="76"/>
      <c r="K53" s="76"/>
      <c r="L53" s="76"/>
      <c r="M53" s="76"/>
      <c r="N53" s="76"/>
      <c r="O53" s="76"/>
      <c r="P53" s="76"/>
      <c r="Q53" s="76"/>
      <c r="R53" s="76"/>
      <c r="S53" s="76"/>
      <c r="T53" s="76"/>
    </row>
    <row r="54" ht="21" customHeight="1">
      <c r="A54" s="64"/>
      <c r="B54" t="s" s="34">
        <v>40</v>
      </c>
      <c r="C54" s="66"/>
      <c r="D54" s="68"/>
      <c r="E54" s="81">
        <f>E44/E29</f>
        <v>3.78205128205128</v>
      </c>
      <c r="F54" s="81">
        <f>F44/F29</f>
        <v>4.47311827956989</v>
      </c>
      <c r="G54" s="81">
        <f>G44/G29</f>
        <v>4.67241379310345</v>
      </c>
      <c r="H54" s="81">
        <f>H44/H29</f>
        <v>4.43137254901961</v>
      </c>
      <c r="I54" s="81">
        <f>I44/I29</f>
        <v>3.74371859296482</v>
      </c>
      <c r="J54" s="81">
        <f>J44/J29</f>
        <v>5.11864406779661</v>
      </c>
      <c r="K54" s="81">
        <f>K44/K29</f>
        <v>4.67446421067376</v>
      </c>
      <c r="L54" s="81">
        <f>L44/L29</f>
        <v>4.61123684961521</v>
      </c>
      <c r="M54" s="81">
        <f>M44/M29</f>
        <v>4.61478815761551</v>
      </c>
      <c r="N54" s="81">
        <f>N44/N29</f>
        <v>4.68647742451489</v>
      </c>
      <c r="O54" s="81">
        <f>O44/O29</f>
        <v>4.83077824139362</v>
      </c>
      <c r="P54" s="81">
        <f>P44/P29</f>
        <v>5.05571736767366</v>
      </c>
      <c r="Q54" s="81">
        <f>Q44/Q29</f>
        <v>5.37362056841453</v>
      </c>
      <c r="R54" s="81">
        <f>R44/R29</f>
        <v>5.80226375550843</v>
      </c>
      <c r="S54" s="81">
        <f>S44/S29</f>
        <v>6.36658413519227</v>
      </c>
      <c r="T54" s="81">
        <f>T44/T29</f>
        <v>7.10118999694522</v>
      </c>
    </row>
    <row r="55" ht="21" customHeight="1">
      <c r="A55" s="64"/>
      <c r="B55" t="s" s="65">
        <v>30</v>
      </c>
      <c r="C55" s="66"/>
      <c r="D55" s="68"/>
      <c r="E55" s="84"/>
      <c r="F55" s="84">
        <f>F54/E54-1</f>
        <v>0.182722799343904</v>
      </c>
      <c r="G55" s="84">
        <f>G54/F54-1</f>
        <v>0.0445540450928392</v>
      </c>
      <c r="H55" s="84">
        <f>H54/G54-1</f>
        <v>-0.0515881629404528</v>
      </c>
      <c r="I55" s="84">
        <f>I54/H54-1</f>
        <v>-0.155178547605284</v>
      </c>
      <c r="J55" s="84">
        <f>J54/I54-1</f>
        <v>0.367261972471848</v>
      </c>
      <c r="K55" s="84">
        <f>K54/J54-1</f>
        <v>-0.0867768595041329</v>
      </c>
      <c r="L55" s="84">
        <f>L54/K54-1</f>
        <v>-0.0135261194029843</v>
      </c>
      <c r="M55" s="84">
        <f>M54/L54-1</f>
        <v>0.000770142180095638</v>
      </c>
      <c r="N55" s="84">
        <f>N54/M54-1</f>
        <v>0.0155346820809262</v>
      </c>
      <c r="O55" s="84">
        <f>O54/N54-1</f>
        <v>0.0307908912830551</v>
      </c>
      <c r="P55" s="84">
        <f>P54/O54-1</f>
        <v>0.0465637450199221</v>
      </c>
      <c r="Q55" s="84">
        <f>Q54/P54-1</f>
        <v>0.0628799392097249</v>
      </c>
      <c r="R55" s="84">
        <f>R54/Q54-1</f>
        <v>0.0797680412371151</v>
      </c>
      <c r="S55" s="84">
        <f>S54/R54-1</f>
        <v>0.0972586568730347</v>
      </c>
      <c r="T55" s="84">
        <f>T54/S54-1</f>
        <v>0.115384615384615</v>
      </c>
    </row>
    <row r="56" ht="21" customHeight="1">
      <c r="A56" s="64"/>
      <c r="B56" s="25"/>
      <c r="C56" s="66"/>
      <c r="D56" s="68"/>
      <c r="E56" s="76"/>
      <c r="F56" s="76"/>
      <c r="G56" s="76"/>
      <c r="H56" s="76"/>
      <c r="I56" s="76"/>
      <c r="J56" s="76"/>
      <c r="K56" s="76"/>
      <c r="L56" s="76"/>
      <c r="M56" s="76"/>
      <c r="N56" s="76"/>
      <c r="O56" s="76"/>
      <c r="P56" s="76"/>
      <c r="Q56" s="76"/>
      <c r="R56" s="76"/>
      <c r="S56" s="76"/>
      <c r="T56" s="76"/>
    </row>
    <row r="57" ht="21" customHeight="1">
      <c r="A57" s="64"/>
      <c r="B57" t="s" s="34">
        <v>41</v>
      </c>
      <c r="C57" s="66"/>
      <c r="D57" s="68"/>
      <c r="E57" s="81">
        <f>E60/E35</f>
        <v>23.4285714285714</v>
      </c>
      <c r="F57" s="81">
        <f>F60/F35</f>
        <v>24.9390243902439</v>
      </c>
      <c r="G57" s="81">
        <f>G60/G35</f>
        <v>24.8066037735849</v>
      </c>
      <c r="H57" s="81">
        <f>H60/H35</f>
        <v>24.4187725631769</v>
      </c>
      <c r="I57" s="81">
        <f>I60/I35</f>
        <v>22.2598870056497</v>
      </c>
      <c r="J57" s="81">
        <f>J60/J35</f>
        <v>23.2403846153846</v>
      </c>
      <c r="K57" s="81">
        <f>K60/K35</f>
        <v>21.164885557062</v>
      </c>
      <c r="L57" s="81">
        <f>L60/L35</f>
        <v>20.6503439448562</v>
      </c>
      <c r="M57" s="81">
        <f>M60/M35</f>
        <v>20.3246457460176</v>
      </c>
      <c r="N57" s="81">
        <f>N60/N35</f>
        <v>20.1842983507071</v>
      </c>
      <c r="O57" s="81">
        <f>O60/O35</f>
        <v>20.2311820571089</v>
      </c>
      <c r="P57" s="81">
        <f>P60/P35</f>
        <v>20.4729416154514</v>
      </c>
      <c r="Q57" s="81">
        <f>Q60/Q35</f>
        <v>20.9237274615529</v>
      </c>
      <c r="R57" s="81">
        <f>R60/R35</f>
        <v>21.605375853518</v>
      </c>
      <c r="S57" s="81">
        <f>S60/S35</f>
        <v>22.5491667686859</v>
      </c>
      <c r="T57" s="81">
        <f>T60/T35</f>
        <v>23.7983702902423</v>
      </c>
    </row>
    <row r="58" ht="21" customHeight="1">
      <c r="A58" s="64"/>
      <c r="B58" t="s" s="65">
        <v>30</v>
      </c>
      <c r="C58" s="66"/>
      <c r="D58" s="68"/>
      <c r="E58" s="84"/>
      <c r="F58" s="84">
        <f>F57/E57-1</f>
        <v>0.06447055324211901</v>
      </c>
      <c r="G58" s="84">
        <f>G57/F57-1</f>
        <v>-0.00530977533791589</v>
      </c>
      <c r="H58" s="84">
        <f>H57/G57-1</f>
        <v>-0.0156341921670462</v>
      </c>
      <c r="I58" s="84">
        <f>I57/H57-1</f>
        <v>-0.0884108958360488</v>
      </c>
      <c r="J58" s="84">
        <f>J57/I57-1</f>
        <v>0.0440477352596643</v>
      </c>
      <c r="K58" s="84">
        <f>K57/J57-1</f>
        <v>-0.0893057104118951</v>
      </c>
      <c r="L58" s="84">
        <f>L57/K57-1</f>
        <v>-0.0243110982489634</v>
      </c>
      <c r="M58" s="84">
        <f>M57/L57-1</f>
        <v>-0.0157720471730801</v>
      </c>
      <c r="N58" s="84">
        <f>N57/M57-1</f>
        <v>-0.00690528125627969</v>
      </c>
      <c r="O58" s="84">
        <f>O57/N57-1</f>
        <v>0.00232278108394873</v>
      </c>
      <c r="P58" s="84">
        <f>P57/O57-1</f>
        <v>0.0119498483904726</v>
      </c>
      <c r="Q58" s="84">
        <f>Q57/P57-1</f>
        <v>0.0220186163067686</v>
      </c>
      <c r="R58" s="84">
        <f>R57/Q57-1</f>
        <v>0.032577770534319</v>
      </c>
      <c r="S58" s="84">
        <f>S57/R57-1</f>
        <v>0.0436831518954678</v>
      </c>
      <c r="T58" s="84">
        <f>T57/S57-1</f>
        <v>0.0553990989720814</v>
      </c>
    </row>
    <row r="59" ht="21.5" customHeight="1">
      <c r="A59" s="104"/>
      <c r="B59" s="105"/>
      <c r="C59" s="106"/>
      <c r="D59" s="107"/>
      <c r="E59" s="108"/>
      <c r="F59" s="109"/>
      <c r="G59" s="109"/>
      <c r="H59" s="109"/>
      <c r="I59" s="109"/>
      <c r="J59" s="109"/>
      <c r="K59" s="109"/>
      <c r="L59" s="109"/>
      <c r="M59" s="109"/>
      <c r="N59" s="109"/>
      <c r="O59" s="109"/>
      <c r="P59" s="109"/>
      <c r="Q59" s="109"/>
      <c r="R59" s="109"/>
      <c r="S59" s="109"/>
      <c r="T59" s="109"/>
    </row>
    <row r="60" ht="21.5" customHeight="1">
      <c r="A60" s="110"/>
      <c r="B60" t="s" s="111">
        <v>42</v>
      </c>
      <c r="C60" s="112"/>
      <c r="D60" s="113"/>
      <c r="E60" s="113">
        <f>E37+E44</f>
        <v>2952</v>
      </c>
      <c r="F60" s="113">
        <f>F37+F44</f>
        <v>4090</v>
      </c>
      <c r="G60" s="113">
        <f>G37+G44</f>
        <v>5259</v>
      </c>
      <c r="H60" s="113">
        <f>H37+H44</f>
        <v>6764</v>
      </c>
      <c r="I60" s="113">
        <f>I37+I44</f>
        <v>7880</v>
      </c>
      <c r="J60" s="113">
        <f>J37+J44</f>
        <v>9668</v>
      </c>
      <c r="K60" s="113">
        <f>K37+K44</f>
        <v>10615.46</v>
      </c>
      <c r="L60" s="113">
        <f>L37+L44</f>
        <v>12292.19341</v>
      </c>
      <c r="M60" s="113">
        <f>M37+M44</f>
        <v>14130.0677362606</v>
      </c>
      <c r="N60" s="113">
        <f>N37+N44</f>
        <v>16124.2972939282</v>
      </c>
      <c r="O60" s="113">
        <f>O37+O44</f>
        <v>18266.0232861065</v>
      </c>
      <c r="P60" s="113">
        <f>P37+P44</f>
        <v>20542.2216379334</v>
      </c>
      <c r="Q60" s="113">
        <f>Q37+Q44</f>
        <v>22935.825653025</v>
      </c>
      <c r="R60" s="113">
        <f>R37+R44</f>
        <v>25426.0940800158</v>
      </c>
      <c r="S60" s="113">
        <f>S37+S44</f>
        <v>27989.2440811198</v>
      </c>
      <c r="T60" s="113">
        <f>T37+T44</f>
        <v>30599.3543066797</v>
      </c>
    </row>
    <row r="61" ht="21" customHeight="1">
      <c r="A61" s="13"/>
      <c r="B61" t="s" s="65">
        <v>30</v>
      </c>
      <c r="C61" s="28"/>
      <c r="D61" s="11"/>
      <c r="E61" s="114"/>
      <c r="F61" s="114">
        <f>F60/E60-1</f>
        <v>0.38550135501355</v>
      </c>
      <c r="G61" s="114">
        <f>G60/F60-1</f>
        <v>0.285819070904645</v>
      </c>
      <c r="H61" s="114">
        <f>H60/G60-1</f>
        <v>0.286176079102491</v>
      </c>
      <c r="I61" s="114">
        <f>I60/H60-1</f>
        <v>0.164991129509166</v>
      </c>
      <c r="J61" s="114">
        <f>J60/I60-1</f>
        <v>0.226903553299492</v>
      </c>
      <c r="K61" s="115">
        <f>K60/J60-1</f>
        <v>0.0979995862639636</v>
      </c>
      <c r="L61" s="115">
        <f>L60/K60-1</f>
        <v>0.157952025630543</v>
      </c>
      <c r="M61" s="114">
        <f>M60/L60-1</f>
        <v>0.14951557179091</v>
      </c>
      <c r="N61" s="114">
        <f>N60/M60-1</f>
        <v>0.141133757805704</v>
      </c>
      <c r="O61" s="114">
        <f>O60/N60-1</f>
        <v>0.132826004949983</v>
      </c>
      <c r="P61" s="114">
        <f>P60/O60-1</f>
        <v>0.124613787915086</v>
      </c>
      <c r="Q61" s="114">
        <f>Q60/P60-1</f>
        <v>0.116521185355704</v>
      </c>
      <c r="R61" s="114">
        <f>R60/Q60-1</f>
        <v>0.108575486431741</v>
      </c>
      <c r="S61" s="114">
        <f>S60/R60-1</f>
        <v>0.100807854837545</v>
      </c>
      <c r="T61" s="114">
        <f>T60/S60-1</f>
        <v>0.0932540449465213</v>
      </c>
    </row>
    <row r="62" ht="21" customHeight="1">
      <c r="A62" s="13"/>
      <c r="B62" s="25"/>
      <c r="C62" s="28"/>
      <c r="D62" s="11"/>
      <c r="E62" s="61"/>
      <c r="F62" s="61"/>
      <c r="G62" s="61"/>
      <c r="H62" s="61"/>
      <c r="I62" s="61"/>
      <c r="J62" s="61"/>
      <c r="K62" s="61"/>
      <c r="L62" s="61"/>
      <c r="M62" s="61"/>
      <c r="N62" s="61"/>
      <c r="O62" s="61"/>
      <c r="P62" s="61"/>
      <c r="Q62" s="61"/>
      <c r="R62" s="61"/>
      <c r="S62" s="61"/>
      <c r="T62" s="61"/>
    </row>
    <row r="63" ht="21" customHeight="1">
      <c r="A63" t="s" s="29">
        <v>13</v>
      </c>
      <c r="B63" t="s" s="30">
        <v>43</v>
      </c>
      <c r="C63" s="31"/>
      <c r="D63" s="32"/>
      <c r="E63" s="60">
        <v>2016</v>
      </c>
      <c r="F63" s="60">
        <v>2017</v>
      </c>
      <c r="G63" s="60">
        <v>2018</v>
      </c>
      <c r="H63" s="60">
        <v>2019</v>
      </c>
      <c r="I63" s="60">
        <v>2020</v>
      </c>
      <c r="J63" s="60">
        <v>2021</v>
      </c>
      <c r="K63" s="60">
        <v>2022</v>
      </c>
      <c r="L63" s="60">
        <v>2023</v>
      </c>
      <c r="M63" s="60">
        <v>2024</v>
      </c>
      <c r="N63" s="60">
        <v>2025</v>
      </c>
      <c r="O63" s="60">
        <v>2026</v>
      </c>
      <c r="P63" s="116"/>
      <c r="Q63" s="116"/>
      <c r="R63" s="116"/>
      <c r="S63" s="116"/>
      <c r="T63" s="116"/>
    </row>
    <row r="64" ht="21" customHeight="1">
      <c r="A64" s="13"/>
      <c r="B64" s="25"/>
      <c r="C64" s="28"/>
      <c r="D64" s="11"/>
      <c r="E64" s="11"/>
      <c r="F64" s="11"/>
      <c r="G64" s="11"/>
      <c r="H64" s="11"/>
      <c r="I64" s="11"/>
      <c r="J64" s="11"/>
      <c r="K64" s="11"/>
      <c r="L64" s="11"/>
      <c r="M64" s="11"/>
      <c r="N64" s="11"/>
      <c r="O64" s="11"/>
      <c r="P64" s="11"/>
      <c r="Q64" s="11"/>
      <c r="R64" s="11"/>
      <c r="S64" s="11"/>
      <c r="T64" s="11"/>
    </row>
    <row r="65" ht="21" customHeight="1">
      <c r="A65" s="13"/>
      <c r="B65" t="s" s="34">
        <v>44</v>
      </c>
      <c r="C65" s="28"/>
      <c r="D65" s="117"/>
      <c r="E65" s="118">
        <f>E60</f>
        <v>2952</v>
      </c>
      <c r="F65" s="118">
        <f>F60</f>
        <v>4090</v>
      </c>
      <c r="G65" s="118">
        <f>G60</f>
        <v>5259</v>
      </c>
      <c r="H65" s="118">
        <f>H60</f>
        <v>6764</v>
      </c>
      <c r="I65" s="118">
        <f>I60</f>
        <v>7880</v>
      </c>
      <c r="J65" s="118">
        <f>J60</f>
        <v>9668</v>
      </c>
      <c r="K65" s="118">
        <f>K60</f>
        <v>10615.46</v>
      </c>
      <c r="L65" s="118">
        <f>L60</f>
        <v>12292.19341</v>
      </c>
      <c r="M65" s="118">
        <f>M60</f>
        <v>14130.0677362606</v>
      </c>
      <c r="N65" s="118">
        <f>N60</f>
        <v>16124.2972939282</v>
      </c>
      <c r="O65" s="118">
        <f>O60</f>
        <v>18266.0232861065</v>
      </c>
      <c r="P65" s="117"/>
      <c r="Q65" s="117"/>
      <c r="R65" s="117"/>
      <c r="S65" s="117"/>
      <c r="T65" s="117"/>
    </row>
    <row r="66" ht="21" customHeight="1">
      <c r="A66" s="64"/>
      <c r="B66" t="s" s="65">
        <v>30</v>
      </c>
      <c r="C66" s="66"/>
      <c r="D66" s="67"/>
      <c r="E66" s="68"/>
      <c r="F66" s="68">
        <f>F65/E65-1</f>
        <v>0.38550135501355</v>
      </c>
      <c r="G66" s="68">
        <f>G65/F65-1</f>
        <v>0.285819070904645</v>
      </c>
      <c r="H66" s="68">
        <f>H65/G65-1</f>
        <v>0.286176079102491</v>
      </c>
      <c r="I66" s="68">
        <f>I65/H65-1</f>
        <v>0.164991129509166</v>
      </c>
      <c r="J66" s="68">
        <f>J65/I65-1</f>
        <v>0.226903553299492</v>
      </c>
      <c r="K66" s="68">
        <f>K65/J65-1</f>
        <v>0.0979995862639636</v>
      </c>
      <c r="L66" s="68">
        <f>L65/K65-1</f>
        <v>0.157952025630543</v>
      </c>
      <c r="M66" s="68">
        <f>M65/L65-1</f>
        <v>0.14951557179091</v>
      </c>
      <c r="N66" s="68">
        <f>N65/M65-1</f>
        <v>0.141133757805704</v>
      </c>
      <c r="O66" s="68">
        <f>O65/N65-1</f>
        <v>0.132826004949983</v>
      </c>
      <c r="P66" s="68"/>
      <c r="Q66" s="68"/>
      <c r="R66" s="68"/>
      <c r="S66" s="68"/>
      <c r="T66" s="68"/>
    </row>
    <row r="67" ht="21" customHeight="1">
      <c r="A67" s="13"/>
      <c r="B67" s="25"/>
      <c r="C67" s="28"/>
      <c r="D67" s="11"/>
      <c r="E67" s="11"/>
      <c r="F67" s="11"/>
      <c r="G67" s="11"/>
      <c r="H67" s="11"/>
      <c r="I67" s="11"/>
      <c r="J67" s="11"/>
      <c r="K67" s="11"/>
      <c r="L67" s="11"/>
      <c r="M67" s="11"/>
      <c r="N67" s="11"/>
      <c r="O67" s="11"/>
      <c r="P67" s="11"/>
      <c r="Q67" s="11"/>
      <c r="R67" s="11"/>
      <c r="S67" s="11"/>
      <c r="T67" s="11"/>
    </row>
    <row r="68" ht="21" customHeight="1">
      <c r="A68" s="13"/>
      <c r="B68" t="s" s="34">
        <v>23</v>
      </c>
      <c r="C68" s="28"/>
      <c r="D68" s="61"/>
      <c r="E68" s="63">
        <v>-349</v>
      </c>
      <c r="F68" s="63">
        <v>-378</v>
      </c>
      <c r="G68" s="63">
        <v>-43</v>
      </c>
      <c r="H68" s="63">
        <v>-73</v>
      </c>
      <c r="I68" s="63">
        <v>-293</v>
      </c>
      <c r="J68" s="63">
        <v>94</v>
      </c>
      <c r="K68" s="61">
        <f>K65*K69</f>
        <v>-135.355518111916</v>
      </c>
      <c r="L68" s="61">
        <f>L65*L69</f>
        <v>-164.759380754594</v>
      </c>
      <c r="M68" s="61">
        <f>M65*M69</f>
        <v>-77.3930815015314</v>
      </c>
      <c r="N68" s="61">
        <f>N65*N69</f>
        <v>-170.012232905429</v>
      </c>
      <c r="O68" s="61">
        <f>O65*O69</f>
        <v>-179.156952748666</v>
      </c>
      <c r="P68" s="119"/>
      <c r="Q68" s="119"/>
      <c r="R68" s="119"/>
      <c r="S68" s="119"/>
      <c r="T68" s="119"/>
    </row>
    <row r="69" ht="21" customHeight="1">
      <c r="A69" s="64"/>
      <c r="B69" t="s" s="65">
        <v>45</v>
      </c>
      <c r="C69" s="66"/>
      <c r="D69" s="68"/>
      <c r="E69" s="68">
        <f>E68/E65</f>
        <v>-0.118224932249322</v>
      </c>
      <c r="F69" s="68">
        <f>F68/F65</f>
        <v>-0.0924205378973105</v>
      </c>
      <c r="G69" s="68">
        <f>G68/G65</f>
        <v>-0.008176459402928309</v>
      </c>
      <c r="H69" s="68">
        <f>H68/H65</f>
        <v>-0.0107924305144885</v>
      </c>
      <c r="I69" s="68">
        <f>I68/I65</f>
        <v>-0.0371827411167513</v>
      </c>
      <c r="J69" s="68">
        <f>J68/J65</f>
        <v>0.00972279685560612</v>
      </c>
      <c r="K69" s="68">
        <f>AVERAGE(J69,I69,H69)</f>
        <v>-0.0127507915918779</v>
      </c>
      <c r="L69" s="68">
        <f>AVERAGE(K69,J69,I69)</f>
        <v>-0.0134035786176744</v>
      </c>
      <c r="M69" s="68">
        <f>AVERAGE(L69,K69,J69)</f>
        <v>-0.00547719111798206</v>
      </c>
      <c r="N69" s="68">
        <f>AVERAGE(M69,L69,K69)</f>
        <v>-0.0105438537758448</v>
      </c>
      <c r="O69" s="68">
        <f>AVERAGE(N69,M69,L69)</f>
        <v>-0.00980820783716709</v>
      </c>
      <c r="P69" s="68"/>
      <c r="Q69" s="68"/>
      <c r="R69" s="68"/>
      <c r="S69" s="68"/>
      <c r="T69" s="68"/>
    </row>
    <row r="70" ht="21" customHeight="1">
      <c r="A70" s="120"/>
      <c r="B70" s="121"/>
      <c r="C70" s="28"/>
      <c r="D70" s="122"/>
      <c r="E70" s="11"/>
      <c r="F70" s="11"/>
      <c r="G70" s="11"/>
      <c r="H70" s="11"/>
      <c r="I70" s="11"/>
      <c r="J70" s="11"/>
      <c r="K70" s="11"/>
      <c r="L70" s="11"/>
      <c r="M70" s="11"/>
      <c r="N70" s="11"/>
      <c r="O70" s="11"/>
      <c r="P70" s="11"/>
      <c r="Q70" s="11"/>
      <c r="R70" s="11"/>
      <c r="S70" s="11"/>
      <c r="T70" s="11"/>
    </row>
    <row r="71" ht="21" customHeight="1">
      <c r="A71" s="8"/>
      <c r="B71" t="s" s="123">
        <v>46</v>
      </c>
      <c r="C71" s="28"/>
      <c r="D71" s="124"/>
      <c r="E71" s="63">
        <v>4</v>
      </c>
      <c r="F71" s="124">
        <v>2.261</v>
      </c>
      <c r="G71" s="63">
        <v>-95</v>
      </c>
      <c r="H71" s="63">
        <v>55</v>
      </c>
      <c r="I71" s="63">
        <v>-128</v>
      </c>
      <c r="J71" s="63">
        <v>283</v>
      </c>
      <c r="K71" s="61">
        <f>K68*K72</f>
        <v>-121.552580886301</v>
      </c>
      <c r="L71" s="61">
        <f>L68*L72</f>
        <v>-238.655222644975</v>
      </c>
      <c r="M71" s="61">
        <f>M68*M72</f>
        <v>-138.202644700428</v>
      </c>
      <c r="N71" s="61">
        <f>N68*N72</f>
        <v>-234.178007239023</v>
      </c>
      <c r="O71" s="61">
        <f>O68*O72</f>
        <v>-275.403037137530</v>
      </c>
      <c r="P71" s="119"/>
      <c r="Q71" s="119"/>
      <c r="R71" s="119"/>
      <c r="S71" s="119"/>
      <c r="T71" s="119"/>
    </row>
    <row r="72" ht="21" customHeight="1">
      <c r="A72" s="72"/>
      <c r="B72" t="s" s="125">
        <v>47</v>
      </c>
      <c r="C72" s="66"/>
      <c r="D72" s="68"/>
      <c r="E72" s="68">
        <f>E71/E68</f>
        <v>-0.0114613180515759</v>
      </c>
      <c r="F72" s="68">
        <f>F71/F68</f>
        <v>-0.00598148148148148</v>
      </c>
      <c r="G72" s="68">
        <f>G71/G68</f>
        <v>2.2093023255814</v>
      </c>
      <c r="H72" s="68">
        <f>H71/H68</f>
        <v>-0.753424657534247</v>
      </c>
      <c r="I72" s="68">
        <f>I71/I68</f>
        <v>0.436860068259386</v>
      </c>
      <c r="J72" s="68">
        <f>J71/J68</f>
        <v>3.01063829787234</v>
      </c>
      <c r="K72" s="68">
        <f>AVERAGE(J72,I72,H72)</f>
        <v>0.898024569532493</v>
      </c>
      <c r="L72" s="68">
        <f>AVERAGE(K72,J72,I72)</f>
        <v>1.44850764522141</v>
      </c>
      <c r="M72" s="68">
        <f>AVERAGE(L72,K72,J72)</f>
        <v>1.78572350420875</v>
      </c>
      <c r="N72" s="68">
        <f>AVERAGE(M72,L72,K72)</f>
        <v>1.37741857298755</v>
      </c>
      <c r="O72" s="68">
        <f>AVERAGE(N72,M72,L72)</f>
        <v>1.53721657413924</v>
      </c>
      <c r="P72" s="68"/>
      <c r="Q72" s="68"/>
      <c r="R72" s="68"/>
      <c r="S72" s="68"/>
      <c r="T72" s="67"/>
    </row>
    <row r="73" ht="21" customHeight="1">
      <c r="A73" s="78"/>
      <c r="B73" s="48"/>
      <c r="C73" s="28"/>
      <c r="D73" s="11"/>
      <c r="E73" s="126"/>
      <c r="F73" s="126"/>
      <c r="G73" s="126"/>
      <c r="H73" s="126"/>
      <c r="I73" s="126"/>
      <c r="J73" s="126"/>
      <c r="K73" s="126"/>
      <c r="L73" s="126"/>
      <c r="M73" s="126"/>
      <c r="N73" s="126"/>
      <c r="O73" s="126"/>
      <c r="P73" s="126"/>
      <c r="Q73" s="126"/>
      <c r="R73" s="126"/>
      <c r="S73" s="126"/>
      <c r="T73" s="11"/>
    </row>
    <row r="74" ht="21" customHeight="1">
      <c r="A74" t="s" s="127">
        <v>13</v>
      </c>
      <c r="B74" t="s" s="128">
        <v>48</v>
      </c>
      <c r="C74" s="31"/>
      <c r="D74" s="32"/>
      <c r="E74" s="60">
        <v>2016</v>
      </c>
      <c r="F74" s="60">
        <v>2017</v>
      </c>
      <c r="G74" s="60">
        <v>2018</v>
      </c>
      <c r="H74" s="60">
        <v>2019</v>
      </c>
      <c r="I74" s="60">
        <v>2020</v>
      </c>
      <c r="J74" s="60">
        <v>2021</v>
      </c>
      <c r="K74" s="60">
        <v>2022</v>
      </c>
      <c r="L74" s="60">
        <v>2023</v>
      </c>
      <c r="M74" s="60">
        <v>2024</v>
      </c>
      <c r="N74" s="60">
        <v>2025</v>
      </c>
      <c r="O74" s="60">
        <v>2026</v>
      </c>
      <c r="P74" s="126"/>
      <c r="Q74" s="126"/>
      <c r="R74" s="126"/>
      <c r="S74" s="126"/>
      <c r="T74" s="126"/>
    </row>
    <row r="75" ht="21" customHeight="1">
      <c r="A75" s="120"/>
      <c r="B75" s="121"/>
      <c r="C75" s="28"/>
      <c r="D75" s="11"/>
      <c r="E75" s="126"/>
      <c r="F75" s="126"/>
      <c r="G75" s="126"/>
      <c r="H75" s="126"/>
      <c r="I75" s="126"/>
      <c r="J75" s="126"/>
      <c r="K75" s="126"/>
      <c r="L75" s="126"/>
      <c r="M75" s="126"/>
      <c r="N75" s="126"/>
      <c r="O75" s="126"/>
      <c r="P75" s="126"/>
      <c r="Q75" s="126"/>
      <c r="R75" s="126"/>
      <c r="S75" s="126"/>
      <c r="T75" s="11"/>
    </row>
    <row r="76" ht="21" customHeight="1">
      <c r="A76" s="78"/>
      <c r="B76" t="s" s="129">
        <v>49</v>
      </c>
      <c r="C76" s="28"/>
      <c r="D76" s="124"/>
      <c r="E76" s="124">
        <f>32+6</f>
        <v>38</v>
      </c>
      <c r="F76" s="124">
        <f>46+8</f>
        <v>54</v>
      </c>
      <c r="G76" s="124">
        <f>21+11</f>
        <v>32</v>
      </c>
      <c r="H76" s="124">
        <f>71+16</f>
        <v>87</v>
      </c>
      <c r="I76" s="124">
        <f>86+25</f>
        <v>111</v>
      </c>
      <c r="J76" s="124">
        <f>94+33</f>
        <v>127</v>
      </c>
      <c r="K76" s="119"/>
      <c r="L76" s="119"/>
      <c r="M76" s="119"/>
      <c r="N76" s="119"/>
      <c r="O76" s="119"/>
      <c r="P76" s="126"/>
      <c r="Q76" s="126"/>
      <c r="R76" s="126"/>
      <c r="S76" s="126"/>
      <c r="T76" s="11"/>
    </row>
    <row r="77" ht="21" customHeight="1">
      <c r="A77" s="130"/>
      <c r="B77" t="s" s="131">
        <v>50</v>
      </c>
      <c r="C77" s="66"/>
      <c r="D77" s="68"/>
      <c r="E77" s="68">
        <f>E76/E65</f>
        <v>0.0128726287262873</v>
      </c>
      <c r="F77" s="68">
        <f>F76/F65</f>
        <v>0.0132029339853301</v>
      </c>
      <c r="G77" s="68">
        <f>G76/G65</f>
        <v>0.00608480699752805</v>
      </c>
      <c r="H77" s="68">
        <f>H76/H65</f>
        <v>0.0128622117090479</v>
      </c>
      <c r="I77" s="68">
        <f>I76/I65</f>
        <v>0.0140862944162437</v>
      </c>
      <c r="J77" s="68">
        <f>J76/J65</f>
        <v>0.0131361191559785</v>
      </c>
      <c r="K77" s="68"/>
      <c r="L77" s="68"/>
      <c r="M77" s="68"/>
      <c r="N77" s="68"/>
      <c r="O77" s="68"/>
      <c r="P77" s="68"/>
      <c r="Q77" s="68"/>
      <c r="R77" s="68"/>
      <c r="S77" s="68"/>
      <c r="T77" s="67"/>
    </row>
    <row r="78" ht="21" customHeight="1">
      <c r="A78" s="130"/>
      <c r="B78" t="s" s="131">
        <v>51</v>
      </c>
      <c r="C78" s="66"/>
      <c r="D78" s="68"/>
      <c r="E78" s="68">
        <f>E76/E80</f>
        <v>1.40740740740741</v>
      </c>
      <c r="F78" s="68">
        <f>F76/F80</f>
        <v>1.5</v>
      </c>
      <c r="G78" s="68">
        <f>G76/G80</f>
        <v>0.256</v>
      </c>
      <c r="H78" s="68">
        <f>H76/H80</f>
        <v>0.644444444444444</v>
      </c>
      <c r="I78" s="68">
        <f>I76/I80</f>
        <v>1.42307692307692</v>
      </c>
      <c r="J78" s="68">
        <f>J76/J80</f>
        <v>1.49411764705882</v>
      </c>
      <c r="K78" s="68"/>
      <c r="L78" s="68"/>
      <c r="M78" s="68"/>
      <c r="N78" s="68"/>
      <c r="O78" s="68"/>
      <c r="P78" s="68"/>
      <c r="Q78" s="68"/>
      <c r="R78" s="68"/>
      <c r="S78" s="68"/>
      <c r="T78" s="67"/>
    </row>
    <row r="79" ht="21" customHeight="1">
      <c r="A79" s="78"/>
      <c r="B79" s="48"/>
      <c r="C79" s="28"/>
      <c r="D79" s="11"/>
      <c r="E79" s="126"/>
      <c r="F79" s="126"/>
      <c r="G79" s="126"/>
      <c r="H79" s="126"/>
      <c r="I79" s="126"/>
      <c r="J79" s="126"/>
      <c r="K79" s="126"/>
      <c r="L79" s="126"/>
      <c r="M79" s="126"/>
      <c r="N79" s="126"/>
      <c r="O79" s="126"/>
      <c r="P79" s="126"/>
      <c r="Q79" s="126"/>
      <c r="R79" s="126"/>
      <c r="S79" s="126"/>
      <c r="T79" s="11"/>
    </row>
    <row r="80" ht="21" customHeight="1">
      <c r="A80" s="78"/>
      <c r="B80" t="s" s="129">
        <v>52</v>
      </c>
      <c r="C80" s="28"/>
      <c r="D80" s="63"/>
      <c r="E80" s="63">
        <v>27</v>
      </c>
      <c r="F80" s="124">
        <v>36</v>
      </c>
      <c r="G80" s="124">
        <v>125</v>
      </c>
      <c r="H80" s="124">
        <v>135</v>
      </c>
      <c r="I80" s="124">
        <v>78</v>
      </c>
      <c r="J80" s="124">
        <v>85</v>
      </c>
      <c r="K80" s="119"/>
      <c r="L80" s="119"/>
      <c r="M80" s="119"/>
      <c r="N80" s="119"/>
      <c r="O80" s="119"/>
      <c r="P80" s="126"/>
      <c r="Q80" s="126"/>
      <c r="R80" s="126"/>
      <c r="S80" s="126"/>
      <c r="T80" s="11"/>
    </row>
    <row r="81" ht="21" customHeight="1">
      <c r="A81" s="130"/>
      <c r="B81" t="s" s="131">
        <v>45</v>
      </c>
      <c r="C81" s="66"/>
      <c r="D81" s="68"/>
      <c r="E81" s="68">
        <f>E80/E65</f>
        <v>0.00914634146341463</v>
      </c>
      <c r="F81" s="68">
        <f>F80/F65</f>
        <v>0.00880195599022005</v>
      </c>
      <c r="G81" s="68">
        <f>G80/G65</f>
        <v>0.0237687773340939</v>
      </c>
      <c r="H81" s="68">
        <f>H80/H65</f>
        <v>0.0199586043761088</v>
      </c>
      <c r="I81" s="68">
        <f>I80/I65</f>
        <v>0.00989847715736041</v>
      </c>
      <c r="J81" s="68">
        <f>J80/J65</f>
        <v>0.008791890773686389</v>
      </c>
      <c r="K81" s="68"/>
      <c r="L81" s="68"/>
      <c r="M81" s="68"/>
      <c r="N81" s="68"/>
      <c r="O81" s="68"/>
      <c r="P81" s="68"/>
      <c r="Q81" s="68"/>
      <c r="R81" s="68"/>
      <c r="S81" s="68"/>
      <c r="T81" s="67"/>
    </row>
    <row r="82" ht="21" customHeight="1">
      <c r="A82" s="78"/>
      <c r="B82" s="48"/>
      <c r="C82" s="28"/>
      <c r="D82" s="11"/>
      <c r="E82" s="126"/>
      <c r="F82" s="126"/>
      <c r="G82" s="126"/>
      <c r="H82" s="126"/>
      <c r="I82" s="126"/>
      <c r="J82" s="126"/>
      <c r="K82" s="126"/>
      <c r="L82" s="126"/>
      <c r="M82" s="126"/>
      <c r="N82" s="126"/>
      <c r="O82" s="126"/>
      <c r="P82" s="126"/>
      <c r="Q82" s="126"/>
      <c r="R82" s="126"/>
      <c r="S82" s="126"/>
      <c r="T82" s="11"/>
    </row>
    <row r="83" ht="21" customHeight="1">
      <c r="A83" s="78"/>
      <c r="B83" t="s" s="129">
        <v>53</v>
      </c>
      <c r="C83" s="28"/>
      <c r="D83" s="61"/>
      <c r="E83" s="61">
        <f>1908.581-1221.566</f>
        <v>687.015</v>
      </c>
      <c r="F83" s="61">
        <f>1898-1860</f>
        <v>38</v>
      </c>
      <c r="G83" s="61">
        <f>2246-2147</f>
        <v>99</v>
      </c>
      <c r="H83" s="61">
        <f>2231-2439</f>
        <v>-208</v>
      </c>
      <c r="I83" s="61">
        <f>2366-2900</f>
        <v>-534</v>
      </c>
      <c r="J83" s="61">
        <f>4372-3226</f>
        <v>1146</v>
      </c>
      <c r="K83" s="61"/>
      <c r="L83" s="126"/>
      <c r="M83" s="126"/>
      <c r="N83" s="126"/>
      <c r="O83" s="126"/>
      <c r="P83" s="126"/>
      <c r="Q83" s="126"/>
      <c r="R83" s="126"/>
      <c r="S83" s="126"/>
      <c r="T83" s="11"/>
    </row>
    <row r="84" ht="21" customHeight="1">
      <c r="A84" s="78"/>
      <c r="B84" s="48"/>
      <c r="C84" s="28"/>
      <c r="D84" s="11"/>
      <c r="E84" s="126"/>
      <c r="F84" s="126"/>
      <c r="G84" s="126"/>
      <c r="H84" s="126"/>
      <c r="I84" s="126"/>
      <c r="J84" s="126"/>
      <c r="K84" s="126"/>
      <c r="L84" s="126"/>
      <c r="M84" s="126"/>
      <c r="N84" s="126"/>
      <c r="O84" s="126"/>
      <c r="P84" s="126"/>
      <c r="Q84" s="126"/>
      <c r="R84" s="126"/>
      <c r="S84" s="126"/>
      <c r="T84" s="11"/>
    </row>
    <row r="85" ht="21" customHeight="1">
      <c r="A85" s="78"/>
      <c r="B85" t="s" s="129">
        <v>54</v>
      </c>
      <c r="C85" s="28"/>
      <c r="D85" s="61"/>
      <c r="E85" s="61"/>
      <c r="F85" s="61">
        <f>E83-F83</f>
        <v>649.015</v>
      </c>
      <c r="G85" s="61">
        <f>F83-G83</f>
        <v>-61</v>
      </c>
      <c r="H85" s="61">
        <f>G83-H83</f>
        <v>307</v>
      </c>
      <c r="I85" s="61">
        <f>H83-I83</f>
        <v>326</v>
      </c>
      <c r="J85" s="61">
        <f>I83-J83</f>
        <v>-1680</v>
      </c>
      <c r="K85" s="61"/>
      <c r="L85" s="126"/>
      <c r="M85" s="126"/>
      <c r="N85" s="126"/>
      <c r="O85" s="126"/>
      <c r="P85" s="126"/>
      <c r="Q85" s="126"/>
      <c r="R85" s="126"/>
      <c r="S85" s="126"/>
      <c r="T85" s="11"/>
    </row>
    <row r="86" ht="21" customHeight="1">
      <c r="A86" s="130"/>
      <c r="B86" t="s" s="131">
        <v>45</v>
      </c>
      <c r="C86" s="66"/>
      <c r="D86" s="68"/>
      <c r="E86" s="68">
        <f>E85/E65</f>
        <v>0</v>
      </c>
      <c r="F86" s="68">
        <f>F85/F65</f>
        <v>0.15868337408313</v>
      </c>
      <c r="G86" s="68">
        <f>G85/G65</f>
        <v>-0.0115991633390378</v>
      </c>
      <c r="H86" s="68">
        <f>H85/H65</f>
        <v>0.0453873447664104</v>
      </c>
      <c r="I86" s="68">
        <f>I85/I65</f>
        <v>0.0413705583756345</v>
      </c>
      <c r="J86" s="68">
        <f>J85/J65</f>
        <v>-0.173769135291684</v>
      </c>
      <c r="K86" s="68">
        <f>K85/K65</f>
        <v>0</v>
      </c>
      <c r="L86" s="68"/>
      <c r="M86" s="68"/>
      <c r="N86" s="68"/>
      <c r="O86" s="68"/>
      <c r="P86" s="68"/>
      <c r="Q86" s="68"/>
      <c r="R86" s="68"/>
      <c r="S86" s="68"/>
      <c r="T86" s="67"/>
    </row>
    <row r="87" ht="21" customHeight="1">
      <c r="A87" s="130"/>
      <c r="B87" t="s" s="131">
        <v>55</v>
      </c>
      <c r="C87" s="66"/>
      <c r="D87" s="68"/>
      <c r="E87" s="68">
        <f>(E85-D85)/(E65-D65)</f>
        <v>0</v>
      </c>
      <c r="F87" s="68">
        <f>(F85-E85)/(F65-E65)</f>
        <v>0.5703119507908611</v>
      </c>
      <c r="G87" s="68">
        <f>(G85-F85)/(G65-F65)</f>
        <v>-0.607369546621044</v>
      </c>
      <c r="H87" s="68">
        <f>(H85-G85)/(H65-G65)</f>
        <v>0.244518272425249</v>
      </c>
      <c r="I87" s="68">
        <f>(I85-H85)/(I65-H65)</f>
        <v>0.0170250896057348</v>
      </c>
      <c r="J87" s="68">
        <f>(J85-I85)/(J65-I65)</f>
        <v>-1.12192393736018</v>
      </c>
      <c r="K87" s="68">
        <f>(K85-J85)/(K65-J65)</f>
        <v>1.77316192768032</v>
      </c>
      <c r="L87" s="68"/>
      <c r="M87" s="68"/>
      <c r="N87" s="68"/>
      <c r="O87" s="68"/>
      <c r="P87" s="68"/>
      <c r="Q87" s="68"/>
      <c r="R87" s="68"/>
      <c r="S87" s="68"/>
      <c r="T87" s="67"/>
    </row>
    <row r="88" ht="21" customHeight="1">
      <c r="A88" s="78"/>
      <c r="B88" s="48"/>
      <c r="C88" s="28"/>
      <c r="D88" s="11"/>
      <c r="E88" s="61"/>
      <c r="F88" s="61"/>
      <c r="G88" s="61"/>
      <c r="H88" s="61"/>
      <c r="I88" s="61"/>
      <c r="J88" s="61"/>
      <c r="K88" s="126"/>
      <c r="L88" s="126"/>
      <c r="M88" s="126"/>
      <c r="N88" s="126"/>
      <c r="O88" s="126"/>
      <c r="P88" s="126"/>
      <c r="Q88" s="126"/>
      <c r="R88" s="126"/>
      <c r="S88" s="126"/>
      <c r="T88" s="11"/>
    </row>
    <row r="89" ht="21" customHeight="1">
      <c r="A89" s="78"/>
      <c r="B89" s="48"/>
      <c r="C89" s="28"/>
      <c r="D89" s="11"/>
      <c r="E89" s="61"/>
      <c r="F89" s="61"/>
      <c r="G89" s="61"/>
      <c r="H89" s="61"/>
      <c r="I89" s="61"/>
      <c r="J89" s="61"/>
      <c r="K89" s="61">
        <v>1</v>
      </c>
      <c r="L89" s="61">
        <v>2</v>
      </c>
      <c r="M89" s="61">
        <v>3</v>
      </c>
      <c r="N89" s="61">
        <v>4</v>
      </c>
      <c r="O89" s="61">
        <v>5</v>
      </c>
      <c r="P89" s="61">
        <v>6</v>
      </c>
      <c r="Q89" s="61">
        <v>7</v>
      </c>
      <c r="R89" s="61">
        <v>8</v>
      </c>
      <c r="S89" s="61">
        <v>9</v>
      </c>
      <c r="T89" s="61">
        <v>10</v>
      </c>
    </row>
    <row r="90" ht="21" customHeight="1">
      <c r="A90" t="s" s="127">
        <v>13</v>
      </c>
      <c r="B90" t="s" s="128">
        <v>56</v>
      </c>
      <c r="C90" s="31"/>
      <c r="D90" s="32"/>
      <c r="E90" s="60">
        <v>2016</v>
      </c>
      <c r="F90" s="60">
        <v>2017</v>
      </c>
      <c r="G90" s="60">
        <v>2018</v>
      </c>
      <c r="H90" s="60">
        <v>2019</v>
      </c>
      <c r="I90" s="60">
        <v>2020</v>
      </c>
      <c r="J90" s="60">
        <v>2021</v>
      </c>
      <c r="K90" s="60">
        <v>2022</v>
      </c>
      <c r="L90" s="60">
        <v>2023</v>
      </c>
      <c r="M90" s="60">
        <v>2024</v>
      </c>
      <c r="N90" s="60">
        <v>2025</v>
      </c>
      <c r="O90" s="60">
        <v>2026</v>
      </c>
      <c r="P90" s="60">
        <v>2027</v>
      </c>
      <c r="Q90" s="60">
        <v>2028</v>
      </c>
      <c r="R90" s="60">
        <v>2029</v>
      </c>
      <c r="S90" s="60">
        <v>2030</v>
      </c>
      <c r="T90" s="60">
        <v>2031</v>
      </c>
    </row>
    <row r="91" ht="21" customHeight="1">
      <c r="A91" s="120"/>
      <c r="B91" s="121"/>
      <c r="C91" s="28"/>
      <c r="D91" s="11"/>
      <c r="E91" s="126"/>
      <c r="F91" s="126"/>
      <c r="G91" s="126"/>
      <c r="H91" s="126"/>
      <c r="I91" s="126"/>
      <c r="J91" s="126"/>
      <c r="K91" s="126"/>
      <c r="L91" s="126"/>
      <c r="M91" s="126"/>
      <c r="N91" s="126"/>
      <c r="O91" s="126"/>
      <c r="P91" s="126"/>
      <c r="Q91" s="126"/>
      <c r="R91" s="126"/>
      <c r="S91" s="126"/>
      <c r="T91" s="11"/>
    </row>
    <row r="92" ht="21" customHeight="1">
      <c r="A92" s="8"/>
      <c r="B92" t="s" s="123">
        <v>44</v>
      </c>
      <c r="C92" s="28"/>
      <c r="D92" s="117"/>
      <c r="E92" s="118">
        <f>E60</f>
        <v>2952</v>
      </c>
      <c r="F92" s="118">
        <f>F60</f>
        <v>4090</v>
      </c>
      <c r="G92" s="118">
        <f>G60</f>
        <v>5259</v>
      </c>
      <c r="H92" s="118">
        <f>H60</f>
        <v>6764</v>
      </c>
      <c r="I92" s="118">
        <f>I60</f>
        <v>7880</v>
      </c>
      <c r="J92" s="118">
        <f>J60</f>
        <v>9668</v>
      </c>
      <c r="K92" s="118">
        <f>K60</f>
        <v>10615.46</v>
      </c>
      <c r="L92" s="118">
        <f>L60</f>
        <v>12292.19341</v>
      </c>
      <c r="M92" s="118">
        <f>M60</f>
        <v>14130.0677362606</v>
      </c>
      <c r="N92" s="118">
        <f>N60</f>
        <v>16124.2972939282</v>
      </c>
      <c r="O92" s="118">
        <f>O60</f>
        <v>18266.0232861065</v>
      </c>
      <c r="P92" s="118">
        <f>P60</f>
        <v>20542.2216379334</v>
      </c>
      <c r="Q92" s="118">
        <f>Q60</f>
        <v>22935.825653025</v>
      </c>
      <c r="R92" s="118">
        <f>R60</f>
        <v>25426.0940800158</v>
      </c>
      <c r="S92" s="118">
        <f>S60</f>
        <v>27989.2440811198</v>
      </c>
      <c r="T92" s="118">
        <f>T60</f>
        <v>30599.3543066797</v>
      </c>
    </row>
    <row r="93" ht="21" customHeight="1">
      <c r="A93" s="120"/>
      <c r="B93" t="s" s="65">
        <v>30</v>
      </c>
      <c r="C93" s="28"/>
      <c r="D93" s="11"/>
      <c r="E93" s="126"/>
      <c r="F93" s="126">
        <f>F92/E92-1</f>
        <v>0.38550135501355</v>
      </c>
      <c r="G93" s="126">
        <f>G92/F92-1</f>
        <v>0.285819070904645</v>
      </c>
      <c r="H93" s="126">
        <f>H92/G92-1</f>
        <v>0.286176079102491</v>
      </c>
      <c r="I93" s="126">
        <f>I92/H92-1</f>
        <v>0.164991129509166</v>
      </c>
      <c r="J93" s="126">
        <f>J92/I92-1</f>
        <v>0.226903553299492</v>
      </c>
      <c r="K93" s="126">
        <f>K92/J92-1</f>
        <v>0.0979995862639636</v>
      </c>
      <c r="L93" s="126">
        <f>L92/K92-1</f>
        <v>0.157952025630543</v>
      </c>
      <c r="M93" s="126">
        <f>M92/L92-1</f>
        <v>0.14951557179091</v>
      </c>
      <c r="N93" s="126">
        <f>N92/M92-1</f>
        <v>0.141133757805704</v>
      </c>
      <c r="O93" s="126">
        <f>O92/N92-1</f>
        <v>0.132826004949983</v>
      </c>
      <c r="P93" s="126">
        <f>P92/O92-1</f>
        <v>0.124613787915086</v>
      </c>
      <c r="Q93" s="126">
        <f>Q92/P92-1</f>
        <v>0.116521185355704</v>
      </c>
      <c r="R93" s="126">
        <f>R92/Q92-1</f>
        <v>0.108575486431741</v>
      </c>
      <c r="S93" s="126">
        <f>S92/R92-1</f>
        <v>0.100807854837545</v>
      </c>
      <c r="T93" s="126">
        <f>T92/S92-1</f>
        <v>0.0932540449465213</v>
      </c>
    </row>
    <row r="94" ht="21" customHeight="1">
      <c r="A94" s="78"/>
      <c r="B94" s="121"/>
      <c r="C94" s="28"/>
      <c r="D94" s="11"/>
      <c r="E94" s="126"/>
      <c r="F94" s="126"/>
      <c r="G94" s="126"/>
      <c r="H94" s="126"/>
      <c r="I94" s="126"/>
      <c r="J94" s="126"/>
      <c r="K94" s="126"/>
      <c r="L94" s="126"/>
      <c r="M94" s="126"/>
      <c r="N94" s="126"/>
      <c r="O94" s="126"/>
      <c r="P94" s="126"/>
      <c r="Q94" s="126"/>
      <c r="R94" s="126"/>
      <c r="S94" s="126"/>
      <c r="T94" s="11"/>
    </row>
    <row r="95" ht="21" customHeight="1">
      <c r="A95" s="8"/>
      <c r="B95" t="s" s="123">
        <v>23</v>
      </c>
      <c r="C95" s="28"/>
      <c r="D95" s="11"/>
      <c r="E95" s="118">
        <f>E68</f>
        <v>-349</v>
      </c>
      <c r="F95" s="118">
        <f>F68</f>
        <v>-378</v>
      </c>
      <c r="G95" s="118">
        <f>G68</f>
        <v>-43</v>
      </c>
      <c r="H95" s="118">
        <f>H68</f>
        <v>-73</v>
      </c>
      <c r="I95" s="118">
        <f>I68</f>
        <v>-293</v>
      </c>
      <c r="J95" s="118">
        <f>J68</f>
        <v>94</v>
      </c>
      <c r="K95" s="61">
        <f>K92*K96</f>
        <v>-135.355518111916</v>
      </c>
      <c r="L95" s="61">
        <f>L92*L96</f>
        <v>-98.3461965248577</v>
      </c>
      <c r="M95" s="61">
        <f>M92*M96</f>
        <v>-45.9314197792891</v>
      </c>
      <c r="N95" s="61">
        <f>N92*N96</f>
        <v>24.1779366990425</v>
      </c>
      <c r="O95" s="61">
        <f>O92*O96</f>
        <v>114.154612629457</v>
      </c>
      <c r="P95" s="61">
        <f>P92*P96</f>
        <v>225.957210881355</v>
      </c>
      <c r="Q95" s="61">
        <f>Q92*Q96</f>
        <v>361.233202097377</v>
      </c>
      <c r="R95" s="61">
        <f>R92*R96</f>
        <v>521.230455953755</v>
      </c>
      <c r="S95" s="61">
        <f>S92*S96</f>
        <v>706.725951264021</v>
      </c>
      <c r="T95" s="61">
        <f>T92*T96</f>
        <v>917.980629200391</v>
      </c>
    </row>
    <row r="96" ht="21.5" customHeight="1">
      <c r="A96" s="72"/>
      <c r="B96" t="s" s="65">
        <v>45</v>
      </c>
      <c r="C96" s="66"/>
      <c r="D96" s="68"/>
      <c r="E96" s="68">
        <f>E95/E60</f>
        <v>-0.118224932249322</v>
      </c>
      <c r="F96" s="68">
        <f>F95/F60</f>
        <v>-0.0924205378973105</v>
      </c>
      <c r="G96" s="68">
        <f>G95/G60</f>
        <v>-0.008176459402928309</v>
      </c>
      <c r="H96" s="68">
        <f>H95/H60</f>
        <v>-0.0107924305144885</v>
      </c>
      <c r="I96" s="68">
        <f>I95/I60</f>
        <v>-0.0371827411167513</v>
      </c>
      <c r="J96" s="68">
        <f>J95/J60</f>
        <v>0.00972279685560612</v>
      </c>
      <c r="K96" s="69">
        <f>OFFSET(K96,$C$14,0)</f>
        <v>-0.0127507915918779</v>
      </c>
      <c r="L96" s="69">
        <f>OFFSET(L96,$C$14,0)</f>
        <v>-0.0080007036372248</v>
      </c>
      <c r="M96" s="69">
        <f>OFFSET(M96,$C$14,0)</f>
        <v>-0.0032506156825717</v>
      </c>
      <c r="N96" s="69">
        <f>OFFSET(N96,$C$14,0)</f>
        <v>0.0014994722720814</v>
      </c>
      <c r="O96" s="69">
        <f>OFFSET(O96,$C$14,0)</f>
        <v>0.0062495602267345</v>
      </c>
      <c r="P96" s="69">
        <f>OFFSET(P96,$C$14,0)</f>
        <v>0.0109996481813876</v>
      </c>
      <c r="Q96" s="69">
        <f>OFFSET(Q96,$C$14,0)</f>
        <v>0.0157497361360407</v>
      </c>
      <c r="R96" s="69">
        <f>OFFSET(R96,$C$14,0)</f>
        <v>0.0204998240906938</v>
      </c>
      <c r="S96" s="69">
        <f>OFFSET(S96,$C$14,0)</f>
        <v>0.0252499120453469</v>
      </c>
      <c r="T96" s="69">
        <f>OFFSET(T96,$C$14,0)</f>
        <v>0.03</v>
      </c>
    </row>
    <row r="97" ht="22" customHeight="1">
      <c r="A97" s="8"/>
      <c r="B97" t="s" s="34">
        <v>31</v>
      </c>
      <c r="C97" s="28"/>
      <c r="D97" s="11"/>
      <c r="E97" s="63"/>
      <c r="F97" s="63"/>
      <c r="G97" s="63"/>
      <c r="H97" s="63"/>
      <c r="I97" s="63"/>
      <c r="J97" s="70"/>
      <c r="K97" s="71">
        <f>K98*$E$14</f>
        <v>-0.0114757124326901</v>
      </c>
      <c r="L97" s="71">
        <f>L98*$E$14</f>
        <v>-0.00720063327350232</v>
      </c>
      <c r="M97" s="71">
        <f>M98*$E$14</f>
        <v>-0.00292555411431453</v>
      </c>
      <c r="N97" s="71">
        <f>N98*$E$14</f>
        <v>0.00134952504487326</v>
      </c>
      <c r="O97" s="71">
        <f>O98*$E$14</f>
        <v>0.00562460420406105</v>
      </c>
      <c r="P97" s="71">
        <f>P98*$E$14</f>
        <v>0.00989968336324884</v>
      </c>
      <c r="Q97" s="71">
        <f>Q98*$E$14</f>
        <v>0.0141747625224366</v>
      </c>
      <c r="R97" s="71">
        <f>R98*$E$14</f>
        <v>0.0184498416816244</v>
      </c>
      <c r="S97" s="71">
        <f>S98*$E$14</f>
        <v>0.0227249208408122</v>
      </c>
      <c r="T97" s="71">
        <f>T98*$E$14</f>
        <v>0.027</v>
      </c>
    </row>
    <row r="98" ht="22" customHeight="1">
      <c r="A98" s="13"/>
      <c r="B98" t="s" s="34">
        <v>32</v>
      </c>
      <c r="C98" s="28"/>
      <c r="D98" s="11"/>
      <c r="E98" s="63"/>
      <c r="F98" s="63"/>
      <c r="G98" s="63"/>
      <c r="H98" s="63"/>
      <c r="I98" s="63"/>
      <c r="J98" s="70"/>
      <c r="K98" s="71">
        <f>AVERAGE(J96,I96,H96)</f>
        <v>-0.0127507915918779</v>
      </c>
      <c r="L98" s="71">
        <f>K98-(K98-$T$98)/($T$90-K90)</f>
        <v>-0.0080007036372248</v>
      </c>
      <c r="M98" s="71">
        <f>L98-(L98-$T$98)/($T$90-L90)</f>
        <v>-0.0032506156825717</v>
      </c>
      <c r="N98" s="71">
        <f>M98-(M98-$T$98)/($T$90-M90)</f>
        <v>0.0014994722720814</v>
      </c>
      <c r="O98" s="71">
        <f>N98-(N98-$T$98)/($T$90-N90)</f>
        <v>0.0062495602267345</v>
      </c>
      <c r="P98" s="71">
        <f>O98-(O98-$T$98)/($T$90-O90)</f>
        <v>0.0109996481813876</v>
      </c>
      <c r="Q98" s="71">
        <f>P98-(P98-$T$98)/($T$90-P90)</f>
        <v>0.0157497361360407</v>
      </c>
      <c r="R98" s="71">
        <f>Q98-(Q98-$T$98)/($T$90-Q90)</f>
        <v>0.0204998240906938</v>
      </c>
      <c r="S98" s="71">
        <f>R98-(R98-$T$98)/($T$90-R90)</f>
        <v>0.0252499120453469</v>
      </c>
      <c r="T98" s="71">
        <f>G14</f>
        <v>0.03</v>
      </c>
    </row>
    <row r="99" ht="22" customHeight="1">
      <c r="A99" s="13"/>
      <c r="B99" t="s" s="34">
        <v>33</v>
      </c>
      <c r="C99" s="28"/>
      <c r="D99" s="11"/>
      <c r="E99" s="63"/>
      <c r="F99" s="63"/>
      <c r="G99" s="63"/>
      <c r="H99" s="63"/>
      <c r="I99" s="63"/>
      <c r="J99" s="70"/>
      <c r="K99" s="86">
        <f>K98*$I$14</f>
        <v>-0.0140258707510657</v>
      </c>
      <c r="L99" s="86">
        <f>L98*$I$14</f>
        <v>-0.00880077400094728</v>
      </c>
      <c r="M99" s="86">
        <f>M98*$I$14</f>
        <v>-0.00357567725082887</v>
      </c>
      <c r="N99" s="86">
        <f>N98*$I$14</f>
        <v>0.00164941949928954</v>
      </c>
      <c r="O99" s="86">
        <f>O98*$I$14</f>
        <v>0.00687451624940795</v>
      </c>
      <c r="P99" s="86">
        <f>P98*$I$14</f>
        <v>0.0120996129995264</v>
      </c>
      <c r="Q99" s="86">
        <f>Q98*$I$14</f>
        <v>0.0173247097496448</v>
      </c>
      <c r="R99" s="86">
        <f>R98*$I$14</f>
        <v>0.0225498064997632</v>
      </c>
      <c r="S99" s="86">
        <f>S98*$I$14</f>
        <v>0.0277749032498816</v>
      </c>
      <c r="T99" s="86">
        <f>T98*$I$14</f>
        <v>0.033</v>
      </c>
    </row>
    <row r="100" ht="21.5" customHeight="1">
      <c r="A100" s="120"/>
      <c r="B100" s="121"/>
      <c r="C100" s="28"/>
      <c r="D100" s="11"/>
      <c r="E100" s="126"/>
      <c r="F100" s="126"/>
      <c r="G100" s="126"/>
      <c r="H100" s="126"/>
      <c r="I100" s="126"/>
      <c r="J100" s="126"/>
      <c r="K100" s="132"/>
      <c r="L100" s="132"/>
      <c r="M100" s="132"/>
      <c r="N100" s="132"/>
      <c r="O100" s="132"/>
      <c r="P100" s="132"/>
      <c r="Q100" s="132"/>
      <c r="R100" s="132"/>
      <c r="S100" s="132"/>
      <c r="T100" s="27"/>
    </row>
    <row r="101" ht="21" customHeight="1">
      <c r="A101" s="78"/>
      <c r="B101" t="s" s="123">
        <v>46</v>
      </c>
      <c r="C101" s="28"/>
      <c r="D101" s="11"/>
      <c r="E101" s="118">
        <f>E71</f>
        <v>4</v>
      </c>
      <c r="F101" s="133">
        <f>F71</f>
        <v>2.261</v>
      </c>
      <c r="G101" s="118">
        <f>G71</f>
        <v>-95</v>
      </c>
      <c r="H101" s="118">
        <f>H71</f>
        <v>55</v>
      </c>
      <c r="I101" s="118">
        <f>I71</f>
        <v>-128</v>
      </c>
      <c r="J101" s="118">
        <f>J71</f>
        <v>283</v>
      </c>
      <c r="K101" s="61">
        <f>K95*K102</f>
        <v>-121.552580886301</v>
      </c>
      <c r="L101" s="61">
        <f>L95*L102</f>
        <v>-81.2614644144579</v>
      </c>
      <c r="M101" s="61">
        <f>M95*M102</f>
        <v>-43.4491468038741</v>
      </c>
      <c r="N101" s="61">
        <f>N95*N102</f>
        <v>26.1592746169108</v>
      </c>
      <c r="O101" s="61">
        <f>O95*O102</f>
        <v>105.124707453538</v>
      </c>
      <c r="P101" s="61">
        <f>P95*P102</f>
        <v>262.129905505778</v>
      </c>
      <c r="Q101" s="61">
        <f>Q95*Q102</f>
        <v>456.383667292006</v>
      </c>
      <c r="R101" s="61">
        <f>R95*R102</f>
        <v>528.423288580495</v>
      </c>
      <c r="S101" s="61">
        <f>S95*S102</f>
        <v>728.167326462525</v>
      </c>
      <c r="T101" s="61">
        <f>T95*T102</f>
        <v>972.591624836475</v>
      </c>
    </row>
    <row r="102" ht="21" customHeight="1">
      <c r="A102" s="130"/>
      <c r="B102" t="s" s="125">
        <v>47</v>
      </c>
      <c r="C102" s="66"/>
      <c r="D102" s="68"/>
      <c r="E102" s="68">
        <f>E101/E95</f>
        <v>-0.0114613180515759</v>
      </c>
      <c r="F102" s="68">
        <f>F101/F95</f>
        <v>-0.00598148148148148</v>
      </c>
      <c r="G102" s="68">
        <f>G101/G95</f>
        <v>2.2093023255814</v>
      </c>
      <c r="H102" s="68">
        <f>H101/H95</f>
        <v>-0.753424657534247</v>
      </c>
      <c r="I102" s="68">
        <f>I101/I95</f>
        <v>0.436860068259386</v>
      </c>
      <c r="J102" s="68">
        <f>J101/J95</f>
        <v>3.01063829787234</v>
      </c>
      <c r="K102" s="68">
        <f>AVERAGE(J102,I102,H102)</f>
        <v>0.898024569532493</v>
      </c>
      <c r="L102" s="68">
        <f>AVERAGE(K102,J102,I102,H102,G102,F102,E102)</f>
        <v>0.826279686311188</v>
      </c>
      <c r="M102" s="68">
        <f>AVERAGE(L102,K102,J102,I102,H102,G102,F102)</f>
        <v>0.945956972648726</v>
      </c>
      <c r="N102" s="68">
        <f>AVERAGE(M102,L102,K102,J102,I102,H102,G102)</f>
        <v>1.08194818038161</v>
      </c>
      <c r="O102" s="68">
        <f>AVERAGE(N102,M102,L102,K102,J102,I102,H102)</f>
        <v>0.9208975882102139</v>
      </c>
      <c r="P102" s="68">
        <f>AVERAGE(O102,N102,M102,L102,K102,J102,I102)</f>
        <v>1.16008648045942</v>
      </c>
      <c r="Q102" s="68">
        <f>AVERAGE(P102,O102,N102,M102,L102,K102,J102)</f>
        <v>1.26340453934514</v>
      </c>
      <c r="R102" s="68">
        <f>AVERAGE(Q102,P102,O102,N102,M102,L102,K102)</f>
        <v>1.0137997166984</v>
      </c>
      <c r="S102" s="68">
        <f>AVERAGE(R102,Q102,P102,O102,N102,M102,L102)</f>
        <v>1.03033902343639</v>
      </c>
      <c r="T102" s="68">
        <f>AVERAGE(S102,R102,Q102,P102,O102,N102,M102)</f>
        <v>1.05949035731141</v>
      </c>
    </row>
    <row r="103" ht="21.15" customHeight="1">
      <c r="A103" s="134"/>
      <c r="B103" s="135"/>
      <c r="C103" s="136"/>
      <c r="D103" s="137"/>
      <c r="E103" s="138"/>
      <c r="F103" s="138"/>
      <c r="G103" s="138"/>
      <c r="H103" s="138"/>
      <c r="I103" s="138"/>
      <c r="J103" s="138"/>
      <c r="K103" s="138"/>
      <c r="L103" s="138"/>
      <c r="M103" s="138"/>
      <c r="N103" s="138"/>
      <c r="O103" s="138"/>
      <c r="P103" s="138"/>
      <c r="Q103" s="138"/>
      <c r="R103" s="138"/>
      <c r="S103" s="138"/>
      <c r="T103" s="137"/>
    </row>
    <row r="104" ht="21.15" customHeight="1">
      <c r="A104" s="139"/>
      <c r="B104" t="s" s="140">
        <v>57</v>
      </c>
      <c r="C104" s="141"/>
      <c r="D104" s="142"/>
      <c r="E104" s="143"/>
      <c r="F104" s="143"/>
      <c r="G104" s="143"/>
      <c r="H104" s="143"/>
      <c r="I104" s="143"/>
      <c r="J104" s="143"/>
      <c r="K104" s="143">
        <f>K95-K101</f>
        <v>-13.802937225615</v>
      </c>
      <c r="L104" s="143">
        <f>L95-L101</f>
        <v>-17.0847321103998</v>
      </c>
      <c r="M104" s="143">
        <f>M95-M101</f>
        <v>-2.482272975415</v>
      </c>
      <c r="N104" s="143">
        <f>N95-N101</f>
        <v>-1.9813379178683</v>
      </c>
      <c r="O104" s="143">
        <f>O95-O101</f>
        <v>9.029905175919</v>
      </c>
      <c r="P104" s="143">
        <f>P95-P101</f>
        <v>-36.172694624423</v>
      </c>
      <c r="Q104" s="143">
        <f>Q95-Q101</f>
        <v>-95.15046519462901</v>
      </c>
      <c r="R104" s="143">
        <f>R95-R101</f>
        <v>-7.192832626740</v>
      </c>
      <c r="S104" s="143">
        <f>S95-S101</f>
        <v>-21.441375198504</v>
      </c>
      <c r="T104" s="144">
        <f>T95-T101</f>
        <v>-54.610995636084</v>
      </c>
    </row>
    <row r="105" ht="21" customHeight="1">
      <c r="A105" s="78"/>
      <c r="B105" s="48"/>
      <c r="C105" s="145"/>
      <c r="D105" s="146"/>
      <c r="E105" s="147"/>
      <c r="F105" s="147"/>
      <c r="G105" s="147"/>
      <c r="H105" s="147"/>
      <c r="I105" s="147"/>
      <c r="J105" s="147"/>
      <c r="K105" s="147"/>
      <c r="L105" s="147"/>
      <c r="M105" s="147"/>
      <c r="N105" s="147"/>
      <c r="O105" s="147"/>
      <c r="P105" s="147"/>
      <c r="Q105" s="147"/>
      <c r="R105" s="147"/>
      <c r="S105" s="147"/>
      <c r="T105" s="146"/>
    </row>
    <row r="106" ht="21.5" customHeight="1">
      <c r="A106" s="78"/>
      <c r="B106" t="s" s="129">
        <v>49</v>
      </c>
      <c r="C106" s="28"/>
      <c r="D106" s="11"/>
      <c r="E106" s="133">
        <f>E76</f>
        <v>38</v>
      </c>
      <c r="F106" s="133">
        <f>F76</f>
        <v>54</v>
      </c>
      <c r="G106" s="133">
        <f>G76</f>
        <v>32</v>
      </c>
      <c r="H106" s="133">
        <f>H76</f>
        <v>87</v>
      </c>
      <c r="I106" s="133">
        <f>I76</f>
        <v>111</v>
      </c>
      <c r="J106" s="133">
        <f>J76</f>
        <v>127</v>
      </c>
      <c r="K106" s="148">
        <f>K92*K107</f>
        <v>141.838912096104</v>
      </c>
      <c r="L106" s="148">
        <f>L92*L107</f>
        <v>166.288609430561</v>
      </c>
      <c r="M106" s="148">
        <f>M92*M107</f>
        <v>188.521696517703</v>
      </c>
      <c r="N106" s="148">
        <f>N92*N107</f>
        <v>216.234399113718</v>
      </c>
      <c r="O106" s="148">
        <f>O92*O107</f>
        <v>245.253856329611</v>
      </c>
      <c r="P106" s="148">
        <f>P92*P107</f>
        <v>275.122868336035</v>
      </c>
      <c r="Q106" s="148">
        <f>Q92*Q107</f>
        <v>307.571654882739</v>
      </c>
      <c r="R106" s="148">
        <f>R92*R107</f>
        <v>340.963241769595</v>
      </c>
      <c r="S106" s="148">
        <f>S92*S107</f>
        <v>375.178222237209</v>
      </c>
      <c r="T106" s="148">
        <f>T92*T107</f>
        <v>410.280650773422</v>
      </c>
    </row>
    <row r="107" ht="22" customHeight="1">
      <c r="A107" s="78"/>
      <c r="B107" t="s" s="149">
        <v>45</v>
      </c>
      <c r="C107" s="28"/>
      <c r="D107" s="126"/>
      <c r="E107" s="126">
        <f>E106/E92</f>
        <v>0.0128726287262873</v>
      </c>
      <c r="F107" s="126">
        <f>F106/F92</f>
        <v>0.0132029339853301</v>
      </c>
      <c r="G107" s="126">
        <f>G106/G92</f>
        <v>0.00608480699752805</v>
      </c>
      <c r="H107" s="126">
        <f>H106/H92</f>
        <v>0.0128622117090479</v>
      </c>
      <c r="I107" s="126">
        <f>I106/I92</f>
        <v>0.0140862944162437</v>
      </c>
      <c r="J107" s="150">
        <f>J106/J92</f>
        <v>0.0131361191559785</v>
      </c>
      <c r="K107" s="86">
        <f>AVERAGE(J107,I107,H107)</f>
        <v>0.0133615417604234</v>
      </c>
      <c r="L107" s="86">
        <f>AVERAGE(K107,J107,I107)</f>
        <v>0.0135279851108819</v>
      </c>
      <c r="M107" s="86">
        <f>AVERAGE(L107,K107,J107)</f>
        <v>0.0133418820090946</v>
      </c>
      <c r="N107" s="86">
        <f>AVERAGE(M107,L107,K107)</f>
        <v>0.0134104696268</v>
      </c>
      <c r="O107" s="86">
        <f>AVERAGE(N107,M107,L107)</f>
        <v>0.0134267789155922</v>
      </c>
      <c r="P107" s="86">
        <f>AVERAGE(O107,N107,M107)</f>
        <v>0.0133930435171623</v>
      </c>
      <c r="Q107" s="86">
        <f>AVERAGE(P107,O107,N107)</f>
        <v>0.0134100973531848</v>
      </c>
      <c r="R107" s="86">
        <f>AVERAGE(Q107,P107,O107)</f>
        <v>0.0134099732619798</v>
      </c>
      <c r="S107" s="86">
        <f>AVERAGE(R107,Q107,P107)</f>
        <v>0.0134043713774423</v>
      </c>
      <c r="T107" s="86">
        <f>AVERAGE(S107,R107,Q107)</f>
        <v>0.013408147330869</v>
      </c>
    </row>
    <row r="108" ht="21.5" customHeight="1">
      <c r="A108" s="78"/>
      <c r="B108" s="121"/>
      <c r="C108" s="28"/>
      <c r="D108" s="11"/>
      <c r="E108" s="126"/>
      <c r="F108" s="126"/>
      <c r="G108" s="126"/>
      <c r="H108" s="126"/>
      <c r="I108" s="126"/>
      <c r="J108" s="126"/>
      <c r="K108" s="132"/>
      <c r="L108" s="132"/>
      <c r="M108" s="132"/>
      <c r="N108" s="132"/>
      <c r="O108" s="132"/>
      <c r="P108" s="132"/>
      <c r="Q108" s="132"/>
      <c r="R108" s="132"/>
      <c r="S108" s="132"/>
      <c r="T108" s="27"/>
    </row>
    <row r="109" ht="21.5" customHeight="1">
      <c r="A109" s="78"/>
      <c r="B109" t="s" s="129">
        <v>52</v>
      </c>
      <c r="C109" s="28"/>
      <c r="D109" s="11"/>
      <c r="E109" s="118">
        <f>E80</f>
        <v>27</v>
      </c>
      <c r="F109" s="133">
        <f>F80</f>
        <v>36</v>
      </c>
      <c r="G109" s="133">
        <f>G80</f>
        <v>125</v>
      </c>
      <c r="H109" s="133">
        <f>H80</f>
        <v>135</v>
      </c>
      <c r="I109" s="133">
        <f>I80</f>
        <v>78</v>
      </c>
      <c r="J109" s="133">
        <f>J80</f>
        <v>85</v>
      </c>
      <c r="K109" s="148">
        <f>K92*K110</f>
        <v>136.758873189240</v>
      </c>
      <c r="L109" s="148">
        <f>L92*L110</f>
        <v>129.368610581640</v>
      </c>
      <c r="M109" s="148">
        <f>M92*M110</f>
        <v>151.659592246288</v>
      </c>
      <c r="N109" s="148">
        <f>N92*N110</f>
        <v>183.497487006162</v>
      </c>
      <c r="O109" s="148">
        <f>O92*O110</f>
        <v>198.720630370671</v>
      </c>
      <c r="P109" s="148">
        <f>P92*P110</f>
        <v>225.913399780557</v>
      </c>
      <c r="Q109" s="148">
        <f>Q92*Q110</f>
        <v>254.258538000649</v>
      </c>
      <c r="R109" s="148">
        <f>R92*R110</f>
        <v>279.368491348206</v>
      </c>
      <c r="S109" s="148">
        <f>S92*S110</f>
        <v>308.540713440121</v>
      </c>
      <c r="T109" s="148">
        <f>T92*T110</f>
        <v>337.578886779312</v>
      </c>
    </row>
    <row r="110" ht="22" customHeight="1">
      <c r="A110" s="78"/>
      <c r="B110" t="s" s="149">
        <v>45</v>
      </c>
      <c r="C110" s="28"/>
      <c r="D110" s="126"/>
      <c r="E110" s="126">
        <f>E109/E92</f>
        <v>0.00914634146341463</v>
      </c>
      <c r="F110" s="126">
        <f>F109/F92</f>
        <v>0.00880195599022005</v>
      </c>
      <c r="G110" s="126">
        <f>G109/G92</f>
        <v>0.0237687773340939</v>
      </c>
      <c r="H110" s="126">
        <f>H109/H92</f>
        <v>0.0199586043761088</v>
      </c>
      <c r="I110" s="126">
        <f>I109/I92</f>
        <v>0.00989847715736041</v>
      </c>
      <c r="J110" s="150">
        <f>J109/J92</f>
        <v>0.008791890773686389</v>
      </c>
      <c r="K110" s="86">
        <f>AVERAGE(J110,I110,H110)</f>
        <v>0.0128829907690519</v>
      </c>
      <c r="L110" s="86">
        <f>AVERAGE(K110,J110,I110)</f>
        <v>0.0105244529000329</v>
      </c>
      <c r="M110" s="86">
        <f>AVERAGE(L110,K110,J110)</f>
        <v>0.0107331114809237</v>
      </c>
      <c r="N110" s="86">
        <f>AVERAGE(M110,L110,K110)</f>
        <v>0.0113801850500028</v>
      </c>
      <c r="O110" s="86">
        <f>AVERAGE(N110,M110,L110)</f>
        <v>0.0108792498103198</v>
      </c>
      <c r="P110" s="86">
        <f>AVERAGE(O110,N110,M110)</f>
        <v>0.0109975154470821</v>
      </c>
      <c r="Q110" s="86">
        <f>AVERAGE(P110,O110,N110)</f>
        <v>0.0110856501024682</v>
      </c>
      <c r="R110" s="86">
        <f>AVERAGE(Q110,P110,O110)</f>
        <v>0.0109874717866234</v>
      </c>
      <c r="S110" s="86">
        <f>AVERAGE(R110,Q110,P110)</f>
        <v>0.0110235457787246</v>
      </c>
      <c r="T110" s="86">
        <f>AVERAGE(S110,R110,Q110)</f>
        <v>0.0110322225559387</v>
      </c>
    </row>
    <row r="111" ht="21.5" customHeight="1">
      <c r="A111" s="78"/>
      <c r="B111" s="121"/>
      <c r="C111" s="28"/>
      <c r="D111" s="11"/>
      <c r="E111" s="126"/>
      <c r="F111" s="126"/>
      <c r="G111" s="126"/>
      <c r="H111" s="126"/>
      <c r="I111" s="126"/>
      <c r="J111" s="126"/>
      <c r="K111" s="132"/>
      <c r="L111" s="132"/>
      <c r="M111" s="132"/>
      <c r="N111" s="132"/>
      <c r="O111" s="132"/>
      <c r="P111" s="132"/>
      <c r="Q111" s="132"/>
      <c r="R111" s="132"/>
      <c r="S111" s="132"/>
      <c r="T111" s="27"/>
    </row>
    <row r="112" ht="21.5" customHeight="1">
      <c r="A112" s="78"/>
      <c r="B112" t="s" s="129">
        <v>54</v>
      </c>
      <c r="C112" s="28"/>
      <c r="D112" s="11"/>
      <c r="E112" s="11"/>
      <c r="F112" s="118">
        <f>F85</f>
        <v>649.015</v>
      </c>
      <c r="G112" s="118">
        <f>G85</f>
        <v>-61</v>
      </c>
      <c r="H112" s="118">
        <f>H85</f>
        <v>307</v>
      </c>
      <c r="I112" s="118">
        <f>I85</f>
        <v>326</v>
      </c>
      <c r="J112" s="118">
        <f>J85</f>
        <v>-1680</v>
      </c>
      <c r="K112" s="148">
        <f>K92*K113</f>
        <v>-307.888084811736</v>
      </c>
      <c r="L112" s="151">
        <f>L92*L113</f>
        <v>-661.3295153787</v>
      </c>
      <c r="M112" s="151">
        <f>M92*M113</f>
        <v>-1208.467698728550</v>
      </c>
      <c r="N112" s="151">
        <f>N92*N113</f>
        <v>-904.7293156652451</v>
      </c>
      <c r="O112" s="151">
        <f>O92*O113</f>
        <v>-1189.940173568460</v>
      </c>
      <c r="P112" s="151">
        <f>P92*P113</f>
        <v>-1415.901695745670</v>
      </c>
      <c r="Q112" s="151">
        <f>Q92*Q113</f>
        <v>-1453.986922653020</v>
      </c>
      <c r="R112" s="151">
        <f>R92*R113</f>
        <v>-1673.588931474720</v>
      </c>
      <c r="S112" s="151">
        <f>S92*S113</f>
        <v>-1848.613309263670</v>
      </c>
      <c r="T112" s="151">
        <f>T92*T113</f>
        <v>-1991.637371588140</v>
      </c>
    </row>
    <row r="113" ht="22" customHeight="1">
      <c r="A113" s="78"/>
      <c r="B113" t="s" s="131">
        <v>45</v>
      </c>
      <c r="C113" s="28"/>
      <c r="D113" s="68"/>
      <c r="E113" s="68"/>
      <c r="F113" s="68">
        <f>F112/F92</f>
        <v>0.15868337408313</v>
      </c>
      <c r="G113" s="68">
        <f>G112/G92</f>
        <v>-0.0115991633390378</v>
      </c>
      <c r="H113" s="68">
        <f>H112/H92</f>
        <v>0.0453873447664104</v>
      </c>
      <c r="I113" s="68">
        <f>I112/I92</f>
        <v>0.0413705583756345</v>
      </c>
      <c r="J113" s="102">
        <f>J112/J92</f>
        <v>-0.173769135291684</v>
      </c>
      <c r="K113" s="86">
        <f>AVERAGE(J113,I113,H113)</f>
        <v>-0.0290037440498797</v>
      </c>
      <c r="L113" s="86">
        <f>AVERAGE(K113,J113,I113)</f>
        <v>-0.0538007736553097</v>
      </c>
      <c r="M113" s="86">
        <f>AVERAGE(L113,K113,J113)</f>
        <v>-0.0855245509989578</v>
      </c>
      <c r="N113" s="86">
        <f>AVERAGE(M113,L113,K113)</f>
        <v>-0.0561096895680491</v>
      </c>
      <c r="O113" s="86">
        <f>AVERAGE(N113,M113,L113)</f>
        <v>-0.0651450047407722</v>
      </c>
      <c r="P113" s="86">
        <f>AVERAGE(O113,N113,M113)</f>
        <v>-0.06892641510259299</v>
      </c>
      <c r="Q113" s="86">
        <f>AVERAGE(P113,O113,N113)</f>
        <v>-0.0633937031371381</v>
      </c>
      <c r="R113" s="86">
        <f>AVERAGE(Q113,P113,O113)</f>
        <v>-0.0658217076601678</v>
      </c>
      <c r="S113" s="86">
        <f>AVERAGE(R113,Q113,P113)</f>
        <v>-0.0660472752999663</v>
      </c>
      <c r="T113" s="86">
        <f>AVERAGE(S113,R113,Q113)</f>
        <v>-0.06508756203242411</v>
      </c>
    </row>
    <row r="114" ht="21.65" customHeight="1">
      <c r="A114" s="134"/>
      <c r="B114" s="135"/>
      <c r="C114" s="136"/>
      <c r="D114" s="137"/>
      <c r="E114" s="138"/>
      <c r="F114" s="138"/>
      <c r="G114" s="138"/>
      <c r="H114" s="138"/>
      <c r="I114" s="138"/>
      <c r="J114" s="138"/>
      <c r="K114" s="152"/>
      <c r="L114" s="152"/>
      <c r="M114" s="152"/>
      <c r="N114" s="152"/>
      <c r="O114" s="152"/>
      <c r="P114" s="152"/>
      <c r="Q114" s="152"/>
      <c r="R114" s="152"/>
      <c r="S114" s="152"/>
      <c r="T114" s="153"/>
    </row>
    <row r="115" ht="21.15" customHeight="1">
      <c r="A115" s="154"/>
      <c r="B115" t="s" s="140">
        <v>58</v>
      </c>
      <c r="C115" s="155"/>
      <c r="D115" s="156"/>
      <c r="E115" s="157"/>
      <c r="F115" s="157"/>
      <c r="G115" s="157"/>
      <c r="H115" s="157"/>
      <c r="I115" s="157"/>
      <c r="J115" s="157"/>
      <c r="K115" s="158">
        <f>K104+K106-K109-K112</f>
        <v>299.165186492985</v>
      </c>
      <c r="L115" s="158">
        <f>L104+L106-L109-L112</f>
        <v>681.164782117221</v>
      </c>
      <c r="M115" s="158">
        <f>M104+M106-M109-M112</f>
        <v>1242.847530024550</v>
      </c>
      <c r="N115" s="158">
        <f>N104+N106-N109-N112</f>
        <v>935.484889854933</v>
      </c>
      <c r="O115" s="158">
        <f>O104+O106-O109-O112</f>
        <v>1245.503304703320</v>
      </c>
      <c r="P115" s="158">
        <f>P104+P106-P109-P112</f>
        <v>1428.938469676730</v>
      </c>
      <c r="Q115" s="158">
        <f>Q104+Q106-Q109-Q112</f>
        <v>1412.149574340480</v>
      </c>
      <c r="R115" s="158">
        <f>R104+R106-R109-R112</f>
        <v>1727.990849269370</v>
      </c>
      <c r="S115" s="158">
        <f>S104+S106-S109-S112</f>
        <v>1893.809442862250</v>
      </c>
      <c r="T115" s="158">
        <f>T104+T106-T109-T112</f>
        <v>2009.728139946170</v>
      </c>
    </row>
    <row r="116" ht="21.15" customHeight="1">
      <c r="A116" s="134"/>
      <c r="B116" t="s" s="159">
        <v>59</v>
      </c>
      <c r="C116" s="136"/>
      <c r="D116" s="137"/>
      <c r="E116" s="138"/>
      <c r="F116" s="138"/>
      <c r="G116" s="138"/>
      <c r="H116" s="138"/>
      <c r="I116" s="138"/>
      <c r="J116" s="138"/>
      <c r="K116" s="160">
        <f>K115/(1+$C$18)^K89</f>
        <v>269.616474051318</v>
      </c>
      <c r="L116" s="160">
        <f>L115/(1+$C$18)^L89</f>
        <v>553.251917625809</v>
      </c>
      <c r="M116" s="160">
        <f>M115/(1+$C$18)^M89</f>
        <v>909.753985288551</v>
      </c>
      <c r="N116" s="160">
        <f>N115/(1+$C$18)^N89</f>
        <v>617.132277036093</v>
      </c>
      <c r="O116" s="160">
        <f>O115/(1+$C$18)^O89</f>
        <v>740.494333484818</v>
      </c>
      <c r="P116" s="160">
        <f>P115/(1+$C$18)^P89</f>
        <v>765.642010095111</v>
      </c>
      <c r="Q116" s="160">
        <f>Q115/(1+$C$18)^Q89</f>
        <v>681.911943234117</v>
      </c>
      <c r="R116" s="160">
        <f>R115/(1+$C$18)^R89</f>
        <v>752.0113697626171</v>
      </c>
      <c r="S116" s="160">
        <f>S115/(1+$C$18)^S89</f>
        <v>742.770449289393</v>
      </c>
      <c r="T116" s="160">
        <f>T115/(1+$C$18)^T89</f>
        <v>710.380487878105</v>
      </c>
    </row>
    <row r="117" ht="21.15" customHeight="1">
      <c r="A117" s="139"/>
      <c r="B117" s="154"/>
      <c r="C117" s="141"/>
      <c r="D117" s="142"/>
      <c r="E117" s="161"/>
      <c r="F117" s="161"/>
      <c r="G117" s="161"/>
      <c r="H117" s="161"/>
      <c r="I117" s="161"/>
      <c r="J117" s="161"/>
      <c r="K117" s="161"/>
      <c r="L117" s="161"/>
      <c r="M117" s="161"/>
      <c r="N117" s="161"/>
      <c r="O117" s="161"/>
      <c r="P117" s="161"/>
      <c r="Q117" s="161"/>
      <c r="R117" s="161"/>
      <c r="S117" s="161"/>
      <c r="T117" s="162"/>
    </row>
    <row r="118" ht="21" customHeight="1">
      <c r="A118" s="78"/>
      <c r="B118" t="s" s="129">
        <v>60</v>
      </c>
      <c r="C118" s="79"/>
      <c r="D118" s="163"/>
      <c r="E118" s="164"/>
      <c r="F118" s="164"/>
      <c r="G118" s="164"/>
      <c r="H118" s="164"/>
      <c r="I118" s="164"/>
      <c r="J118" s="164"/>
      <c r="K118" s="164"/>
      <c r="L118" s="164"/>
      <c r="M118" s="164"/>
      <c r="N118" s="164"/>
      <c r="O118" s="164"/>
      <c r="P118" s="164"/>
      <c r="Q118" s="164"/>
      <c r="R118" s="164"/>
      <c r="S118" s="164"/>
      <c r="T118" s="165">
        <f>T115*(1+C19)/($C$18-$C$19)</f>
        <v>22879.7884224811</v>
      </c>
    </row>
    <row r="119" ht="21" customHeight="1">
      <c r="A119" s="78"/>
      <c r="B119" t="s" s="129">
        <v>61</v>
      </c>
      <c r="C119" s="79"/>
      <c r="D119" s="163"/>
      <c r="E119" s="164"/>
      <c r="F119" s="164"/>
      <c r="G119" s="164"/>
      <c r="H119" s="164"/>
      <c r="I119" s="164"/>
      <c r="J119" s="164"/>
      <c r="K119" s="164"/>
      <c r="L119" s="164"/>
      <c r="M119" s="164"/>
      <c r="N119" s="164"/>
      <c r="O119" s="164"/>
      <c r="P119" s="164"/>
      <c r="Q119" s="164"/>
      <c r="R119" s="164"/>
      <c r="S119" s="164"/>
      <c r="T119" s="165">
        <f>T118/(1+C18)^T89</f>
        <v>8087.340242220660</v>
      </c>
    </row>
    <row r="120" ht="21" customHeight="1">
      <c r="A120" s="78"/>
      <c r="B120" s="48"/>
      <c r="C120" s="79"/>
      <c r="D120" s="163"/>
      <c r="E120" s="164"/>
      <c r="F120" s="164"/>
      <c r="G120" s="164"/>
      <c r="H120" s="164"/>
      <c r="I120" s="164"/>
      <c r="J120" s="164"/>
      <c r="K120" s="164"/>
      <c r="L120" s="164"/>
      <c r="M120" s="164"/>
      <c r="N120" s="164"/>
      <c r="O120" s="164"/>
      <c r="P120" s="164"/>
      <c r="Q120" s="164"/>
      <c r="R120" s="164"/>
      <c r="S120" s="164"/>
      <c r="T120" s="166"/>
    </row>
    <row r="121" ht="22" customHeight="1">
      <c r="A121" s="167"/>
      <c r="B121" t="s" s="168">
        <v>62</v>
      </c>
      <c r="C121" s="167"/>
      <c r="D121" s="167"/>
      <c r="E121" s="167"/>
      <c r="F121" s="167"/>
      <c r="G121" s="167"/>
      <c r="H121" s="167"/>
      <c r="I121" s="167"/>
      <c r="J121" s="167"/>
      <c r="K121" s="167"/>
      <c r="L121" s="167"/>
      <c r="M121" s="167"/>
      <c r="N121" s="167"/>
      <c r="O121" s="167"/>
      <c r="P121" s="167"/>
      <c r="Q121" s="167"/>
      <c r="R121" s="167"/>
      <c r="S121" s="167"/>
      <c r="T121" s="169">
        <f>SUM(T116,S116,R116,Q116,P116,O116,N116,M116,L116,T119,K116)</f>
        <v>14830.3054899666</v>
      </c>
    </row>
    <row r="122" ht="22" customHeight="1">
      <c r="A122" s="170"/>
      <c r="B122" t="s" s="171">
        <v>63</v>
      </c>
      <c r="C122" s="170"/>
      <c r="D122" s="170"/>
      <c r="E122" s="170"/>
      <c r="F122" s="170"/>
      <c r="G122" s="170"/>
      <c r="H122" s="170"/>
      <c r="I122" s="170"/>
      <c r="J122" s="170"/>
      <c r="K122" s="170"/>
      <c r="L122" s="170"/>
      <c r="M122" s="170"/>
      <c r="N122" s="170"/>
      <c r="O122" s="170"/>
      <c r="P122" s="170"/>
      <c r="Q122" s="170"/>
      <c r="R122" s="170"/>
      <c r="S122" s="170"/>
      <c r="T122" s="172">
        <v>3570</v>
      </c>
    </row>
    <row r="123" ht="22" customHeight="1">
      <c r="A123" s="170"/>
      <c r="B123" t="s" s="171">
        <v>64</v>
      </c>
      <c r="C123" s="170"/>
      <c r="D123" s="170"/>
      <c r="E123" s="170"/>
      <c r="F123" s="170"/>
      <c r="G123" s="170"/>
      <c r="H123" s="170"/>
      <c r="I123" s="170"/>
      <c r="J123" s="170"/>
      <c r="K123" s="170"/>
      <c r="L123" s="170"/>
      <c r="M123" s="170"/>
      <c r="N123" s="170"/>
      <c r="O123" s="170"/>
      <c r="P123" s="170"/>
      <c r="Q123" s="170"/>
      <c r="R123" s="170"/>
      <c r="S123" s="170"/>
      <c r="T123" s="172">
        <f>'WACC - SPOT'!B14</f>
        <v>1770</v>
      </c>
    </row>
    <row r="124" ht="22" customHeight="1">
      <c r="A124" s="170"/>
      <c r="B124" t="s" s="171">
        <v>65</v>
      </c>
      <c r="C124" s="170"/>
      <c r="D124" s="170"/>
      <c r="E124" s="170"/>
      <c r="F124" s="170"/>
      <c r="G124" s="170"/>
      <c r="H124" s="170"/>
      <c r="I124" s="170"/>
      <c r="J124" s="170"/>
      <c r="K124" s="170"/>
      <c r="L124" s="170"/>
      <c r="M124" s="170"/>
      <c r="N124" s="170"/>
      <c r="O124" s="170"/>
      <c r="P124" s="170"/>
      <c r="Q124" s="170"/>
      <c r="R124" s="170"/>
      <c r="S124" s="170"/>
      <c r="T124" s="172">
        <f>T121+T122-T123</f>
        <v>16630.3054899666</v>
      </c>
    </row>
    <row r="125" ht="22" customHeight="1">
      <c r="A125" s="170"/>
      <c r="B125" t="s" s="171">
        <v>66</v>
      </c>
      <c r="C125" s="170"/>
      <c r="D125" s="170"/>
      <c r="E125" s="170"/>
      <c r="F125" s="170"/>
      <c r="G125" s="170"/>
      <c r="H125" s="170"/>
      <c r="I125" s="170"/>
      <c r="J125" s="170"/>
      <c r="K125" s="170"/>
      <c r="L125" s="170"/>
      <c r="M125" s="170"/>
      <c r="N125" s="170"/>
      <c r="O125" s="170"/>
      <c r="P125" s="170"/>
      <c r="Q125" s="170"/>
      <c r="R125" s="170"/>
      <c r="S125" s="170"/>
      <c r="T125" s="172">
        <v>192.66</v>
      </c>
    </row>
    <row r="126" ht="22" customHeight="1">
      <c r="A126" s="170"/>
      <c r="B126" t="s" s="171">
        <v>67</v>
      </c>
      <c r="C126" s="170"/>
      <c r="D126" s="170"/>
      <c r="E126" s="170"/>
      <c r="F126" s="170"/>
      <c r="G126" s="170"/>
      <c r="H126" s="170"/>
      <c r="I126" s="170"/>
      <c r="J126" s="170"/>
      <c r="K126" s="170"/>
      <c r="L126" s="170"/>
      <c r="M126" s="170"/>
      <c r="N126" s="170"/>
      <c r="O126" s="170"/>
      <c r="P126" s="170"/>
      <c r="Q126" s="170"/>
      <c r="R126" s="170"/>
      <c r="S126" s="170"/>
      <c r="T126" s="173">
        <f>T124/T125</f>
        <v>86.31945131302091</v>
      </c>
    </row>
    <row r="127" ht="22" customHeight="1">
      <c r="A127" s="170"/>
      <c r="B127" s="170"/>
      <c r="C127" s="170"/>
      <c r="D127" s="170"/>
      <c r="E127" s="170"/>
      <c r="F127" s="170"/>
      <c r="G127" s="170"/>
      <c r="H127" s="170"/>
      <c r="I127" s="170"/>
      <c r="J127" s="170"/>
      <c r="K127" s="170"/>
      <c r="L127" s="170"/>
      <c r="M127" s="170"/>
      <c r="N127" s="170"/>
      <c r="O127" s="170"/>
      <c r="P127" s="170"/>
      <c r="Q127" s="170"/>
      <c r="R127" s="170"/>
      <c r="S127" s="170"/>
      <c r="T127" s="170"/>
    </row>
    <row r="128" ht="22" customHeight="1">
      <c r="A128" s="170"/>
      <c r="B128" s="170"/>
      <c r="C128" s="170"/>
      <c r="D128" s="170"/>
      <c r="E128" s="170"/>
      <c r="F128" s="170"/>
      <c r="G128" s="170"/>
      <c r="H128" s="170"/>
      <c r="I128" s="170"/>
      <c r="J128" s="170"/>
      <c r="K128" s="170"/>
      <c r="L128" s="170"/>
      <c r="M128" s="170"/>
      <c r="N128" s="170"/>
      <c r="O128" s="170"/>
      <c r="P128" s="170"/>
      <c r="Q128" s="170"/>
      <c r="R128" s="170"/>
      <c r="S128" s="170"/>
      <c r="T128" s="170"/>
    </row>
  </sheetData>
  <mergeCells count="2">
    <mergeCell ref="A1:T1"/>
    <mergeCell ref="K20:L20"/>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21"/>
  <sheetViews>
    <sheetView workbookViewId="0" showGridLines="0" defaultGridColor="1"/>
  </sheetViews>
  <sheetFormatPr defaultColWidth="16.3333" defaultRowHeight="19.9" customHeight="1" outlineLevelRow="0" outlineLevelCol="0"/>
  <cols>
    <col min="1" max="1" width="21.1875" style="174" customWidth="1"/>
    <col min="2" max="5" width="16.3516" style="174" customWidth="1"/>
    <col min="6" max="256" width="16.3516" style="174" customWidth="1"/>
  </cols>
  <sheetData>
    <row r="1" ht="28.65" customHeight="1">
      <c r="A1" t="s" s="175">
        <v>8</v>
      </c>
      <c r="B1" s="175"/>
      <c r="C1" s="175"/>
      <c r="D1" s="175"/>
      <c r="E1" s="175"/>
    </row>
    <row r="2" ht="19.7" customHeight="1">
      <c r="A2" s="36"/>
      <c r="B2" s="36"/>
      <c r="C2" s="36"/>
      <c r="D2" s="36"/>
      <c r="E2" s="36"/>
    </row>
    <row r="3" ht="22" customHeight="1">
      <c r="A3" t="s" s="176">
        <v>69</v>
      </c>
      <c r="B3" s="36"/>
      <c r="C3" s="36"/>
      <c r="D3" s="36"/>
      <c r="E3" s="36"/>
    </row>
    <row r="4" ht="22" customHeight="1">
      <c r="A4" t="s" s="176">
        <v>70</v>
      </c>
      <c r="B4" s="36"/>
      <c r="C4" s="36"/>
      <c r="D4" s="36"/>
      <c r="E4" s="36"/>
    </row>
    <row r="5" ht="19.7" customHeight="1">
      <c r="A5" s="36"/>
      <c r="B5" s="36"/>
      <c r="C5" s="36"/>
      <c r="D5" s="36"/>
      <c r="E5" s="36"/>
    </row>
    <row r="6" ht="22" customHeight="1">
      <c r="A6" t="s" s="177">
        <v>25</v>
      </c>
      <c r="B6" s="36"/>
      <c r="C6" s="36"/>
      <c r="D6" s="36"/>
      <c r="E6" s="36"/>
    </row>
    <row r="7" ht="19.7" customHeight="1">
      <c r="A7" t="s" s="178">
        <v>71</v>
      </c>
      <c r="B7" s="179">
        <v>19330</v>
      </c>
      <c r="C7" s="36"/>
      <c r="D7" s="36"/>
      <c r="E7" s="36"/>
    </row>
    <row r="8" ht="19.7" customHeight="1">
      <c r="A8" t="s" s="178">
        <v>72</v>
      </c>
      <c r="B8" s="180">
        <f>B7/B19</f>
        <v>0.916113744075829</v>
      </c>
      <c r="C8" s="36"/>
      <c r="D8" s="36"/>
      <c r="E8" s="36"/>
    </row>
    <row r="9" ht="19.7" customHeight="1">
      <c r="A9" t="s" s="178">
        <v>73</v>
      </c>
      <c r="B9" s="181">
        <f>B10+B11*B12</f>
        <v>0.120332</v>
      </c>
      <c r="C9" s="36"/>
      <c r="D9" s="36"/>
      <c r="E9" s="36"/>
    </row>
    <row r="10" ht="19.7" customHeight="1">
      <c r="A10" t="s" s="178">
        <v>74</v>
      </c>
      <c r="B10" s="181">
        <v>0.0349</v>
      </c>
      <c r="C10" s="36"/>
      <c r="D10" s="36"/>
      <c r="E10" s="36"/>
    </row>
    <row r="11" ht="19.7" customHeight="1">
      <c r="A11" t="s" s="178">
        <v>75</v>
      </c>
      <c r="B11" s="182">
        <v>1.81</v>
      </c>
      <c r="C11" s="36"/>
      <c r="D11" s="36"/>
      <c r="E11" s="36"/>
    </row>
    <row r="12" ht="19.7" customHeight="1">
      <c r="A12" t="s" s="183">
        <v>76</v>
      </c>
      <c r="B12" s="181">
        <v>0.0472</v>
      </c>
      <c r="C12" s="36"/>
      <c r="D12" s="36"/>
      <c r="E12" s="36"/>
    </row>
    <row r="13" ht="19.7" customHeight="1">
      <c r="A13" s="184"/>
      <c r="B13" s="36"/>
      <c r="C13" s="36"/>
      <c r="D13" s="36"/>
      <c r="E13" s="36"/>
    </row>
    <row r="14" ht="19.7" customHeight="1">
      <c r="A14" t="s" s="178">
        <v>77</v>
      </c>
      <c r="B14" s="179">
        <v>1770</v>
      </c>
      <c r="C14" s="36"/>
      <c r="D14" s="36"/>
      <c r="E14" s="36"/>
    </row>
    <row r="15" ht="19.7" customHeight="1">
      <c r="A15" t="s" s="178">
        <v>78</v>
      </c>
      <c r="B15" s="185">
        <f>B14/B7</f>
        <v>0.0915675116399379</v>
      </c>
      <c r="C15" s="36"/>
      <c r="D15" s="36"/>
      <c r="E15" s="36"/>
    </row>
    <row r="16" ht="19.7" customHeight="1">
      <c r="A16" t="s" s="178">
        <v>79</v>
      </c>
      <c r="B16" s="186">
        <v>0.0514</v>
      </c>
      <c r="C16" s="36"/>
      <c r="D16" s="36"/>
      <c r="E16" s="36"/>
    </row>
    <row r="17" ht="19.7" customHeight="1">
      <c r="A17" t="s" s="178">
        <v>80</v>
      </c>
      <c r="B17" s="186">
        <v>1.1365</v>
      </c>
      <c r="C17" s="36"/>
      <c r="D17" s="36"/>
      <c r="E17" s="36"/>
    </row>
    <row r="18" ht="19.7" customHeight="1">
      <c r="A18" s="184"/>
      <c r="B18" s="179"/>
      <c r="C18" s="36"/>
      <c r="D18" s="36"/>
      <c r="E18" s="36"/>
    </row>
    <row r="19" ht="19.7" customHeight="1">
      <c r="A19" t="s" s="178">
        <v>81</v>
      </c>
      <c r="B19" s="179">
        <f>B7+B14</f>
        <v>21100</v>
      </c>
      <c r="C19" s="36"/>
      <c r="D19" s="36"/>
      <c r="E19" s="36"/>
    </row>
    <row r="20" ht="19.7" customHeight="1">
      <c r="A20" s="184"/>
      <c r="B20" s="36"/>
      <c r="C20" s="36"/>
      <c r="D20" s="36"/>
      <c r="E20" s="36"/>
    </row>
    <row r="21" ht="19.7" customHeight="1">
      <c r="A21" t="s" s="178">
        <v>25</v>
      </c>
      <c r="B21" s="181">
        <f>(B8*B9)+(B15*B16*(1-B17))</f>
        <v>0.109595352233716</v>
      </c>
      <c r="C21" s="36"/>
      <c r="D21" s="36"/>
      <c r="E21" s="36"/>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