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lgunputh/Library/Mobile Documents/com~apple~Numbers/Documents/Stock Market Analysis/Company/Netflix/"/>
    </mc:Choice>
  </mc:AlternateContent>
  <xr:revisionPtr revIDLastSave="0" documentId="13_ncr:1_{09F3D82E-8A5C-4C4F-8B52-43550BE03B19}" xr6:coauthVersionLast="47" xr6:coauthVersionMax="47" xr10:uidLastSave="{00000000-0000-0000-0000-000000000000}"/>
  <bookViews>
    <workbookView xWindow="29000" yWindow="500" windowWidth="25140" windowHeight="19540" xr2:uid="{BA5D17D1-6B1B-6A42-B20C-00538EE56004}"/>
  </bookViews>
  <sheets>
    <sheet name="NFLX_DCF" sheetId="1" r:id="rId1"/>
    <sheet name="NFLX_WAC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74" i="1"/>
  <c r="H73" i="1" s="1"/>
  <c r="G61" i="1"/>
  <c r="G23" i="1"/>
  <c r="E16" i="1"/>
  <c r="K16" i="1"/>
  <c r="C19" i="1" s="1"/>
  <c r="D11" i="2"/>
  <c r="D17" i="2"/>
  <c r="D21" i="2"/>
  <c r="D10" i="2" s="1"/>
  <c r="L104" i="1"/>
  <c r="F56" i="1"/>
  <c r="E56" i="1"/>
  <c r="D56" i="1"/>
  <c r="C56" i="1"/>
  <c r="F87" i="1"/>
  <c r="E87" i="1"/>
  <c r="D87" i="1"/>
  <c r="C87" i="1"/>
  <c r="F83" i="1"/>
  <c r="F85" i="1" s="1"/>
  <c r="E83" i="1"/>
  <c r="D83" i="1"/>
  <c r="C83" i="1"/>
  <c r="C85" i="1" s="1"/>
  <c r="L74" i="1"/>
  <c r="L75" i="1" s="1"/>
  <c r="L72" i="1" s="1"/>
  <c r="F77" i="1"/>
  <c r="F78" i="1" s="1"/>
  <c r="E77" i="1"/>
  <c r="D77" i="1"/>
  <c r="D78" i="1" s="1"/>
  <c r="C77" i="1"/>
  <c r="H75" i="1"/>
  <c r="H72" i="1" s="1"/>
  <c r="L73" i="1"/>
  <c r="G71" i="1"/>
  <c r="F71" i="1"/>
  <c r="E71" i="1"/>
  <c r="D71" i="1"/>
  <c r="C71" i="1"/>
  <c r="G90" i="1"/>
  <c r="G83" i="1"/>
  <c r="F61" i="1"/>
  <c r="C61" i="1"/>
  <c r="D61" i="1"/>
  <c r="D90" i="1" s="1"/>
  <c r="E61" i="1"/>
  <c r="E90" i="1" s="1"/>
  <c r="G77" i="1"/>
  <c r="G78" i="1" s="1"/>
  <c r="E50" i="1"/>
  <c r="D50" i="1"/>
  <c r="C50" i="1"/>
  <c r="F50" i="1"/>
  <c r="L31" i="1"/>
  <c r="K31" i="1"/>
  <c r="H34" i="1"/>
  <c r="H32" i="1"/>
  <c r="H31" i="1" s="1"/>
  <c r="H27" i="1"/>
  <c r="H25" i="1"/>
  <c r="H24" i="1" s="1"/>
  <c r="H23" i="1" s="1"/>
  <c r="L26" i="1"/>
  <c r="I26" i="1" s="1"/>
  <c r="L33" i="1"/>
  <c r="I33" i="1" s="1"/>
  <c r="G30" i="1"/>
  <c r="G31" i="1" s="1"/>
  <c r="E38" i="1"/>
  <c r="D38" i="1"/>
  <c r="D43" i="1" s="1"/>
  <c r="D55" i="1" s="1"/>
  <c r="C38" i="1"/>
  <c r="C43" i="1" s="1"/>
  <c r="C47" i="1" s="1"/>
  <c r="F38" i="1"/>
  <c r="F43" i="1" s="1"/>
  <c r="F59" i="1" s="1"/>
  <c r="F31" i="1"/>
  <c r="E31" i="1"/>
  <c r="D31" i="1"/>
  <c r="E24" i="1"/>
  <c r="D24" i="1"/>
  <c r="F24" i="1"/>
  <c r="B30" i="1"/>
  <c r="B23" i="1"/>
  <c r="I3" i="1" a="1"/>
  <c r="I3" i="1" s="1"/>
  <c r="I74" i="1" l="1"/>
  <c r="J74" i="1" s="1"/>
  <c r="K74" i="1" s="1"/>
  <c r="D23" i="2"/>
  <c r="H15" i="1" s="1"/>
  <c r="K15" i="1" s="1"/>
  <c r="C18" i="1" s="1"/>
  <c r="E15" i="1"/>
  <c r="C62" i="1"/>
  <c r="C78" i="1"/>
  <c r="C28" i="1"/>
  <c r="F63" i="1"/>
  <c r="F68" i="1"/>
  <c r="E78" i="1"/>
  <c r="H78" i="1" s="1"/>
  <c r="I78" i="1" s="1"/>
  <c r="C59" i="1"/>
  <c r="E63" i="1"/>
  <c r="D62" i="1"/>
  <c r="C68" i="1"/>
  <c r="C84" i="1" s="1"/>
  <c r="D85" i="1"/>
  <c r="G56" i="1"/>
  <c r="F90" i="1"/>
  <c r="C55" i="1"/>
  <c r="D59" i="1"/>
  <c r="D63" i="1"/>
  <c r="F62" i="1"/>
  <c r="G63" i="1"/>
  <c r="D68" i="1"/>
  <c r="D84" i="1" s="1"/>
  <c r="G87" i="1"/>
  <c r="E85" i="1"/>
  <c r="C90" i="1"/>
  <c r="C91" i="1" s="1"/>
  <c r="F55" i="1"/>
  <c r="H30" i="1"/>
  <c r="H38" i="1" s="1"/>
  <c r="H43" i="1" s="1"/>
  <c r="C35" i="1"/>
  <c r="E39" i="1"/>
  <c r="L25" i="1"/>
  <c r="G50" i="1"/>
  <c r="H50" i="1" s="1"/>
  <c r="I50" i="1" s="1"/>
  <c r="J50" i="1" s="1"/>
  <c r="J33" i="1"/>
  <c r="I32" i="1"/>
  <c r="I31" i="1" s="1"/>
  <c r="I34" i="1"/>
  <c r="F47" i="1"/>
  <c r="J26" i="1"/>
  <c r="I25" i="1"/>
  <c r="I24" i="1" s="1"/>
  <c r="I23" i="1" s="1"/>
  <c r="I27" i="1"/>
  <c r="D47" i="1"/>
  <c r="D44" i="1"/>
  <c r="D28" i="1"/>
  <c r="L27" i="1"/>
  <c r="F39" i="1"/>
  <c r="E28" i="1"/>
  <c r="E35" i="1"/>
  <c r="G24" i="1"/>
  <c r="L34" i="1"/>
  <c r="E43" i="1"/>
  <c r="D35" i="1"/>
  <c r="G28" i="1"/>
  <c r="D39" i="1"/>
  <c r="F28" i="1"/>
  <c r="F35" i="1"/>
  <c r="J78" i="1" l="1"/>
  <c r="K78" i="1" s="1"/>
  <c r="L78" i="1" s="1"/>
  <c r="C88" i="1"/>
  <c r="L24" i="1"/>
  <c r="F84" i="1"/>
  <c r="F88" i="1"/>
  <c r="F44" i="1"/>
  <c r="E68" i="1"/>
  <c r="E55" i="1"/>
  <c r="E62" i="1"/>
  <c r="E59" i="1"/>
  <c r="I30" i="1"/>
  <c r="I38" i="1" s="1"/>
  <c r="I43" i="1" s="1"/>
  <c r="F91" i="1"/>
  <c r="D88" i="1"/>
  <c r="D69" i="1"/>
  <c r="D72" i="1"/>
  <c r="F72" i="1"/>
  <c r="D91" i="1"/>
  <c r="D92" i="1" s="1"/>
  <c r="G85" i="1"/>
  <c r="H68" i="1"/>
  <c r="H71" i="1" s="1"/>
  <c r="K50" i="1"/>
  <c r="L50" i="1" s="1"/>
  <c r="G35" i="1"/>
  <c r="G43" i="1"/>
  <c r="G39" i="1"/>
  <c r="K26" i="1"/>
  <c r="J27" i="1"/>
  <c r="J25" i="1"/>
  <c r="J24" i="1" s="1"/>
  <c r="J23" i="1" s="1"/>
  <c r="E44" i="1"/>
  <c r="E47" i="1"/>
  <c r="K33" i="1"/>
  <c r="K34" i="1" s="1"/>
  <c r="J34" i="1"/>
  <c r="J32" i="1"/>
  <c r="J31" i="1" s="1"/>
  <c r="H35" i="1"/>
  <c r="H39" i="1"/>
  <c r="H28" i="1"/>
  <c r="J30" i="1" l="1"/>
  <c r="K30" i="1" s="1"/>
  <c r="G68" i="1"/>
  <c r="H69" i="1" s="1"/>
  <c r="I73" i="1" s="1"/>
  <c r="G59" i="1"/>
  <c r="H59" i="1" s="1"/>
  <c r="G55" i="1"/>
  <c r="G62" i="1"/>
  <c r="H62" i="1" s="1"/>
  <c r="H44" i="1"/>
  <c r="E69" i="1"/>
  <c r="E84" i="1"/>
  <c r="E88" i="1"/>
  <c r="E72" i="1"/>
  <c r="E91" i="1"/>
  <c r="E92" i="1" s="1"/>
  <c r="F69" i="1"/>
  <c r="H77" i="1"/>
  <c r="H81" i="1" s="1"/>
  <c r="I68" i="1"/>
  <c r="G44" i="1"/>
  <c r="G47" i="1"/>
  <c r="H47" i="1" s="1"/>
  <c r="K27" i="1"/>
  <c r="K25" i="1"/>
  <c r="K24" i="1" s="1"/>
  <c r="K23" i="1" s="1"/>
  <c r="I44" i="1"/>
  <c r="I39" i="1"/>
  <c r="I28" i="1"/>
  <c r="I35" i="1"/>
  <c r="J38" i="1" l="1"/>
  <c r="J43" i="1" s="1"/>
  <c r="J44" i="1" s="1"/>
  <c r="H61" i="1"/>
  <c r="H58" i="1"/>
  <c r="H87" i="1" s="1"/>
  <c r="H88" i="1" s="1"/>
  <c r="I59" i="1"/>
  <c r="I58" i="1" s="1"/>
  <c r="I87" i="1" s="1"/>
  <c r="I88" i="1" s="1"/>
  <c r="I62" i="1"/>
  <c r="I61" i="1" s="1"/>
  <c r="I90" i="1" s="1"/>
  <c r="I91" i="1" s="1"/>
  <c r="H55" i="1"/>
  <c r="F92" i="1"/>
  <c r="G69" i="1"/>
  <c r="G72" i="1"/>
  <c r="G84" i="1"/>
  <c r="G91" i="1"/>
  <c r="G92" i="1" s="1"/>
  <c r="G88" i="1"/>
  <c r="I75" i="1"/>
  <c r="I72" i="1" s="1"/>
  <c r="I71" i="1" s="1"/>
  <c r="I69" i="1"/>
  <c r="J75" i="1" s="1"/>
  <c r="H46" i="1"/>
  <c r="H49" i="1" s="1"/>
  <c r="I47" i="1"/>
  <c r="I46" i="1" s="1"/>
  <c r="I49" i="1" s="1"/>
  <c r="K38" i="1"/>
  <c r="K43" i="1" s="1"/>
  <c r="L30" i="1"/>
  <c r="L23" i="1"/>
  <c r="J59" i="1" l="1"/>
  <c r="K59" i="1" s="1"/>
  <c r="J68" i="1"/>
  <c r="J69" i="1" s="1"/>
  <c r="K73" i="1" s="1"/>
  <c r="J35" i="1"/>
  <c r="J39" i="1"/>
  <c r="J28" i="1"/>
  <c r="H54" i="1"/>
  <c r="I55" i="1"/>
  <c r="I54" i="1" s="1"/>
  <c r="J58" i="1"/>
  <c r="J87" i="1" s="1"/>
  <c r="J62" i="1"/>
  <c r="J61" i="1" s="1"/>
  <c r="J90" i="1" s="1"/>
  <c r="H90" i="1"/>
  <c r="H91" i="1" s="1"/>
  <c r="H92" i="1" s="1"/>
  <c r="H63" i="1"/>
  <c r="L59" i="1"/>
  <c r="I63" i="1"/>
  <c r="I77" i="1"/>
  <c r="I81" i="1" s="1"/>
  <c r="J73" i="1"/>
  <c r="J72" i="1" s="1"/>
  <c r="K68" i="1"/>
  <c r="K58" i="1"/>
  <c r="K87" i="1" s="1"/>
  <c r="J47" i="1"/>
  <c r="K47" i="1" s="1"/>
  <c r="K46" i="1" s="1"/>
  <c r="K49" i="1" s="1"/>
  <c r="K44" i="1"/>
  <c r="K39" i="1"/>
  <c r="K28" i="1"/>
  <c r="K35" i="1"/>
  <c r="L38" i="1"/>
  <c r="L43" i="1" s="1"/>
  <c r="J91" i="1" l="1"/>
  <c r="J92" i="1" s="1"/>
  <c r="J55" i="1"/>
  <c r="K55" i="1" s="1"/>
  <c r="K54" i="1" s="1"/>
  <c r="K56" i="1" s="1"/>
  <c r="K62" i="1"/>
  <c r="J88" i="1"/>
  <c r="J71" i="1"/>
  <c r="J77" i="1" s="1"/>
  <c r="J81" i="1" s="1"/>
  <c r="I92" i="1"/>
  <c r="J63" i="1"/>
  <c r="I56" i="1"/>
  <c r="I83" i="1"/>
  <c r="J54" i="1"/>
  <c r="H83" i="1"/>
  <c r="H56" i="1"/>
  <c r="K88" i="1"/>
  <c r="K75" i="1"/>
  <c r="K72" i="1" s="1"/>
  <c r="K71" i="1" s="1"/>
  <c r="K69" i="1"/>
  <c r="L68" i="1"/>
  <c r="L71" i="1" s="1"/>
  <c r="L58" i="1"/>
  <c r="L87" i="1" s="1"/>
  <c r="L47" i="1"/>
  <c r="L46" i="1" s="1"/>
  <c r="L49" i="1" s="1"/>
  <c r="J46" i="1"/>
  <c r="J49" i="1" s="1"/>
  <c r="L44" i="1"/>
  <c r="L35" i="1"/>
  <c r="L39" i="1"/>
  <c r="L28" i="1"/>
  <c r="L62" i="1" l="1"/>
  <c r="L61" i="1" s="1"/>
  <c r="L90" i="1" s="1"/>
  <c r="L91" i="1" s="1"/>
  <c r="K61" i="1"/>
  <c r="K83" i="1"/>
  <c r="K85" i="1" s="1"/>
  <c r="L55" i="1"/>
  <c r="L54" i="1" s="1"/>
  <c r="L83" i="1" s="1"/>
  <c r="L84" i="1" s="1"/>
  <c r="H85" i="1"/>
  <c r="H95" i="1"/>
  <c r="H96" i="1" s="1"/>
  <c r="H84" i="1"/>
  <c r="I85" i="1"/>
  <c r="I84" i="1"/>
  <c r="J56" i="1"/>
  <c r="J83" i="1"/>
  <c r="J95" i="1" s="1"/>
  <c r="J96" i="1" s="1"/>
  <c r="I95" i="1"/>
  <c r="I96" i="1" s="1"/>
  <c r="L88" i="1"/>
  <c r="L77" i="1"/>
  <c r="L81" i="1" s="1"/>
  <c r="K77" i="1"/>
  <c r="K81" i="1" s="1"/>
  <c r="L69" i="1"/>
  <c r="L63" i="1" l="1"/>
  <c r="K90" i="1"/>
  <c r="K91" i="1" s="1"/>
  <c r="K92" i="1" s="1"/>
  <c r="K63" i="1"/>
  <c r="L56" i="1"/>
  <c r="K84" i="1"/>
  <c r="J85" i="1"/>
  <c r="J84" i="1"/>
  <c r="L95" i="1"/>
  <c r="L85" i="1"/>
  <c r="K95" i="1" l="1"/>
  <c r="K96" i="1" s="1"/>
  <c r="L92" i="1"/>
  <c r="L96" i="1"/>
  <c r="L99" i="1"/>
  <c r="L100" i="1" s="1"/>
  <c r="L102" i="1" l="1"/>
  <c r="L105" i="1" s="1"/>
  <c r="L107" i="1" s="1"/>
  <c r="I4" i="1" s="1"/>
  <c r="M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<sst xmlns="http://schemas.openxmlformats.org/spreadsheetml/2006/main" count="93" uniqueCount="63">
  <si>
    <t xml:space="preserve">Ticker </t>
  </si>
  <si>
    <t>NFLX</t>
  </si>
  <si>
    <t>Date</t>
  </si>
  <si>
    <t xml:space="preserve">Implied Share Price </t>
  </si>
  <si>
    <t xml:space="preserve">Current Share Price </t>
  </si>
  <si>
    <t xml:space="preserve">Upside/Downside </t>
  </si>
  <si>
    <t>X</t>
  </si>
  <si>
    <t xml:space="preserve">Assumptions </t>
  </si>
  <si>
    <t xml:space="preserve">Switches </t>
  </si>
  <si>
    <t>EBIT</t>
  </si>
  <si>
    <t>WACC</t>
  </si>
  <si>
    <t>TGV</t>
  </si>
  <si>
    <t xml:space="preserve">Streaming </t>
  </si>
  <si>
    <t>DVD</t>
  </si>
  <si>
    <t xml:space="preserve">Conservative </t>
  </si>
  <si>
    <t>Base</t>
  </si>
  <si>
    <t xml:space="preserve">Optimistic </t>
  </si>
  <si>
    <t xml:space="preserve">Revenue Build </t>
  </si>
  <si>
    <t xml:space="preserve">% Growth </t>
  </si>
  <si>
    <t xml:space="preserve">% of Revenue </t>
  </si>
  <si>
    <t xml:space="preserve">  Conservative </t>
  </si>
  <si>
    <t xml:space="preserve">  Base </t>
  </si>
  <si>
    <t xml:space="preserve">  Optimistic </t>
  </si>
  <si>
    <t>Total Revenues</t>
  </si>
  <si>
    <t xml:space="preserve">Income Statement </t>
  </si>
  <si>
    <t xml:space="preserve">Revenues </t>
  </si>
  <si>
    <t xml:space="preserve">EBIT </t>
  </si>
  <si>
    <t>% of Sales</t>
  </si>
  <si>
    <t>Taxes</t>
  </si>
  <si>
    <t>% of EBIT</t>
  </si>
  <si>
    <t xml:space="preserve">Cash Flow Items </t>
  </si>
  <si>
    <t>D&amp;A</t>
  </si>
  <si>
    <t xml:space="preserve">Capital Expenditures </t>
  </si>
  <si>
    <t xml:space="preserve">Change in Net Working Capital </t>
  </si>
  <si>
    <t xml:space="preserve">% of Sales </t>
  </si>
  <si>
    <t>% of CapEx</t>
  </si>
  <si>
    <t>% Change in Sales</t>
  </si>
  <si>
    <t>DCF</t>
  </si>
  <si>
    <t>Revenues</t>
  </si>
  <si>
    <t xml:space="preserve">% of EBIT </t>
  </si>
  <si>
    <t>EBIAT</t>
  </si>
  <si>
    <t>Present Value of Free Cash Flow</t>
  </si>
  <si>
    <t xml:space="preserve">Unlevered Free Cash Flow </t>
  </si>
  <si>
    <t xml:space="preserve">Terminal Value </t>
  </si>
  <si>
    <t xml:space="preserve">Present Value of Terminal Value </t>
  </si>
  <si>
    <t xml:space="preserve">Enterprise Value </t>
  </si>
  <si>
    <t xml:space="preserve">(+) Cash </t>
  </si>
  <si>
    <t xml:space="preserve">(-) Debt </t>
  </si>
  <si>
    <t xml:space="preserve">Equity Value </t>
  </si>
  <si>
    <t xml:space="preserve">Shares </t>
  </si>
  <si>
    <t>WACC = % of equity * cost of equity + % of debt * cost of debt * (1-Tax Rate)</t>
  </si>
  <si>
    <t xml:space="preserve">Cost of equity = Risk Free Rate + Beta * Market Risk Premium </t>
  </si>
  <si>
    <t xml:space="preserve">Market Cap </t>
  </si>
  <si>
    <t xml:space="preserve">% of equity </t>
  </si>
  <si>
    <t xml:space="preserve">Cost of Equity </t>
  </si>
  <si>
    <t xml:space="preserve">Risk Free Rate </t>
  </si>
  <si>
    <t xml:space="preserve">Beta </t>
  </si>
  <si>
    <t xml:space="preserve">Market Risk Premium </t>
  </si>
  <si>
    <t xml:space="preserve">Debt </t>
  </si>
  <si>
    <t xml:space="preserve">% of Debt </t>
  </si>
  <si>
    <t xml:space="preserve">Cost of Debt </t>
  </si>
  <si>
    <t xml:space="preserve">Tax Rate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</si>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</sst>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ck">
        <color theme="0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theme="1"/>
      </right>
      <top style="medium">
        <color theme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0" fontId="0" fillId="0" borderId="0" xfId="0" applyNumberForma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2" fontId="0" fillId="0" borderId="0" xfId="0" applyNumberFormat="1"/>
    <xf numFmtId="3" fontId="0" fillId="0" borderId="0" xfId="0" applyNumberFormat="1"/>
    <xf numFmtId="0" fontId="0" fillId="0" borderId="0" xfId="0" applyAlignment="1"/>
    <xf numFmtId="0" fontId="0" fillId="2" borderId="0" xfId="0" applyFill="1" applyAlignment="1"/>
    <xf numFmtId="164" fontId="0" fillId="2" borderId="0" xfId="0" applyNumberFormat="1" applyFill="1" applyAlignment="1"/>
    <xf numFmtId="14" fontId="0" fillId="2" borderId="0" xfId="0" applyNumberFormat="1" applyFill="1" applyAlignment="1"/>
    <xf numFmtId="164" fontId="0" fillId="0" borderId="0" xfId="0" applyNumberFormat="1" applyAlignment="1"/>
    <xf numFmtId="10" fontId="0" fillId="2" borderId="0" xfId="0" applyNumberForma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0" fillId="2" borderId="1" xfId="0" applyFill="1" applyBorder="1" applyAlignment="1"/>
    <xf numFmtId="10" fontId="0" fillId="2" borderId="1" xfId="0" applyNumberFormat="1" applyFill="1" applyBorder="1" applyAlignment="1"/>
    <xf numFmtId="10" fontId="0" fillId="0" borderId="0" xfId="0" applyNumberFormat="1" applyAlignment="1"/>
    <xf numFmtId="0" fontId="3" fillId="3" borderId="3" xfId="0" applyFont="1" applyFill="1" applyBorder="1" applyAlignment="1"/>
    <xf numFmtId="0" fontId="0" fillId="0" borderId="4" xfId="0" applyBorder="1" applyAlignment="1"/>
    <xf numFmtId="37" fontId="0" fillId="0" borderId="0" xfId="0" applyNumberFormat="1" applyAlignment="1"/>
    <xf numFmtId="37" fontId="0" fillId="0" borderId="4" xfId="0" applyNumberFormat="1" applyBorder="1" applyAlignment="1"/>
    <xf numFmtId="37" fontId="0" fillId="0" borderId="6" xfId="0" applyNumberFormat="1" applyBorder="1" applyAlignment="1"/>
    <xf numFmtId="0" fontId="4" fillId="0" borderId="0" xfId="0" applyFont="1" applyAlignment="1"/>
    <xf numFmtId="9" fontId="0" fillId="0" borderId="0" xfId="0" applyNumberFormat="1" applyAlignment="1"/>
    <xf numFmtId="9" fontId="0" fillId="0" borderId="4" xfId="0" applyNumberFormat="1" applyBorder="1" applyAlignment="1"/>
    <xf numFmtId="10" fontId="0" fillId="2" borderId="9" xfId="0" applyNumberFormat="1" applyFill="1" applyBorder="1" applyAlignment="1"/>
    <xf numFmtId="9" fontId="0" fillId="0" borderId="7" xfId="0" applyNumberFormat="1" applyBorder="1" applyAlignment="1"/>
    <xf numFmtId="9" fontId="0" fillId="0" borderId="8" xfId="0" applyNumberFormat="1" applyBorder="1" applyAlignment="1"/>
    <xf numFmtId="0" fontId="0" fillId="0" borderId="2" xfId="0" applyBorder="1" applyAlignment="1"/>
    <xf numFmtId="0" fontId="0" fillId="0" borderId="5" xfId="0" applyBorder="1" applyAlignment="1"/>
    <xf numFmtId="37" fontId="2" fillId="0" borderId="0" xfId="0" applyNumberFormat="1" applyFont="1" applyAlignment="1"/>
    <xf numFmtId="37" fontId="2" fillId="0" borderId="4" xfId="0" applyNumberFormat="1" applyFont="1" applyBorder="1" applyAlignment="1"/>
    <xf numFmtId="37" fontId="2" fillId="0" borderId="6" xfId="0" applyNumberFormat="1" applyFont="1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https://www.bing.com/financeapi/forcetrigger?t=a1ygoc&amp;q=XNAS%3aNFLX&amp;form=skydnc</v>
    <v>Learn more on Bing</v>
  </rv>
  <rv s="1">
    <v>0</v>
    <v>NETFLIX, INC. (XNAS:NFLX)</v>
    <v>2</v>
    <v>3</v>
    <v>Finance</v>
    <v>4</v>
    <v>en-GB</v>
    <v>a1ygoc</v>
    <v>268435456</v>
    <v>1</v>
    <v>Powered by Refinitiv</v>
    <v>458.48</v>
    <v>162.71</v>
    <v>1.1912</v>
    <v>4.63</v>
    <v>1.2954E-2</v>
    <v>USD</v>
    <v>Netflix, Inc. is an entertainment services company. The Company has paid streaming memberships in over 190 countries, and it allows members to watch a variety of television (TV) series, documentaries, feature films and mobile games across a variety of genres and languages. Its members can watch as much as they want, anytime, anywhere, on any Internet-connected screen. Members can play, pause and resume watching, without commercials. Additionally, the Company offers its digital versatile disk (DVD) -by-mail service in the United States. It offers a variety of streaming membership plans, the price of which varies by country and the features of the plan. The pricing of its plans ranges from U.S. dollar equivalent of approximately $2 to $27 per month. It members can watch streaming content through a host of Internet-connected devices, including TVs, digital video players, TV set-top boxes and mobile devices. It acquires, licenses and produces content, including original programming.</v>
    <v>11300</v>
    <v>Nasdaq Stock Market</v>
    <v>XNAS</v>
    <v>XNAS</v>
    <v>121 Albright Way, LOS GATOS, CA, 95032 US</v>
    <v>362.69</v>
    <v>Software &amp; IT Services</v>
    <v>Stock</v>
    <v>44950.685866145315</v>
    <v>0</v>
    <v>355.27910000000003</v>
    <v>161119672025</v>
    <v>NETFLIX, INC.</v>
    <v>NETFLIX, INC.</v>
    <v>357.46</v>
    <v>35.904899999999998</v>
    <v>357.42</v>
    <v>362.05</v>
    <v>445020500</v>
    <v>NFLX</v>
    <v>NETFLIX, INC. (XNAS:NFLX)</v>
    <v>4466560</v>
    <v>10134925</v>
    <v>1997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9FBD-7792-AC4C-AFB9-7D6B3D8BC192}">
  <dimension ref="A3:T107"/>
  <sheetViews>
    <sheetView showGridLines="0" tabSelected="1" zoomScale="130" zoomScaleNormal="130" workbookViewId="0">
      <pane xSplit="2" topLeftCell="C1" activePane="topRight" state="frozen"/>
      <selection pane="topRight" activeCell="H74" sqref="H74"/>
    </sheetView>
  </sheetViews>
  <sheetFormatPr baseColWidth="10" defaultRowHeight="16" x14ac:dyDescent="0.2"/>
  <cols>
    <col min="1" max="1" width="2.6640625" style="9" customWidth="1"/>
    <col min="2" max="2" width="26.5" style="9" customWidth="1"/>
    <col min="3" max="3" width="10.83203125" style="9"/>
    <col min="4" max="4" width="10.83203125" style="9" customWidth="1"/>
    <col min="5" max="16384" width="10.83203125" style="9"/>
  </cols>
  <sheetData>
    <row r="3" spans="1:20" x14ac:dyDescent="0.2">
      <c r="C3" s="9" t="s">
        <v>0</v>
      </c>
      <c r="D3" s="10" t="e" vm="1">
        <v>#VALUE!</v>
      </c>
      <c r="G3" s="9" t="s">
        <v>4</v>
      </c>
      <c r="I3" s="11" cm="1">
        <f t="array" ref="I3">_FV(D3,"Price")</f>
        <v>362.05</v>
      </c>
    </row>
    <row r="4" spans="1:20" x14ac:dyDescent="0.2">
      <c r="C4" s="9" t="s">
        <v>2</v>
      </c>
      <c r="D4" s="12">
        <v>44943</v>
      </c>
      <c r="E4" s="13"/>
      <c r="G4" s="9" t="s">
        <v>3</v>
      </c>
      <c r="I4" s="11">
        <f ca="1">L107</f>
        <v>244.10276513398358</v>
      </c>
      <c r="K4" s="9" t="s">
        <v>5</v>
      </c>
      <c r="M4" s="14">
        <f ca="1">I4/I3-1</f>
        <v>-0.32577609409202157</v>
      </c>
    </row>
    <row r="7" spans="1:20" s="17" customFormat="1" x14ac:dyDescent="0.2">
      <c r="A7" s="9" t="s">
        <v>6</v>
      </c>
      <c r="B7" s="15" t="s">
        <v>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9" spans="1:20" x14ac:dyDescent="0.2">
      <c r="B9" s="18" t="s">
        <v>8</v>
      </c>
      <c r="E9" s="18" t="s">
        <v>14</v>
      </c>
      <c r="F9" s="18"/>
      <c r="G9" s="18"/>
      <c r="H9" s="18" t="s">
        <v>15</v>
      </c>
      <c r="I9" s="18"/>
      <c r="J9" s="18"/>
      <c r="K9" s="18" t="s">
        <v>16</v>
      </c>
    </row>
    <row r="10" spans="1:20" x14ac:dyDescent="0.2">
      <c r="B10" s="18" t="s">
        <v>12</v>
      </c>
      <c r="C10" s="19">
        <v>2</v>
      </c>
      <c r="E10" s="20">
        <v>0.8</v>
      </c>
      <c r="F10" s="21"/>
      <c r="G10" s="21"/>
      <c r="H10" s="20">
        <v>0.1</v>
      </c>
      <c r="I10" s="21"/>
      <c r="J10" s="21"/>
      <c r="K10" s="20">
        <v>1.2</v>
      </c>
    </row>
    <row r="11" spans="1:20" x14ac:dyDescent="0.2">
      <c r="B11" s="18" t="s">
        <v>13</v>
      </c>
      <c r="C11" s="19">
        <v>2</v>
      </c>
      <c r="E11" s="20">
        <v>1.5</v>
      </c>
      <c r="F11" s="21"/>
      <c r="G11" s="21"/>
      <c r="H11" s="20">
        <v>-1</v>
      </c>
      <c r="I11" s="21"/>
      <c r="J11" s="21"/>
      <c r="K11" s="20">
        <v>0.5</v>
      </c>
    </row>
    <row r="12" spans="1:20" x14ac:dyDescent="0.2">
      <c r="E12" s="21"/>
      <c r="F12" s="21"/>
      <c r="G12" s="21"/>
      <c r="H12" s="21"/>
      <c r="I12" s="21"/>
      <c r="J12" s="21"/>
      <c r="K12" s="21"/>
    </row>
    <row r="13" spans="1:20" x14ac:dyDescent="0.2">
      <c r="E13" s="21"/>
      <c r="F13" s="21"/>
      <c r="G13" s="21"/>
      <c r="H13" s="21"/>
      <c r="I13" s="21"/>
      <c r="J13" s="21"/>
      <c r="K13" s="21"/>
    </row>
    <row r="14" spans="1:20" x14ac:dyDescent="0.2">
      <c r="B14" s="18" t="s">
        <v>9</v>
      </c>
      <c r="C14" s="19">
        <v>2</v>
      </c>
      <c r="E14" s="20">
        <v>0.8</v>
      </c>
      <c r="F14" s="21"/>
      <c r="G14" s="21"/>
      <c r="H14" s="20">
        <v>0.18</v>
      </c>
      <c r="I14" s="21"/>
      <c r="J14" s="21"/>
      <c r="K14" s="20">
        <v>1.2</v>
      </c>
    </row>
    <row r="15" spans="1:20" x14ac:dyDescent="0.2">
      <c r="B15" s="18" t="s">
        <v>10</v>
      </c>
      <c r="C15" s="19">
        <v>2</v>
      </c>
      <c r="E15" s="20">
        <f>H15*1.2</f>
        <v>0.10814803852306849</v>
      </c>
      <c r="F15" s="21"/>
      <c r="G15" s="21"/>
      <c r="H15" s="20">
        <f>NFLX_WACC!D23</f>
        <v>9.0123365435890418E-2</v>
      </c>
      <c r="I15" s="21"/>
      <c r="J15" s="21"/>
      <c r="K15" s="20">
        <f>H15*0.8</f>
        <v>7.2098692348712343E-2</v>
      </c>
    </row>
    <row r="16" spans="1:20" x14ac:dyDescent="0.2">
      <c r="B16" s="18" t="s">
        <v>11</v>
      </c>
      <c r="C16" s="19">
        <v>2</v>
      </c>
      <c r="E16" s="20">
        <f>H16*0.8</f>
        <v>1.2E-2</v>
      </c>
      <c r="F16" s="21"/>
      <c r="G16" s="21"/>
      <c r="H16" s="20">
        <v>1.4999999999999999E-2</v>
      </c>
      <c r="I16" s="21"/>
      <c r="J16" s="21"/>
      <c r="K16" s="20">
        <f>H16*1.2</f>
        <v>1.7999999999999999E-2</v>
      </c>
    </row>
    <row r="17" spans="1:16" x14ac:dyDescent="0.2">
      <c r="B17" s="18"/>
    </row>
    <row r="18" spans="1:16" x14ac:dyDescent="0.2">
      <c r="B18" s="18" t="s">
        <v>10</v>
      </c>
      <c r="C18" s="20">
        <f>CHOOSE(C15,E15,H15,K15)</f>
        <v>9.0123365435890418E-2</v>
      </c>
    </row>
    <row r="19" spans="1:16" x14ac:dyDescent="0.2">
      <c r="B19" s="18" t="s">
        <v>11</v>
      </c>
      <c r="C19" s="20">
        <f>CHOOSE(C16,E16,H16,K16)</f>
        <v>1.4999999999999999E-2</v>
      </c>
    </row>
    <row r="21" spans="1:16" s="17" customFormat="1" x14ac:dyDescent="0.2">
      <c r="A21" s="9" t="s">
        <v>6</v>
      </c>
      <c r="B21" s="15" t="s">
        <v>17</v>
      </c>
      <c r="C21" s="16">
        <v>2018</v>
      </c>
      <c r="D21" s="16">
        <v>2019</v>
      </c>
      <c r="E21" s="16">
        <v>2020</v>
      </c>
      <c r="F21" s="16">
        <v>2021</v>
      </c>
      <c r="G21" s="22">
        <v>2022</v>
      </c>
      <c r="H21" s="16">
        <v>2023</v>
      </c>
      <c r="I21" s="16">
        <v>2024</v>
      </c>
      <c r="J21" s="16">
        <v>2025</v>
      </c>
      <c r="K21" s="16">
        <v>2026</v>
      </c>
      <c r="L21" s="16">
        <v>2027</v>
      </c>
    </row>
    <row r="22" spans="1:16" x14ac:dyDescent="0.2">
      <c r="G22" s="23"/>
    </row>
    <row r="23" spans="1:16" x14ac:dyDescent="0.2">
      <c r="B23" s="18" t="str">
        <f>B10</f>
        <v xml:space="preserve">Streaming </v>
      </c>
      <c r="C23" s="24">
        <v>15428.752</v>
      </c>
      <c r="D23" s="24">
        <v>19859.23</v>
      </c>
      <c r="E23" s="24">
        <v>24756.674999999999</v>
      </c>
      <c r="F23" s="24">
        <v>29515.495999999999</v>
      </c>
      <c r="G23" s="25">
        <f>G38-G30</f>
        <v>31476</v>
      </c>
      <c r="H23" s="26">
        <f ca="1">G23*(1+H24)</f>
        <v>36777.13153360071</v>
      </c>
      <c r="I23" s="24">
        <f t="shared" ref="I23:L23" ca="1" si="0">H23*(1+I24)</f>
        <v>42342.013779435765</v>
      </c>
      <c r="J23" s="24">
        <f t="shared" ca="1" si="0"/>
        <v>48024.6975228351</v>
      </c>
      <c r="K23" s="24">
        <f t="shared" ca="1" si="0"/>
        <v>53648.608218274196</v>
      </c>
      <c r="L23" s="24">
        <f t="shared" ca="1" si="0"/>
        <v>59013.46904010162</v>
      </c>
    </row>
    <row r="24" spans="1:16" x14ac:dyDescent="0.2">
      <c r="B24" s="27" t="s">
        <v>18</v>
      </c>
      <c r="D24" s="28">
        <f t="shared" ref="D24:E24" si="1">D23/C23-1</f>
        <v>0.28715725030773709</v>
      </c>
      <c r="E24" s="28">
        <f t="shared" si="1"/>
        <v>0.24660800041089215</v>
      </c>
      <c r="F24" s="28">
        <f>F23/E23-1</f>
        <v>0.19222375379569345</v>
      </c>
      <c r="G24" s="29">
        <f>G23/F23-1</f>
        <v>6.6422871565499086E-2</v>
      </c>
      <c r="H24" s="28">
        <f ca="1">OFFSET(H24,$C$10,0)</f>
        <v>0.1684182085906949</v>
      </c>
      <c r="I24" s="28">
        <f t="shared" ref="I24:L24" ca="1" si="2">OFFSET(I24,$C$10,0)</f>
        <v>0.15131365644302117</v>
      </c>
      <c r="J24" s="28">
        <f t="shared" ca="1" si="2"/>
        <v>0.13420910429534744</v>
      </c>
      <c r="K24" s="28">
        <f t="shared" ca="1" si="2"/>
        <v>0.11710455214767372</v>
      </c>
      <c r="L24" s="28">
        <f t="shared" ca="1" si="2"/>
        <v>0.1</v>
      </c>
    </row>
    <row r="25" spans="1:16" x14ac:dyDescent="0.2">
      <c r="B25" s="9" t="s">
        <v>20</v>
      </c>
      <c r="G25" s="23"/>
      <c r="H25" s="20">
        <f>H26*$E$10</f>
        <v>0.13473456687255592</v>
      </c>
      <c r="I25" s="20">
        <f t="shared" ref="I25:L25" si="3">I26*$E$10</f>
        <v>0.12105092515441694</v>
      </c>
      <c r="J25" s="20">
        <f t="shared" si="3"/>
        <v>0.10736728343627795</v>
      </c>
      <c r="K25" s="20">
        <f t="shared" si="3"/>
        <v>9.3683641718138977E-2</v>
      </c>
      <c r="L25" s="30">
        <f t="shared" si="3"/>
        <v>8.0000000000000016E-2</v>
      </c>
    </row>
    <row r="26" spans="1:16" x14ac:dyDescent="0.2">
      <c r="B26" s="9" t="s">
        <v>21</v>
      </c>
      <c r="G26" s="23"/>
      <c r="H26" s="20">
        <f>AVERAGE(E24:G24)</f>
        <v>0.1684182085906949</v>
      </c>
      <c r="I26" s="20">
        <f>H26-(H26-$L$26)/($L$21-H21)</f>
        <v>0.15131365644302117</v>
      </c>
      <c r="J26" s="20">
        <f t="shared" ref="J26:K26" si="4">I26-(I26-$L$26)/($L$21-I21)</f>
        <v>0.13420910429534744</v>
      </c>
      <c r="K26" s="20">
        <f t="shared" si="4"/>
        <v>0.11710455214767372</v>
      </c>
      <c r="L26" s="30">
        <f>H10</f>
        <v>0.1</v>
      </c>
    </row>
    <row r="27" spans="1:16" x14ac:dyDescent="0.2">
      <c r="B27" s="9" t="s">
        <v>22</v>
      </c>
      <c r="G27" s="23"/>
      <c r="H27" s="20">
        <f>H26*$K$10</f>
        <v>0.20210185030883387</v>
      </c>
      <c r="I27" s="20">
        <f t="shared" ref="I27:L27" si="5">I26*$K$10</f>
        <v>0.1815763877316254</v>
      </c>
      <c r="J27" s="20">
        <f t="shared" si="5"/>
        <v>0.16105092515441691</v>
      </c>
      <c r="K27" s="20">
        <f t="shared" si="5"/>
        <v>0.14052546257720847</v>
      </c>
      <c r="L27" s="30">
        <f t="shared" si="5"/>
        <v>0.12</v>
      </c>
    </row>
    <row r="28" spans="1:16" x14ac:dyDescent="0.2">
      <c r="B28" s="27" t="s">
        <v>19</v>
      </c>
      <c r="C28" s="28">
        <f>C23/C38</f>
        <v>0.97685316532041444</v>
      </c>
      <c r="D28" s="28">
        <f t="shared" ref="D28:L28" si="6">D23/D38</f>
        <v>0.98525449450490954</v>
      </c>
      <c r="E28" s="28">
        <f t="shared" si="6"/>
        <v>0.99042324917178926</v>
      </c>
      <c r="F28" s="28">
        <f t="shared" si="6"/>
        <v>0.99385989097390359</v>
      </c>
      <c r="G28" s="29">
        <f t="shared" si="6"/>
        <v>0.99557186234817818</v>
      </c>
      <c r="H28" s="31">
        <f t="shared" ca="1" si="6"/>
        <v>0.99715309295764698</v>
      </c>
      <c r="I28" s="32">
        <f t="shared" ca="1" si="6"/>
        <v>0.99860705186795828</v>
      </c>
      <c r="J28" s="32">
        <f t="shared" ca="1" si="6"/>
        <v>0.99953902411162876</v>
      </c>
      <c r="K28" s="32">
        <f t="shared" ca="1" si="6"/>
        <v>0.99992259798098082</v>
      </c>
      <c r="L28" s="32">
        <f t="shared" ca="1" si="6"/>
        <v>1</v>
      </c>
      <c r="M28" s="28"/>
      <c r="N28" s="28"/>
      <c r="O28" s="28"/>
      <c r="P28" s="28"/>
    </row>
    <row r="29" spans="1:16" x14ac:dyDescent="0.2">
      <c r="B29" s="18"/>
      <c r="G29" s="23"/>
    </row>
    <row r="30" spans="1:16" x14ac:dyDescent="0.2">
      <c r="B30" s="18" t="str">
        <f>B11</f>
        <v>DVD</v>
      </c>
      <c r="C30" s="24">
        <v>365.589</v>
      </c>
      <c r="D30" s="24">
        <v>297.21699999999998</v>
      </c>
      <c r="E30" s="24">
        <v>239.381</v>
      </c>
      <c r="F30" s="24">
        <v>182.34800000000001</v>
      </c>
      <c r="G30" s="23">
        <f>35*4</f>
        <v>140</v>
      </c>
      <c r="H30" s="26">
        <f ca="1">G30*(1+H31)</f>
        <v>105</v>
      </c>
      <c r="I30" s="24">
        <f t="shared" ref="I30:L30" ca="1" si="7">H30*(1+I31)</f>
        <v>59.0625</v>
      </c>
      <c r="J30" s="24">
        <f t="shared" ca="1" si="7"/>
        <v>22.1484375</v>
      </c>
      <c r="K30" s="24">
        <f t="shared" ca="1" si="7"/>
        <v>4.15283203125</v>
      </c>
      <c r="L30" s="24">
        <f t="shared" ca="1" si="7"/>
        <v>0</v>
      </c>
    </row>
    <row r="31" spans="1:16" x14ac:dyDescent="0.2">
      <c r="B31" s="27" t="s">
        <v>18</v>
      </c>
      <c r="C31" s="28"/>
      <c r="D31" s="28">
        <f t="shared" ref="D31:G31" si="8">D30/C30-1</f>
        <v>-0.18701875603478224</v>
      </c>
      <c r="E31" s="28">
        <f t="shared" si="8"/>
        <v>-0.19459183021159621</v>
      </c>
      <c r="F31" s="28">
        <f t="shared" si="8"/>
        <v>-0.23825199159498867</v>
      </c>
      <c r="G31" s="29">
        <f t="shared" si="8"/>
        <v>-0.2322372606225459</v>
      </c>
      <c r="H31" s="28">
        <f ca="1">OFFSET(H31,$C$11,0)</f>
        <v>-0.25</v>
      </c>
      <c r="I31" s="28">
        <f t="shared" ref="I31:L31" ca="1" si="9">OFFSET(I31,$C$11,0)</f>
        <v>-0.4375</v>
      </c>
      <c r="J31" s="28">
        <f t="shared" ca="1" si="9"/>
        <v>-0.625</v>
      </c>
      <c r="K31" s="28">
        <f t="shared" ca="1" si="9"/>
        <v>-0.8125</v>
      </c>
      <c r="L31" s="28">
        <f t="shared" ca="1" si="9"/>
        <v>-1</v>
      </c>
    </row>
    <row r="32" spans="1:16" x14ac:dyDescent="0.2">
      <c r="B32" s="9" t="s">
        <v>20</v>
      </c>
      <c r="G32" s="23"/>
      <c r="H32" s="20">
        <f>H33*$E$11</f>
        <v>-0.375</v>
      </c>
      <c r="I32" s="20">
        <f t="shared" ref="I32:J32" si="10">I33*$E$11</f>
        <v>-0.65625</v>
      </c>
      <c r="J32" s="20">
        <f t="shared" si="10"/>
        <v>-0.9375</v>
      </c>
      <c r="K32" s="20">
        <v>-1</v>
      </c>
      <c r="L32" s="30">
        <v>-1</v>
      </c>
    </row>
    <row r="33" spans="1:12" x14ac:dyDescent="0.2">
      <c r="B33" s="9" t="s">
        <v>21</v>
      </c>
      <c r="G33" s="23"/>
      <c r="H33" s="20">
        <v>-0.25</v>
      </c>
      <c r="I33" s="20">
        <f>H33-(H33-$L$33)/($L$21-H21)</f>
        <v>-0.4375</v>
      </c>
      <c r="J33" s="20">
        <f t="shared" ref="J33:K33" si="11">I33-(I33-$L$33)/($L$21-I21)</f>
        <v>-0.625</v>
      </c>
      <c r="K33" s="20">
        <f t="shared" si="11"/>
        <v>-0.8125</v>
      </c>
      <c r="L33" s="30">
        <f>H11</f>
        <v>-1</v>
      </c>
    </row>
    <row r="34" spans="1:12" x14ac:dyDescent="0.2">
      <c r="B34" s="9" t="s">
        <v>22</v>
      </c>
      <c r="G34" s="23"/>
      <c r="H34" s="20">
        <f>H33*$K$11</f>
        <v>-0.125</v>
      </c>
      <c r="I34" s="20">
        <f t="shared" ref="I34:L34" si="12">I33*$K$11</f>
        <v>-0.21875</v>
      </c>
      <c r="J34" s="20">
        <f t="shared" si="12"/>
        <v>-0.3125</v>
      </c>
      <c r="K34" s="20">
        <f t="shared" si="12"/>
        <v>-0.40625</v>
      </c>
      <c r="L34" s="30">
        <f t="shared" si="12"/>
        <v>-0.5</v>
      </c>
    </row>
    <row r="35" spans="1:12" x14ac:dyDescent="0.2">
      <c r="B35" s="27" t="s">
        <v>19</v>
      </c>
      <c r="C35" s="28">
        <f>C30/C38</f>
        <v>2.3146834679585556E-2</v>
      </c>
      <c r="D35" s="28">
        <f t="shared" ref="D35:L35" si="13">D30/D38</f>
        <v>1.4745505495090478E-2</v>
      </c>
      <c r="E35" s="28">
        <f t="shared" si="13"/>
        <v>9.5767508282106582E-3</v>
      </c>
      <c r="F35" s="28">
        <f t="shared" si="13"/>
        <v>6.1401090260963052E-3</v>
      </c>
      <c r="G35" s="29">
        <f t="shared" si="13"/>
        <v>4.4281376518218625E-3</v>
      </c>
      <c r="H35" s="31">
        <f t="shared" ca="1" si="13"/>
        <v>2.8469070423530673E-3</v>
      </c>
      <c r="I35" s="32">
        <f t="shared" ca="1" si="13"/>
        <v>1.3929481320417547E-3</v>
      </c>
      <c r="J35" s="32">
        <f t="shared" ca="1" si="13"/>
        <v>4.6097588837120675E-4</v>
      </c>
      <c r="K35" s="32">
        <f t="shared" ca="1" si="13"/>
        <v>7.740201901923103E-5</v>
      </c>
      <c r="L35" s="32">
        <f t="shared" ca="1" si="13"/>
        <v>0</v>
      </c>
    </row>
    <row r="36" spans="1:12" ht="17" thickBot="1" x14ac:dyDescent="0.25">
      <c r="G36" s="23"/>
    </row>
    <row r="37" spans="1:12" x14ac:dyDescent="0.2">
      <c r="A37" s="33"/>
      <c r="B37" s="33"/>
      <c r="C37" s="33"/>
      <c r="D37" s="33"/>
      <c r="E37" s="33"/>
      <c r="F37" s="33"/>
      <c r="G37" s="34"/>
      <c r="H37" s="33"/>
      <c r="I37" s="33"/>
      <c r="J37" s="33"/>
      <c r="K37" s="33"/>
      <c r="L37" s="33"/>
    </row>
    <row r="38" spans="1:12" s="18" customFormat="1" x14ac:dyDescent="0.2">
      <c r="B38" s="18" t="s">
        <v>23</v>
      </c>
      <c r="C38" s="35">
        <f t="shared" ref="C38:E38" si="14">C23+C30</f>
        <v>15794.341</v>
      </c>
      <c r="D38" s="35">
        <f t="shared" si="14"/>
        <v>20156.447</v>
      </c>
      <c r="E38" s="35">
        <f t="shared" si="14"/>
        <v>24996.056</v>
      </c>
      <c r="F38" s="35">
        <f>F23+F30</f>
        <v>29697.844000000001</v>
      </c>
      <c r="G38" s="36">
        <v>31616</v>
      </c>
      <c r="H38" s="37">
        <f t="shared" ref="H38:L38" ca="1" si="15">H23+H30</f>
        <v>36882.13153360071</v>
      </c>
      <c r="I38" s="35">
        <f t="shared" ca="1" si="15"/>
        <v>42401.076279435765</v>
      </c>
      <c r="J38" s="35">
        <f t="shared" ca="1" si="15"/>
        <v>48046.8459603351</v>
      </c>
      <c r="K38" s="35">
        <f t="shared" ca="1" si="15"/>
        <v>53652.761050305446</v>
      </c>
      <c r="L38" s="35">
        <f t="shared" ca="1" si="15"/>
        <v>59013.46904010162</v>
      </c>
    </row>
    <row r="39" spans="1:12" x14ac:dyDescent="0.2">
      <c r="B39" s="27" t="s">
        <v>18</v>
      </c>
      <c r="D39" s="28">
        <f t="shared" ref="D39" si="16">D38/C38-1</f>
        <v>0.27618157667990073</v>
      </c>
      <c r="E39" s="28">
        <f t="shared" ref="E39" si="17">E38/D38-1</f>
        <v>0.24010228588401517</v>
      </c>
      <c r="F39" s="28">
        <f t="shared" ref="F39:G39" si="18">F38/E38-1</f>
        <v>0.18810119484449861</v>
      </c>
      <c r="G39" s="29">
        <f t="shared" si="18"/>
        <v>6.4589065792115985E-2</v>
      </c>
      <c r="H39" s="28">
        <f t="shared" ref="H39" ca="1" si="19">H38/G38-1</f>
        <v>0.16656539516702651</v>
      </c>
      <c r="I39" s="28">
        <f t="shared" ref="I39" ca="1" si="20">I38/H38-1</f>
        <v>0.14963735869785988</v>
      </c>
      <c r="J39" s="28">
        <f t="shared" ref="J39" ca="1" si="21">J38/I38-1</f>
        <v>0.13315156539169015</v>
      </c>
      <c r="K39" s="28">
        <f t="shared" ref="K39" ca="1" si="22">K38/J38-1</f>
        <v>0.1166760268634135</v>
      </c>
      <c r="L39" s="28">
        <f t="shared" ref="L39" ca="1" si="23">L38/K38-1</f>
        <v>9.9914857779078936E-2</v>
      </c>
    </row>
    <row r="41" spans="1:12" s="17" customFormat="1" x14ac:dyDescent="0.2">
      <c r="A41" s="9" t="s">
        <v>6</v>
      </c>
      <c r="B41" s="15" t="s">
        <v>24</v>
      </c>
      <c r="C41" s="16">
        <v>2018</v>
      </c>
      <c r="D41" s="16">
        <v>2019</v>
      </c>
      <c r="E41" s="16">
        <v>2020</v>
      </c>
      <c r="F41" s="16">
        <v>2021</v>
      </c>
      <c r="G41" s="22">
        <v>2022</v>
      </c>
      <c r="H41" s="16">
        <v>2023</v>
      </c>
      <c r="I41" s="16">
        <v>2024</v>
      </c>
      <c r="J41" s="16">
        <v>2025</v>
      </c>
      <c r="K41" s="16">
        <v>2026</v>
      </c>
      <c r="L41" s="16">
        <v>2027</v>
      </c>
    </row>
    <row r="43" spans="1:12" x14ac:dyDescent="0.2">
      <c r="B43" s="18" t="s">
        <v>25</v>
      </c>
      <c r="C43" s="24">
        <f>C38</f>
        <v>15794.341</v>
      </c>
      <c r="D43" s="24">
        <f t="shared" ref="D43:L43" si="24">D38</f>
        <v>20156.447</v>
      </c>
      <c r="E43" s="24">
        <f t="shared" si="24"/>
        <v>24996.056</v>
      </c>
      <c r="F43" s="24">
        <f t="shared" si="24"/>
        <v>29697.844000000001</v>
      </c>
      <c r="G43" s="24">
        <f t="shared" si="24"/>
        <v>31616</v>
      </c>
      <c r="H43" s="24">
        <f t="shared" ca="1" si="24"/>
        <v>36882.13153360071</v>
      </c>
      <c r="I43" s="24">
        <f t="shared" ca="1" si="24"/>
        <v>42401.076279435765</v>
      </c>
      <c r="J43" s="24">
        <f t="shared" ca="1" si="24"/>
        <v>48046.8459603351</v>
      </c>
      <c r="K43" s="24">
        <f t="shared" ca="1" si="24"/>
        <v>53652.761050305446</v>
      </c>
      <c r="L43" s="24">
        <f t="shared" ca="1" si="24"/>
        <v>59013.46904010162</v>
      </c>
    </row>
    <row r="44" spans="1:12" x14ac:dyDescent="0.2">
      <c r="B44" s="27" t="s">
        <v>18</v>
      </c>
      <c r="D44" s="28">
        <f>D43/C43-1</f>
        <v>0.27618157667990073</v>
      </c>
      <c r="E44" s="28">
        <f t="shared" ref="E44:L44" si="25">E43/D43-1</f>
        <v>0.24010228588401517</v>
      </c>
      <c r="F44" s="28">
        <f t="shared" si="25"/>
        <v>0.18810119484449861</v>
      </c>
      <c r="G44" s="28">
        <f t="shared" si="25"/>
        <v>6.4589065792115985E-2</v>
      </c>
      <c r="H44" s="28">
        <f t="shared" ca="1" si="25"/>
        <v>0.16656539516702651</v>
      </c>
      <c r="I44" s="28">
        <f t="shared" ca="1" si="25"/>
        <v>0.14963735869785988</v>
      </c>
      <c r="J44" s="28">
        <f t="shared" ca="1" si="25"/>
        <v>0.13315156539169015</v>
      </c>
      <c r="K44" s="28">
        <f t="shared" ca="1" si="25"/>
        <v>0.1166760268634135</v>
      </c>
      <c r="L44" s="28">
        <f t="shared" ca="1" si="25"/>
        <v>9.9914857779078936E-2</v>
      </c>
    </row>
    <row r="46" spans="1:12" x14ac:dyDescent="0.2">
      <c r="B46" s="18" t="s">
        <v>26</v>
      </c>
      <c r="C46" s="24">
        <v>1605.2260000000001</v>
      </c>
      <c r="D46" s="24">
        <v>2604.2539999999999</v>
      </c>
      <c r="E46" s="24">
        <v>4585.2889999999998</v>
      </c>
      <c r="F46" s="24">
        <v>6194.509</v>
      </c>
      <c r="G46" s="24">
        <v>5633</v>
      </c>
      <c r="H46" s="24">
        <f ca="1">H43*H47</f>
        <v>7009.9931000130182</v>
      </c>
      <c r="I46" s="24">
        <f t="shared" ref="I46:L46" ca="1" si="26">I43*I47</f>
        <v>8152.5750642717212</v>
      </c>
      <c r="J46" s="24">
        <f t="shared" ca="1" si="26"/>
        <v>8976.8623222412552</v>
      </c>
      <c r="K46" s="24">
        <f t="shared" ca="1" si="26"/>
        <v>10179.237975533997</v>
      </c>
      <c r="L46" s="24">
        <f t="shared" ca="1" si="26"/>
        <v>11189.60004530568</v>
      </c>
    </row>
    <row r="47" spans="1:12" x14ac:dyDescent="0.2">
      <c r="B47" s="27" t="s">
        <v>27</v>
      </c>
      <c r="C47" s="28">
        <f t="shared" ref="C47:F47" si="27">C46/C43</f>
        <v>0.10163298361102879</v>
      </c>
      <c r="D47" s="28">
        <f t="shared" si="27"/>
        <v>0.12920203645017397</v>
      </c>
      <c r="E47" s="28">
        <f t="shared" si="27"/>
        <v>0.18344049957321265</v>
      </c>
      <c r="F47" s="28">
        <f t="shared" si="27"/>
        <v>0.20858446828665406</v>
      </c>
      <c r="G47" s="28">
        <f>G46/G43</f>
        <v>0.17816928137651822</v>
      </c>
      <c r="H47" s="28">
        <f>AVERAGE(E47:G47)</f>
        <v>0.19006474974546164</v>
      </c>
      <c r="I47" s="28">
        <f t="shared" ref="I47:L47" si="28">AVERAGE(F47:H47)</f>
        <v>0.19227283313621132</v>
      </c>
      <c r="J47" s="28">
        <f t="shared" si="28"/>
        <v>0.18683562141939705</v>
      </c>
      <c r="K47" s="28">
        <f t="shared" si="28"/>
        <v>0.18972440143368999</v>
      </c>
      <c r="L47" s="28">
        <f t="shared" si="28"/>
        <v>0.18961095199643277</v>
      </c>
    </row>
    <row r="49" spans="1:12" x14ac:dyDescent="0.2">
      <c r="B49" s="18" t="s">
        <v>28</v>
      </c>
      <c r="C49" s="24">
        <v>15.215999999999999</v>
      </c>
      <c r="D49" s="24">
        <v>195.315</v>
      </c>
      <c r="E49" s="24">
        <v>437.95400000000001</v>
      </c>
      <c r="F49" s="24">
        <v>723.875</v>
      </c>
      <c r="G49" s="24">
        <v>772.005</v>
      </c>
      <c r="H49" s="24">
        <f ca="1">H46*H50</f>
        <v>816.47910729066371</v>
      </c>
      <c r="I49" s="24">
        <f t="shared" ref="I49:L49" ca="1" si="29">I46*I50</f>
        <v>1006.5211028936494</v>
      </c>
      <c r="J49" s="24">
        <f t="shared" ca="1" si="29"/>
        <v>1128.0460655069833</v>
      </c>
      <c r="K49" s="24">
        <f t="shared" ca="1" si="29"/>
        <v>1240.4949355921642</v>
      </c>
      <c r="L49" s="24">
        <f t="shared" ca="1" si="29"/>
        <v>1383.7329035598502</v>
      </c>
    </row>
    <row r="50" spans="1:12" x14ac:dyDescent="0.2">
      <c r="B50" s="27" t="s">
        <v>29</v>
      </c>
      <c r="C50" s="28">
        <f t="shared" ref="C50:E50" si="30">C49/C46</f>
        <v>9.4790390885769338E-3</v>
      </c>
      <c r="D50" s="28">
        <f t="shared" si="30"/>
        <v>7.4998444852153442E-2</v>
      </c>
      <c r="E50" s="28">
        <f t="shared" si="30"/>
        <v>9.5512845537107913E-2</v>
      </c>
      <c r="F50" s="28">
        <f>F49/F46</f>
        <v>0.11685752656102365</v>
      </c>
      <c r="G50" s="28">
        <f t="shared" ref="G50" si="31">G49/G46</f>
        <v>0.13705041718444877</v>
      </c>
      <c r="H50" s="28">
        <f>AVERAGE(E50:G50)</f>
        <v>0.11647359642752679</v>
      </c>
      <c r="I50" s="28">
        <f t="shared" ref="I50:L50" si="32">AVERAGE(F50:H50)</f>
        <v>0.12346051339099974</v>
      </c>
      <c r="J50" s="28">
        <f t="shared" si="32"/>
        <v>0.12566150900099177</v>
      </c>
      <c r="K50" s="28">
        <f t="shared" si="32"/>
        <v>0.12186520627317277</v>
      </c>
      <c r="L50" s="28">
        <f t="shared" si="32"/>
        <v>0.12366240955505475</v>
      </c>
    </row>
    <row r="51" spans="1:12" x14ac:dyDescent="0.2">
      <c r="F51" s="28"/>
    </row>
    <row r="52" spans="1:12" s="17" customFormat="1" x14ac:dyDescent="0.2">
      <c r="A52" s="9" t="s">
        <v>6</v>
      </c>
      <c r="B52" s="15" t="s">
        <v>30</v>
      </c>
      <c r="C52" s="16">
        <v>2018</v>
      </c>
      <c r="D52" s="16">
        <v>2019</v>
      </c>
      <c r="E52" s="16">
        <v>2020</v>
      </c>
      <c r="F52" s="16">
        <v>2021</v>
      </c>
      <c r="G52" s="22">
        <v>2022</v>
      </c>
      <c r="H52" s="16">
        <v>2023</v>
      </c>
      <c r="I52" s="16">
        <v>2024</v>
      </c>
      <c r="J52" s="16">
        <v>2025</v>
      </c>
      <c r="K52" s="16">
        <v>2026</v>
      </c>
      <c r="L52" s="16">
        <v>2027</v>
      </c>
    </row>
    <row r="54" spans="1:12" x14ac:dyDescent="0.2">
      <c r="B54" s="18" t="s">
        <v>31</v>
      </c>
      <c r="C54" s="24">
        <v>83.156999999999996</v>
      </c>
      <c r="D54" s="24">
        <v>103.57899999999999</v>
      </c>
      <c r="E54" s="24">
        <v>115.71</v>
      </c>
      <c r="F54" s="24">
        <v>208.41200000000001</v>
      </c>
      <c r="G54" s="24">
        <v>336.68200000000002</v>
      </c>
      <c r="H54" s="24">
        <f ca="1">H43*H55</f>
        <v>274.10776189810878</v>
      </c>
      <c r="I54" s="24">
        <f t="shared" ref="I54:L54" ca="1" si="33">I43*I55</f>
        <v>354.73932898237888</v>
      </c>
      <c r="J54" s="24">
        <f t="shared" ca="1" si="33"/>
        <v>423.57100763323751</v>
      </c>
      <c r="K54" s="24">
        <f t="shared" ca="1" si="33"/>
        <v>440.20421652511789</v>
      </c>
      <c r="L54" s="24">
        <f t="shared" ca="1" si="33"/>
        <v>499.3869714715413</v>
      </c>
    </row>
    <row r="55" spans="1:12" x14ac:dyDescent="0.2">
      <c r="B55" s="27" t="s">
        <v>34</v>
      </c>
      <c r="C55" s="28">
        <f t="shared" ref="C55:D55" si="34">C54/C43</f>
        <v>5.264986997558176E-3</v>
      </c>
      <c r="D55" s="28">
        <f t="shared" si="34"/>
        <v>5.1387528764370027E-3</v>
      </c>
      <c r="E55" s="28">
        <f>E54/E43</f>
        <v>4.6291302915948017E-3</v>
      </c>
      <c r="F55" s="28">
        <f>F54/F43</f>
        <v>7.0177484937963847E-3</v>
      </c>
      <c r="G55" s="28">
        <f>G54/G43</f>
        <v>1.0649101720647773E-2</v>
      </c>
      <c r="H55" s="28">
        <f>AVERAGE(E55:G55)</f>
        <v>7.4319935020129872E-3</v>
      </c>
      <c r="I55" s="28">
        <f t="shared" ref="I55:L55" si="35">AVERAGE(F55:H55)</f>
        <v>8.3662812388190493E-3</v>
      </c>
      <c r="J55" s="28">
        <f t="shared" si="35"/>
        <v>8.8157921538266019E-3</v>
      </c>
      <c r="K55" s="28">
        <f t="shared" si="35"/>
        <v>8.2046889648862125E-3</v>
      </c>
      <c r="L55" s="28">
        <f t="shared" si="35"/>
        <v>8.4622541191772885E-3</v>
      </c>
    </row>
    <row r="56" spans="1:12" x14ac:dyDescent="0.2">
      <c r="B56" s="9" t="s">
        <v>35</v>
      </c>
      <c r="C56" s="28">
        <f>C54/C58</f>
        <v>0.47803467543516753</v>
      </c>
      <c r="D56" s="28">
        <f t="shared" ref="D56:L56" si="36">D54/D58</f>
        <v>0.40934653308830793</v>
      </c>
      <c r="E56" s="28">
        <f t="shared" si="36"/>
        <v>0.23238532865523384</v>
      </c>
      <c r="F56" s="28">
        <f t="shared" si="36"/>
        <v>0.39728928581640727</v>
      </c>
      <c r="G56" s="28">
        <f t="shared" si="36"/>
        <v>0.82574945613385364</v>
      </c>
      <c r="H56" s="28">
        <f t="shared" ca="1" si="36"/>
        <v>0.4416757582335214</v>
      </c>
      <c r="I56" s="28">
        <f t="shared" ca="1" si="36"/>
        <v>0.52965480938557918</v>
      </c>
      <c r="J56" s="28">
        <f t="shared" ca="1" si="36"/>
        <v>0.58102070180569432</v>
      </c>
      <c r="K56" s="28">
        <f t="shared" ca="1" si="36"/>
        <v>0.5149874145277693</v>
      </c>
      <c r="L56" s="28">
        <f t="shared" ca="1" si="36"/>
        <v>0.54128993857430507</v>
      </c>
    </row>
    <row r="58" spans="1:12" x14ac:dyDescent="0.2">
      <c r="B58" s="18" t="s">
        <v>32</v>
      </c>
      <c r="C58" s="24">
        <v>173.95599999999999</v>
      </c>
      <c r="D58" s="24">
        <v>253.035</v>
      </c>
      <c r="E58" s="24">
        <v>497.923</v>
      </c>
      <c r="F58" s="24">
        <v>524.58500000000004</v>
      </c>
      <c r="G58" s="24">
        <v>407.72899999999998</v>
      </c>
      <c r="H58" s="24">
        <f ca="1">H43*H59</f>
        <v>620.60857266516177</v>
      </c>
      <c r="I58" s="24">
        <f t="shared" ref="I58:L58" ca="1" si="37">I43*I59</f>
        <v>669.75570257521258</v>
      </c>
      <c r="J58" s="24">
        <f t="shared" ca="1" si="37"/>
        <v>729.01190321939453</v>
      </c>
      <c r="K58" s="24">
        <f t="shared" ca="1" si="37"/>
        <v>854.78635808755496</v>
      </c>
      <c r="L58" s="24">
        <f t="shared" ca="1" si="37"/>
        <v>922.58683541554217</v>
      </c>
    </row>
    <row r="59" spans="1:12" x14ac:dyDescent="0.2">
      <c r="B59" s="27" t="s">
        <v>34</v>
      </c>
      <c r="C59" s="28">
        <f t="shared" ref="C59:D59" si="38">C58/C43</f>
        <v>1.1013818177029355E-2</v>
      </c>
      <c r="D59" s="28">
        <f t="shared" si="38"/>
        <v>1.2553551724666554E-2</v>
      </c>
      <c r="E59" s="28">
        <f>E58/E43</f>
        <v>1.9920062589074052E-2</v>
      </c>
      <c r="F59" s="28">
        <f>F58/F43</f>
        <v>1.7664076893932099E-2</v>
      </c>
      <c r="G59" s="28">
        <f>G58/G43</f>
        <v>1.28962866902834E-2</v>
      </c>
      <c r="H59" s="28">
        <f>AVERAGE(E59:G59)</f>
        <v>1.6826808724429852E-2</v>
      </c>
      <c r="I59" s="28">
        <f t="shared" ref="I59:L59" si="39">AVERAGE(F59:H59)</f>
        <v>1.5795724102881784E-2</v>
      </c>
      <c r="J59" s="28">
        <f t="shared" si="39"/>
        <v>1.5172939839198346E-2</v>
      </c>
      <c r="K59" s="28">
        <f t="shared" si="39"/>
        <v>1.5931824222169991E-2</v>
      </c>
      <c r="L59" s="28">
        <f t="shared" si="39"/>
        <v>1.5633496054750038E-2</v>
      </c>
    </row>
    <row r="61" spans="1:12" x14ac:dyDescent="0.2">
      <c r="B61" s="18" t="s">
        <v>33</v>
      </c>
      <c r="C61" s="24">
        <f>-1*(-85.52-200.192+199.198+150.422+142.277+2.062)</f>
        <v>-208.24700000000001</v>
      </c>
      <c r="D61" s="24">
        <f>-1*(-94.443-252.113+96.063+157.778+163.846-122.531)</f>
        <v>51.400000000000006</v>
      </c>
      <c r="E61" s="24">
        <f>-1*(70.066-187.623-41.605+198.183+193.247-194.075)</f>
        <v>-38.19300000000004</v>
      </c>
      <c r="F61" s="24">
        <f>-1*(199.548-369.681+145.115+180.338+91.35-289.099)</f>
        <v>42.428999999999974</v>
      </c>
      <c r="G61" s="24">
        <f>-353.834-158.543-55.513+27.356-217.553</f>
        <v>-758.08699999999999</v>
      </c>
      <c r="H61" s="24">
        <f ca="1">H43*H62</f>
        <v>-296.00646817294154</v>
      </c>
      <c r="I61" s="24">
        <f t="shared" ref="I61:L61" ca="1" si="40">I43*I62</f>
        <v>-432.13772794336347</v>
      </c>
      <c r="J61" s="24">
        <f t="shared" ca="1" si="40"/>
        <v>-675.78473309061656</v>
      </c>
      <c r="K61" s="24">
        <f t="shared" ca="1" si="40"/>
        <v>-577.34899862027953</v>
      </c>
      <c r="L61" s="24">
        <f t="shared" ca="1" si="40"/>
        <v>-688.83736535531079</v>
      </c>
    </row>
    <row r="62" spans="1:12" x14ac:dyDescent="0.2">
      <c r="B62" s="27" t="s">
        <v>34</v>
      </c>
      <c r="C62" s="28">
        <f t="shared" ref="C62:D62" si="41">C61/C43</f>
        <v>-1.3184912241669343E-2</v>
      </c>
      <c r="D62" s="28">
        <f t="shared" si="41"/>
        <v>2.5500525960750922E-3</v>
      </c>
      <c r="E62" s="28">
        <f>E61/E43</f>
        <v>-1.5279610511354288E-3</v>
      </c>
      <c r="F62" s="28">
        <f>F61/F43</f>
        <v>1.4286895708658168E-3</v>
      </c>
      <c r="G62" s="28">
        <f>G61/G43</f>
        <v>-2.3977954200404859E-2</v>
      </c>
      <c r="H62" s="28">
        <f>AVERAGE(E62:G62)</f>
        <v>-8.0257418935581557E-3</v>
      </c>
      <c r="I62" s="28">
        <f t="shared" ref="I62:L62" si="42">AVERAGE(F62:H62)</f>
        <v>-1.0191668841032399E-2</v>
      </c>
      <c r="J62" s="28">
        <f t="shared" si="42"/>
        <v>-1.4065121644998471E-2</v>
      </c>
      <c r="K62" s="28">
        <f t="shared" si="42"/>
        <v>-1.0760844126529676E-2</v>
      </c>
      <c r="L62" s="28">
        <f t="shared" si="42"/>
        <v>-1.1672544870853514E-2</v>
      </c>
    </row>
    <row r="63" spans="1:12" x14ac:dyDescent="0.2">
      <c r="B63" s="27" t="s">
        <v>36</v>
      </c>
      <c r="C63" s="28"/>
      <c r="D63" s="28">
        <f t="shared" ref="D63" si="43">D61/C61-1</f>
        <v>-1.2468222831541391</v>
      </c>
      <c r="E63" s="28">
        <f>E61/D61-1</f>
        <v>-1.7430544747081718</v>
      </c>
      <c r="F63" s="28">
        <f>F61/E61-1</f>
        <v>-2.1109103762469541</v>
      </c>
      <c r="G63" s="28">
        <f>G61/F61-1</f>
        <v>-18.86718989370479</v>
      </c>
      <c r="H63" s="28">
        <f t="shared" ref="H63:L63" ca="1" si="44">H61/G61-1</f>
        <v>-0.60953496343699132</v>
      </c>
      <c r="I63" s="28">
        <f t="shared" ca="1" si="44"/>
        <v>0.45989285508074551</v>
      </c>
      <c r="J63" s="28">
        <f t="shared" ca="1" si="44"/>
        <v>0.56381794366074378</v>
      </c>
      <c r="K63" s="28">
        <f t="shared" ca="1" si="44"/>
        <v>-0.14566137654538824</v>
      </c>
      <c r="L63" s="28">
        <f t="shared" ca="1" si="44"/>
        <v>0.19310394059998504</v>
      </c>
    </row>
    <row r="64" spans="1:12" x14ac:dyDescent="0.2"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1:12" x14ac:dyDescent="0.2">
      <c r="G65" s="28"/>
      <c r="H65" s="9">
        <v>1</v>
      </c>
      <c r="I65" s="9">
        <v>2</v>
      </c>
      <c r="J65" s="9">
        <v>3</v>
      </c>
      <c r="K65" s="9">
        <v>4</v>
      </c>
      <c r="L65" s="9">
        <v>5</v>
      </c>
    </row>
    <row r="66" spans="1:12" s="17" customFormat="1" x14ac:dyDescent="0.2">
      <c r="A66" s="9" t="s">
        <v>6</v>
      </c>
      <c r="B66" s="15" t="s">
        <v>37</v>
      </c>
      <c r="C66" s="16">
        <v>2018</v>
      </c>
      <c r="D66" s="16">
        <v>2019</v>
      </c>
      <c r="E66" s="16">
        <v>2020</v>
      </c>
      <c r="F66" s="16">
        <v>2021</v>
      </c>
      <c r="G66" s="22">
        <v>2022</v>
      </c>
      <c r="H66" s="16">
        <v>2023</v>
      </c>
      <c r="I66" s="16">
        <v>2024</v>
      </c>
      <c r="J66" s="16">
        <v>2025</v>
      </c>
      <c r="K66" s="16">
        <v>2026</v>
      </c>
      <c r="L66" s="16">
        <v>2027</v>
      </c>
    </row>
    <row r="68" spans="1:12" x14ac:dyDescent="0.2">
      <c r="B68" s="18" t="s">
        <v>38</v>
      </c>
      <c r="C68" s="24">
        <f>C43</f>
        <v>15794.341</v>
      </c>
      <c r="D68" s="24">
        <f t="shared" ref="D68:L68" si="45">D43</f>
        <v>20156.447</v>
      </c>
      <c r="E68" s="24">
        <f t="shared" si="45"/>
        <v>24996.056</v>
      </c>
      <c r="F68" s="24">
        <f t="shared" si="45"/>
        <v>29697.844000000001</v>
      </c>
      <c r="G68" s="24">
        <f t="shared" si="45"/>
        <v>31616</v>
      </c>
      <c r="H68" s="24">
        <f t="shared" ca="1" si="45"/>
        <v>36882.13153360071</v>
      </c>
      <c r="I68" s="24">
        <f t="shared" ca="1" si="45"/>
        <v>42401.076279435765</v>
      </c>
      <c r="J68" s="24">
        <f t="shared" ca="1" si="45"/>
        <v>48046.8459603351</v>
      </c>
      <c r="K68" s="24">
        <f t="shared" ca="1" si="45"/>
        <v>53652.761050305446</v>
      </c>
      <c r="L68" s="24">
        <f t="shared" ca="1" si="45"/>
        <v>59013.46904010162</v>
      </c>
    </row>
    <row r="69" spans="1:12" x14ac:dyDescent="0.2">
      <c r="B69" s="27" t="s">
        <v>18</v>
      </c>
      <c r="D69" s="28">
        <f>D68/C68-1</f>
        <v>0.27618157667990073</v>
      </c>
      <c r="E69" s="28">
        <f t="shared" ref="E69:L69" si="46">E68/D68-1</f>
        <v>0.24010228588401517</v>
      </c>
      <c r="F69" s="28">
        <f t="shared" si="46"/>
        <v>0.18810119484449861</v>
      </c>
      <c r="G69" s="28">
        <f t="shared" si="46"/>
        <v>6.4589065792115985E-2</v>
      </c>
      <c r="H69" s="28">
        <f t="shared" ca="1" si="46"/>
        <v>0.16656539516702651</v>
      </c>
      <c r="I69" s="28">
        <f t="shared" ca="1" si="46"/>
        <v>0.14963735869785988</v>
      </c>
      <c r="J69" s="28">
        <f t="shared" ca="1" si="46"/>
        <v>0.13315156539169015</v>
      </c>
      <c r="K69" s="28">
        <f t="shared" ca="1" si="46"/>
        <v>0.1166760268634135</v>
      </c>
      <c r="L69" s="28">
        <f t="shared" ca="1" si="46"/>
        <v>9.9914857779078936E-2</v>
      </c>
    </row>
    <row r="71" spans="1:12" x14ac:dyDescent="0.2">
      <c r="B71" s="18" t="s">
        <v>9</v>
      </c>
      <c r="C71" s="24">
        <f>C46</f>
        <v>1605.2260000000001</v>
      </c>
      <c r="D71" s="24">
        <f t="shared" ref="D71:G71" si="47">D46</f>
        <v>2604.2539999999999</v>
      </c>
      <c r="E71" s="24">
        <f t="shared" si="47"/>
        <v>4585.2889999999998</v>
      </c>
      <c r="F71" s="24">
        <f t="shared" si="47"/>
        <v>6194.509</v>
      </c>
      <c r="G71" s="24">
        <f t="shared" si="47"/>
        <v>5633</v>
      </c>
      <c r="H71" s="24">
        <f ca="1">H68*H72</f>
        <v>7009.9931000130182</v>
      </c>
      <c r="I71" s="24">
        <f t="shared" ref="I71:L71" ca="1" si="48">I68*I72</f>
        <v>7952.2608965665004</v>
      </c>
      <c r="J71" s="24">
        <f t="shared" ca="1" si="48"/>
        <v>8890.2220131850754</v>
      </c>
      <c r="K71" s="24">
        <f t="shared" ca="1" si="48"/>
        <v>9792.4973923360722</v>
      </c>
      <c r="L71" s="24">
        <f t="shared" ca="1" si="48"/>
        <v>10622.424427218291</v>
      </c>
    </row>
    <row r="72" spans="1:12" x14ac:dyDescent="0.2">
      <c r="B72" s="27" t="s">
        <v>34</v>
      </c>
      <c r="D72" s="28">
        <f>D71/D68</f>
        <v>0.12920203645017397</v>
      </c>
      <c r="E72" s="28">
        <f t="shared" ref="E72:G72" si="49">E71/E68</f>
        <v>0.18344049957321265</v>
      </c>
      <c r="F72" s="28">
        <f t="shared" si="49"/>
        <v>0.20858446828665406</v>
      </c>
      <c r="G72" s="28">
        <f t="shared" si="49"/>
        <v>0.17816928137651822</v>
      </c>
      <c r="H72" s="28">
        <f ca="1">OFFSET(H72,$C$14,0)</f>
        <v>0.19006474974546164</v>
      </c>
      <c r="I72" s="28">
        <f t="shared" ref="I72:L72" ca="1" si="50">OFFSET(I72,$C$14,0)</f>
        <v>0.18754856230909622</v>
      </c>
      <c r="J72" s="28">
        <f t="shared" ca="1" si="50"/>
        <v>0.1850323748727308</v>
      </c>
      <c r="K72" s="28">
        <f t="shared" ca="1" si="50"/>
        <v>0.18251618743636538</v>
      </c>
      <c r="L72" s="28">
        <f t="shared" ca="1" si="50"/>
        <v>0.18</v>
      </c>
    </row>
    <row r="73" spans="1:12" x14ac:dyDescent="0.2">
      <c r="H73" s="20">
        <f>H74*$E$10</f>
        <v>0.15205179979636932</v>
      </c>
      <c r="I73" s="20">
        <f t="shared" ref="I73" si="51">I74*$E$10</f>
        <v>0.150038849847277</v>
      </c>
      <c r="J73" s="20">
        <f t="shared" ref="J73" si="52">J74*$E$10</f>
        <v>0.14802589989818465</v>
      </c>
      <c r="K73" s="20">
        <f t="shared" ref="K73" si="53">K74*$E$10</f>
        <v>0.14601294994909231</v>
      </c>
      <c r="L73" s="30">
        <f t="shared" ref="L73" si="54">L74*$E$10</f>
        <v>0.14399999999999999</v>
      </c>
    </row>
    <row r="74" spans="1:12" x14ac:dyDescent="0.2">
      <c r="H74" s="20">
        <f>AVERAGE(E72:G72)</f>
        <v>0.19006474974546164</v>
      </c>
      <c r="I74" s="20">
        <f>H74-(H74-$L$74)/($L$66-H66)</f>
        <v>0.18754856230909622</v>
      </c>
      <c r="J74" s="20">
        <f t="shared" ref="J74:K74" si="55">I74-(I74-$L$74)/($L$66-I66)</f>
        <v>0.1850323748727308</v>
      </c>
      <c r="K74" s="20">
        <f t="shared" si="55"/>
        <v>0.18251618743636538</v>
      </c>
      <c r="L74" s="30">
        <f>H14</f>
        <v>0.18</v>
      </c>
    </row>
    <row r="75" spans="1:12" x14ac:dyDescent="0.2">
      <c r="H75" s="20">
        <f>H74*$K$10</f>
        <v>0.22807769969455396</v>
      </c>
      <c r="I75" s="20">
        <f t="shared" ref="I75" si="56">I74*$K$10</f>
        <v>0.22505827477091545</v>
      </c>
      <c r="J75" s="20">
        <f t="shared" ref="J75" si="57">J74*$K$10</f>
        <v>0.22203884984727695</v>
      </c>
      <c r="K75" s="20">
        <f t="shared" ref="K75" si="58">K74*$K$10</f>
        <v>0.21901942492363846</v>
      </c>
      <c r="L75" s="30">
        <f t="shared" ref="L75" si="59">L74*$K$10</f>
        <v>0.216</v>
      </c>
    </row>
    <row r="77" spans="1:12" x14ac:dyDescent="0.2">
      <c r="B77" s="18" t="s">
        <v>28</v>
      </c>
      <c r="C77" s="24">
        <f>C49</f>
        <v>15.215999999999999</v>
      </c>
      <c r="D77" s="24">
        <f>D49</f>
        <v>195.315</v>
      </c>
      <c r="E77" s="24">
        <f>E49</f>
        <v>437.95400000000001</v>
      </c>
      <c r="F77" s="24">
        <f>F49</f>
        <v>723.875</v>
      </c>
      <c r="G77" s="24">
        <f>G49</f>
        <v>772.005</v>
      </c>
      <c r="H77" s="24">
        <f ca="1">H71*H78</f>
        <v>816.47910729066371</v>
      </c>
      <c r="I77" s="24">
        <f t="shared" ref="I77:L77" ca="1" si="60">I71*I78</f>
        <v>981.79021290927199</v>
      </c>
      <c r="J77" s="24">
        <f t="shared" ca="1" si="60"/>
        <v>1117.1587135306715</v>
      </c>
      <c r="K77" s="24">
        <f t="shared" ca="1" si="60"/>
        <v>1193.3647146465419</v>
      </c>
      <c r="L77" s="24">
        <f t="shared" ca="1" si="60"/>
        <v>1313.5945999862863</v>
      </c>
    </row>
    <row r="78" spans="1:12" x14ac:dyDescent="0.2">
      <c r="B78" s="27" t="s">
        <v>39</v>
      </c>
      <c r="C78" s="28">
        <f>C77/C71</f>
        <v>9.4790390885769338E-3</v>
      </c>
      <c r="D78" s="28">
        <f t="shared" ref="D78:G78" si="61">D77/D71</f>
        <v>7.4998444852153442E-2</v>
      </c>
      <c r="E78" s="28">
        <f t="shared" si="61"/>
        <v>9.5512845537107913E-2</v>
      </c>
      <c r="F78" s="28">
        <f t="shared" si="61"/>
        <v>0.11685752656102365</v>
      </c>
      <c r="G78" s="28">
        <f t="shared" si="61"/>
        <v>0.13705041718444877</v>
      </c>
      <c r="H78" s="28">
        <f>AVERAGE(E78:G78)</f>
        <v>0.11647359642752679</v>
      </c>
      <c r="I78" s="28">
        <f t="shared" ref="I78:L78" si="62">AVERAGE(F78:H78)</f>
        <v>0.12346051339099974</v>
      </c>
      <c r="J78" s="28">
        <f t="shared" si="62"/>
        <v>0.12566150900099177</v>
      </c>
      <c r="K78" s="28">
        <f t="shared" si="62"/>
        <v>0.12186520627317277</v>
      </c>
      <c r="L78" s="28">
        <f t="shared" si="62"/>
        <v>0.12366240955505475</v>
      </c>
    </row>
    <row r="79" spans="1:12" x14ac:dyDescent="0.2">
      <c r="C79" s="28"/>
    </row>
    <row r="80" spans="1:12" x14ac:dyDescent="0.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1:12" x14ac:dyDescent="0.2">
      <c r="B81" s="18" t="s">
        <v>40</v>
      </c>
      <c r="H81" s="35">
        <f ca="1">H71-H77</f>
        <v>6193.5139927223545</v>
      </c>
      <c r="I81" s="35">
        <f t="shared" ref="I81:L81" ca="1" si="63">I71-I77</f>
        <v>6970.4706836572286</v>
      </c>
      <c r="J81" s="35">
        <f t="shared" ca="1" si="63"/>
        <v>7773.0632996544036</v>
      </c>
      <c r="K81" s="35">
        <f t="shared" ca="1" si="63"/>
        <v>8599.1326776895294</v>
      </c>
      <c r="L81" s="35">
        <f t="shared" ca="1" si="63"/>
        <v>9308.8298272320044</v>
      </c>
    </row>
    <row r="83" spans="1:12" x14ac:dyDescent="0.2">
      <c r="B83" s="18" t="s">
        <v>31</v>
      </c>
      <c r="C83" s="24">
        <f>C54</f>
        <v>83.156999999999996</v>
      </c>
      <c r="D83" s="24">
        <f t="shared" ref="D83:L83" si="64">D54</f>
        <v>103.57899999999999</v>
      </c>
      <c r="E83" s="24">
        <f t="shared" si="64"/>
        <v>115.71</v>
      </c>
      <c r="F83" s="24">
        <f t="shared" si="64"/>
        <v>208.41200000000001</v>
      </c>
      <c r="G83" s="24">
        <f t="shared" si="64"/>
        <v>336.68200000000002</v>
      </c>
      <c r="H83" s="24">
        <f t="shared" ca="1" si="64"/>
        <v>274.10776189810878</v>
      </c>
      <c r="I83" s="24">
        <f t="shared" ca="1" si="64"/>
        <v>354.73932898237888</v>
      </c>
      <c r="J83" s="24">
        <f t="shared" ca="1" si="64"/>
        <v>423.57100763323751</v>
      </c>
      <c r="K83" s="24">
        <f t="shared" ca="1" si="64"/>
        <v>440.20421652511789</v>
      </c>
      <c r="L83" s="24">
        <f t="shared" ca="1" si="64"/>
        <v>499.3869714715413</v>
      </c>
    </row>
    <row r="84" spans="1:12" x14ac:dyDescent="0.2">
      <c r="B84" s="27" t="s">
        <v>34</v>
      </c>
      <c r="C84" s="28">
        <f>C83/C68</f>
        <v>5.264986997558176E-3</v>
      </c>
      <c r="D84" s="28">
        <f t="shared" ref="D84:L84" si="65">D83/D68</f>
        <v>5.1387528764370027E-3</v>
      </c>
      <c r="E84" s="28">
        <f t="shared" si="65"/>
        <v>4.6291302915948017E-3</v>
      </c>
      <c r="F84" s="28">
        <f t="shared" si="65"/>
        <v>7.0177484937963847E-3</v>
      </c>
      <c r="G84" s="28">
        <f t="shared" si="65"/>
        <v>1.0649101720647773E-2</v>
      </c>
      <c r="H84" s="28">
        <f t="shared" ca="1" si="65"/>
        <v>7.4319935020129872E-3</v>
      </c>
      <c r="I84" s="28">
        <f t="shared" ca="1" si="65"/>
        <v>8.3662812388190493E-3</v>
      </c>
      <c r="J84" s="28">
        <f t="shared" ca="1" si="65"/>
        <v>8.8157921538266019E-3</v>
      </c>
      <c r="K84" s="28">
        <f t="shared" ca="1" si="65"/>
        <v>8.2046889648862125E-3</v>
      </c>
      <c r="L84" s="28">
        <f t="shared" ca="1" si="65"/>
        <v>8.4622541191772885E-3</v>
      </c>
    </row>
    <row r="85" spans="1:12" x14ac:dyDescent="0.2">
      <c r="B85" s="9" t="s">
        <v>35</v>
      </c>
      <c r="C85" s="28">
        <f>C83/C87</f>
        <v>0.47803467543516753</v>
      </c>
      <c r="D85" s="28">
        <f t="shared" ref="D85:L85" si="66">D83/D87</f>
        <v>0.40934653308830793</v>
      </c>
      <c r="E85" s="28">
        <f t="shared" si="66"/>
        <v>0.23238532865523384</v>
      </c>
      <c r="F85" s="28">
        <f t="shared" si="66"/>
        <v>0.39728928581640727</v>
      </c>
      <c r="G85" s="28">
        <f t="shared" si="66"/>
        <v>0.82574945613385364</v>
      </c>
      <c r="H85" s="28">
        <f t="shared" ca="1" si="66"/>
        <v>0.4416757582335214</v>
      </c>
      <c r="I85" s="28">
        <f t="shared" ca="1" si="66"/>
        <v>0.52965480938557918</v>
      </c>
      <c r="J85" s="28">
        <f t="shared" ca="1" si="66"/>
        <v>0.58102070180569432</v>
      </c>
      <c r="K85" s="28">
        <f t="shared" ca="1" si="66"/>
        <v>0.5149874145277693</v>
      </c>
      <c r="L85" s="28">
        <f t="shared" ca="1" si="66"/>
        <v>0.54128993857430507</v>
      </c>
    </row>
    <row r="87" spans="1:12" x14ac:dyDescent="0.2">
      <c r="B87" s="18" t="s">
        <v>32</v>
      </c>
      <c r="C87" s="24">
        <f>C58</f>
        <v>173.95599999999999</v>
      </c>
      <c r="D87" s="24">
        <f t="shared" ref="D87:L87" si="67">D58</f>
        <v>253.035</v>
      </c>
      <c r="E87" s="24">
        <f t="shared" si="67"/>
        <v>497.923</v>
      </c>
      <c r="F87" s="24">
        <f t="shared" si="67"/>
        <v>524.58500000000004</v>
      </c>
      <c r="G87" s="24">
        <f t="shared" si="67"/>
        <v>407.72899999999998</v>
      </c>
      <c r="H87" s="24">
        <f t="shared" ca="1" si="67"/>
        <v>620.60857266516177</v>
      </c>
      <c r="I87" s="24">
        <f t="shared" ca="1" si="67"/>
        <v>669.75570257521258</v>
      </c>
      <c r="J87" s="24">
        <f t="shared" ca="1" si="67"/>
        <v>729.01190321939453</v>
      </c>
      <c r="K87" s="24">
        <f t="shared" ca="1" si="67"/>
        <v>854.78635808755496</v>
      </c>
      <c r="L87" s="24">
        <f t="shared" ca="1" si="67"/>
        <v>922.58683541554217</v>
      </c>
    </row>
    <row r="88" spans="1:12" x14ac:dyDescent="0.2">
      <c r="B88" s="27" t="s">
        <v>34</v>
      </c>
      <c r="C88" s="28">
        <f>C87/C68</f>
        <v>1.1013818177029355E-2</v>
      </c>
      <c r="D88" s="28">
        <f t="shared" ref="D88:L88" si="68">D87/D68</f>
        <v>1.2553551724666554E-2</v>
      </c>
      <c r="E88" s="28">
        <f t="shared" si="68"/>
        <v>1.9920062589074052E-2</v>
      </c>
      <c r="F88" s="28">
        <f t="shared" si="68"/>
        <v>1.7664076893932099E-2</v>
      </c>
      <c r="G88" s="28">
        <f t="shared" si="68"/>
        <v>1.28962866902834E-2</v>
      </c>
      <c r="H88" s="28">
        <f t="shared" ca="1" si="68"/>
        <v>1.6826808724429852E-2</v>
      </c>
      <c r="I88" s="28">
        <f t="shared" ca="1" si="68"/>
        <v>1.5795724102881784E-2</v>
      </c>
      <c r="J88" s="28">
        <f t="shared" ca="1" si="68"/>
        <v>1.5172939839198346E-2</v>
      </c>
      <c r="K88" s="28">
        <f t="shared" ca="1" si="68"/>
        <v>1.5931824222169991E-2</v>
      </c>
      <c r="L88" s="28">
        <f t="shared" ca="1" si="68"/>
        <v>1.5633496054750038E-2</v>
      </c>
    </row>
    <row r="90" spans="1:12" x14ac:dyDescent="0.2">
      <c r="B90" s="18" t="s">
        <v>33</v>
      </c>
      <c r="C90" s="24">
        <f>C61</f>
        <v>-208.24700000000001</v>
      </c>
      <c r="D90" s="24">
        <f t="shared" ref="D90:L90" si="69">D61</f>
        <v>51.400000000000006</v>
      </c>
      <c r="E90" s="24">
        <f t="shared" si="69"/>
        <v>-38.19300000000004</v>
      </c>
      <c r="F90" s="24">
        <f t="shared" si="69"/>
        <v>42.428999999999974</v>
      </c>
      <c r="G90" s="24">
        <f t="shared" si="69"/>
        <v>-758.08699999999999</v>
      </c>
      <c r="H90" s="24">
        <f t="shared" ca="1" si="69"/>
        <v>-296.00646817294154</v>
      </c>
      <c r="I90" s="24">
        <f t="shared" ca="1" si="69"/>
        <v>-432.13772794336347</v>
      </c>
      <c r="J90" s="24">
        <f t="shared" ca="1" si="69"/>
        <v>-675.78473309061656</v>
      </c>
      <c r="K90" s="24">
        <f t="shared" ca="1" si="69"/>
        <v>-577.34899862027953</v>
      </c>
      <c r="L90" s="24">
        <f t="shared" ca="1" si="69"/>
        <v>-688.83736535531079</v>
      </c>
    </row>
    <row r="91" spans="1:12" x14ac:dyDescent="0.2">
      <c r="B91" s="27" t="s">
        <v>34</v>
      </c>
      <c r="C91" s="28">
        <f>C90/C68</f>
        <v>-1.3184912241669343E-2</v>
      </c>
      <c r="D91" s="28">
        <f t="shared" ref="D91:L91" si="70">D90/D68</f>
        <v>2.5500525960750922E-3</v>
      </c>
      <c r="E91" s="28">
        <f t="shared" si="70"/>
        <v>-1.5279610511354288E-3</v>
      </c>
      <c r="F91" s="28">
        <f t="shared" si="70"/>
        <v>1.4286895708658168E-3</v>
      </c>
      <c r="G91" s="28">
        <f t="shared" si="70"/>
        <v>-2.3977954200404859E-2</v>
      </c>
      <c r="H91" s="28">
        <f t="shared" ca="1" si="70"/>
        <v>-8.0257418935581557E-3</v>
      </c>
      <c r="I91" s="28">
        <f t="shared" ca="1" si="70"/>
        <v>-1.0191668841032399E-2</v>
      </c>
      <c r="J91" s="28">
        <f t="shared" ca="1" si="70"/>
        <v>-1.4065121644998471E-2</v>
      </c>
      <c r="K91" s="28">
        <f t="shared" ca="1" si="70"/>
        <v>-1.0760844126529676E-2</v>
      </c>
      <c r="L91" s="28">
        <f t="shared" ca="1" si="70"/>
        <v>-1.1672544870853514E-2</v>
      </c>
    </row>
    <row r="92" spans="1:12" x14ac:dyDescent="0.2">
      <c r="B92" s="27" t="s">
        <v>36</v>
      </c>
      <c r="D92" s="28">
        <f>D91/C91-1</f>
        <v>-1.1934068691042141</v>
      </c>
      <c r="E92" s="28">
        <f t="shared" ref="E92:L92" si="71">E91/D91-1</f>
        <v>-1.5991880534100305</v>
      </c>
      <c r="F92" s="28">
        <f t="shared" si="71"/>
        <v>-1.9350300976612962</v>
      </c>
      <c r="G92" s="28">
        <f t="shared" si="71"/>
        <v>-17.783179977910596</v>
      </c>
      <c r="H92" s="28">
        <f t="shared" ca="1" si="71"/>
        <v>-0.66528662843877462</v>
      </c>
      <c r="I92" s="28">
        <f t="shared" ca="1" si="71"/>
        <v>0.26987248982087508</v>
      </c>
      <c r="J92" s="28">
        <f t="shared" ca="1" si="71"/>
        <v>0.38006070098856326</v>
      </c>
      <c r="K92" s="28">
        <f t="shared" ca="1" si="71"/>
        <v>-0.23492704875707848</v>
      </c>
      <c r="L92" s="28">
        <f t="shared" ca="1" si="71"/>
        <v>8.4723905820375256E-2</v>
      </c>
    </row>
    <row r="94" spans="1:12" x14ac:dyDescent="0.2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spans="1:12" x14ac:dyDescent="0.2">
      <c r="B95" s="18" t="s">
        <v>42</v>
      </c>
      <c r="H95" s="35">
        <f ca="1">H81+H83-H87-H90</f>
        <v>6143.0196501282435</v>
      </c>
      <c r="I95" s="35">
        <f t="shared" ref="I95:L95" ca="1" si="72">I81+I83-I87-I90</f>
        <v>7087.5920380077587</v>
      </c>
      <c r="J95" s="35">
        <f t="shared" ca="1" si="72"/>
        <v>8143.4071371588634</v>
      </c>
      <c r="K95" s="35">
        <f t="shared" ca="1" si="72"/>
        <v>8761.8995347473738</v>
      </c>
      <c r="L95" s="35">
        <f t="shared" ca="1" si="72"/>
        <v>9574.4673286433135</v>
      </c>
    </row>
    <row r="96" spans="1:12" x14ac:dyDescent="0.2">
      <c r="B96" s="18" t="s">
        <v>41</v>
      </c>
      <c r="H96" s="24">
        <f ca="1">H95/(1+$C$18)^H65</f>
        <v>5635.1600606890315</v>
      </c>
      <c r="I96" s="24">
        <f t="shared" ref="I96:L96" ca="1" si="73">I95/(1+$C$18)^I65</f>
        <v>5964.1343093482637</v>
      </c>
      <c r="J96" s="24">
        <f t="shared" ca="1" si="73"/>
        <v>6286.0698622100081</v>
      </c>
      <c r="K96" s="24">
        <f t="shared" ca="1" si="73"/>
        <v>6204.3412383824007</v>
      </c>
      <c r="L96" s="24">
        <f t="shared" ca="1" si="73"/>
        <v>6219.2265887004278</v>
      </c>
    </row>
    <row r="98" spans="1:12" x14ac:dyDescent="0.2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</row>
    <row r="99" spans="1:12" x14ac:dyDescent="0.2">
      <c r="B99" s="18" t="s">
        <v>43</v>
      </c>
      <c r="L99" s="24">
        <f ca="1">L95*(1+C18)/(C18-C19)</f>
        <v>138936.14171830157</v>
      </c>
    </row>
    <row r="100" spans="1:12" x14ac:dyDescent="0.2">
      <c r="B100" s="18" t="s">
        <v>44</v>
      </c>
      <c r="L100" s="24">
        <f ca="1">L99/(1+C18)^L65</f>
        <v>90247.876675176871</v>
      </c>
    </row>
    <row r="102" spans="1:12" x14ac:dyDescent="0.2">
      <c r="B102" s="9" t="s">
        <v>45</v>
      </c>
      <c r="L102" s="24">
        <f ca="1">SUM(L100,H96:L96)</f>
        <v>120556.80873450699</v>
      </c>
    </row>
    <row r="103" spans="1:12" x14ac:dyDescent="0.2">
      <c r="B103" s="9" t="s">
        <v>46</v>
      </c>
      <c r="L103" s="24">
        <v>6110</v>
      </c>
    </row>
    <row r="104" spans="1:12" x14ac:dyDescent="0.2">
      <c r="B104" s="9" t="s">
        <v>47</v>
      </c>
      <c r="L104" s="24">
        <f>NFLX_WACC!D16</f>
        <v>16430</v>
      </c>
    </row>
    <row r="105" spans="1:12" x14ac:dyDescent="0.2">
      <c r="B105" s="9" t="s">
        <v>48</v>
      </c>
      <c r="L105" s="24">
        <f ca="1">L102+L103-L104</f>
        <v>110236.80873450699</v>
      </c>
    </row>
    <row r="106" spans="1:12" x14ac:dyDescent="0.2">
      <c r="B106" s="9" t="s">
        <v>49</v>
      </c>
      <c r="L106" s="24">
        <v>451.6</v>
      </c>
    </row>
    <row r="107" spans="1:12" x14ac:dyDescent="0.2">
      <c r="B107" s="9" t="s">
        <v>3</v>
      </c>
      <c r="L107" s="24">
        <f ca="1">L105/L106</f>
        <v>244.10276513398358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184B-61A0-0642-A96C-6623F06EA2F2}">
  <dimension ref="A1:D23"/>
  <sheetViews>
    <sheetView showGridLines="0" zoomScale="140" zoomScaleNormal="140" workbookViewId="0">
      <selection activeCell="G16" sqref="G16"/>
    </sheetView>
  </sheetViews>
  <sheetFormatPr baseColWidth="10" defaultRowHeight="16" x14ac:dyDescent="0.2"/>
  <cols>
    <col min="4" max="4" width="21.33203125" bestFit="1" customWidth="1"/>
  </cols>
  <sheetData>
    <row r="1" spans="1:4" ht="24" x14ac:dyDescent="0.3">
      <c r="A1" s="3" t="s">
        <v>1</v>
      </c>
    </row>
    <row r="3" spans="1:4" ht="19" x14ac:dyDescent="0.25">
      <c r="A3" s="4" t="s">
        <v>50</v>
      </c>
    </row>
    <row r="4" spans="1:4" ht="19" x14ac:dyDescent="0.25">
      <c r="A4" s="4"/>
    </row>
    <row r="5" spans="1:4" ht="19" x14ac:dyDescent="0.25">
      <c r="A5" s="4" t="s">
        <v>51</v>
      </c>
    </row>
    <row r="7" spans="1:4" ht="19" x14ac:dyDescent="0.25">
      <c r="A7" s="6" t="s">
        <v>10</v>
      </c>
    </row>
    <row r="8" spans="1:4" ht="19" x14ac:dyDescent="0.25">
      <c r="A8" s="5"/>
    </row>
    <row r="9" spans="1:4" ht="19" x14ac:dyDescent="0.25">
      <c r="A9" s="5" t="s">
        <v>52</v>
      </c>
      <c r="D9" s="8">
        <v>144195</v>
      </c>
    </row>
    <row r="10" spans="1:4" ht="19" x14ac:dyDescent="0.25">
      <c r="A10" s="5" t="s">
        <v>53</v>
      </c>
      <c r="D10" s="1">
        <f>D9/D21</f>
        <v>0.89771206225680933</v>
      </c>
    </row>
    <row r="11" spans="1:4" ht="19" x14ac:dyDescent="0.25">
      <c r="A11" s="5" t="s">
        <v>54</v>
      </c>
      <c r="D11" s="1">
        <f>D12+(D13*D14)</f>
        <v>9.5030300000000012E-2</v>
      </c>
    </row>
    <row r="12" spans="1:4" ht="19" x14ac:dyDescent="0.25">
      <c r="A12" s="5" t="s">
        <v>55</v>
      </c>
      <c r="D12" s="1">
        <v>3.5090000000000003E-2</v>
      </c>
    </row>
    <row r="13" spans="1:4" ht="19" x14ac:dyDescent="0.25">
      <c r="A13" s="5" t="s">
        <v>56</v>
      </c>
      <c r="D13" s="7">
        <v>1.173</v>
      </c>
    </row>
    <row r="14" spans="1:4" ht="19" x14ac:dyDescent="0.25">
      <c r="A14" s="5" t="s">
        <v>57</v>
      </c>
      <c r="D14" s="1">
        <v>5.11E-2</v>
      </c>
    </row>
    <row r="15" spans="1:4" ht="19" x14ac:dyDescent="0.25">
      <c r="A15" s="5"/>
    </row>
    <row r="16" spans="1:4" ht="19" x14ac:dyDescent="0.25">
      <c r="A16" s="5" t="s">
        <v>58</v>
      </c>
      <c r="D16" s="8">
        <v>16430</v>
      </c>
    </row>
    <row r="17" spans="1:4" ht="19" x14ac:dyDescent="0.25">
      <c r="A17" s="5" t="s">
        <v>59</v>
      </c>
      <c r="D17" s="1">
        <f>D16/D9</f>
        <v>0.11394292451194563</v>
      </c>
    </row>
    <row r="18" spans="1:4" ht="19" x14ac:dyDescent="0.25">
      <c r="A18" s="5" t="s">
        <v>60</v>
      </c>
      <c r="D18" s="1">
        <v>4.9700000000000001E-2</v>
      </c>
    </row>
    <row r="19" spans="1:4" ht="19" x14ac:dyDescent="0.25">
      <c r="A19" s="5" t="s">
        <v>61</v>
      </c>
      <c r="D19" s="2">
        <v>0.15</v>
      </c>
    </row>
    <row r="20" spans="1:4" ht="19" x14ac:dyDescent="0.25">
      <c r="A20" s="5"/>
    </row>
    <row r="21" spans="1:4" ht="19" x14ac:dyDescent="0.25">
      <c r="A21" s="5" t="s">
        <v>62</v>
      </c>
      <c r="D21" s="8">
        <f>D9+D16</f>
        <v>160625</v>
      </c>
    </row>
    <row r="22" spans="1:4" ht="19" x14ac:dyDescent="0.25">
      <c r="A22" s="5"/>
    </row>
    <row r="23" spans="1:4" ht="19" x14ac:dyDescent="0.25">
      <c r="A23" s="5" t="s">
        <v>10</v>
      </c>
      <c r="D23" s="1">
        <f>(D10*D11)+(D17*D18*(1-D19))</f>
        <v>9.0123365435890418E-2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NFLX_DCF</vt:lpstr>
      <vt:lpstr>NFLX_WACC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Shalil Gunputh</dc:creator>
  <cp:lastModifiedBy>Shalil Gunputh</cp:lastModifiedBy>
  <dcterms:created xsi:type="dcterms:W3CDTF">2023-01-16T08:18:14Z</dcterms:created>
  <dcterms:modified xsi:type="dcterms:W3CDTF">2023-01-24T16:29:20Z</dcterms:modified>
</cp:coreProperties>
</file>