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Model - DCF" sheetId="2" r:id="rId5"/>
    <sheet name="WACC - WACC" sheetId="3" r:id="rId6"/>
  </sheets>
</workbook>
</file>

<file path=xl/sharedStrings.xml><?xml version="1.0" encoding="utf-8"?>
<sst xmlns="http://schemas.openxmlformats.org/spreadsheetml/2006/main" uniqueCount="79">
  <si>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</si>
  <si>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</si>
  <si>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</si>
  <si>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</si>
  <si>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Model</t>
  </si>
  <si>
    <t>DCF</t>
  </si>
  <si>
    <t>Model - DCF</t>
  </si>
  <si>
    <t>Ticker</t>
  </si>
  <si>
    <t>V</t>
  </si>
  <si>
    <t>Implied Share Price</t>
  </si>
  <si>
    <t>Date</t>
  </si>
  <si>
    <t xml:space="preserve">Current Share Price </t>
  </si>
  <si>
    <t>Upside (Downside)</t>
  </si>
  <si>
    <t>X</t>
  </si>
  <si>
    <t xml:space="preserve">Assumptions </t>
  </si>
  <si>
    <t>Switches</t>
  </si>
  <si>
    <t>Conservative</t>
  </si>
  <si>
    <t>Street/ Base</t>
  </si>
  <si>
    <t>Optimistic</t>
  </si>
  <si>
    <t>Services</t>
  </si>
  <si>
    <t xml:space="preserve">Data Processing </t>
  </si>
  <si>
    <t xml:space="preserve">International Transaction </t>
  </si>
  <si>
    <t>Other</t>
  </si>
  <si>
    <t xml:space="preserve">Client Incentives </t>
  </si>
  <si>
    <t>EBIT</t>
  </si>
  <si>
    <t>Step</t>
  </si>
  <si>
    <t>WACC</t>
  </si>
  <si>
    <t>TGV</t>
  </si>
  <si>
    <t>Yahoo Street Estimates</t>
  </si>
  <si>
    <t>Revenue Build</t>
  </si>
  <si>
    <r>
      <rPr>
        <b val="1"/>
        <sz val="11"/>
        <color indexed="8"/>
        <rFont val="Calibri"/>
      </rPr>
      <t>Services</t>
    </r>
  </si>
  <si>
    <t xml:space="preserve">% growth </t>
  </si>
  <si>
    <t xml:space="preserve">   Conservative</t>
  </si>
  <si>
    <t xml:space="preserve">   Street/Base Case</t>
  </si>
  <si>
    <t xml:space="preserve">   Optimistic</t>
  </si>
  <si>
    <t>% of Revenue</t>
  </si>
  <si>
    <r>
      <rPr>
        <b val="1"/>
        <sz val="11"/>
        <color indexed="8"/>
        <rFont val="Calibri"/>
      </rPr>
      <t xml:space="preserve">Data Processing </t>
    </r>
  </si>
  <si>
    <r>
      <rPr>
        <b val="1"/>
        <sz val="11"/>
        <color indexed="8"/>
        <rFont val="Calibri"/>
      </rPr>
      <t xml:space="preserve">International Transaction </t>
    </r>
  </si>
  <si>
    <r>
      <rPr>
        <b val="1"/>
        <sz val="11"/>
        <color indexed="8"/>
        <rFont val="Calibri"/>
      </rPr>
      <t>Other</t>
    </r>
  </si>
  <si>
    <r>
      <rPr>
        <b val="1"/>
        <sz val="11"/>
        <color indexed="8"/>
        <rFont val="Calibri"/>
      </rPr>
      <t xml:space="preserve">Client Incentives </t>
    </r>
  </si>
  <si>
    <t>Total Revenues</t>
  </si>
  <si>
    <t>Income Statement</t>
  </si>
  <si>
    <t>Revenue</t>
  </si>
  <si>
    <t xml:space="preserve">% of sales </t>
  </si>
  <si>
    <t>Taxes</t>
  </si>
  <si>
    <t>% of EBIT</t>
  </si>
  <si>
    <t>Cash Flow Items</t>
  </si>
  <si>
    <t>D&amp;A</t>
  </si>
  <si>
    <t>% of sales</t>
  </si>
  <si>
    <t>% of CapEx</t>
  </si>
  <si>
    <t>Capital Expenditures</t>
  </si>
  <si>
    <t xml:space="preserve">Net Working Capital </t>
  </si>
  <si>
    <t xml:space="preserve">Change in Net Working Capital </t>
  </si>
  <si>
    <t>% change in sales</t>
  </si>
  <si>
    <t>EBIAT</t>
  </si>
  <si>
    <t>Unlevered Free Cash Flow</t>
  </si>
  <si>
    <t>Present Value of Free Cash Flow</t>
  </si>
  <si>
    <t xml:space="preserve">Terminal Value </t>
  </si>
  <si>
    <t xml:space="preserve">Present Value of Terminal Value </t>
  </si>
  <si>
    <t>Enterprise Value</t>
  </si>
  <si>
    <t xml:space="preserve">(+) Cash </t>
  </si>
  <si>
    <t>(-) Debt</t>
  </si>
  <si>
    <t>Equity Value</t>
  </si>
  <si>
    <t xml:space="preserve">Shares </t>
  </si>
  <si>
    <t xml:space="preserve">Implied Share Price </t>
  </si>
  <si>
    <t>WACC - WACC</t>
  </si>
  <si>
    <t>WACC = % of equity x cost of equity + % of debt x cost of debt x (1-Tax Rate)</t>
  </si>
  <si>
    <t xml:space="preserve">Cost of equity = Risk free rate + Beta x Market Risk Premium </t>
  </si>
  <si>
    <t xml:space="preserve">Market Cap </t>
  </si>
  <si>
    <t>% of equity</t>
  </si>
  <si>
    <t>Cost of Equity</t>
  </si>
  <si>
    <t>Risk Free Rate</t>
  </si>
  <si>
    <t>Beta</t>
  </si>
  <si>
    <t xml:space="preserve">Market Risk Premium </t>
  </si>
  <si>
    <t>Debt</t>
  </si>
  <si>
    <t>% of Debt</t>
  </si>
  <si>
    <t>Cost of Debt</t>
  </si>
  <si>
    <t>Tax Rate</t>
  </si>
  <si>
    <t xml:space="preserve">Total </t>
  </si>
</sst>
</file>

<file path=xl/styles.xml><?xml version="1.0" encoding="utf-8"?>
<styleSheet xmlns="http://schemas.openxmlformats.org/spreadsheetml/2006/main">
  <numFmts count="9">
    <numFmt numFmtId="0" formatCode="General"/>
    <numFmt numFmtId="59" formatCode="[$$-409]0.00"/>
    <numFmt numFmtId="60" formatCode="dd/mm/yyyy"/>
    <numFmt numFmtId="61" formatCode="0%_);\(0%\)"/>
    <numFmt numFmtId="62" formatCode="0.0%_);\(0.0%\)"/>
    <numFmt numFmtId="63" formatCode="0.0%"/>
    <numFmt numFmtId="64" formatCode="#,##0%_);\(#,##0%\)"/>
    <numFmt numFmtId="65" formatCode="0_);\(0\)"/>
    <numFmt numFmtId="66"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b val="1"/>
      <sz val="14"/>
      <color indexed="8"/>
      <name val="Calibri"/>
    </font>
    <font>
      <sz val="11"/>
      <color indexed="8"/>
      <name val="Calibri"/>
    </font>
    <font>
      <b val="1"/>
      <sz val="11"/>
      <color indexed="8"/>
      <name val="Calibri"/>
    </font>
    <font>
      <sz val="12"/>
      <color indexed="8"/>
      <name val="Calibri"/>
    </font>
    <font>
      <b val="1"/>
      <sz val="11"/>
      <color indexed="15"/>
      <name val="Calibri"/>
    </font>
    <font>
      <i val="1"/>
      <sz val="12"/>
      <color indexed="8"/>
      <name val="Calibri"/>
    </font>
    <font>
      <sz val="11"/>
      <color indexed="17"/>
      <name val="Calibri"/>
    </font>
    <font>
      <i val="1"/>
      <sz val="11"/>
      <color indexed="8"/>
      <name val="Calibri"/>
    </font>
    <font>
      <b val="1"/>
      <i val="1"/>
      <sz val="11"/>
      <color indexed="8"/>
      <name val="Calibri"/>
    </font>
    <font>
      <i val="1"/>
      <sz val="11"/>
      <color indexed="17"/>
      <name val="Calibri"/>
    </font>
    <font>
      <sz val="11"/>
      <color indexed="18"/>
      <name val="Calibri"/>
    </font>
    <font>
      <b val="1"/>
      <sz val="12"/>
      <color indexed="8"/>
      <name val="Calibri"/>
    </font>
    <font>
      <b val="1"/>
      <sz val="12"/>
      <color indexed="8"/>
      <name val="Helvetica Neue"/>
    </font>
    <font>
      <b val="1"/>
      <sz val="12"/>
      <color indexed="15"/>
      <name val="Calibri"/>
    </font>
    <font>
      <b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54">
    <border>
      <left/>
      <right/>
      <top/>
      <bottom/>
      <diagonal/>
    </border>
    <border>
      <left>
        <color indexed="8"/>
      </left>
      <right>
        <color indexed="8"/>
      </right>
      <top>
        <color indexed="8"/>
      </top>
      <bottom/>
      <diagonal/>
    </border>
    <border>
      <left>
        <color indexed="8"/>
      </left>
      <right/>
      <top/>
      <bottom style="dotted">
        <color indexed="12"/>
      </bottom>
      <diagonal/>
    </border>
    <border>
      <left/>
      <right/>
      <top/>
      <bottom/>
      <diagonal/>
    </border>
    <border>
      <left/>
      <right/>
      <top/>
      <bottom style="hair">
        <color indexed="12"/>
      </bottom>
      <diagonal/>
    </border>
    <border>
      <left>
        <color indexed="8"/>
      </left>
      <right>
        <color indexed="8"/>
      </right>
      <top/>
      <bottom/>
      <diagonal/>
    </border>
    <border>
      <left>
        <color indexed="8"/>
      </left>
      <right style="dotted">
        <color indexed="12"/>
      </right>
      <top/>
      <bottom/>
      <diagonal/>
    </border>
    <border>
      <left style="dotted">
        <color indexed="12"/>
      </left>
      <right style="dotted">
        <color indexed="12"/>
      </right>
      <top style="dotted">
        <color indexed="12"/>
      </top>
      <bottom style="hair">
        <color indexed="12"/>
      </bottom>
      <diagonal/>
    </border>
    <border>
      <left style="dotted">
        <color indexed="12"/>
      </left>
      <right/>
      <top/>
      <bottom/>
      <diagonal/>
    </border>
    <border>
      <left/>
      <right style="hair">
        <color indexed="12"/>
      </right>
      <top/>
      <bottom/>
      <diagonal/>
    </border>
    <border>
      <left style="hair">
        <color indexed="12"/>
      </left>
      <right style="hair">
        <color indexed="12"/>
      </right>
      <top style="hair">
        <color indexed="12"/>
      </top>
      <bottom style="hair">
        <color indexed="12"/>
      </bottom>
      <diagonal/>
    </border>
    <border>
      <left style="hair">
        <color indexed="12"/>
      </left>
      <right/>
      <top/>
      <bottom/>
      <diagonal/>
    </border>
    <border>
      <left style="dotted">
        <color indexed="12"/>
      </left>
      <right style="dotted">
        <color indexed="12"/>
      </right>
      <top style="hair">
        <color indexed="12"/>
      </top>
      <bottom style="dotted">
        <color indexed="12"/>
      </bottom>
      <diagonal/>
    </border>
    <border>
      <left>
        <color indexed="8"/>
      </left>
      <right/>
      <top style="dotted">
        <color indexed="12"/>
      </top>
      <bottom/>
      <diagonal/>
    </border>
    <border>
      <left/>
      <right/>
      <top style="hair">
        <color indexed="12"/>
      </top>
      <bottom/>
      <diagonal/>
    </border>
    <border>
      <left>
        <color indexed="8"/>
      </left>
      <right/>
      <top/>
      <bottom/>
      <diagonal/>
    </border>
    <border>
      <left/>
      <right/>
      <top/>
      <bottom style="dotted">
        <color indexed="12"/>
      </bottom>
      <diagonal/>
    </border>
    <border>
      <left style="dotted">
        <color indexed="12"/>
      </left>
      <right style="dotted">
        <color indexed="12"/>
      </right>
      <top style="dotted">
        <color indexed="12"/>
      </top>
      <bottom style="dotted">
        <color indexed="12"/>
      </bottom>
      <diagonal/>
    </border>
    <border>
      <left style="dotted">
        <color indexed="12"/>
      </left>
      <right style="dotted">
        <color indexed="12"/>
      </right>
      <top/>
      <bottom/>
      <diagonal/>
    </border>
    <border>
      <left>
        <color indexed="8"/>
      </left>
      <right style="dotted">
        <color indexed="12"/>
      </right>
      <top/>
      <bottom>
        <color indexed="8"/>
      </bottom>
      <diagonal/>
    </border>
    <border>
      <left>
        <color indexed="8"/>
      </left>
      <right>
        <color indexed="8"/>
      </right>
      <top>
        <color indexed="8"/>
      </top>
      <bottom>
        <color indexed="8"/>
      </bottom>
      <diagonal/>
    </border>
    <border>
      <left>
        <color indexed="8"/>
      </left>
      <right/>
      <top style="hair">
        <color indexed="12"/>
      </top>
      <bottom style="dotted">
        <color indexed="12"/>
      </bottom>
      <diagonal/>
    </border>
    <border>
      <left/>
      <right/>
      <top style="hair">
        <color indexed="12"/>
      </top>
      <bottom style="dotted">
        <color indexed="12"/>
      </bottom>
      <diagonal/>
    </border>
    <border>
      <left>
        <color indexed="8"/>
      </left>
      <right style="dotted">
        <color indexed="12"/>
      </right>
      <top>
        <color indexed="8"/>
      </top>
      <bottom>
        <color indexed="8"/>
      </bottom>
      <diagonal/>
    </border>
    <border>
      <left style="dotted">
        <color indexed="12"/>
      </left>
      <right style="dotted">
        <color indexed="12"/>
      </right>
      <top style="hair">
        <color indexed="12"/>
      </top>
      <bottom style="hair">
        <color indexed="12"/>
      </bottom>
      <diagonal/>
    </border>
    <border>
      <left/>
      <right/>
      <top style="dotted">
        <color indexed="12"/>
      </top>
      <bottom/>
      <diagonal/>
    </border>
    <border>
      <left>
        <color indexed="8"/>
      </left>
      <right/>
      <top style="hair">
        <color indexed="12"/>
      </top>
      <bottom/>
      <diagonal/>
    </border>
    <border>
      <left/>
      <right style="dotted">
        <color indexed="12"/>
      </right>
      <top/>
      <bottom/>
      <diagonal/>
    </border>
    <border>
      <left/>
      <right style="dotted">
        <color indexed="12"/>
      </right>
      <top/>
      <bottom>
        <color indexed="8"/>
      </bottom>
      <diagonal/>
    </border>
    <border>
      <left/>
      <right>
        <color indexed="8"/>
      </right>
      <top/>
      <bottom/>
      <diagonal/>
    </border>
    <border>
      <left>
        <color indexed="8"/>
      </left>
      <right>
        <color indexed="8"/>
      </right>
      <top style="dotted">
        <color indexed="12"/>
      </top>
      <bottom>
        <color indexed="8"/>
      </bottom>
      <diagonal/>
    </border>
    <border>
      <left>
        <color indexed="8"/>
      </left>
      <right>
        <color indexed="8"/>
      </right>
      <top/>
      <bottom>
        <color indexed="8"/>
      </bottom>
      <diagonal/>
    </border>
    <border>
      <left>
        <color indexed="8"/>
      </left>
      <right/>
      <top/>
      <bottom>
        <color indexed="8"/>
      </bottom>
      <diagonal/>
    </border>
    <border>
      <left/>
      <right/>
      <top/>
      <bottom>
        <color indexed="8"/>
      </bottom>
      <diagonal/>
    </border>
    <border>
      <left/>
      <right/>
      <top>
        <color indexed="8"/>
      </top>
      <bottom>
        <color indexed="8"/>
      </bottom>
      <diagonal/>
    </border>
    <border>
      <left/>
      <right/>
      <top>
        <color indexed="8"/>
      </top>
      <bottom/>
      <diagonal/>
    </border>
    <border>
      <left>
        <color indexed="8"/>
      </left>
      <right/>
      <top>
        <color indexed="8"/>
      </top>
      <bottom>
        <color indexed="8"/>
      </bottom>
      <diagonal/>
    </border>
    <border>
      <left>
        <color indexed="8"/>
      </left>
      <right/>
      <top>
        <color indexed="8"/>
      </top>
      <bottom/>
      <diagonal/>
    </border>
    <border>
      <left>
        <color indexed="8"/>
      </left>
      <right>
        <color indexed="8"/>
      </right>
      <top/>
      <bottom style="thin">
        <color indexed="12"/>
      </bottom>
      <diagonal/>
    </border>
    <border>
      <left>
        <color indexed="8"/>
      </left>
      <right/>
      <top/>
      <bottom style="thin">
        <color indexed="12"/>
      </bottom>
      <diagonal/>
    </border>
    <border>
      <left/>
      <right/>
      <top/>
      <bottom style="thin">
        <color indexed="12"/>
      </bottom>
      <diagonal/>
    </border>
    <border>
      <left>
        <color indexed="8"/>
      </left>
      <right>
        <color indexed="8"/>
      </right>
      <top style="thin">
        <color indexed="12"/>
      </top>
      <bottom/>
      <diagonal/>
    </border>
    <border>
      <left>
        <color indexed="8"/>
      </left>
      <right/>
      <top style="thin">
        <color indexed="12"/>
      </top>
      <bottom/>
      <diagonal/>
    </border>
    <border>
      <left/>
      <right/>
      <top style="thin">
        <color indexed="12"/>
      </top>
      <bottom/>
      <diagonal/>
    </border>
    <border>
      <left>
        <color indexed="8"/>
      </left>
      <right>
        <color indexed="8"/>
      </right>
      <top>
        <color indexed="8"/>
      </top>
      <bottom style="thin">
        <color indexed="19"/>
      </bottom>
      <diagonal/>
    </border>
    <border>
      <left>
        <color indexed="8"/>
      </left>
      <right/>
      <top/>
      <bottom style="thin">
        <color indexed="19"/>
      </bottom>
      <diagonal/>
    </border>
    <border>
      <left/>
      <right/>
      <top/>
      <bottom style="thin">
        <color indexed="19"/>
      </bottom>
      <diagonal/>
    </border>
    <border>
      <left>
        <color indexed="8"/>
      </left>
      <right>
        <color indexed="8"/>
      </right>
      <top style="thin">
        <color indexed="19"/>
      </top>
      <bottom>
        <color indexed="8"/>
      </bottom>
      <diagonal/>
    </border>
    <border>
      <left>
        <color indexed="8"/>
      </left>
      <right/>
      <top style="thin">
        <color indexed="19"/>
      </top>
      <bottom>
        <color indexed="8"/>
      </bottom>
      <diagonal/>
    </border>
    <border>
      <left/>
      <right/>
      <top style="thin">
        <color indexed="19"/>
      </top>
      <bottom>
        <color indexed="8"/>
      </bottom>
      <diagonal/>
    </border>
    <border>
      <left/>
      <right/>
      <top style="hair">
        <color indexed="12"/>
      </top>
      <bottom style="thin">
        <color indexed="19"/>
      </bottom>
      <diagonal/>
    </border>
    <border>
      <left>
        <color indexed="8"/>
      </left>
      <right/>
      <top style="thin">
        <color indexed="19"/>
      </top>
      <bottom/>
      <diagonal/>
    </border>
    <border>
      <left/>
      <right/>
      <top style="thin">
        <color indexed="19"/>
      </top>
      <bottom/>
      <diagonal/>
    </border>
    <border>
      <left/>
      <right>
        <color indexed="8"/>
      </right>
      <top>
        <color indexed="8"/>
      </top>
      <bottom>
        <color indexed="8"/>
      </bottom>
      <diagonal/>
    </border>
  </borders>
  <cellStyleXfs count="1">
    <xf numFmtId="0" fontId="0" applyNumberFormat="0" applyFont="1" applyFill="0" applyBorder="0" applyAlignment="1" applyProtection="0">
      <alignment vertical="top" wrapText="1"/>
    </xf>
  </cellStyleXfs>
  <cellXfs count="17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0" fontId="5" borderId="1" applyNumberFormat="0" applyFont="1" applyFill="0" applyBorder="1" applyAlignment="1" applyProtection="0">
      <alignment vertical="top"/>
    </xf>
    <xf numFmtId="0" fontId="6" borderId="1" applyNumberFormat="0" applyFont="1" applyFill="0" applyBorder="1" applyAlignment="1" applyProtection="0">
      <alignment vertical="top"/>
    </xf>
    <xf numFmtId="0" fontId="5" borderId="2" applyNumberFormat="0" applyFont="1" applyFill="0" applyBorder="1" applyAlignment="1" applyProtection="0">
      <alignment vertical="top"/>
    </xf>
    <xf numFmtId="0" fontId="5" borderId="3" applyNumberFormat="0" applyFont="1" applyFill="0" applyBorder="1" applyAlignment="1" applyProtection="0">
      <alignment vertical="top"/>
    </xf>
    <xf numFmtId="0" fontId="5" borderId="4" applyNumberFormat="0" applyFont="1" applyFill="0" applyBorder="1" applyAlignment="1" applyProtection="0">
      <alignment vertical="top"/>
    </xf>
    <xf numFmtId="0" fontId="5" borderId="5" applyNumberFormat="0" applyFont="1" applyFill="0" applyBorder="1" applyAlignment="1" applyProtection="0">
      <alignment vertical="top"/>
    </xf>
    <xf numFmtId="49" fontId="6" borderId="6" applyNumberFormat="1" applyFont="1" applyFill="0" applyBorder="1" applyAlignment="1" applyProtection="0">
      <alignment vertical="top"/>
    </xf>
    <xf numFmtId="49" fontId="5" fillId="4" borderId="7" applyNumberFormat="1" applyFont="1" applyFill="1" applyBorder="1" applyAlignment="1" applyProtection="0">
      <alignment vertical="top"/>
    </xf>
    <xf numFmtId="0" fontId="5" borderId="8" applyNumberFormat="0" applyFont="1" applyFill="0" applyBorder="1" applyAlignment="1" applyProtection="0">
      <alignment vertical="top"/>
    </xf>
    <xf numFmtId="49" fontId="7" borderId="9" applyNumberFormat="1" applyFont="1" applyFill="0" applyBorder="1" applyAlignment="1" applyProtection="0">
      <alignment vertical="top"/>
    </xf>
    <xf numFmtId="59" fontId="7" fillId="5" borderId="10" applyNumberFormat="1" applyFont="1" applyFill="1" applyBorder="1" applyAlignment="1" applyProtection="0">
      <alignment horizontal="right" vertical="top" wrapText="1"/>
    </xf>
    <xf numFmtId="0" fontId="7" borderId="11" applyNumberFormat="0" applyFont="1" applyFill="0" applyBorder="1" applyAlignment="1" applyProtection="0">
      <alignment vertical="top" wrapText="1"/>
    </xf>
    <xf numFmtId="0" fontId="7" borderId="3" applyNumberFormat="0" applyFont="1" applyFill="0" applyBorder="1" applyAlignment="1" applyProtection="0">
      <alignment vertical="top" wrapText="1"/>
    </xf>
    <xf numFmtId="0" fontId="7" borderId="4" applyNumberFormat="0" applyFont="1" applyFill="0" applyBorder="1" applyAlignment="1" applyProtection="0">
      <alignment vertical="top" wrapText="1"/>
    </xf>
    <xf numFmtId="60" fontId="5" fillId="5" borderId="12" applyNumberFormat="1" applyFont="1" applyFill="1" applyBorder="1" applyAlignment="1" applyProtection="0">
      <alignment horizontal="left" vertical="top"/>
    </xf>
    <xf numFmtId="61" fontId="7" fillId="5" borderId="10" applyNumberFormat="1" applyFont="1" applyFill="1" applyBorder="1" applyAlignment="1" applyProtection="0">
      <alignment horizontal="right" vertical="top" wrapText="1"/>
    </xf>
    <xf numFmtId="0" fontId="5" borderId="11" applyNumberFormat="0" applyFont="1" applyFill="0" applyBorder="1" applyAlignment="1" applyProtection="0">
      <alignment vertical="top"/>
    </xf>
    <xf numFmtId="0" fontId="6" borderId="5" applyNumberFormat="0" applyFont="1" applyFill="0" applyBorder="1" applyAlignment="1" applyProtection="0">
      <alignment vertical="top"/>
    </xf>
    <xf numFmtId="0" fontId="5" borderId="13" applyNumberFormat="0" applyFont="1" applyFill="0" applyBorder="1" applyAlignment="1" applyProtection="0">
      <alignment vertical="top"/>
    </xf>
    <xf numFmtId="0" fontId="5" borderId="14" applyNumberFormat="0" applyFont="1" applyFill="0" applyBorder="1" applyAlignment="1" applyProtection="0">
      <alignment vertical="top"/>
    </xf>
    <xf numFmtId="0" fontId="5" borderId="15" applyNumberFormat="0" applyFont="1" applyFill="0" applyBorder="1" applyAlignment="1" applyProtection="0">
      <alignment vertical="top"/>
    </xf>
    <xf numFmtId="49" fontId="5" borderId="5" applyNumberFormat="1" applyFont="1" applyFill="0" applyBorder="1" applyAlignment="1" applyProtection="0">
      <alignment vertical="top"/>
    </xf>
    <xf numFmtId="49" fontId="8" fillId="6" borderId="5" applyNumberFormat="1" applyFont="1" applyFill="1" applyBorder="1" applyAlignment="1" applyProtection="0">
      <alignment vertical="top"/>
    </xf>
    <xf numFmtId="0" fontId="8" fillId="6" borderId="5" applyNumberFormat="0" applyFont="1" applyFill="1" applyBorder="1" applyAlignment="1" applyProtection="0">
      <alignment vertical="top"/>
    </xf>
    <xf numFmtId="0" fontId="8" fillId="6" borderId="15" applyNumberFormat="0" applyFont="1" applyFill="1" applyBorder="1" applyAlignment="1" applyProtection="0">
      <alignment vertical="top"/>
    </xf>
    <xf numFmtId="0" fontId="8" fillId="6" borderId="3" applyNumberFormat="0" applyFont="1" applyFill="1" applyBorder="1" applyAlignment="1" applyProtection="0">
      <alignment vertical="top"/>
    </xf>
    <xf numFmtId="49" fontId="6" borderId="5" applyNumberFormat="1" applyFont="1" applyFill="0" applyBorder="1" applyAlignment="1" applyProtection="0">
      <alignment vertical="top"/>
    </xf>
    <xf numFmtId="49" fontId="6" borderId="16" applyNumberFormat="1" applyFont="1" applyFill="0" applyBorder="1" applyAlignment="1" applyProtection="0">
      <alignment vertical="top"/>
    </xf>
    <xf numFmtId="0" fontId="0" borderId="3" applyNumberFormat="0" applyFont="1" applyFill="0" applyBorder="1" applyAlignment="1" applyProtection="0">
      <alignment vertical="top" wrapText="1"/>
    </xf>
    <xf numFmtId="0" fontId="5" fillId="4" borderId="17" applyNumberFormat="1" applyFont="1" applyFill="1" applyBorder="1" applyAlignment="1" applyProtection="0">
      <alignment vertical="top"/>
    </xf>
    <xf numFmtId="0" fontId="5" borderId="18" applyNumberFormat="0" applyFont="1" applyFill="0" applyBorder="1" applyAlignment="1" applyProtection="0">
      <alignment vertical="top"/>
    </xf>
    <xf numFmtId="62" fontId="5" fillId="4" borderId="17" applyNumberFormat="1" applyFont="1" applyFill="1" applyBorder="1" applyAlignment="1" applyProtection="0">
      <alignment vertical="top"/>
    </xf>
    <xf numFmtId="61" fontId="5" borderId="18" applyNumberFormat="1" applyFont="1" applyFill="0" applyBorder="1" applyAlignment="1" applyProtection="0">
      <alignment vertical="top"/>
    </xf>
    <xf numFmtId="61" fontId="5" fillId="4" borderId="17" applyNumberFormat="1" applyFont="1" applyFill="1" applyBorder="1" applyAlignment="1" applyProtection="0">
      <alignment vertical="top"/>
    </xf>
    <xf numFmtId="63" fontId="5" fillId="4" borderId="17" applyNumberFormat="1" applyFont="1" applyFill="1" applyBorder="1" applyAlignment="1" applyProtection="0">
      <alignment vertical="top"/>
    </xf>
    <xf numFmtId="9" fontId="5" fillId="4" borderId="17" applyNumberFormat="1" applyFont="1" applyFill="1" applyBorder="1" applyAlignment="1" applyProtection="0">
      <alignment vertical="top"/>
    </xf>
    <xf numFmtId="49" fontId="6" borderId="19" applyNumberFormat="1" applyFont="1" applyFill="0" applyBorder="1" applyAlignment="1" applyProtection="0">
      <alignment vertical="top"/>
    </xf>
    <xf numFmtId="0" fontId="5" fillId="4" borderId="7" applyNumberFormat="1" applyFont="1" applyFill="1" applyBorder="1" applyAlignment="1" applyProtection="0">
      <alignment vertical="top"/>
    </xf>
    <xf numFmtId="63" fontId="5" fillId="4" borderId="7" applyNumberFormat="1" applyFont="1" applyFill="1" applyBorder="1" applyAlignment="1" applyProtection="0">
      <alignment vertical="top"/>
    </xf>
    <xf numFmtId="9" fontId="5" fillId="4" borderId="7" applyNumberFormat="1" applyFont="1" applyFill="1" applyBorder="1" applyAlignment="1" applyProtection="0">
      <alignment vertical="top"/>
    </xf>
    <xf numFmtId="0" fontId="6" borderId="20" applyNumberFormat="0" applyFont="1" applyFill="0" applyBorder="1" applyAlignment="1" applyProtection="0">
      <alignment vertical="top"/>
    </xf>
    <xf numFmtId="0" fontId="5" borderId="21" applyNumberFormat="0" applyFont="1" applyFill="0" applyBorder="1" applyAlignment="1" applyProtection="0">
      <alignment vertical="top"/>
    </xf>
    <xf numFmtId="9" fontId="5" borderId="22" applyNumberFormat="1" applyFont="1" applyFill="0" applyBorder="1" applyAlignment="1" applyProtection="0">
      <alignment vertical="top"/>
    </xf>
    <xf numFmtId="49" fontId="6" borderId="23" applyNumberFormat="1" applyFont="1" applyFill="0" applyBorder="1" applyAlignment="1" applyProtection="0">
      <alignment vertical="top"/>
    </xf>
    <xf numFmtId="49" fontId="7" borderId="16" applyNumberFormat="1" applyFont="1" applyFill="0" applyBorder="1" applyAlignment="1" applyProtection="0">
      <alignment vertical="top" wrapText="1"/>
    </xf>
    <xf numFmtId="10" fontId="5" fillId="4" borderId="7" applyNumberFormat="1" applyFont="1" applyFill="1" applyBorder="1" applyAlignment="1" applyProtection="0">
      <alignment vertical="top"/>
    </xf>
    <xf numFmtId="10" fontId="5" fillId="4" borderId="17" applyNumberFormat="1" applyFont="1" applyFill="1" applyBorder="1" applyAlignment="1" applyProtection="0">
      <alignment vertical="top"/>
    </xf>
    <xf numFmtId="10" fontId="9" fillId="5" borderId="17" applyNumberFormat="1" applyFont="1" applyFill="1" applyBorder="1" applyAlignment="1" applyProtection="0">
      <alignment horizontal="center" vertical="top" wrapText="1"/>
    </xf>
    <xf numFmtId="63" fontId="5" fillId="4" borderId="24" applyNumberFormat="1" applyFont="1" applyFill="1" applyBorder="1" applyAlignment="1" applyProtection="0">
      <alignment vertical="top"/>
    </xf>
    <xf numFmtId="0" fontId="5" borderId="25" applyNumberFormat="0" applyFont="1" applyFill="0" applyBorder="1" applyAlignment="1" applyProtection="0">
      <alignment vertical="top"/>
    </xf>
    <xf numFmtId="0" fontId="5" borderId="26" applyNumberFormat="0" applyFont="1" applyFill="0" applyBorder="1" applyAlignment="1" applyProtection="0">
      <alignment vertical="top"/>
    </xf>
    <xf numFmtId="49" fontId="5" borderId="3" applyNumberFormat="1" applyFont="1" applyFill="0" applyBorder="1" applyAlignment="1" applyProtection="0">
      <alignment horizontal="center" vertical="top"/>
    </xf>
    <xf numFmtId="0" fontId="8" fillId="6" borderId="15" applyNumberFormat="1" applyFont="1" applyFill="1" applyBorder="1" applyAlignment="1" applyProtection="0">
      <alignment vertical="top"/>
    </xf>
    <xf numFmtId="0" fontId="8" fillId="6" borderId="3" applyNumberFormat="1" applyFont="1" applyFill="1" applyBorder="1" applyAlignment="1" applyProtection="0">
      <alignment vertical="top"/>
    </xf>
    <xf numFmtId="37" fontId="5" borderId="3" applyNumberFormat="1" applyFont="1" applyFill="0" applyBorder="1" applyAlignment="1" applyProtection="0">
      <alignment vertical="top"/>
    </xf>
    <xf numFmtId="0" fontId="5" borderId="3" applyNumberFormat="0" applyFont="1" applyFill="0" applyBorder="1" applyAlignment="1" applyProtection="0">
      <alignment vertical="top" wrapText="1"/>
    </xf>
    <xf numFmtId="37" fontId="10" borderId="3" applyNumberFormat="1" applyFont="1" applyFill="0" applyBorder="1" applyAlignment="1" applyProtection="0">
      <alignment vertical="top"/>
    </xf>
    <xf numFmtId="0" fontId="11" borderId="5" applyNumberFormat="0" applyFont="1" applyFill="0" applyBorder="1" applyAlignment="1" applyProtection="0">
      <alignment vertical="top"/>
    </xf>
    <xf numFmtId="49" fontId="12" borderId="5" applyNumberFormat="1" applyFont="1" applyFill="0" applyBorder="1" applyAlignment="1" applyProtection="0">
      <alignment vertical="top"/>
    </xf>
    <xf numFmtId="0" fontId="11" borderId="15" applyNumberFormat="0" applyFont="1" applyFill="0" applyBorder="1" applyAlignment="1" applyProtection="0">
      <alignment vertical="top"/>
    </xf>
    <xf numFmtId="0" fontId="11" borderId="3" applyNumberFormat="0" applyFont="1" applyFill="0" applyBorder="1" applyAlignment="1" applyProtection="0">
      <alignment vertical="top"/>
    </xf>
    <xf numFmtId="64" fontId="11" borderId="3" applyNumberFormat="1" applyFont="1" applyFill="0" applyBorder="1" applyAlignment="1" applyProtection="0">
      <alignment vertical="top"/>
    </xf>
    <xf numFmtId="64" fontId="11" borderId="16" applyNumberFormat="1" applyFont="1" applyFill="0" applyBorder="1" applyAlignment="1" applyProtection="0">
      <alignment vertical="top"/>
    </xf>
    <xf numFmtId="64" fontId="11" borderId="27" applyNumberFormat="1" applyFont="1" applyFill="0" applyBorder="1" applyAlignment="1" applyProtection="0">
      <alignment vertical="top"/>
    </xf>
    <xf numFmtId="61" fontId="11" fillId="4" borderId="17" applyNumberFormat="1" applyFont="1" applyFill="1" applyBorder="1" applyAlignment="1" applyProtection="0">
      <alignment vertical="top"/>
    </xf>
    <xf numFmtId="0" fontId="0" borderId="8" applyNumberFormat="0" applyFont="1" applyFill="0" applyBorder="1" applyAlignment="1" applyProtection="0">
      <alignment vertical="top" wrapText="1"/>
    </xf>
    <xf numFmtId="64" fontId="11" borderId="28" applyNumberFormat="1" applyFont="1" applyFill="0" applyBorder="1" applyAlignment="1" applyProtection="0">
      <alignment vertical="top"/>
    </xf>
    <xf numFmtId="64" fontId="11" borderId="29" applyNumberFormat="1" applyFont="1" applyFill="0" applyBorder="1" applyAlignment="1" applyProtection="0">
      <alignment vertical="top"/>
    </xf>
    <xf numFmtId="64" fontId="11" borderId="20" applyNumberFormat="1" applyFont="1" applyFill="0" applyBorder="1" applyAlignment="1" applyProtection="0">
      <alignment vertical="top"/>
    </xf>
    <xf numFmtId="61" fontId="11" borderId="30" applyNumberFormat="1" applyFont="1" applyFill="0" applyBorder="1" applyAlignment="1" applyProtection="0">
      <alignment vertical="top"/>
    </xf>
    <xf numFmtId="0" fontId="0" borderId="15" applyNumberFormat="0" applyFont="1" applyFill="0" applyBorder="1" applyAlignment="1" applyProtection="0">
      <alignment vertical="top" wrapText="1"/>
    </xf>
    <xf numFmtId="0" fontId="11" borderId="31" applyNumberFormat="0" applyFont="1" applyFill="0" applyBorder="1" applyAlignment="1" applyProtection="0">
      <alignment vertical="top"/>
    </xf>
    <xf numFmtId="0" fontId="12" borderId="5" applyNumberFormat="0" applyFont="1" applyFill="0" applyBorder="1" applyAlignment="1" applyProtection="0">
      <alignment vertical="top"/>
    </xf>
    <xf numFmtId="0" fontId="11" borderId="32" applyNumberFormat="0" applyFont="1" applyFill="0" applyBorder="1" applyAlignment="1" applyProtection="0">
      <alignment vertical="top"/>
    </xf>
    <xf numFmtId="37" fontId="11" borderId="33" applyNumberFormat="1" applyFont="1" applyFill="0" applyBorder="1" applyAlignment="1" applyProtection="0">
      <alignment vertical="top"/>
    </xf>
    <xf numFmtId="64" fontId="11" borderId="33" applyNumberFormat="1" applyFont="1" applyFill="0" applyBorder="1" applyAlignment="1" applyProtection="0">
      <alignment vertical="top"/>
    </xf>
    <xf numFmtId="64" fontId="11" borderId="34" applyNumberFormat="1" applyFont="1" applyFill="0" applyBorder="1" applyAlignment="1" applyProtection="0">
      <alignment vertical="top"/>
    </xf>
    <xf numFmtId="64" fontId="11" borderId="35" applyNumberFormat="1" applyFont="1" applyFill="0" applyBorder="1" applyAlignment="1" applyProtection="0">
      <alignment vertical="top"/>
    </xf>
    <xf numFmtId="0" fontId="5" borderId="20" applyNumberFormat="0" applyFont="1" applyFill="0" applyBorder="1" applyAlignment="1" applyProtection="0">
      <alignment vertical="top"/>
    </xf>
    <xf numFmtId="0" fontId="5" borderId="36" applyNumberFormat="0" applyFont="1" applyFill="0" applyBorder="1" applyAlignment="1" applyProtection="0">
      <alignment vertical="top"/>
    </xf>
    <xf numFmtId="37" fontId="10" borderId="34" applyNumberFormat="1" applyFont="1" applyFill="0" applyBorder="1" applyAlignment="1" applyProtection="0">
      <alignment vertical="top"/>
    </xf>
    <xf numFmtId="37" fontId="5" borderId="34" applyNumberFormat="1" applyFont="1" applyFill="0" applyBorder="1" applyAlignment="1" applyProtection="0">
      <alignment vertical="top"/>
    </xf>
    <xf numFmtId="0" fontId="11" borderId="1" applyNumberFormat="0" applyFont="1" applyFill="0" applyBorder="1" applyAlignment="1" applyProtection="0">
      <alignment vertical="top"/>
    </xf>
    <xf numFmtId="0" fontId="11" borderId="37" applyNumberFormat="0" applyFont="1" applyFill="0" applyBorder="1" applyAlignment="1" applyProtection="0">
      <alignment vertical="top"/>
    </xf>
    <xf numFmtId="61" fontId="11" fillId="4" borderId="7" applyNumberFormat="1" applyFont="1" applyFill="1" applyBorder="1" applyAlignment="1" applyProtection="0">
      <alignment vertical="top"/>
    </xf>
    <xf numFmtId="61" fontId="11" fillId="4" borderId="24" applyNumberFormat="1" applyFont="1" applyFill="1" applyBorder="1" applyAlignment="1" applyProtection="0">
      <alignment vertical="top"/>
    </xf>
    <xf numFmtId="64" fontId="11" borderId="14" applyNumberFormat="1" applyFont="1" applyFill="0" applyBorder="1" applyAlignment="1" applyProtection="0">
      <alignment vertical="top"/>
    </xf>
    <xf numFmtId="0" fontId="11" borderId="38" applyNumberFormat="0" applyFont="1" applyFill="0" applyBorder="1" applyAlignment="1" applyProtection="0">
      <alignment vertical="top"/>
    </xf>
    <xf numFmtId="0" fontId="6" borderId="38" applyNumberFormat="0" applyFont="1" applyFill="0" applyBorder="1" applyAlignment="1" applyProtection="0">
      <alignment vertical="top"/>
    </xf>
    <xf numFmtId="0" fontId="11" borderId="39" applyNumberFormat="0" applyFont="1" applyFill="0" applyBorder="1" applyAlignment="1" applyProtection="0">
      <alignment vertical="top"/>
    </xf>
    <xf numFmtId="0" fontId="11" borderId="40" applyNumberFormat="0" applyFont="1" applyFill="0" applyBorder="1" applyAlignment="1" applyProtection="0">
      <alignment vertical="top"/>
    </xf>
    <xf numFmtId="37" fontId="13" borderId="40" applyNumberFormat="1" applyFont="1" applyFill="0" applyBorder="1" applyAlignment="1" applyProtection="0">
      <alignment vertical="top"/>
    </xf>
    <xf numFmtId="64" fontId="11" borderId="40" applyNumberFormat="1" applyFont="1" applyFill="0" applyBorder="1" applyAlignment="1" applyProtection="0">
      <alignment vertical="top"/>
    </xf>
    <xf numFmtId="0" fontId="6" borderId="41" applyNumberFormat="0" applyFont="1" applyFill="0" applyBorder="1" applyAlignment="1" applyProtection="0">
      <alignment vertical="top"/>
    </xf>
    <xf numFmtId="49" fontId="6" borderId="41" applyNumberFormat="1" applyFont="1" applyFill="0" applyBorder="1" applyAlignment="1" applyProtection="0">
      <alignment vertical="top"/>
    </xf>
    <xf numFmtId="37" fontId="6" borderId="42" applyNumberFormat="1" applyFont="1" applyFill="0" applyBorder="1" applyAlignment="1" applyProtection="0">
      <alignment vertical="top"/>
    </xf>
    <xf numFmtId="37" fontId="6" borderId="43" applyNumberFormat="1" applyFont="1" applyFill="0" applyBorder="1" applyAlignment="1" applyProtection="0">
      <alignment vertical="top"/>
    </xf>
    <xf numFmtId="64" fontId="12" borderId="3" applyNumberFormat="1" applyFont="1" applyFill="0" applyBorder="1" applyAlignment="1" applyProtection="0">
      <alignment vertical="top"/>
    </xf>
    <xf numFmtId="0" fontId="8" borderId="3" applyNumberFormat="0" applyFont="1" applyFill="0" applyBorder="1" applyAlignment="1" applyProtection="0">
      <alignment vertical="top"/>
    </xf>
    <xf numFmtId="37" fontId="14" borderId="3" applyNumberFormat="1" applyFont="1" applyFill="0" applyBorder="1" applyAlignment="1" applyProtection="0">
      <alignment vertical="top"/>
    </xf>
    <xf numFmtId="0" fontId="14" borderId="3" applyNumberFormat="0" applyFont="1" applyFill="0" applyBorder="1" applyAlignment="1" applyProtection="0">
      <alignment vertical="top"/>
    </xf>
    <xf numFmtId="3" fontId="5" borderId="3" applyNumberFormat="1" applyFont="1" applyFill="0" applyBorder="1" applyAlignment="1" applyProtection="0">
      <alignment vertical="top"/>
    </xf>
    <xf numFmtId="0" fontId="5" borderId="31" applyNumberFormat="0" applyFont="1" applyFill="0" applyBorder="1" applyAlignment="1" applyProtection="0">
      <alignment vertical="top"/>
    </xf>
    <xf numFmtId="0" fontId="6" borderId="31" applyNumberFormat="0" applyFont="1" applyFill="0" applyBorder="1" applyAlignment="1" applyProtection="0">
      <alignment vertical="top"/>
    </xf>
    <xf numFmtId="9" fontId="5" borderId="3" applyNumberFormat="1" applyFont="1" applyFill="0" applyBorder="1" applyAlignment="1" applyProtection="0">
      <alignment vertical="top"/>
    </xf>
    <xf numFmtId="49" fontId="6" borderId="1" applyNumberFormat="1" applyFont="1" applyFill="0" applyBorder="1" applyAlignment="1" applyProtection="0">
      <alignment vertical="top"/>
    </xf>
    <xf numFmtId="3" fontId="10" borderId="3" applyNumberFormat="1" applyFont="1" applyFill="0" applyBorder="1" applyAlignment="1" applyProtection="0">
      <alignment vertical="top"/>
    </xf>
    <xf numFmtId="49" fontId="12" borderId="31" applyNumberFormat="1" applyFont="1" applyFill="0" applyBorder="1" applyAlignment="1" applyProtection="0">
      <alignment vertical="top"/>
    </xf>
    <xf numFmtId="64" fontId="5" borderId="3" applyNumberFormat="1" applyFont="1" applyFill="0" applyBorder="1" applyAlignment="1" applyProtection="0">
      <alignment vertical="top"/>
    </xf>
    <xf numFmtId="49" fontId="5" borderId="1" applyNumberFormat="1" applyFont="1" applyFill="0" applyBorder="1" applyAlignment="1" applyProtection="0">
      <alignment vertical="top"/>
    </xf>
    <xf numFmtId="49" fontId="8" fillId="6" borderId="1" applyNumberFormat="1" applyFont="1" applyFill="1" applyBorder="1" applyAlignment="1" applyProtection="0">
      <alignment vertical="top"/>
    </xf>
    <xf numFmtId="49" fontId="6" borderId="20" applyNumberFormat="1" applyFont="1" applyFill="0" applyBorder="1" applyAlignment="1" applyProtection="0">
      <alignment vertical="top"/>
    </xf>
    <xf numFmtId="0" fontId="11" borderId="20" applyNumberFormat="0" applyFont="1" applyFill="0" applyBorder="1" applyAlignment="1" applyProtection="0">
      <alignment vertical="top"/>
    </xf>
    <xf numFmtId="49" fontId="12" borderId="20" applyNumberFormat="1" applyFont="1" applyFill="0" applyBorder="1" applyAlignment="1" applyProtection="0">
      <alignment vertical="top"/>
    </xf>
    <xf numFmtId="64" fontId="5" borderId="14" applyNumberFormat="1" applyFont="1" applyFill="0" applyBorder="1" applyAlignment="1" applyProtection="0">
      <alignment vertical="top"/>
    </xf>
    <xf numFmtId="0" fontId="5" borderId="44" applyNumberFormat="0" applyFont="1" applyFill="0" applyBorder="1" applyAlignment="1" applyProtection="0">
      <alignment vertical="top"/>
    </xf>
    <xf numFmtId="0" fontId="6" borderId="44" applyNumberFormat="0" applyFont="1" applyFill="0" applyBorder="1" applyAlignment="1" applyProtection="0">
      <alignment vertical="top"/>
    </xf>
    <xf numFmtId="0" fontId="5" borderId="45" applyNumberFormat="0" applyFont="1" applyFill="0" applyBorder="1" applyAlignment="1" applyProtection="0">
      <alignment vertical="top"/>
    </xf>
    <xf numFmtId="0" fontId="5" borderId="46" applyNumberFormat="0" applyFont="1" applyFill="0" applyBorder="1" applyAlignment="1" applyProtection="0">
      <alignment vertical="top"/>
    </xf>
    <xf numFmtId="64" fontId="5" borderId="46" applyNumberFormat="1" applyFont="1" applyFill="0" applyBorder="1" applyAlignment="1" applyProtection="0">
      <alignment vertical="top"/>
    </xf>
    <xf numFmtId="0" fontId="5" borderId="47" applyNumberFormat="0" applyFont="1" applyFill="0" applyBorder="1" applyAlignment="1" applyProtection="0">
      <alignment vertical="top"/>
    </xf>
    <xf numFmtId="49" fontId="6" borderId="47" applyNumberFormat="1" applyFont="1" applyFill="0" applyBorder="1" applyAlignment="1" applyProtection="0">
      <alignment vertical="top"/>
    </xf>
    <xf numFmtId="0" fontId="5" borderId="48" applyNumberFormat="0" applyFont="1" applyFill="0" applyBorder="1" applyAlignment="1" applyProtection="0">
      <alignment vertical="top"/>
    </xf>
    <xf numFmtId="0" fontId="5" borderId="49" applyNumberFormat="0" applyFont="1" applyFill="0" applyBorder="1" applyAlignment="1" applyProtection="0">
      <alignment vertical="top"/>
    </xf>
    <xf numFmtId="37" fontId="6" borderId="49" applyNumberFormat="1" applyFont="1" applyFill="0" applyBorder="1" applyAlignment="1" applyProtection="0">
      <alignment vertical="top"/>
    </xf>
    <xf numFmtId="0" fontId="5" borderId="37" applyNumberFormat="0" applyFont="1" applyFill="0" applyBorder="1" applyAlignment="1" applyProtection="0">
      <alignment vertical="top"/>
    </xf>
    <xf numFmtId="0" fontId="5" borderId="35" applyNumberFormat="0" applyFont="1" applyFill="0" applyBorder="1" applyAlignment="1" applyProtection="0">
      <alignment vertical="top"/>
    </xf>
    <xf numFmtId="64" fontId="5" borderId="35" applyNumberFormat="1" applyFont="1" applyFill="0" applyBorder="1" applyAlignment="1" applyProtection="0">
      <alignment vertical="top"/>
    </xf>
    <xf numFmtId="65" fontId="5" borderId="3" applyNumberFormat="1" applyFont="1" applyFill="0" applyBorder="1" applyAlignment="1" applyProtection="0">
      <alignment vertical="top"/>
    </xf>
    <xf numFmtId="37" fontId="5" borderId="16" applyNumberFormat="1" applyFont="1" applyFill="0" applyBorder="1" applyAlignment="1" applyProtection="0">
      <alignment vertical="top"/>
    </xf>
    <xf numFmtId="49" fontId="12" borderId="1" applyNumberFormat="1" applyFont="1" applyFill="0" applyBorder="1" applyAlignment="1" applyProtection="0">
      <alignment vertical="top"/>
    </xf>
    <xf numFmtId="64" fontId="5" borderId="27" applyNumberFormat="1" applyFont="1" applyFill="0" applyBorder="1" applyAlignment="1" applyProtection="0">
      <alignment vertical="top"/>
    </xf>
    <xf numFmtId="0" fontId="5" borderId="3" applyNumberFormat="1" applyFont="1" applyFill="0" applyBorder="1" applyAlignment="1" applyProtection="0">
      <alignment vertical="top"/>
    </xf>
    <xf numFmtId="3" fontId="5" borderId="16" applyNumberFormat="1" applyFont="1" applyFill="0" applyBorder="1" applyAlignment="1" applyProtection="0">
      <alignment vertical="top"/>
    </xf>
    <xf numFmtId="64" fontId="5" borderId="50" applyNumberFormat="1" applyFont="1" applyFill="0" applyBorder="1" applyAlignment="1" applyProtection="0">
      <alignment vertical="top"/>
    </xf>
    <xf numFmtId="0" fontId="6" borderId="47" applyNumberFormat="0" applyFont="1" applyFill="0" applyBorder="1" applyAlignment="1" applyProtection="0">
      <alignment vertical="top"/>
    </xf>
    <xf numFmtId="0" fontId="6" borderId="51" applyNumberFormat="0" applyFont="1" applyFill="0" applyBorder="1" applyAlignment="1" applyProtection="0">
      <alignment vertical="top"/>
    </xf>
    <xf numFmtId="0" fontId="6" borderId="52" applyNumberFormat="0" applyFont="1" applyFill="0" applyBorder="1" applyAlignment="1" applyProtection="0">
      <alignment vertical="top"/>
    </xf>
    <xf numFmtId="64" fontId="6" borderId="52" applyNumberFormat="1" applyFont="1" applyFill="0" applyBorder="1" applyAlignment="1" applyProtection="0">
      <alignment vertical="top"/>
    </xf>
    <xf numFmtId="37" fontId="6" borderId="52" applyNumberFormat="1" applyFont="1" applyFill="0" applyBorder="1" applyAlignment="1" applyProtection="0">
      <alignment vertical="top"/>
    </xf>
    <xf numFmtId="49" fontId="6" borderId="44" applyNumberFormat="1" applyFont="1" applyFill="0" applyBorder="1" applyAlignment="1" applyProtection="0">
      <alignment vertical="top"/>
    </xf>
    <xf numFmtId="37" fontId="5" borderId="46" applyNumberFormat="1" applyFont="1" applyFill="0" applyBorder="1" applyAlignment="1" applyProtection="0">
      <alignment vertical="top"/>
    </xf>
    <xf numFmtId="64" fontId="5" borderId="49" applyNumberFormat="1" applyFont="1" applyFill="0" applyBorder="1" applyAlignment="1" applyProtection="0">
      <alignment vertical="top"/>
    </xf>
    <xf numFmtId="0" fontId="5" borderId="34" applyNumberFormat="0" applyFont="1" applyFill="0" applyBorder="1" applyAlignment="1" applyProtection="0">
      <alignment vertical="top"/>
    </xf>
    <xf numFmtId="64" fontId="5" borderId="34" applyNumberFormat="1" applyFont="1" applyFill="0" applyBorder="1" applyAlignment="1" applyProtection="0">
      <alignment vertical="top"/>
    </xf>
    <xf numFmtId="3" fontId="5" borderId="53" applyNumberFormat="1" applyFont="1" applyFill="0" applyBorder="1" applyAlignment="1" applyProtection="0">
      <alignment vertical="top"/>
    </xf>
    <xf numFmtId="0" fontId="5" borderId="53" applyNumberFormat="0" applyFont="1" applyFill="0" applyBorder="1" applyAlignment="1" applyProtection="0">
      <alignment vertical="top"/>
    </xf>
    <xf numFmtId="0" fontId="15" borderId="1" applyNumberFormat="0" applyFont="1" applyFill="0" applyBorder="1" applyAlignment="1" applyProtection="0">
      <alignment vertical="top"/>
    </xf>
    <xf numFmtId="49" fontId="15" borderId="1" applyNumberFormat="1" applyFont="1" applyFill="0" applyBorder="1" applyAlignment="1" applyProtection="0">
      <alignment vertical="top"/>
    </xf>
    <xf numFmtId="3" fontId="15" borderId="1" applyNumberFormat="1" applyFont="1" applyFill="0" applyBorder="1" applyAlignment="1" applyProtection="0">
      <alignment vertical="top"/>
    </xf>
    <xf numFmtId="0" fontId="15" borderId="5" applyNumberFormat="0" applyFont="1" applyFill="0" applyBorder="1" applyAlignment="1" applyProtection="0">
      <alignment vertical="top"/>
    </xf>
    <xf numFmtId="49" fontId="15" borderId="5" applyNumberFormat="1" applyFont="1" applyFill="0" applyBorder="1" applyAlignment="1" applyProtection="0">
      <alignment vertical="top"/>
    </xf>
    <xf numFmtId="3" fontId="15" borderId="5" applyNumberFormat="1" applyFont="1" applyFill="0" applyBorder="1" applyAlignment="1" applyProtection="0">
      <alignment vertical="top"/>
    </xf>
    <xf numFmtId="37" fontId="15" borderId="5" applyNumberFormat="1" applyFont="1" applyFill="0" applyBorder="1" applyAlignment="1" applyProtection="0">
      <alignment vertical="top"/>
    </xf>
    <xf numFmtId="0" fontId="0" applyNumberFormat="1" applyFont="1" applyFill="0" applyBorder="0" applyAlignment="1" applyProtection="0">
      <alignment vertical="top" wrapText="1"/>
    </xf>
    <xf numFmtId="0" fontId="16" applyNumberFormat="0" applyFont="1" applyFill="0" applyBorder="0" applyAlignment="1" applyProtection="0">
      <alignment horizontal="left" vertical="center"/>
    </xf>
    <xf numFmtId="49" fontId="7" borderId="3" applyNumberFormat="1" applyFont="1" applyFill="0" applyBorder="1" applyAlignment="1" applyProtection="0">
      <alignment vertical="top"/>
    </xf>
    <xf numFmtId="49" fontId="17" fillId="6" borderId="3" applyNumberFormat="1" applyFont="1" applyFill="1" applyBorder="1" applyAlignment="1" applyProtection="0">
      <alignment vertical="top" wrapText="1"/>
    </xf>
    <xf numFmtId="49" fontId="18" borderId="3" applyNumberFormat="1" applyFont="1" applyFill="0" applyBorder="1" applyAlignment="1" applyProtection="0">
      <alignment vertical="top" wrapText="1"/>
    </xf>
    <xf numFmtId="37" fontId="0" borderId="3" applyNumberFormat="1" applyFont="1" applyFill="0" applyBorder="1" applyAlignment="1" applyProtection="0">
      <alignment vertical="top" wrapText="1"/>
    </xf>
    <xf numFmtId="64" fontId="0" borderId="3" applyNumberFormat="1" applyFont="1" applyFill="0" applyBorder="1" applyAlignment="1" applyProtection="0">
      <alignment vertical="top" wrapText="1"/>
    </xf>
    <xf numFmtId="10"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49" fontId="18" borderId="3" applyNumberFormat="1" applyFont="1" applyFill="0" applyBorder="1" applyAlignment="1" applyProtection="0">
      <alignment vertical="top"/>
    </xf>
    <xf numFmtId="0" fontId="18" borderId="3" applyNumberFormat="0" applyFont="1" applyFill="0" applyBorder="1" applyAlignment="1" applyProtection="0">
      <alignment vertical="top" wrapText="1"/>
    </xf>
    <xf numFmtId="9" fontId="0" borderId="3" applyNumberFormat="1" applyFont="1" applyFill="0" applyBorder="1" applyAlignment="1" applyProtection="0">
      <alignment vertical="top" wrapText="1"/>
    </xf>
    <xf numFmtId="66" fontId="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15151"/>
      <rgbColor rgb="fffaf5d2"/>
      <rgbColor rgb="fffaf4cf"/>
      <rgbColor rgb="fffefefe"/>
      <rgbColor rgb="ff004c7f"/>
      <rgbColor rgb="ff017000"/>
      <rgbColor rgb="ff98185e"/>
      <rgbColor rgb="ffa5a5a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26</v>
      </c>
      <c r="C11" s="3"/>
      <c r="D11" s="3"/>
    </row>
    <row r="12">
      <c r="B12" s="4"/>
      <c r="C12" t="s" s="4">
        <v>26</v>
      </c>
      <c r="D12" t="s" s="5">
        <v>65</v>
      </c>
    </row>
  </sheetData>
  <mergeCells count="1">
    <mergeCell ref="B3:D3"/>
  </mergeCells>
  <hyperlinks>
    <hyperlink ref="D10" location="'Model - DCF'!R2C1" tooltip="" display="Model - DCF"/>
    <hyperlink ref="D12" location="'WACC - WACC'!R2C1" tooltip="" display="WACC - WACC"/>
  </hyperlinks>
</worksheet>
</file>

<file path=xl/worksheets/sheet2.xml><?xml version="1.0" encoding="utf-8"?>
<worksheet xmlns:r="http://schemas.openxmlformats.org/officeDocument/2006/relationships" xmlns="http://schemas.openxmlformats.org/spreadsheetml/2006/main">
  <sheetPr>
    <pageSetUpPr fitToPage="1"/>
  </sheetPr>
  <dimension ref="A2:T127"/>
  <sheetViews>
    <sheetView workbookViewId="0" showGridLines="0" defaultGridColor="1">
      <pane topLeftCell="C1" xSplit="2" ySplit="0" activePane="topRight" state="frozen"/>
    </sheetView>
  </sheetViews>
  <sheetFormatPr defaultColWidth="16.3333" defaultRowHeight="19.9" customHeight="1" outlineLevelRow="0" outlineLevelCol="0"/>
  <cols>
    <col min="1" max="1" width="2.5" style="6" customWidth="1"/>
    <col min="2" max="2" width="31.1016" style="6" customWidth="1"/>
    <col min="3" max="20" width="16.3516" style="6" customWidth="1"/>
    <col min="21" max="256" width="16.3516" style="6" customWidth="1"/>
  </cols>
  <sheetData>
    <row r="1" ht="31" customHeight="1">
      <c r="A1" t="s" s="7">
        <v>5</v>
      </c>
      <c r="B1" s="7"/>
      <c r="C1" s="7"/>
      <c r="D1" s="7"/>
      <c r="E1" s="7"/>
      <c r="F1" s="7"/>
      <c r="G1" s="7"/>
      <c r="H1" s="7"/>
      <c r="I1" s="7"/>
      <c r="J1" s="7"/>
      <c r="K1" s="7"/>
      <c r="L1" s="7"/>
      <c r="M1" s="7"/>
      <c r="N1" s="7"/>
      <c r="O1" s="7"/>
      <c r="P1" s="7"/>
      <c r="Q1" s="7"/>
      <c r="R1" s="7"/>
      <c r="S1" s="7"/>
      <c r="T1" s="7"/>
    </row>
    <row r="2" ht="21.5" customHeight="1">
      <c r="A2" s="8"/>
      <c r="B2" s="9"/>
      <c r="C2" s="10"/>
      <c r="D2" s="11"/>
      <c r="E2" s="11"/>
      <c r="F2" s="12"/>
      <c r="G2" s="11"/>
      <c r="H2" s="11"/>
      <c r="I2" s="11"/>
      <c r="J2" s="11"/>
      <c r="K2" s="11"/>
      <c r="L2" s="11"/>
      <c r="M2" s="11"/>
      <c r="N2" s="11"/>
      <c r="O2" s="11"/>
      <c r="P2" s="11"/>
      <c r="Q2" s="11"/>
      <c r="R2" s="11"/>
      <c r="S2" s="11"/>
      <c r="T2" s="11"/>
    </row>
    <row r="3" ht="23" customHeight="1">
      <c r="A3" s="13"/>
      <c r="B3" t="s" s="14">
        <v>7</v>
      </c>
      <c r="C3" t="s" s="15">
        <v>8</v>
      </c>
      <c r="D3" s="16"/>
      <c r="E3" t="s" s="17">
        <v>9</v>
      </c>
      <c r="F3" s="18">
        <f>P125</f>
        <v>301.569790982314</v>
      </c>
      <c r="G3" s="19"/>
      <c r="H3" s="20"/>
      <c r="I3" s="21"/>
      <c r="J3" s="11"/>
      <c r="K3" s="11"/>
      <c r="L3" s="11"/>
      <c r="M3" s="11"/>
      <c r="N3" s="11"/>
      <c r="O3" s="11"/>
      <c r="P3" s="11"/>
      <c r="Q3" s="11"/>
      <c r="R3" s="11"/>
      <c r="S3" s="11"/>
      <c r="T3" s="11"/>
    </row>
    <row r="4" ht="23" customHeight="1">
      <c r="A4" s="13"/>
      <c r="B4" t="s" s="14">
        <v>10</v>
      </c>
      <c r="C4" s="22">
        <v>43364</v>
      </c>
      <c r="D4" s="16"/>
      <c r="E4" t="s" s="17">
        <v>11</v>
      </c>
      <c r="F4" s="18">
        <v>185.79</v>
      </c>
      <c r="G4" s="19"/>
      <c r="H4" t="s" s="17">
        <v>12</v>
      </c>
      <c r="I4" s="23">
        <f>F3/F4-1</f>
        <v>0.623175579860671</v>
      </c>
      <c r="J4" s="24"/>
      <c r="K4" s="11"/>
      <c r="L4" s="11"/>
      <c r="M4" s="11"/>
      <c r="N4" s="11"/>
      <c r="O4" s="11"/>
      <c r="P4" s="11"/>
      <c r="Q4" s="11"/>
      <c r="R4" s="11"/>
      <c r="S4" s="11"/>
      <c r="T4" s="11"/>
    </row>
    <row r="5" ht="21.5" customHeight="1">
      <c r="A5" s="13"/>
      <c r="B5" s="25"/>
      <c r="C5" s="26"/>
      <c r="D5" s="11"/>
      <c r="E5" s="11"/>
      <c r="F5" s="27"/>
      <c r="G5" s="11"/>
      <c r="H5" s="11"/>
      <c r="I5" s="27"/>
      <c r="J5" s="11"/>
      <c r="K5" s="11"/>
      <c r="L5" s="11"/>
      <c r="M5" s="11"/>
      <c r="N5" s="11"/>
      <c r="O5" s="11"/>
      <c r="P5" s="11"/>
      <c r="Q5" s="11"/>
      <c r="R5" s="11"/>
      <c r="S5" s="11"/>
      <c r="T5" s="11"/>
    </row>
    <row r="6" ht="21" customHeight="1">
      <c r="A6" s="13"/>
      <c r="B6" s="25"/>
      <c r="C6" s="28"/>
      <c r="D6" s="11"/>
      <c r="E6" s="11"/>
      <c r="F6" s="11"/>
      <c r="G6" s="11"/>
      <c r="H6" s="11"/>
      <c r="I6" s="11"/>
      <c r="J6" s="11"/>
      <c r="K6" s="11"/>
      <c r="L6" s="11"/>
      <c r="M6" s="11"/>
      <c r="N6" s="11"/>
      <c r="O6" s="11"/>
      <c r="P6" s="11"/>
      <c r="Q6" s="11"/>
      <c r="R6" s="11"/>
      <c r="S6" s="11"/>
      <c r="T6" s="11"/>
    </row>
    <row r="7" ht="21" customHeight="1">
      <c r="A7" t="s" s="29">
        <v>13</v>
      </c>
      <c r="B7" t="s" s="30">
        <v>14</v>
      </c>
      <c r="C7" s="31"/>
      <c r="D7" s="32"/>
      <c r="E7" s="33"/>
      <c r="F7" s="33"/>
      <c r="G7" s="33"/>
      <c r="H7" s="33"/>
      <c r="I7" s="33"/>
      <c r="J7" s="33"/>
      <c r="K7" s="33"/>
      <c r="L7" s="33"/>
      <c r="M7" s="33"/>
      <c r="N7" s="33"/>
      <c r="O7" s="33"/>
      <c r="P7" s="33"/>
      <c r="Q7" s="33"/>
      <c r="R7" s="33"/>
      <c r="S7" s="33"/>
      <c r="T7" s="33"/>
    </row>
    <row r="8" ht="21.5" customHeight="1">
      <c r="A8" s="13"/>
      <c r="B8" t="s" s="34">
        <v>15</v>
      </c>
      <c r="C8" s="10"/>
      <c r="D8" s="11"/>
      <c r="E8" t="s" s="35">
        <v>16</v>
      </c>
      <c r="F8" s="11"/>
      <c r="G8" t="s" s="35">
        <v>17</v>
      </c>
      <c r="H8" s="36"/>
      <c r="I8" t="s" s="35">
        <v>18</v>
      </c>
      <c r="J8" s="11"/>
      <c r="K8" s="36"/>
      <c r="L8" s="11"/>
      <c r="M8" s="11"/>
      <c r="N8" s="11"/>
      <c r="O8" s="11"/>
      <c r="P8" s="11"/>
      <c r="Q8" s="11"/>
      <c r="R8" s="11"/>
      <c r="S8" s="11"/>
      <c r="T8" s="11"/>
    </row>
    <row r="9" ht="22" customHeight="1">
      <c r="A9" s="13"/>
      <c r="B9" t="s" s="14">
        <v>19</v>
      </c>
      <c r="C9" s="37">
        <v>2</v>
      </c>
      <c r="D9" s="38"/>
      <c r="E9" s="39">
        <v>0.8</v>
      </c>
      <c r="F9" s="40"/>
      <c r="G9" s="41">
        <v>0.19</v>
      </c>
      <c r="H9" s="40"/>
      <c r="I9" s="39">
        <v>1.2</v>
      </c>
      <c r="J9" s="16"/>
      <c r="K9" s="11"/>
      <c r="L9" s="11"/>
      <c r="M9" s="11"/>
      <c r="N9" s="11"/>
      <c r="O9" s="11"/>
      <c r="P9" s="11"/>
      <c r="Q9" s="11"/>
      <c r="R9" s="11"/>
      <c r="S9" s="11"/>
      <c r="T9" s="11"/>
    </row>
    <row r="10" ht="22" customHeight="1">
      <c r="A10" s="13"/>
      <c r="B10" t="s" s="14">
        <v>20</v>
      </c>
      <c r="C10" s="37">
        <v>2</v>
      </c>
      <c r="D10" s="38"/>
      <c r="E10" s="42">
        <v>0.9</v>
      </c>
      <c r="F10" s="38"/>
      <c r="G10" s="43">
        <v>0.19</v>
      </c>
      <c r="H10" s="38"/>
      <c r="I10" s="42">
        <v>1.1</v>
      </c>
      <c r="J10" s="16"/>
      <c r="K10" s="11"/>
      <c r="L10" s="11"/>
      <c r="M10" s="11"/>
      <c r="N10" s="11"/>
      <c r="O10" s="11"/>
      <c r="P10" s="11"/>
      <c r="Q10" s="11"/>
      <c r="R10" s="11"/>
      <c r="S10" s="11"/>
      <c r="T10" s="11"/>
    </row>
    <row r="11" ht="22" customHeight="1">
      <c r="A11" s="13"/>
      <c r="B11" t="s" s="14">
        <v>21</v>
      </c>
      <c r="C11" s="37">
        <v>2</v>
      </c>
      <c r="D11" s="38"/>
      <c r="E11" s="42">
        <v>0.9</v>
      </c>
      <c r="F11" s="38"/>
      <c r="G11" s="43">
        <v>0.19</v>
      </c>
      <c r="H11" s="38"/>
      <c r="I11" s="42">
        <v>1.1</v>
      </c>
      <c r="J11" s="16"/>
      <c r="K11" s="11"/>
      <c r="L11" s="11"/>
      <c r="M11" s="11"/>
      <c r="N11" s="11"/>
      <c r="O11" s="11"/>
      <c r="P11" s="11"/>
      <c r="Q11" s="11"/>
      <c r="R11" s="11"/>
      <c r="S11" s="11"/>
      <c r="T11" s="11"/>
    </row>
    <row r="12" ht="22" customHeight="1">
      <c r="A12" s="13"/>
      <c r="B12" t="s" s="14">
        <v>22</v>
      </c>
      <c r="C12" s="37">
        <v>2</v>
      </c>
      <c r="D12" s="38"/>
      <c r="E12" s="42">
        <v>0.9</v>
      </c>
      <c r="F12" s="38"/>
      <c r="G12" s="43">
        <v>0.19</v>
      </c>
      <c r="H12" s="38"/>
      <c r="I12" s="42">
        <v>1.1</v>
      </c>
      <c r="J12" s="16"/>
      <c r="K12" s="11"/>
      <c r="L12" s="11"/>
      <c r="M12" s="11"/>
      <c r="N12" s="11"/>
      <c r="O12" s="11"/>
      <c r="P12" s="11"/>
      <c r="Q12" s="11"/>
      <c r="R12" s="11"/>
      <c r="S12" s="11"/>
      <c r="T12" s="11"/>
    </row>
    <row r="13" ht="22" customHeight="1">
      <c r="A13" s="13"/>
      <c r="B13" t="s" s="44">
        <v>23</v>
      </c>
      <c r="C13" s="45">
        <v>2</v>
      </c>
      <c r="D13" s="38"/>
      <c r="E13" s="46">
        <v>1.1</v>
      </c>
      <c r="F13" s="38"/>
      <c r="G13" s="47">
        <v>0.19</v>
      </c>
      <c r="H13" s="38"/>
      <c r="I13" s="46">
        <v>0.9</v>
      </c>
      <c r="J13" s="16"/>
      <c r="K13" s="11"/>
      <c r="L13" s="11"/>
      <c r="M13" s="11"/>
      <c r="N13" s="11"/>
      <c r="O13" s="11"/>
      <c r="P13" s="11"/>
      <c r="Q13" s="11"/>
      <c r="R13" s="11"/>
      <c r="S13" s="11"/>
      <c r="T13" s="11"/>
    </row>
    <row r="14" ht="22" customHeight="1">
      <c r="A14" s="13"/>
      <c r="B14" s="48"/>
      <c r="C14" s="49"/>
      <c r="D14" s="11"/>
      <c r="E14" s="50"/>
      <c r="F14" s="11"/>
      <c r="G14" s="50"/>
      <c r="H14" s="11"/>
      <c r="I14" s="50"/>
      <c r="J14" s="11"/>
      <c r="K14" s="11"/>
      <c r="L14" s="11"/>
      <c r="M14" s="11"/>
      <c r="N14" s="11"/>
      <c r="O14" s="11"/>
      <c r="P14" s="11"/>
      <c r="Q14" s="11"/>
      <c r="R14" s="11"/>
      <c r="S14" s="11"/>
      <c r="T14" s="11"/>
    </row>
    <row r="15" ht="23" customHeight="1">
      <c r="A15" s="13"/>
      <c r="B15" t="s" s="51">
        <v>24</v>
      </c>
      <c r="C15" s="37">
        <v>2</v>
      </c>
      <c r="D15" s="38"/>
      <c r="E15" s="42">
        <v>0.9</v>
      </c>
      <c r="F15" s="38"/>
      <c r="G15" s="42">
        <v>0.6</v>
      </c>
      <c r="H15" s="38"/>
      <c r="I15" s="42">
        <v>1.1</v>
      </c>
      <c r="J15" s="16"/>
      <c r="K15" t="s" s="52">
        <v>25</v>
      </c>
      <c r="L15" s="11"/>
      <c r="M15" s="11"/>
      <c r="N15" s="11"/>
      <c r="O15" s="11"/>
      <c r="P15" s="11"/>
      <c r="Q15" s="11"/>
      <c r="R15" s="11"/>
      <c r="S15" s="11"/>
      <c r="T15" s="11"/>
    </row>
    <row r="16" ht="23" customHeight="1">
      <c r="A16" s="13"/>
      <c r="B16" t="s" s="51">
        <v>26</v>
      </c>
      <c r="C16" s="37">
        <v>2</v>
      </c>
      <c r="D16" s="38"/>
      <c r="E16" s="53">
        <f>G16+$K$16</f>
        <v>0.0812719233265299</v>
      </c>
      <c r="F16" s="38"/>
      <c r="G16" s="54">
        <f>'WACC - WACC'!B21</f>
        <v>0.07627192332652991</v>
      </c>
      <c r="H16" s="38"/>
      <c r="I16" s="54">
        <f>G16-$K$16</f>
        <v>0.0712719233265299</v>
      </c>
      <c r="J16" s="38"/>
      <c r="K16" s="55">
        <v>0.005</v>
      </c>
      <c r="L16" s="16"/>
      <c r="M16" s="11"/>
      <c r="N16" s="11"/>
      <c r="O16" s="11"/>
      <c r="P16" s="11"/>
      <c r="Q16" s="11"/>
      <c r="R16" s="11"/>
      <c r="S16" s="11"/>
      <c r="T16" s="11"/>
    </row>
    <row r="17" ht="23" customHeight="1">
      <c r="A17" s="13"/>
      <c r="B17" t="s" s="51">
        <v>27</v>
      </c>
      <c r="C17" s="45">
        <v>2</v>
      </c>
      <c r="D17" s="38"/>
      <c r="E17" s="56">
        <f>G17-$K$17</f>
        <v>0.015</v>
      </c>
      <c r="F17" s="38"/>
      <c r="G17" s="47">
        <v>0.02</v>
      </c>
      <c r="H17" s="38"/>
      <c r="I17" s="46">
        <f>G17+$K$17</f>
        <v>0.025</v>
      </c>
      <c r="J17" s="38"/>
      <c r="K17" s="55">
        <v>0.005</v>
      </c>
      <c r="L17" s="16"/>
      <c r="M17" s="11"/>
      <c r="N17" s="11"/>
      <c r="O17" s="11"/>
      <c r="P17" s="11"/>
      <c r="Q17" s="11"/>
      <c r="R17" s="11"/>
      <c r="S17" s="11"/>
      <c r="T17" s="11"/>
    </row>
    <row r="18" ht="22" customHeight="1">
      <c r="A18" s="13"/>
      <c r="B18" s="48"/>
      <c r="C18" s="49"/>
      <c r="D18" s="11"/>
      <c r="E18" s="27"/>
      <c r="F18" s="11"/>
      <c r="G18" s="27"/>
      <c r="H18" s="11"/>
      <c r="I18" s="27"/>
      <c r="J18" s="11"/>
      <c r="K18" s="57"/>
      <c r="L18" s="11"/>
      <c r="M18" s="11"/>
      <c r="N18" s="11"/>
      <c r="O18" s="11"/>
      <c r="P18" s="11"/>
      <c r="Q18" s="11"/>
      <c r="R18" s="11"/>
      <c r="S18" s="11"/>
      <c r="T18" s="11"/>
    </row>
    <row r="19" ht="22" customHeight="1">
      <c r="A19" s="13"/>
      <c r="B19" t="s" s="51">
        <v>26</v>
      </c>
      <c r="C19" s="54">
        <f>CHOOSE(C16,E16,G16,I16)</f>
        <v>0.07627192332652991</v>
      </c>
      <c r="D19" s="16"/>
      <c r="E19" s="11"/>
      <c r="F19" s="11"/>
      <c r="G19" s="11"/>
      <c r="H19" s="11"/>
      <c r="I19" s="11"/>
      <c r="J19" s="11"/>
      <c r="K19" s="11"/>
      <c r="L19" s="11"/>
      <c r="M19" s="11"/>
      <c r="N19" s="11"/>
      <c r="O19" s="11"/>
      <c r="P19" s="11"/>
      <c r="Q19" s="11"/>
      <c r="R19" s="11"/>
      <c r="S19" s="11"/>
      <c r="T19" s="11"/>
    </row>
    <row r="20" ht="22" customHeight="1">
      <c r="A20" s="13"/>
      <c r="B20" t="s" s="51">
        <v>27</v>
      </c>
      <c r="C20" s="47">
        <f>CHOOSE(C17,E17,G17,I17)</f>
        <v>0.02</v>
      </c>
      <c r="D20" s="16"/>
      <c r="E20" s="11"/>
      <c r="F20" s="11"/>
      <c r="G20" s="11"/>
      <c r="H20" s="11"/>
      <c r="I20" s="11"/>
      <c r="J20" s="11"/>
      <c r="K20" s="11"/>
      <c r="L20" s="11"/>
      <c r="M20" s="11"/>
      <c r="N20" s="11"/>
      <c r="O20" s="11"/>
      <c r="P20" s="11"/>
      <c r="Q20" s="11"/>
      <c r="R20" s="11"/>
      <c r="S20" s="11"/>
      <c r="T20" s="11"/>
    </row>
    <row r="21" ht="21.5" customHeight="1">
      <c r="A21" s="13"/>
      <c r="B21" s="9"/>
      <c r="C21" s="58"/>
      <c r="D21" s="11"/>
      <c r="E21" s="11"/>
      <c r="F21" s="11"/>
      <c r="G21" s="11"/>
      <c r="H21" s="11"/>
      <c r="I21" s="11"/>
      <c r="J21" s="11"/>
      <c r="K21" t="s" s="59">
        <v>28</v>
      </c>
      <c r="L21" s="36"/>
      <c r="M21" s="11"/>
      <c r="N21" s="11"/>
      <c r="O21" s="11"/>
      <c r="P21" s="11"/>
      <c r="Q21" s="11"/>
      <c r="R21" s="11"/>
      <c r="S21" s="11"/>
      <c r="T21" s="11"/>
    </row>
    <row r="22" ht="21" customHeight="1">
      <c r="A22" t="s" s="29">
        <v>13</v>
      </c>
      <c r="B22" t="s" s="30">
        <v>29</v>
      </c>
      <c r="C22" s="31"/>
      <c r="D22" s="60">
        <v>2015</v>
      </c>
      <c r="E22" s="61">
        <v>2016</v>
      </c>
      <c r="F22" s="61">
        <v>2017</v>
      </c>
      <c r="G22" s="61">
        <v>2018</v>
      </c>
      <c r="H22" s="61">
        <v>2019</v>
      </c>
      <c r="I22" s="61">
        <v>2020</v>
      </c>
      <c r="J22" s="61">
        <v>2021</v>
      </c>
      <c r="K22" s="61">
        <v>2022</v>
      </c>
      <c r="L22" s="61">
        <v>2023</v>
      </c>
      <c r="M22" s="61">
        <v>2024</v>
      </c>
      <c r="N22" s="61">
        <v>2025</v>
      </c>
      <c r="O22" s="61">
        <v>2026</v>
      </c>
      <c r="P22" s="61">
        <v>2027</v>
      </c>
      <c r="Q22" s="36"/>
      <c r="R22" s="36"/>
      <c r="S22" s="36"/>
      <c r="T22" s="36"/>
    </row>
    <row r="23" ht="21" customHeight="1">
      <c r="A23" s="13"/>
      <c r="B23" s="25"/>
      <c r="C23" s="28"/>
      <c r="D23" s="11"/>
      <c r="E23" s="62"/>
      <c r="F23" s="62"/>
      <c r="G23" s="62"/>
      <c r="H23" s="62"/>
      <c r="I23" s="62"/>
      <c r="J23" s="63"/>
      <c r="K23" s="62"/>
      <c r="L23" s="62"/>
      <c r="M23" s="62"/>
      <c r="N23" s="62"/>
      <c r="O23" s="62"/>
      <c r="P23" s="62"/>
      <c r="Q23" s="36"/>
      <c r="R23" s="36"/>
      <c r="S23" s="36"/>
      <c r="T23" s="36"/>
    </row>
    <row r="24" ht="21" customHeight="1">
      <c r="A24" s="13"/>
      <c r="B24" t="s" s="34">
        <f>$B9</f>
        <v>30</v>
      </c>
      <c r="C24" s="28"/>
      <c r="D24" s="64">
        <v>6302</v>
      </c>
      <c r="E24" s="64">
        <v>6747</v>
      </c>
      <c r="F24" s="64">
        <v>7975</v>
      </c>
      <c r="G24" s="64">
        <v>8918</v>
      </c>
      <c r="H24" s="64">
        <v>9700</v>
      </c>
      <c r="I24" s="64">
        <v>9804</v>
      </c>
      <c r="J24" s="64">
        <v>11475</v>
      </c>
      <c r="K24" s="62">
        <f>(9903/3)*4</f>
        <v>13204</v>
      </c>
      <c r="L24" s="62">
        <f>K24*(1+L25)</f>
        <v>15297.3661873638</v>
      </c>
      <c r="M24" s="62">
        <f>L24*(1+M25)</f>
        <v>17883.0321133688</v>
      </c>
      <c r="N24" s="62">
        <f>M24*(1+N25)</f>
        <v>21093.2766363199</v>
      </c>
      <c r="O24" s="62">
        <f>N24*(1+O25)</f>
        <v>25100.9991972207</v>
      </c>
      <c r="P24" s="62">
        <f>O24*(1+P25)</f>
        <v>29870.1890446926</v>
      </c>
      <c r="Q24" s="36"/>
      <c r="R24" s="36"/>
      <c r="S24" s="36"/>
      <c r="T24" s="36"/>
    </row>
    <row r="25" ht="21.5" customHeight="1">
      <c r="A25" s="65"/>
      <c r="B25" t="s" s="66">
        <v>31</v>
      </c>
      <c r="C25" s="67"/>
      <c r="D25" s="68"/>
      <c r="E25" s="69">
        <f>E24/D24-1</f>
        <v>0.0706125039669946</v>
      </c>
      <c r="F25" s="69">
        <f>F24/E24-1</f>
        <v>0.182006817844968</v>
      </c>
      <c r="G25" s="69">
        <f>G24/F24-1</f>
        <v>0.118244514106583</v>
      </c>
      <c r="H25" s="69">
        <f>H24/G24-1</f>
        <v>0.08768782238169991</v>
      </c>
      <c r="I25" s="69">
        <f>I24/H24-1</f>
        <v>0.0107216494845361</v>
      </c>
      <c r="J25" s="69">
        <f>J24/I24-1</f>
        <v>0.170440636474908</v>
      </c>
      <c r="K25" s="69">
        <f>K24/J24-1</f>
        <v>0.150675381263617</v>
      </c>
      <c r="L25" s="70">
        <f>OFFSET(L25,$C$9,0)</f>
        <v>0.158540305010894</v>
      </c>
      <c r="M25" s="70">
        <f>OFFSET(M25,$C$9,0)</f>
        <v>0.169026870007263</v>
      </c>
      <c r="N25" s="70">
        <f>OFFSET(N25,$C$9,0)</f>
        <v>0.179513435003632</v>
      </c>
      <c r="O25" s="70">
        <f>OFFSET(O25,$C$9,0)</f>
        <v>0.19</v>
      </c>
      <c r="P25" s="70">
        <f>OFFSET(P25,$C$9,0)</f>
        <v>0.19</v>
      </c>
      <c r="Q25" s="36"/>
      <c r="R25" s="36"/>
      <c r="S25" s="36"/>
      <c r="T25" s="36"/>
    </row>
    <row r="26" ht="22" customHeight="1">
      <c r="A26" s="13"/>
      <c r="B26" t="s" s="34">
        <v>32</v>
      </c>
      <c r="C26" s="28"/>
      <c r="D26" s="11"/>
      <c r="E26" s="64"/>
      <c r="F26" s="64"/>
      <c r="G26" s="64"/>
      <c r="H26" s="64"/>
      <c r="I26" s="64"/>
      <c r="J26" s="64"/>
      <c r="K26" s="71"/>
      <c r="L26" s="72">
        <f>L27</f>
        <v>0.158540305010894</v>
      </c>
      <c r="M26" s="72">
        <f>M27*$E$9</f>
        <v>0.13522149600581</v>
      </c>
      <c r="N26" s="72">
        <f>N27*$E$9</f>
        <v>0.143610748002906</v>
      </c>
      <c r="O26" s="72">
        <f>O27*$E$9</f>
        <v>0.152</v>
      </c>
      <c r="P26" s="72">
        <f>P27*$E$9</f>
        <v>0.152</v>
      </c>
      <c r="Q26" s="73"/>
      <c r="R26" s="36"/>
      <c r="S26" s="36"/>
      <c r="T26" s="36"/>
    </row>
    <row r="27" ht="22" customHeight="1">
      <c r="A27" s="13"/>
      <c r="B27" t="s" s="34">
        <v>33</v>
      </c>
      <c r="C27" s="28"/>
      <c r="D27" s="11"/>
      <c r="E27" s="64"/>
      <c r="F27" s="64"/>
      <c r="G27" s="64"/>
      <c r="H27" s="64"/>
      <c r="I27" s="64"/>
      <c r="J27" s="64"/>
      <c r="K27" s="71"/>
      <c r="L27" s="72">
        <f>K25-(K25-$P$27)/($P$22-K22)</f>
        <v>0.158540305010894</v>
      </c>
      <c r="M27" s="72">
        <f>L27-(L27-$P$27)/($P$22-M22)</f>
        <v>0.169026870007263</v>
      </c>
      <c r="N27" s="72">
        <f>M27-(M27-$P$27)/($P$22-N22)</f>
        <v>0.179513435003632</v>
      </c>
      <c r="O27" s="72">
        <f>N27-(N27-$P$27)/($P$22-O22)</f>
        <v>0.19</v>
      </c>
      <c r="P27" s="72">
        <f>G9</f>
        <v>0.19</v>
      </c>
      <c r="Q27" s="73"/>
      <c r="R27" s="36"/>
      <c r="S27" s="36"/>
      <c r="T27" s="36"/>
    </row>
    <row r="28" ht="22" customHeight="1">
      <c r="A28" s="13"/>
      <c r="B28" t="s" s="34">
        <v>34</v>
      </c>
      <c r="C28" s="28"/>
      <c r="D28" s="11"/>
      <c r="E28" s="64"/>
      <c r="F28" s="64"/>
      <c r="G28" s="64"/>
      <c r="H28" s="64"/>
      <c r="I28" s="64"/>
      <c r="J28" s="64"/>
      <c r="K28" s="74"/>
      <c r="L28" s="72">
        <f>L27</f>
        <v>0.158540305010894</v>
      </c>
      <c r="M28" s="72">
        <f>M27*$I$9</f>
        <v>0.202832244008716</v>
      </c>
      <c r="N28" s="72">
        <f>N27*$I$9</f>
        <v>0.215416122004358</v>
      </c>
      <c r="O28" s="72">
        <f>O27*$I$9</f>
        <v>0.228</v>
      </c>
      <c r="P28" s="72">
        <f>P27*$I$9</f>
        <v>0.228</v>
      </c>
      <c r="Q28" s="73"/>
      <c r="R28" s="36"/>
      <c r="S28" s="36"/>
      <c r="T28" s="36"/>
    </row>
    <row r="29" ht="21.5" customHeight="1">
      <c r="A29" s="13"/>
      <c r="B29" t="s" s="34">
        <v>35</v>
      </c>
      <c r="C29" s="28"/>
      <c r="D29" s="69">
        <f>D24/D59</f>
        <v>0.454034582132565</v>
      </c>
      <c r="E29" s="69">
        <f>E24/E59</f>
        <v>0.447354462272908</v>
      </c>
      <c r="F29" s="69">
        <f>F24/F59</f>
        <v>0.434415513672513</v>
      </c>
      <c r="G29" s="69">
        <f>G24/G59</f>
        <v>0.432723567373478</v>
      </c>
      <c r="H29" s="69">
        <f>H24/H59</f>
        <v>0.422161291726509</v>
      </c>
      <c r="I29" s="69">
        <f>I24/I59</f>
        <v>0.448777808294425</v>
      </c>
      <c r="J29" s="75">
        <f>J24/J59</f>
        <v>0.476042314872433</v>
      </c>
      <c r="K29" s="76">
        <f>K24/K59</f>
        <v>0.460112437857175</v>
      </c>
      <c r="L29" s="77">
        <f>AVERAGE(K29,J29,I29)</f>
        <v>0.461644187008011</v>
      </c>
      <c r="M29" s="77"/>
      <c r="N29" s="77"/>
      <c r="O29" s="77"/>
      <c r="P29" s="77"/>
      <c r="Q29" s="78"/>
      <c r="R29" s="36"/>
      <c r="S29" s="36"/>
      <c r="T29" s="36"/>
    </row>
    <row r="30" ht="21" customHeight="1">
      <c r="A30" s="79"/>
      <c r="B30" s="80"/>
      <c r="C30" s="81"/>
      <c r="D30" s="68"/>
      <c r="E30" s="82"/>
      <c r="F30" s="83"/>
      <c r="G30" s="83"/>
      <c r="H30" s="83"/>
      <c r="I30" s="83"/>
      <c r="J30" s="83"/>
      <c r="K30" s="84"/>
      <c r="L30" s="85"/>
      <c r="M30" s="85"/>
      <c r="N30" s="85"/>
      <c r="O30" s="85"/>
      <c r="P30" s="85"/>
      <c r="Q30" s="36"/>
      <c r="R30" s="36"/>
      <c r="S30" s="36"/>
      <c r="T30" s="36"/>
    </row>
    <row r="31" ht="21" customHeight="1">
      <c r="A31" s="86"/>
      <c r="B31" t="s" s="34">
        <f>$B10</f>
        <v>36</v>
      </c>
      <c r="C31" s="87"/>
      <c r="D31" s="64">
        <v>5552</v>
      </c>
      <c r="E31" s="88">
        <v>6272</v>
      </c>
      <c r="F31" s="88">
        <v>7786</v>
      </c>
      <c r="G31" s="88">
        <v>9027</v>
      </c>
      <c r="H31" s="88">
        <v>10333</v>
      </c>
      <c r="I31" s="88">
        <v>10975</v>
      </c>
      <c r="J31" s="88">
        <v>12792</v>
      </c>
      <c r="K31" s="89">
        <f>(10673/3)*4</f>
        <v>14230.6666666667</v>
      </c>
      <c r="L31" s="62">
        <f>K31*(1+L32)</f>
        <v>16051.8063450768</v>
      </c>
      <c r="M31" s="62">
        <f>L31*(1+M32)</f>
        <v>18437.8848828436</v>
      </c>
      <c r="N31" s="62">
        <f>M31*(1+N32)</f>
        <v>21559.8668324461</v>
      </c>
      <c r="O31" s="62">
        <f>N31*(1+O32)</f>
        <v>25656.2415306109</v>
      </c>
      <c r="P31" s="62">
        <f>O31*(1+P32)</f>
        <v>30530.927421427</v>
      </c>
      <c r="Q31" s="36"/>
      <c r="R31" s="36"/>
      <c r="S31" s="36"/>
      <c r="T31" s="36"/>
    </row>
    <row r="32" ht="21.5" customHeight="1">
      <c r="A32" s="90"/>
      <c r="B32" t="s" s="66">
        <v>31</v>
      </c>
      <c r="C32" s="91"/>
      <c r="D32" s="68"/>
      <c r="E32" s="85">
        <f>E31/D31-1</f>
        <v>0.129682997118156</v>
      </c>
      <c r="F32" s="85">
        <f>F31/E31-1</f>
        <v>0.241390306122449</v>
      </c>
      <c r="G32" s="85">
        <f>G31/F31-1</f>
        <v>0.15938864628821</v>
      </c>
      <c r="H32" s="85">
        <f>H31/G31-1</f>
        <v>0.144677079871497</v>
      </c>
      <c r="I32" s="85">
        <f>I31/H31-1</f>
        <v>0.0621310364850479</v>
      </c>
      <c r="J32" s="85">
        <f>J31/I31-1</f>
        <v>0.165558086560364</v>
      </c>
      <c r="K32" s="85">
        <f>K31/J31-1</f>
        <v>0.112466124661249</v>
      </c>
      <c r="L32" s="70">
        <f>OFFSET(L32,$C$10,0)</f>
        <v>0.127972899728999</v>
      </c>
      <c r="M32" s="70">
        <f>OFFSET(M32,$C$10,0)</f>
        <v>0.148648599819333</v>
      </c>
      <c r="N32" s="70">
        <f>OFFSET(N32,$C$10,0)</f>
        <v>0.169324299909667</v>
      </c>
      <c r="O32" s="70">
        <f>OFFSET(O32,$C$10,0)</f>
        <v>0.19</v>
      </c>
      <c r="P32" s="70">
        <f>OFFSET(P32,$C$10,0)</f>
        <v>0.19</v>
      </c>
      <c r="Q32" s="36"/>
      <c r="R32" s="36"/>
      <c r="S32" s="36"/>
      <c r="T32" s="36"/>
    </row>
    <row r="33" ht="22" customHeight="1">
      <c r="A33" s="13"/>
      <c r="B33" t="s" s="34">
        <v>32</v>
      </c>
      <c r="C33" s="28"/>
      <c r="D33" s="11"/>
      <c r="E33" s="64"/>
      <c r="F33" s="64"/>
      <c r="G33" s="64"/>
      <c r="H33" s="64"/>
      <c r="I33" s="64"/>
      <c r="J33" s="64"/>
      <c r="K33" s="71"/>
      <c r="L33" s="72">
        <f>L34</f>
        <v>0.127972899728999</v>
      </c>
      <c r="M33" s="72">
        <f>M34*$E$10</f>
        <v>0.1337837398374</v>
      </c>
      <c r="N33" s="72">
        <f>N34*$E$10</f>
        <v>0.1523918699187</v>
      </c>
      <c r="O33" s="72">
        <f>O34*$E$10</f>
        <v>0.171</v>
      </c>
      <c r="P33" s="72">
        <f>P34*$E$10</f>
        <v>0.171</v>
      </c>
      <c r="Q33" s="73"/>
      <c r="R33" s="36"/>
      <c r="S33" s="36"/>
      <c r="T33" s="36"/>
    </row>
    <row r="34" ht="22" customHeight="1">
      <c r="A34" s="13"/>
      <c r="B34" t="s" s="34">
        <v>33</v>
      </c>
      <c r="C34" s="28"/>
      <c r="D34" s="11"/>
      <c r="E34" s="64"/>
      <c r="F34" s="64"/>
      <c r="G34" s="64"/>
      <c r="H34" s="64"/>
      <c r="I34" s="64"/>
      <c r="J34" s="64"/>
      <c r="K34" s="71"/>
      <c r="L34" s="92">
        <f>K32-(K32-$P$34)/($P$22-K22)</f>
        <v>0.127972899728999</v>
      </c>
      <c r="M34" s="92">
        <f>L34-(L34-$P$34)/($P$22-M22)</f>
        <v>0.148648599819333</v>
      </c>
      <c r="N34" s="92">
        <f>M34-(M34-$P$34)/($P$22-N22)</f>
        <v>0.169324299909667</v>
      </c>
      <c r="O34" s="92">
        <f>N34-(N34-$P$34)/($P$22-O22)</f>
        <v>0.19</v>
      </c>
      <c r="P34" s="72">
        <f>G10</f>
        <v>0.19</v>
      </c>
      <c r="Q34" s="73"/>
      <c r="R34" s="36"/>
      <c r="S34" s="36"/>
      <c r="T34" s="36"/>
    </row>
    <row r="35" ht="22" customHeight="1">
      <c r="A35" s="13"/>
      <c r="B35" t="s" s="34">
        <v>34</v>
      </c>
      <c r="C35" s="28"/>
      <c r="D35" s="11"/>
      <c r="E35" s="64"/>
      <c r="F35" s="64"/>
      <c r="G35" s="64"/>
      <c r="H35" s="64"/>
      <c r="I35" s="64"/>
      <c r="J35" s="64"/>
      <c r="K35" s="71"/>
      <c r="L35" s="93">
        <f>L34</f>
        <v>0.127972899728999</v>
      </c>
      <c r="M35" s="93">
        <f>M34*$I$10</f>
        <v>0.163513459801266</v>
      </c>
      <c r="N35" s="93">
        <f>N34*$I$10</f>
        <v>0.186256729900634</v>
      </c>
      <c r="O35" s="93">
        <f>O34*$I$10</f>
        <v>0.209</v>
      </c>
      <c r="P35" s="92">
        <f>P34*$I$10</f>
        <v>0.209</v>
      </c>
      <c r="Q35" s="73"/>
      <c r="R35" s="36"/>
      <c r="S35" s="36"/>
      <c r="T35" s="36"/>
    </row>
    <row r="36" ht="21.5" customHeight="1">
      <c r="A36" s="65"/>
      <c r="B36" t="s" s="34">
        <v>35</v>
      </c>
      <c r="C36" s="67"/>
      <c r="D36" s="69">
        <f>D31/D59</f>
        <v>0.4</v>
      </c>
      <c r="E36" s="69">
        <f>E31/E59</f>
        <v>0.415859965521814</v>
      </c>
      <c r="F36" s="69">
        <f>F31/F59</f>
        <v>0.42412027453971</v>
      </c>
      <c r="G36" s="69">
        <f>G31/G59</f>
        <v>0.438012518802465</v>
      </c>
      <c r="H36" s="69">
        <f>H31/H59</f>
        <v>0.449710580145363</v>
      </c>
      <c r="I36" s="69">
        <f>I31/I59</f>
        <v>0.502380298452806</v>
      </c>
      <c r="J36" s="69">
        <f>J31/J59</f>
        <v>0.530678282514001</v>
      </c>
      <c r="K36" s="69">
        <f>K31/K59</f>
        <v>0.495888119685917</v>
      </c>
      <c r="L36" s="94">
        <f>AVERAGE(K36,J36,I36)</f>
        <v>0.509648900217575</v>
      </c>
      <c r="M36" s="94"/>
      <c r="N36" s="94"/>
      <c r="O36" s="94"/>
      <c r="P36" s="94"/>
      <c r="Q36" s="36"/>
      <c r="R36" s="36"/>
      <c r="S36" s="36"/>
      <c r="T36" s="36"/>
    </row>
    <row r="37" ht="21" customHeight="1">
      <c r="A37" s="65"/>
      <c r="B37" s="25"/>
      <c r="C37" s="67"/>
      <c r="D37" s="83"/>
      <c r="E37" s="83"/>
      <c r="F37" s="83"/>
      <c r="G37" s="83"/>
      <c r="H37" s="83"/>
      <c r="I37" s="83"/>
      <c r="J37" s="83"/>
      <c r="K37" s="83"/>
      <c r="L37" s="69"/>
      <c r="M37" s="69"/>
      <c r="N37" s="69"/>
      <c r="O37" s="69"/>
      <c r="P37" s="69"/>
      <c r="Q37" s="36"/>
      <c r="R37" s="36"/>
      <c r="S37" s="36"/>
      <c r="T37" s="36"/>
    </row>
    <row r="38" ht="21" customHeight="1">
      <c r="A38" s="65"/>
      <c r="B38" t="s" s="34">
        <f>$B11</f>
        <v>37</v>
      </c>
      <c r="C38" s="67"/>
      <c r="D38" s="88">
        <v>4064</v>
      </c>
      <c r="E38" s="88">
        <v>4649</v>
      </c>
      <c r="F38" s="88">
        <v>6321</v>
      </c>
      <c r="G38" s="88">
        <v>7211</v>
      </c>
      <c r="H38" s="88">
        <v>7804</v>
      </c>
      <c r="I38" s="88">
        <v>6299</v>
      </c>
      <c r="J38" s="88">
        <v>6530</v>
      </c>
      <c r="K38" s="89">
        <f>(6942/3)*4</f>
        <v>9256</v>
      </c>
      <c r="L38" s="62">
        <f>K38*(1+L39)</f>
        <v>12698.9201592649</v>
      </c>
      <c r="M38" s="62">
        <f>L38*(1+M39)</f>
        <v>16844.7967150281</v>
      </c>
      <c r="N38" s="62">
        <f>M38*(1+N39)</f>
        <v>21577.9008358042</v>
      </c>
      <c r="O38" s="62">
        <f>N38*(1+O39)</f>
        <v>26659.3147392141</v>
      </c>
      <c r="P38" s="62">
        <f>O38*(1+P39)</f>
        <v>31724.5845396648</v>
      </c>
      <c r="Q38" s="36"/>
      <c r="R38" s="36"/>
      <c r="S38" s="36"/>
      <c r="T38" s="36"/>
    </row>
    <row r="39" ht="21.5" customHeight="1">
      <c r="A39" s="65"/>
      <c r="B39" t="s" s="66">
        <v>31</v>
      </c>
      <c r="C39" s="67"/>
      <c r="D39" s="85"/>
      <c r="E39" s="85">
        <f>E38/D38-1</f>
        <v>0.143946850393701</v>
      </c>
      <c r="F39" s="85">
        <f>F38/E38-1</f>
        <v>0.359647235964724</v>
      </c>
      <c r="G39" s="85">
        <f>G38/F38-1</f>
        <v>0.140800506249011</v>
      </c>
      <c r="H39" s="85">
        <f>H38/G38-1</f>
        <v>0.0822354735820275</v>
      </c>
      <c r="I39" s="85">
        <f>I38/H38-1</f>
        <v>-0.192849820604818</v>
      </c>
      <c r="J39" s="85">
        <f>J38/I38-1</f>
        <v>0.0366724876964598</v>
      </c>
      <c r="K39" s="85">
        <f>K38/J38-1</f>
        <v>0.417457886676876</v>
      </c>
      <c r="L39" s="70">
        <f>OFFSET(L39,$C$11,0)</f>
        <v>0.371966309341501</v>
      </c>
      <c r="M39" s="70">
        <f>OFFSET(M39,$C$11,0)</f>
        <v>0.326474732006126</v>
      </c>
      <c r="N39" s="70">
        <f>OFFSET(N39,$C$11,0)</f>
        <v>0.280983154670751</v>
      </c>
      <c r="O39" s="70">
        <f>OFFSET(O39,$C$11,0)</f>
        <v>0.235491577335376</v>
      </c>
      <c r="P39" s="70">
        <f>OFFSET(P39,$C$11,0)</f>
        <v>0.19</v>
      </c>
      <c r="Q39" s="36"/>
      <c r="R39" s="36"/>
      <c r="S39" s="36"/>
      <c r="T39" s="36"/>
    </row>
    <row r="40" ht="22" customHeight="1">
      <c r="A40" s="65"/>
      <c r="B40" t="s" s="34">
        <v>32</v>
      </c>
      <c r="C40" s="67"/>
      <c r="D40" s="69"/>
      <c r="E40" s="69"/>
      <c r="F40" s="69"/>
      <c r="G40" s="69"/>
      <c r="H40" s="69"/>
      <c r="I40" s="69"/>
      <c r="J40" s="69"/>
      <c r="K40" s="71"/>
      <c r="L40" s="72">
        <f>L41</f>
        <v>0.371966309341501</v>
      </c>
      <c r="M40" s="72">
        <f>M41*$E$10</f>
        <v>0.293827258805513</v>
      </c>
      <c r="N40" s="72">
        <f>N41*$E$10</f>
        <v>0.252884839203676</v>
      </c>
      <c r="O40" s="72">
        <f>O41*$E$10</f>
        <v>0.211942419601838</v>
      </c>
      <c r="P40" s="72">
        <f>P41*$E$10</f>
        <v>0.171</v>
      </c>
      <c r="Q40" s="73"/>
      <c r="R40" s="36"/>
      <c r="S40" s="36"/>
      <c r="T40" s="36"/>
    </row>
    <row r="41" ht="22" customHeight="1">
      <c r="A41" s="65"/>
      <c r="B41" t="s" s="34">
        <v>33</v>
      </c>
      <c r="C41" s="67"/>
      <c r="D41" s="69"/>
      <c r="E41" s="69"/>
      <c r="F41" s="69"/>
      <c r="G41" s="69"/>
      <c r="H41" s="69"/>
      <c r="I41" s="69"/>
      <c r="J41" s="69"/>
      <c r="K41" s="71"/>
      <c r="L41" s="92">
        <f>K39-(K39-$P$41)/($P$22-K22)</f>
        <v>0.371966309341501</v>
      </c>
      <c r="M41" s="92">
        <f>L41-(L41-$P$41)/($P$22-L22)</f>
        <v>0.326474732006126</v>
      </c>
      <c r="N41" s="92">
        <f>M41-(M41-$P$41)/($P$22-M22)</f>
        <v>0.280983154670751</v>
      </c>
      <c r="O41" s="92">
        <f>N41-(N41-$P$41)/($P$22-N22)</f>
        <v>0.235491577335376</v>
      </c>
      <c r="P41" s="72">
        <f>G11</f>
        <v>0.19</v>
      </c>
      <c r="Q41" s="73"/>
      <c r="R41" s="36"/>
      <c r="S41" s="36"/>
      <c r="T41" s="36"/>
    </row>
    <row r="42" ht="22" customHeight="1">
      <c r="A42" s="65"/>
      <c r="B42" t="s" s="34">
        <v>34</v>
      </c>
      <c r="C42" s="67"/>
      <c r="D42" s="69"/>
      <c r="E42" s="69"/>
      <c r="F42" s="69"/>
      <c r="G42" s="69"/>
      <c r="H42" s="69"/>
      <c r="I42" s="69"/>
      <c r="J42" s="69"/>
      <c r="K42" s="71"/>
      <c r="L42" s="93">
        <f>L41</f>
        <v>0.371966309341501</v>
      </c>
      <c r="M42" s="93">
        <f>M41*$I$10</f>
        <v>0.359122205206739</v>
      </c>
      <c r="N42" s="93">
        <f>N41*$I$10</f>
        <v>0.309081470137826</v>
      </c>
      <c r="O42" s="93">
        <f>O41*$I$10</f>
        <v>0.259040735068914</v>
      </c>
      <c r="P42" s="92">
        <f>P41*$I$10</f>
        <v>0.209</v>
      </c>
      <c r="Q42" s="73"/>
      <c r="R42" s="36"/>
      <c r="S42" s="36"/>
      <c r="T42" s="36"/>
    </row>
    <row r="43" ht="21.5" customHeight="1">
      <c r="A43" s="65"/>
      <c r="B43" t="s" s="34">
        <v>35</v>
      </c>
      <c r="C43" s="67"/>
      <c r="D43" s="69"/>
      <c r="E43" s="69"/>
      <c r="F43" s="69"/>
      <c r="G43" s="69"/>
      <c r="H43" s="69"/>
      <c r="I43" s="69"/>
      <c r="J43" s="69"/>
      <c r="K43" s="69"/>
      <c r="L43" s="94"/>
      <c r="M43" s="94"/>
      <c r="N43" s="94"/>
      <c r="O43" s="94"/>
      <c r="P43" s="94"/>
      <c r="Q43" s="36"/>
      <c r="R43" s="36"/>
      <c r="S43" s="36"/>
      <c r="T43" s="36"/>
    </row>
    <row r="44" ht="21" customHeight="1">
      <c r="A44" s="65"/>
      <c r="B44" s="25"/>
      <c r="C44" s="67"/>
      <c r="D44" s="83"/>
      <c r="E44" s="83"/>
      <c r="F44" s="83"/>
      <c r="G44" s="83"/>
      <c r="H44" s="83"/>
      <c r="I44" s="83"/>
      <c r="J44" s="83"/>
      <c r="K44" s="83"/>
      <c r="L44" s="69"/>
      <c r="M44" s="69"/>
      <c r="N44" s="69"/>
      <c r="O44" s="69"/>
      <c r="P44" s="69"/>
      <c r="Q44" s="36"/>
      <c r="R44" s="36"/>
      <c r="S44" s="36"/>
      <c r="T44" s="36"/>
    </row>
    <row r="45" ht="21" customHeight="1">
      <c r="A45" s="65"/>
      <c r="B45" t="s" s="34">
        <f>$B12</f>
        <v>38</v>
      </c>
      <c r="C45" s="67"/>
      <c r="D45" s="88">
        <v>823</v>
      </c>
      <c r="E45" s="88">
        <v>823</v>
      </c>
      <c r="F45" s="88">
        <v>841</v>
      </c>
      <c r="G45" s="88">
        <v>944</v>
      </c>
      <c r="H45" s="88">
        <v>1313</v>
      </c>
      <c r="I45" s="88">
        <v>1432</v>
      </c>
      <c r="J45" s="88">
        <v>1675</v>
      </c>
      <c r="K45" s="89">
        <f>(1440/3)*4</f>
        <v>1920</v>
      </c>
      <c r="L45" s="62">
        <f>K45*(1+L46)</f>
        <v>2217.628656716420</v>
      </c>
      <c r="M45" s="62">
        <f>L45*(1+M46)</f>
        <v>2580.790173455120</v>
      </c>
      <c r="N45" s="62">
        <f>M45*(1+N46)</f>
        <v>3025.995738004290</v>
      </c>
      <c r="O45" s="62">
        <f>N45*(1+O46)</f>
        <v>3574.468756546440</v>
      </c>
      <c r="P45" s="62">
        <f>O45*(1+P46)</f>
        <v>4253.617820290260</v>
      </c>
      <c r="Q45" s="36"/>
      <c r="R45" s="36"/>
      <c r="S45" s="36"/>
      <c r="T45" s="36"/>
    </row>
    <row r="46" ht="21.5" customHeight="1">
      <c r="A46" s="65"/>
      <c r="B46" t="s" s="66">
        <v>31</v>
      </c>
      <c r="C46" s="67"/>
      <c r="D46" s="85"/>
      <c r="E46" s="85">
        <f>E45/D45-1</f>
        <v>0</v>
      </c>
      <c r="F46" s="85">
        <f>F45/E45-1</f>
        <v>0.0218712029161604</v>
      </c>
      <c r="G46" s="85">
        <f>G45/F45-1</f>
        <v>0.122473246135553</v>
      </c>
      <c r="H46" s="85">
        <f>H45/G45-1</f>
        <v>0.390889830508475</v>
      </c>
      <c r="I46" s="85">
        <f>I45/H45-1</f>
        <v>0.0906321401370906</v>
      </c>
      <c r="J46" s="85">
        <f>J45/I45-1</f>
        <v>0.169692737430168</v>
      </c>
      <c r="K46" s="85">
        <f>K45/J45-1</f>
        <v>0.146268656716418</v>
      </c>
      <c r="L46" s="70">
        <f>OFFSET(L46,$C$12,0)</f>
        <v>0.155014925373134</v>
      </c>
      <c r="M46" s="70">
        <f>OFFSET(M46,$C$12,0)</f>
        <v>0.163761194029851</v>
      </c>
      <c r="N46" s="70">
        <f>OFFSET(N46,$C$12,0)</f>
        <v>0.172507462686567</v>
      </c>
      <c r="O46" s="70">
        <f>OFFSET(O46,$C$12,0)</f>
        <v>0.181253731343284</v>
      </c>
      <c r="P46" s="70">
        <f>OFFSET(P46,$C$12,0)</f>
        <v>0.19</v>
      </c>
      <c r="Q46" s="36"/>
      <c r="R46" s="36"/>
      <c r="S46" s="36"/>
      <c r="T46" s="36"/>
    </row>
    <row r="47" ht="22" customHeight="1">
      <c r="A47" s="65"/>
      <c r="B47" t="s" s="34">
        <v>32</v>
      </c>
      <c r="C47" s="67"/>
      <c r="D47" s="69"/>
      <c r="E47" s="69"/>
      <c r="F47" s="69"/>
      <c r="G47" s="69"/>
      <c r="H47" s="69"/>
      <c r="I47" s="69"/>
      <c r="J47" s="69"/>
      <c r="K47" s="71"/>
      <c r="L47" s="72">
        <f>L48</f>
        <v>0.155014925373134</v>
      </c>
      <c r="M47" s="72">
        <f>M48*$E$10</f>
        <v>0.147385074626866</v>
      </c>
      <c r="N47" s="72">
        <f>N48*$E$10</f>
        <v>0.15525671641791</v>
      </c>
      <c r="O47" s="72">
        <f>O48*$E$10</f>
        <v>0.163128358208956</v>
      </c>
      <c r="P47" s="72">
        <f>P48*$E$10</f>
        <v>0.171</v>
      </c>
      <c r="Q47" s="73"/>
      <c r="R47" s="36"/>
      <c r="S47" s="36"/>
      <c r="T47" s="36"/>
    </row>
    <row r="48" ht="22" customHeight="1">
      <c r="A48" s="65"/>
      <c r="B48" t="s" s="34">
        <v>33</v>
      </c>
      <c r="C48" s="67"/>
      <c r="D48" s="69"/>
      <c r="E48" s="69"/>
      <c r="F48" s="69"/>
      <c r="G48" s="69"/>
      <c r="H48" s="69"/>
      <c r="I48" s="69"/>
      <c r="J48" s="69"/>
      <c r="K48" s="71"/>
      <c r="L48" s="92">
        <f>K46-(K46-$P$48)/($P$22-K22)</f>
        <v>0.155014925373134</v>
      </c>
      <c r="M48" s="92">
        <f>L48-(L48-$P$48)/($P$22-L22)</f>
        <v>0.163761194029851</v>
      </c>
      <c r="N48" s="92">
        <f>M48-(M48-$P$48)/($P$22-M22)</f>
        <v>0.172507462686567</v>
      </c>
      <c r="O48" s="92">
        <f>N48-(N48-$P$48)/($P$22-N22)</f>
        <v>0.181253731343284</v>
      </c>
      <c r="P48" s="72">
        <f>G12</f>
        <v>0.19</v>
      </c>
      <c r="Q48" s="73"/>
      <c r="R48" s="36"/>
      <c r="S48" s="36"/>
      <c r="T48" s="36"/>
    </row>
    <row r="49" ht="22" customHeight="1">
      <c r="A49" s="65"/>
      <c r="B49" t="s" s="34">
        <v>34</v>
      </c>
      <c r="C49" s="67"/>
      <c r="D49" s="69"/>
      <c r="E49" s="69"/>
      <c r="F49" s="69"/>
      <c r="G49" s="69"/>
      <c r="H49" s="69"/>
      <c r="I49" s="69"/>
      <c r="J49" s="69"/>
      <c r="K49" s="71"/>
      <c r="L49" s="93">
        <f>L48</f>
        <v>0.155014925373134</v>
      </c>
      <c r="M49" s="93">
        <f>M48*$I$10</f>
        <v>0.180137313432836</v>
      </c>
      <c r="N49" s="93">
        <f>N48*$I$10</f>
        <v>0.189758208955224</v>
      </c>
      <c r="O49" s="93">
        <f>O48*$I$10</f>
        <v>0.199379104477612</v>
      </c>
      <c r="P49" s="92">
        <f>P48*$I$10</f>
        <v>0.209</v>
      </c>
      <c r="Q49" s="73"/>
      <c r="R49" s="36"/>
      <c r="S49" s="36"/>
      <c r="T49" s="36"/>
    </row>
    <row r="50" ht="21.5" customHeight="1">
      <c r="A50" s="65"/>
      <c r="B50" t="s" s="34">
        <v>35</v>
      </c>
      <c r="C50" s="67"/>
      <c r="D50" s="69"/>
      <c r="E50" s="69"/>
      <c r="F50" s="69"/>
      <c r="G50" s="69"/>
      <c r="H50" s="69"/>
      <c r="I50" s="69"/>
      <c r="J50" s="69"/>
      <c r="K50" s="69"/>
      <c r="L50" s="94"/>
      <c r="M50" s="94"/>
      <c r="N50" s="94"/>
      <c r="O50" s="94"/>
      <c r="P50" s="94"/>
      <c r="Q50" s="36"/>
      <c r="R50" s="36"/>
      <c r="S50" s="36"/>
      <c r="T50" s="36"/>
    </row>
    <row r="51" ht="21" customHeight="1">
      <c r="A51" s="65"/>
      <c r="B51" s="25"/>
      <c r="C51" s="67"/>
      <c r="D51" s="83"/>
      <c r="E51" s="83"/>
      <c r="F51" s="83"/>
      <c r="G51" s="83"/>
      <c r="H51" s="83"/>
      <c r="I51" s="83"/>
      <c r="J51" s="83"/>
      <c r="K51" s="83"/>
      <c r="L51" s="69"/>
      <c r="M51" s="69"/>
      <c r="N51" s="69"/>
      <c r="O51" s="69"/>
      <c r="P51" s="69"/>
      <c r="Q51" s="36"/>
      <c r="R51" s="36"/>
      <c r="S51" s="36"/>
      <c r="T51" s="36"/>
    </row>
    <row r="52" ht="21" customHeight="1">
      <c r="A52" s="65"/>
      <c r="B52" t="s" s="34">
        <f>$B13</f>
        <v>39</v>
      </c>
      <c r="C52" s="67"/>
      <c r="D52" s="88">
        <v>-2861</v>
      </c>
      <c r="E52" s="88">
        <v>-3409</v>
      </c>
      <c r="F52" s="88">
        <v>-4565</v>
      </c>
      <c r="G52" s="88">
        <v>-5491</v>
      </c>
      <c r="H52" s="88">
        <v>-6173</v>
      </c>
      <c r="I52" s="88">
        <v>-6664</v>
      </c>
      <c r="J52" s="88">
        <v>-8367</v>
      </c>
      <c r="K52" s="89">
        <f>(-7435/3)*4</f>
        <v>-9913.333333333330</v>
      </c>
      <c r="L52" s="62">
        <f>K52*(1+L53)</f>
        <v>-11755.7331065163</v>
      </c>
      <c r="M52" s="62">
        <f>L52*(1+M53)</f>
        <v>-13952.7387014481</v>
      </c>
      <c r="N52" s="62">
        <f>M52*(1+N53)</f>
        <v>-16574.8118884503</v>
      </c>
      <c r="O52" s="62">
        <f>N52*(1+O53)</f>
        <v>-19706.832611064</v>
      </c>
      <c r="P52" s="62">
        <f>O52*(1+P53)</f>
        <v>-23451.1308071662</v>
      </c>
      <c r="Q52" s="36"/>
      <c r="R52" s="36"/>
      <c r="S52" s="36"/>
      <c r="T52" s="36"/>
    </row>
    <row r="53" ht="21.5" customHeight="1">
      <c r="A53" s="65"/>
      <c r="B53" t="s" s="66">
        <v>31</v>
      </c>
      <c r="C53" s="67"/>
      <c r="D53" s="85"/>
      <c r="E53" s="85">
        <f>E52/D52-1</f>
        <v>0.191541419084236</v>
      </c>
      <c r="F53" s="85">
        <f>F52/E52-1</f>
        <v>0.339102376063362</v>
      </c>
      <c r="G53" s="85">
        <f>G52/F52-1</f>
        <v>0.202847754654984</v>
      </c>
      <c r="H53" s="85">
        <f>H52/G52-1</f>
        <v>0.124203241668184</v>
      </c>
      <c r="I53" s="85">
        <f>I52/H52-1</f>
        <v>0.07953993196176901</v>
      </c>
      <c r="J53" s="85">
        <f>J52/I52-1</f>
        <v>0.255552220888355</v>
      </c>
      <c r="K53" s="85">
        <f>K52/J52-1</f>
        <v>0.184813354049639</v>
      </c>
      <c r="L53" s="70">
        <f>OFFSET(L53,$C$13,0)</f>
        <v>0.185850683239711</v>
      </c>
      <c r="M53" s="70">
        <f>OFFSET(M53,$C$13,0)</f>
        <v>0.186888012429783</v>
      </c>
      <c r="N53" s="70">
        <f>OFFSET(N53,$C$13,0)</f>
        <v>0.187925341619855</v>
      </c>
      <c r="O53" s="70">
        <f>OFFSET(O53,$C$13,0)</f>
        <v>0.188962670809928</v>
      </c>
      <c r="P53" s="70">
        <f>OFFSET(P53,$C$13,0)</f>
        <v>0.19</v>
      </c>
      <c r="Q53" s="36"/>
      <c r="R53" s="36"/>
      <c r="S53" s="36"/>
      <c r="T53" s="36"/>
    </row>
    <row r="54" ht="22" customHeight="1">
      <c r="A54" s="65"/>
      <c r="B54" t="s" s="34">
        <v>32</v>
      </c>
      <c r="C54" s="67"/>
      <c r="D54" s="69"/>
      <c r="E54" s="69"/>
      <c r="F54" s="69"/>
      <c r="G54" s="69"/>
      <c r="H54" s="69"/>
      <c r="I54" s="69"/>
      <c r="J54" s="69"/>
      <c r="K54" s="71"/>
      <c r="L54" s="72">
        <f>L55</f>
        <v>0.185850683239711</v>
      </c>
      <c r="M54" s="72">
        <f>M55*$E$10</f>
        <v>0.168199211186805</v>
      </c>
      <c r="N54" s="72">
        <f>N55*$E$10</f>
        <v>0.16913280745787</v>
      </c>
      <c r="O54" s="72">
        <f>O55*$E$10</f>
        <v>0.170066403728935</v>
      </c>
      <c r="P54" s="72">
        <f>P55*$E$10</f>
        <v>0.171</v>
      </c>
      <c r="Q54" s="73"/>
      <c r="R54" s="36"/>
      <c r="S54" s="36"/>
      <c r="T54" s="36"/>
    </row>
    <row r="55" ht="22" customHeight="1">
      <c r="A55" s="65"/>
      <c r="B55" t="s" s="34">
        <v>33</v>
      </c>
      <c r="C55" s="67"/>
      <c r="D55" s="69"/>
      <c r="E55" s="69"/>
      <c r="F55" s="69"/>
      <c r="G55" s="69"/>
      <c r="H55" s="69"/>
      <c r="I55" s="69"/>
      <c r="J55" s="69"/>
      <c r="K55" s="71"/>
      <c r="L55" s="92">
        <f>K53-(K53-$P$55)/($P$22-K22)</f>
        <v>0.185850683239711</v>
      </c>
      <c r="M55" s="92">
        <f>L55-(L55-$P$55)/($P$22-L22)</f>
        <v>0.186888012429783</v>
      </c>
      <c r="N55" s="92">
        <f>M55-(M55-$P$55)/($P$22-M22)</f>
        <v>0.187925341619855</v>
      </c>
      <c r="O55" s="92">
        <f>N55-(N55-$P$55)/($P$22-N22)</f>
        <v>0.188962670809928</v>
      </c>
      <c r="P55" s="72">
        <f>G13</f>
        <v>0.19</v>
      </c>
      <c r="Q55" s="73"/>
      <c r="R55" s="36"/>
      <c r="S55" s="36"/>
      <c r="T55" s="36"/>
    </row>
    <row r="56" ht="22" customHeight="1">
      <c r="A56" s="65"/>
      <c r="B56" t="s" s="34">
        <v>34</v>
      </c>
      <c r="C56" s="67"/>
      <c r="D56" s="69"/>
      <c r="E56" s="69"/>
      <c r="F56" s="69"/>
      <c r="G56" s="69"/>
      <c r="H56" s="69"/>
      <c r="I56" s="69"/>
      <c r="J56" s="69"/>
      <c r="K56" s="71"/>
      <c r="L56" s="93">
        <f>L55</f>
        <v>0.185850683239711</v>
      </c>
      <c r="M56" s="93">
        <f>M55*$I$10</f>
        <v>0.205576813672761</v>
      </c>
      <c r="N56" s="93">
        <f>N55*$I$10</f>
        <v>0.206717875781841</v>
      </c>
      <c r="O56" s="93">
        <f>O55*$I$10</f>
        <v>0.207858937890921</v>
      </c>
      <c r="P56" s="92">
        <f>P55*$I$10</f>
        <v>0.209</v>
      </c>
      <c r="Q56" s="73"/>
      <c r="R56" s="36"/>
      <c r="S56" s="36"/>
      <c r="T56" s="36"/>
    </row>
    <row r="57" ht="21.5" customHeight="1">
      <c r="A57" s="65"/>
      <c r="B57" t="s" s="34">
        <v>35</v>
      </c>
      <c r="C57" s="67"/>
      <c r="D57" s="69"/>
      <c r="E57" s="69"/>
      <c r="F57" s="69"/>
      <c r="G57" s="69"/>
      <c r="H57" s="69"/>
      <c r="I57" s="69"/>
      <c r="J57" s="69"/>
      <c r="K57" s="69"/>
      <c r="L57" s="94"/>
      <c r="M57" s="94"/>
      <c r="N57" s="94"/>
      <c r="O57" s="94"/>
      <c r="P57" s="94"/>
      <c r="Q57" s="36"/>
      <c r="R57" s="36"/>
      <c r="S57" s="36"/>
      <c r="T57" s="36"/>
    </row>
    <row r="58" ht="21.5" customHeight="1">
      <c r="A58" s="95"/>
      <c r="B58" s="96"/>
      <c r="C58" s="97"/>
      <c r="D58" s="98"/>
      <c r="E58" s="99"/>
      <c r="F58" s="100"/>
      <c r="G58" s="100"/>
      <c r="H58" s="100"/>
      <c r="I58" s="100"/>
      <c r="J58" s="100"/>
      <c r="K58" s="100"/>
      <c r="L58" s="100"/>
      <c r="M58" s="100"/>
      <c r="N58" s="100"/>
      <c r="O58" s="100"/>
      <c r="P58" s="100"/>
      <c r="Q58" s="36"/>
      <c r="R58" s="36"/>
      <c r="S58" s="36"/>
      <c r="T58" s="36"/>
    </row>
    <row r="59" ht="21.5" customHeight="1">
      <c r="A59" s="101"/>
      <c r="B59" t="s" s="102">
        <v>40</v>
      </c>
      <c r="C59" s="103"/>
      <c r="D59" s="104">
        <f>SUM(D24,D31,D38,D45,D52)</f>
        <v>13880</v>
      </c>
      <c r="E59" s="104">
        <f>SUM(E24,E31,E38,E45,E52)</f>
        <v>15082</v>
      </c>
      <c r="F59" s="104">
        <f>SUM(F24,F31,F38,F45,F52)</f>
        <v>18358</v>
      </c>
      <c r="G59" s="104">
        <f>SUM(G24,G31,G38,G45,G52)</f>
        <v>20609</v>
      </c>
      <c r="H59" s="104">
        <f>SUM(H24,H31,H38,H45,H52)</f>
        <v>22977</v>
      </c>
      <c r="I59" s="104">
        <f>SUM(I24,I31,I38,I45,I52)</f>
        <v>21846</v>
      </c>
      <c r="J59" s="104">
        <f>SUM(J24,J31,J38,J45,J52)</f>
        <v>24105</v>
      </c>
      <c r="K59" s="104">
        <f>SUM(K24,K31,K38,K45,K52)</f>
        <v>28697.3333333334</v>
      </c>
      <c r="L59" s="104">
        <f>SUM(L24,L31,L38,L45,L52)</f>
        <v>34509.9882419056</v>
      </c>
      <c r="M59" s="104">
        <f>SUM(M24,M31,M38,M45,M52)</f>
        <v>41793.7651832475</v>
      </c>
      <c r="N59" s="104">
        <f>SUM(N24,N31,N38,N45,N52)</f>
        <v>50682.2281541242</v>
      </c>
      <c r="O59" s="104">
        <f>SUM(O24,O31,O38,O45,O52)</f>
        <v>61284.1916125281</v>
      </c>
      <c r="P59" s="104">
        <f>SUM(P24,P31,P38,P45,P52)</f>
        <v>72928.188018908506</v>
      </c>
      <c r="Q59" s="36"/>
      <c r="R59" s="36"/>
      <c r="S59" s="36"/>
      <c r="T59" s="36"/>
    </row>
    <row r="60" ht="21" customHeight="1">
      <c r="A60" s="13"/>
      <c r="B60" t="s" s="66">
        <v>31</v>
      </c>
      <c r="C60" s="28"/>
      <c r="D60" s="11"/>
      <c r="E60" s="105">
        <f>E59/D59-1</f>
        <v>0.0865994236311239</v>
      </c>
      <c r="F60" s="105">
        <f>F59/E59-1</f>
        <v>0.217212571277019</v>
      </c>
      <c r="G60" s="105">
        <f>G59/F59-1</f>
        <v>0.122616842793333</v>
      </c>
      <c r="H60" s="105">
        <f>H59/G59-1</f>
        <v>0.114901256732496</v>
      </c>
      <c r="I60" s="105">
        <f>I59/H59-1</f>
        <v>-0.0492231361796579</v>
      </c>
      <c r="J60" s="105">
        <f>J59/I59-1</f>
        <v>0.103405657786322</v>
      </c>
      <c r="K60" s="105">
        <f>K59/J59-1</f>
        <v>0.190513724676764</v>
      </c>
      <c r="L60" s="105">
        <v>0.129</v>
      </c>
      <c r="M60" s="105">
        <f>M59/L59-1</f>
        <v>0.211062863605882</v>
      </c>
      <c r="N60" s="105">
        <f>N59/M59-1</f>
        <v>0.212674376953229</v>
      </c>
      <c r="O60" s="105">
        <f>O59/N59-1</f>
        <v>0.209185030819155</v>
      </c>
      <c r="P60" s="105">
        <f>P59/O59-1</f>
        <v>0.190000000000001</v>
      </c>
      <c r="Q60" s="36"/>
      <c r="R60" s="36"/>
      <c r="S60" s="36"/>
      <c r="T60" s="36"/>
    </row>
    <row r="61" ht="21" customHeight="1">
      <c r="A61" s="13"/>
      <c r="B61" s="25"/>
      <c r="C61" s="28"/>
      <c r="D61" s="11"/>
      <c r="E61" s="62"/>
      <c r="F61" s="62"/>
      <c r="G61" s="62"/>
      <c r="H61" s="62"/>
      <c r="I61" s="62"/>
      <c r="J61" s="62"/>
      <c r="K61" s="62"/>
      <c r="L61" s="62"/>
      <c r="M61" s="62"/>
      <c r="N61" s="62"/>
      <c r="O61" s="62"/>
      <c r="P61" s="62"/>
      <c r="Q61" s="36"/>
      <c r="R61" s="36"/>
      <c r="S61" s="36"/>
      <c r="T61" s="36"/>
    </row>
    <row r="62" ht="21" customHeight="1">
      <c r="A62" t="s" s="29">
        <v>13</v>
      </c>
      <c r="B62" t="s" s="30">
        <v>41</v>
      </c>
      <c r="C62" s="31"/>
      <c r="D62" s="60">
        <v>2015</v>
      </c>
      <c r="E62" s="61">
        <v>2016</v>
      </c>
      <c r="F62" s="61">
        <v>2017</v>
      </c>
      <c r="G62" s="61">
        <v>2018</v>
      </c>
      <c r="H62" s="61">
        <v>2019</v>
      </c>
      <c r="I62" s="61">
        <v>2020</v>
      </c>
      <c r="J62" s="61">
        <v>2021</v>
      </c>
      <c r="K62" s="61">
        <v>2022</v>
      </c>
      <c r="L62" s="61">
        <v>2023</v>
      </c>
      <c r="M62" s="61">
        <v>2024</v>
      </c>
      <c r="N62" s="61">
        <v>2025</v>
      </c>
      <c r="O62" s="61">
        <v>2026</v>
      </c>
      <c r="P62" s="106"/>
      <c r="Q62" s="36"/>
      <c r="R62" s="36"/>
      <c r="S62" s="36"/>
      <c r="T62" s="36"/>
    </row>
    <row r="63" ht="21" customHeight="1">
      <c r="A63" s="13"/>
      <c r="B63" s="25"/>
      <c r="C63" s="28"/>
      <c r="D63" s="11"/>
      <c r="E63" s="11"/>
      <c r="F63" s="11"/>
      <c r="G63" s="11"/>
      <c r="H63" s="11"/>
      <c r="I63" s="11"/>
      <c r="J63" s="11"/>
      <c r="K63" s="11"/>
      <c r="L63" s="11"/>
      <c r="M63" s="11"/>
      <c r="N63" s="11"/>
      <c r="O63" s="11"/>
      <c r="P63" s="11"/>
      <c r="Q63" s="36"/>
      <c r="R63" s="36"/>
      <c r="S63" s="36"/>
      <c r="T63" s="36"/>
    </row>
    <row r="64" ht="21" customHeight="1">
      <c r="A64" s="13"/>
      <c r="B64" t="s" s="34">
        <v>42</v>
      </c>
      <c r="C64" s="28"/>
      <c r="D64" s="107">
        <f>D59</f>
        <v>13880</v>
      </c>
      <c r="E64" s="107">
        <f>E59</f>
        <v>15082</v>
      </c>
      <c r="F64" s="107">
        <f>F59</f>
        <v>18358</v>
      </c>
      <c r="G64" s="107">
        <f>G59</f>
        <v>20609</v>
      </c>
      <c r="H64" s="107">
        <f>H59</f>
        <v>22977</v>
      </c>
      <c r="I64" s="107">
        <f>I59</f>
        <v>21846</v>
      </c>
      <c r="J64" s="107">
        <f>J59</f>
        <v>24105</v>
      </c>
      <c r="K64" s="107">
        <f>K59</f>
        <v>28697.3333333334</v>
      </c>
      <c r="L64" s="107">
        <f>L59</f>
        <v>34509.9882419056</v>
      </c>
      <c r="M64" s="107">
        <f>M59</f>
        <v>41793.7651832475</v>
      </c>
      <c r="N64" s="107">
        <f>N59</f>
        <v>50682.2281541242</v>
      </c>
      <c r="O64" s="107">
        <f>O59</f>
        <v>61284.1916125281</v>
      </c>
      <c r="P64" s="108"/>
      <c r="Q64" s="36"/>
      <c r="R64" s="36"/>
      <c r="S64" s="36"/>
      <c r="T64" s="36"/>
    </row>
    <row r="65" ht="21" customHeight="1">
      <c r="A65" s="65"/>
      <c r="B65" t="s" s="66">
        <v>31</v>
      </c>
      <c r="C65" s="67"/>
      <c r="D65" s="68"/>
      <c r="E65" s="69">
        <f>E64/D64-1</f>
        <v>0.0865994236311239</v>
      </c>
      <c r="F65" s="69">
        <f>F64/E64-1</f>
        <v>0.217212571277019</v>
      </c>
      <c r="G65" s="69">
        <f>G64/F64-1</f>
        <v>0.122616842793333</v>
      </c>
      <c r="H65" s="69">
        <f>H64/G64-1</f>
        <v>0.114901256732496</v>
      </c>
      <c r="I65" s="69">
        <f>I64/H64-1</f>
        <v>-0.0492231361796579</v>
      </c>
      <c r="J65" s="69">
        <f>J64/I64-1</f>
        <v>0.103405657786322</v>
      </c>
      <c r="K65" s="69">
        <f>K64/J64-1</f>
        <v>0.190513724676764</v>
      </c>
      <c r="L65" s="69">
        <f>L64/K64-1</f>
        <v>0.202550349924692</v>
      </c>
      <c r="M65" s="69">
        <f>M64/L64-1</f>
        <v>0.211062863605882</v>
      </c>
      <c r="N65" s="69">
        <f>N64/M64-1</f>
        <v>0.212674376953229</v>
      </c>
      <c r="O65" s="69">
        <f>O64/N64-1</f>
        <v>0.209185030819155</v>
      </c>
      <c r="P65" s="69"/>
      <c r="Q65" s="36"/>
      <c r="R65" s="36"/>
      <c r="S65" s="36"/>
      <c r="T65" s="36"/>
    </row>
    <row r="66" ht="21" customHeight="1">
      <c r="A66" s="13"/>
      <c r="B66" s="25"/>
      <c r="C66" s="28"/>
      <c r="D66" s="11"/>
      <c r="E66" s="11"/>
      <c r="F66" s="11"/>
      <c r="G66" s="11"/>
      <c r="H66" s="11"/>
      <c r="I66" s="11"/>
      <c r="J66" s="11"/>
      <c r="K66" s="11"/>
      <c r="L66" s="11"/>
      <c r="M66" s="11"/>
      <c r="N66" s="11"/>
      <c r="O66" s="11"/>
      <c r="P66" s="11"/>
      <c r="Q66" s="36"/>
      <c r="R66" s="36"/>
      <c r="S66" s="36"/>
      <c r="T66" s="36"/>
    </row>
    <row r="67" ht="21" customHeight="1">
      <c r="A67" s="13"/>
      <c r="B67" t="s" s="34">
        <v>24</v>
      </c>
      <c r="C67" s="28"/>
      <c r="D67" s="62">
        <f>6328+2667+69</f>
        <v>9064</v>
      </c>
      <c r="E67" s="62">
        <f>5991+2021+427</f>
        <v>8439</v>
      </c>
      <c r="F67" s="62">
        <f>6699+4995+563</f>
        <v>12257</v>
      </c>
      <c r="G67" s="109">
        <f>10301+2505+612</f>
        <v>13418</v>
      </c>
      <c r="H67" s="109">
        <f>12080+2804+533</f>
        <v>15417</v>
      </c>
      <c r="I67" s="62">
        <f>10866+2924+516</f>
        <v>14306</v>
      </c>
      <c r="J67" s="109">
        <f>12311+3752+513</f>
        <v>16576</v>
      </c>
      <c r="K67" s="109">
        <f>(13647/3)*4</f>
        <v>18196</v>
      </c>
      <c r="L67" s="109">
        <f>L64*L68</f>
        <v>22737.2597055528</v>
      </c>
      <c r="M67" s="109">
        <f>M64*M68</f>
        <v>27592.025077454</v>
      </c>
      <c r="N67" s="109">
        <f>N64*N68</f>
        <v>32996.1731365654</v>
      </c>
      <c r="O67" s="109">
        <f>O64*O68</f>
        <v>40245.2331516418</v>
      </c>
      <c r="P67" s="109"/>
      <c r="Q67" s="36"/>
      <c r="R67" s="36"/>
      <c r="S67" s="36"/>
      <c r="T67" s="36"/>
    </row>
    <row r="68" ht="21" customHeight="1">
      <c r="A68" s="65"/>
      <c r="B68" t="s" s="66">
        <v>43</v>
      </c>
      <c r="C68" s="67"/>
      <c r="D68" s="69">
        <f>D67/D64</f>
        <v>0.653025936599424</v>
      </c>
      <c r="E68" s="69">
        <f>E67/E64</f>
        <v>0.559541174910489</v>
      </c>
      <c r="F68" s="69">
        <f>F67/F64</f>
        <v>0.667665323019937</v>
      </c>
      <c r="G68" s="69">
        <f>G67/G64</f>
        <v>0.651074773157358</v>
      </c>
      <c r="H68" s="69">
        <f>H67/H64</f>
        <v>0.670975323149236</v>
      </c>
      <c r="I68" s="69">
        <f>I67/I64</f>
        <v>0.654856724343129</v>
      </c>
      <c r="J68" s="69">
        <f>J67/J64</f>
        <v>0.687658162207011</v>
      </c>
      <c r="K68" s="69">
        <f>K67/K64</f>
        <v>0.634065883008873</v>
      </c>
      <c r="L68" s="69">
        <f>AVERAGE(K68,J68,I68)</f>
        <v>0.658860256519671</v>
      </c>
      <c r="M68" s="69">
        <f>AVERAGE(L68,K68,J68)</f>
        <v>0.660194767245185</v>
      </c>
      <c r="N68" s="69">
        <f>AVERAGE(M68,L68,K68)</f>
        <v>0.65104030225791</v>
      </c>
      <c r="O68" s="69">
        <f>AVERAGE(N68,M68,L68)</f>
        <v>0.656698442007589</v>
      </c>
      <c r="P68" s="69"/>
      <c r="Q68" s="36"/>
      <c r="R68" s="36"/>
      <c r="S68" s="36"/>
      <c r="T68" s="36"/>
    </row>
    <row r="69" ht="21" customHeight="1">
      <c r="A69" s="110"/>
      <c r="B69" s="111"/>
      <c r="C69" s="28"/>
      <c r="D69" s="112"/>
      <c r="E69" s="11"/>
      <c r="F69" s="11"/>
      <c r="G69" s="11"/>
      <c r="H69" s="11"/>
      <c r="I69" s="11"/>
      <c r="J69" s="11"/>
      <c r="K69" s="11"/>
      <c r="L69" s="11"/>
      <c r="M69" s="11"/>
      <c r="N69" s="11"/>
      <c r="O69" s="11"/>
      <c r="P69" s="11"/>
      <c r="Q69" s="36"/>
      <c r="R69" s="36"/>
      <c r="S69" s="36"/>
      <c r="T69" s="36"/>
    </row>
    <row r="70" ht="21" customHeight="1">
      <c r="A70" s="8"/>
      <c r="B70" t="s" s="113">
        <v>44</v>
      </c>
      <c r="C70" s="28"/>
      <c r="D70" s="114">
        <f>2667</f>
        <v>2667</v>
      </c>
      <c r="E70" s="114">
        <v>2021</v>
      </c>
      <c r="F70" s="114">
        <v>4995</v>
      </c>
      <c r="G70" s="64">
        <f>2505</f>
        <v>2505</v>
      </c>
      <c r="H70" s="114">
        <v>2804</v>
      </c>
      <c r="I70" s="64">
        <v>2924</v>
      </c>
      <c r="J70" s="64">
        <v>3752</v>
      </c>
      <c r="K70" s="109">
        <f>(2251/3)*4</f>
        <v>3001.333333333330</v>
      </c>
      <c r="L70" s="109">
        <f>L67*L71</f>
        <v>4514.754203155410</v>
      </c>
      <c r="M70" s="109">
        <f>M67*M71</f>
        <v>5425.125201651350</v>
      </c>
      <c r="N70" s="109">
        <f>N67*N71</f>
        <v>6160.670696291680</v>
      </c>
      <c r="O70" s="109">
        <f>O67*O71</f>
        <v>7806.098148045360</v>
      </c>
      <c r="P70" s="109"/>
      <c r="Q70" s="36"/>
      <c r="R70" s="36"/>
      <c r="S70" s="36"/>
      <c r="T70" s="36"/>
    </row>
    <row r="71" ht="21" customHeight="1">
      <c r="A71" s="79"/>
      <c r="B71" t="s" s="115">
        <v>45</v>
      </c>
      <c r="C71" s="67"/>
      <c r="D71" s="69">
        <f>D70/D67</f>
        <v>0.294240953221536</v>
      </c>
      <c r="E71" s="69">
        <f>E70/E67</f>
        <v>0.239483351107951</v>
      </c>
      <c r="F71" s="69">
        <f>F70/F67</f>
        <v>0.407522232193848</v>
      </c>
      <c r="G71" s="69">
        <f>G70/G67</f>
        <v>0.186689521538232</v>
      </c>
      <c r="H71" s="69">
        <f>H70/H67</f>
        <v>0.181877148602192</v>
      </c>
      <c r="I71" s="69">
        <f>I70/I67</f>
        <v>0.204389766531525</v>
      </c>
      <c r="J71" s="69">
        <f>J70/J67</f>
        <v>0.226351351351351</v>
      </c>
      <c r="K71" s="69">
        <f>K70/K67</f>
        <v>0.164944676485674</v>
      </c>
      <c r="L71" s="69">
        <f>AVERAGE(K71,J71,I71)</f>
        <v>0.198561931456183</v>
      </c>
      <c r="M71" s="69">
        <f>AVERAGE(L71,K71,J71)</f>
        <v>0.196619319764403</v>
      </c>
      <c r="N71" s="69">
        <f>AVERAGE(M71,L71,K71)</f>
        <v>0.186708642568753</v>
      </c>
      <c r="O71" s="69">
        <f>AVERAGE(N71,M71,L71)</f>
        <v>0.19396329792978</v>
      </c>
      <c r="P71" s="69"/>
      <c r="Q71" s="36"/>
      <c r="R71" s="36"/>
      <c r="S71" s="36"/>
      <c r="T71" s="36"/>
    </row>
    <row r="72" ht="21" customHeight="1">
      <c r="A72" s="86"/>
      <c r="B72" s="48"/>
      <c r="C72" s="28"/>
      <c r="D72" s="11"/>
      <c r="E72" s="116"/>
      <c r="F72" s="116"/>
      <c r="G72" s="116"/>
      <c r="H72" s="116"/>
      <c r="I72" s="116"/>
      <c r="J72" s="116"/>
      <c r="K72" s="116"/>
      <c r="L72" s="116"/>
      <c r="M72" s="116"/>
      <c r="N72" s="116"/>
      <c r="O72" s="116"/>
      <c r="P72" s="116"/>
      <c r="Q72" s="36"/>
      <c r="R72" s="36"/>
      <c r="S72" s="36"/>
      <c r="T72" s="36"/>
    </row>
    <row r="73" ht="21" customHeight="1">
      <c r="A73" t="s" s="117">
        <v>13</v>
      </c>
      <c r="B73" t="s" s="118">
        <v>46</v>
      </c>
      <c r="C73" s="31"/>
      <c r="D73" s="60">
        <v>2015</v>
      </c>
      <c r="E73" s="61">
        <v>2016</v>
      </c>
      <c r="F73" s="61">
        <v>2017</v>
      </c>
      <c r="G73" s="61">
        <v>2018</v>
      </c>
      <c r="H73" s="61">
        <v>2019</v>
      </c>
      <c r="I73" s="61">
        <v>2020</v>
      </c>
      <c r="J73" s="61">
        <v>2021</v>
      </c>
      <c r="K73" s="36"/>
      <c r="L73" s="36"/>
      <c r="M73" s="36"/>
      <c r="N73" s="36"/>
      <c r="O73" s="36"/>
      <c r="P73" s="116"/>
      <c r="Q73" s="36"/>
      <c r="R73" s="36"/>
      <c r="S73" s="36"/>
      <c r="T73" s="36"/>
    </row>
    <row r="74" ht="21" customHeight="1">
      <c r="A74" s="110"/>
      <c r="B74" s="111"/>
      <c r="C74" s="28"/>
      <c r="D74" s="11"/>
      <c r="E74" s="116"/>
      <c r="F74" s="116"/>
      <c r="G74" s="116"/>
      <c r="H74" s="116"/>
      <c r="I74" s="116"/>
      <c r="J74" s="116"/>
      <c r="K74" s="116"/>
      <c r="L74" s="116"/>
      <c r="M74" s="116"/>
      <c r="N74" s="116"/>
      <c r="O74" s="116"/>
      <c r="P74" s="116"/>
      <c r="Q74" s="36"/>
      <c r="R74" s="36"/>
      <c r="S74" s="36"/>
      <c r="T74" s="36"/>
    </row>
    <row r="75" ht="21" customHeight="1">
      <c r="A75" s="86"/>
      <c r="B75" t="s" s="119">
        <v>47</v>
      </c>
      <c r="C75" s="28"/>
      <c r="D75" s="114">
        <v>494</v>
      </c>
      <c r="E75" s="114">
        <v>502</v>
      </c>
      <c r="F75" s="114">
        <v>556</v>
      </c>
      <c r="G75" s="114">
        <v>613</v>
      </c>
      <c r="H75" s="114">
        <v>656</v>
      </c>
      <c r="I75" s="114">
        <v>767</v>
      </c>
      <c r="J75" s="114">
        <v>804</v>
      </c>
      <c r="K75" s="109"/>
      <c r="L75" s="109"/>
      <c r="M75" s="109"/>
      <c r="N75" s="109"/>
      <c r="O75" s="109"/>
      <c r="P75" s="116"/>
      <c r="Q75" s="36"/>
      <c r="R75" s="36"/>
      <c r="S75" s="36"/>
      <c r="T75" s="36"/>
    </row>
    <row r="76" ht="21" customHeight="1">
      <c r="A76" s="120"/>
      <c r="B76" t="s" s="121">
        <v>48</v>
      </c>
      <c r="C76" s="67"/>
      <c r="D76" s="69">
        <f>D75/D59</f>
        <v>0.0355907780979827</v>
      </c>
      <c r="E76" s="69">
        <f>E75/E59</f>
        <v>0.0332847102506299</v>
      </c>
      <c r="F76" s="69">
        <f>F75/F59</f>
        <v>0.0302865235864473</v>
      </c>
      <c r="G76" s="69">
        <f>G75/G59</f>
        <v>0.029744286476782</v>
      </c>
      <c r="H76" s="69">
        <f>H75/H59</f>
        <v>0.0285502894198546</v>
      </c>
      <c r="I76" s="69">
        <f>I75/I59</f>
        <v>0.0351094021788886</v>
      </c>
      <c r="J76" s="69">
        <f>J75/J59</f>
        <v>0.0333540759178594</v>
      </c>
      <c r="K76" s="69"/>
      <c r="L76" s="69"/>
      <c r="M76" s="69"/>
      <c r="N76" s="69"/>
      <c r="O76" s="69"/>
      <c r="P76" s="69"/>
      <c r="Q76" s="36"/>
      <c r="R76" s="36"/>
      <c r="S76" s="36"/>
      <c r="T76" s="36"/>
    </row>
    <row r="77" ht="21" customHeight="1">
      <c r="A77" s="120"/>
      <c r="B77" t="s" s="121">
        <v>49</v>
      </c>
      <c r="C77" s="67"/>
      <c r="D77" s="69">
        <f>D75/D79</f>
        <v>1.19323671497585</v>
      </c>
      <c r="E77" s="69">
        <f>E75/E79</f>
        <v>0.959847036328872</v>
      </c>
      <c r="F77" s="69">
        <f>F75/F79</f>
        <v>0.786421499292786</v>
      </c>
      <c r="G77" s="69">
        <f>G75/G79</f>
        <v>0.853760445682451</v>
      </c>
      <c r="H77" s="69">
        <f>H75/H79</f>
        <v>0.867724867724868</v>
      </c>
      <c r="I77" s="69">
        <f>I75/I79</f>
        <v>1.04211956521739</v>
      </c>
      <c r="J77" s="69">
        <f>J75/J79</f>
        <v>1.14042553191489</v>
      </c>
      <c r="K77" s="69"/>
      <c r="L77" s="69"/>
      <c r="M77" s="69"/>
      <c r="N77" s="69"/>
      <c r="O77" s="69"/>
      <c r="P77" s="69"/>
      <c r="Q77" s="36"/>
      <c r="R77" s="36"/>
      <c r="S77" s="36"/>
      <c r="T77" s="36"/>
    </row>
    <row r="78" ht="21" customHeight="1">
      <c r="A78" s="86"/>
      <c r="B78" s="48"/>
      <c r="C78" s="28"/>
      <c r="D78" s="11"/>
      <c r="E78" s="116"/>
      <c r="F78" s="116"/>
      <c r="G78" s="116"/>
      <c r="H78" s="116"/>
      <c r="I78" s="116"/>
      <c r="J78" s="116"/>
      <c r="K78" s="116"/>
      <c r="L78" s="116"/>
      <c r="M78" s="116"/>
      <c r="N78" s="116"/>
      <c r="O78" s="116"/>
      <c r="P78" s="116"/>
      <c r="Q78" s="36"/>
      <c r="R78" s="36"/>
      <c r="S78" s="36"/>
      <c r="T78" s="36"/>
    </row>
    <row r="79" ht="21" customHeight="1">
      <c r="A79" s="86"/>
      <c r="B79" t="s" s="119">
        <v>50</v>
      </c>
      <c r="C79" s="28"/>
      <c r="D79" s="64">
        <v>414</v>
      </c>
      <c r="E79" s="64">
        <v>523</v>
      </c>
      <c r="F79" s="114">
        <v>707</v>
      </c>
      <c r="G79" s="114">
        <v>718</v>
      </c>
      <c r="H79" s="114">
        <v>756</v>
      </c>
      <c r="I79" s="114">
        <v>736</v>
      </c>
      <c r="J79" s="114">
        <v>705</v>
      </c>
      <c r="K79" s="109"/>
      <c r="L79" s="109"/>
      <c r="M79" s="109"/>
      <c r="N79" s="109"/>
      <c r="O79" s="109"/>
      <c r="P79" s="116"/>
      <c r="Q79" s="36"/>
      <c r="R79" s="36"/>
      <c r="S79" s="36"/>
      <c r="T79" s="36"/>
    </row>
    <row r="80" ht="21" customHeight="1">
      <c r="A80" s="120"/>
      <c r="B80" t="s" s="121">
        <v>43</v>
      </c>
      <c r="C80" s="67"/>
      <c r="D80" s="69">
        <f>D79/D59</f>
        <v>0.0298270893371758</v>
      </c>
      <c r="E80" s="69">
        <f>E79/E59</f>
        <v>0.0346770985280467</v>
      </c>
      <c r="F80" s="69">
        <f>F79/F59</f>
        <v>0.0385118204597451</v>
      </c>
      <c r="G80" s="69">
        <f>G79/G59</f>
        <v>0.0348391479450725</v>
      </c>
      <c r="H80" s="69">
        <f>H79/H59</f>
        <v>0.0329024676850764</v>
      </c>
      <c r="I80" s="69">
        <f>I79/I59</f>
        <v>0.0336903781012542</v>
      </c>
      <c r="J80" s="69">
        <f>J79/J59</f>
        <v>0.029247044181705</v>
      </c>
      <c r="K80" s="69"/>
      <c r="L80" s="69"/>
      <c r="M80" s="69"/>
      <c r="N80" s="69"/>
      <c r="O80" s="69"/>
      <c r="P80" s="69"/>
      <c r="Q80" s="36"/>
      <c r="R80" s="36"/>
      <c r="S80" s="36"/>
      <c r="T80" s="36"/>
    </row>
    <row r="81" ht="21" customHeight="1">
      <c r="A81" s="86"/>
      <c r="B81" s="48"/>
      <c r="C81" s="28"/>
      <c r="D81" s="11"/>
      <c r="E81" s="116"/>
      <c r="F81" s="116"/>
      <c r="G81" s="116"/>
      <c r="H81" s="116"/>
      <c r="I81" s="116"/>
      <c r="J81" s="116"/>
      <c r="K81" s="116"/>
      <c r="L81" s="116"/>
      <c r="M81" s="116"/>
      <c r="N81" s="116"/>
      <c r="O81" s="116"/>
      <c r="P81" s="116"/>
      <c r="Q81" s="36"/>
      <c r="R81" s="36"/>
      <c r="S81" s="36"/>
      <c r="T81" s="36"/>
    </row>
    <row r="82" ht="21" customHeight="1">
      <c r="A82" s="86"/>
      <c r="B82" t="s" s="119">
        <v>51</v>
      </c>
      <c r="C82" s="28"/>
      <c r="D82" s="62">
        <f>10892-5374</f>
        <v>5518</v>
      </c>
      <c r="E82" s="62">
        <f>14313-8046</f>
        <v>6267</v>
      </c>
      <c r="F82" s="62">
        <f>19023-9994</f>
        <v>9029</v>
      </c>
      <c r="G82" s="62">
        <f>18216-11305</f>
        <v>6911</v>
      </c>
      <c r="H82" s="62">
        <f>20970-13415</f>
        <v>7555</v>
      </c>
      <c r="I82" s="62">
        <f>27645-14510</f>
        <v>13135</v>
      </c>
      <c r="J82" s="62">
        <f>27607-15739</f>
        <v>11868</v>
      </c>
      <c r="K82" s="62"/>
      <c r="L82" s="116"/>
      <c r="M82" s="116"/>
      <c r="N82" s="116"/>
      <c r="O82" s="116"/>
      <c r="P82" s="116"/>
      <c r="Q82" s="36"/>
      <c r="R82" s="36"/>
      <c r="S82" s="36"/>
      <c r="T82" s="36"/>
    </row>
    <row r="83" ht="21" customHeight="1">
      <c r="A83" s="86"/>
      <c r="B83" s="48"/>
      <c r="C83" s="28"/>
      <c r="D83" s="11"/>
      <c r="E83" s="116"/>
      <c r="F83" s="116"/>
      <c r="G83" s="116"/>
      <c r="H83" s="116"/>
      <c r="I83" s="116"/>
      <c r="J83" s="116"/>
      <c r="K83" s="116"/>
      <c r="L83" s="116"/>
      <c r="M83" s="116"/>
      <c r="N83" s="116"/>
      <c r="O83" s="116"/>
      <c r="P83" s="116"/>
      <c r="Q83" s="36"/>
      <c r="R83" s="36"/>
      <c r="S83" s="36"/>
      <c r="T83" s="36"/>
    </row>
    <row r="84" ht="21" customHeight="1">
      <c r="A84" s="86"/>
      <c r="B84" t="s" s="119">
        <v>52</v>
      </c>
      <c r="C84" s="28"/>
      <c r="D84" s="62"/>
      <c r="E84" s="62">
        <f>D82-E82</f>
        <v>-749</v>
      </c>
      <c r="F84" s="62">
        <f>E82-F82</f>
        <v>-2762</v>
      </c>
      <c r="G84" s="62">
        <f>F82-G82</f>
        <v>2118</v>
      </c>
      <c r="H84" s="62">
        <f>G82-H82</f>
        <v>-644</v>
      </c>
      <c r="I84" s="62">
        <f>H82-I82</f>
        <v>-5580</v>
      </c>
      <c r="J84" s="62">
        <f>I82-J82</f>
        <v>1267</v>
      </c>
      <c r="K84" s="62"/>
      <c r="L84" s="116"/>
      <c r="M84" s="116"/>
      <c r="N84" s="116"/>
      <c r="O84" s="116"/>
      <c r="P84" s="116"/>
      <c r="Q84" s="36"/>
      <c r="R84" s="36"/>
      <c r="S84" s="36"/>
      <c r="T84" s="36"/>
    </row>
    <row r="85" ht="21" customHeight="1">
      <c r="A85" s="120"/>
      <c r="B85" t="s" s="121">
        <v>43</v>
      </c>
      <c r="C85" s="67"/>
      <c r="D85" s="69"/>
      <c r="E85" s="69">
        <f>E84/E64</f>
        <v>-0.0496618485611988</v>
      </c>
      <c r="F85" s="69">
        <f>F84/F64</f>
        <v>-0.150452118967208</v>
      </c>
      <c r="G85" s="69">
        <f>G84/G64</f>
        <v>0.102770634188947</v>
      </c>
      <c r="H85" s="69">
        <f>H84/H64</f>
        <v>-0.028028028028028</v>
      </c>
      <c r="I85" s="69">
        <f>I84/I64</f>
        <v>-0.255424333974183</v>
      </c>
      <c r="J85" s="69">
        <f>J84/J64</f>
        <v>0.0525617091889649</v>
      </c>
      <c r="K85" s="69"/>
      <c r="L85" s="69"/>
      <c r="M85" s="69"/>
      <c r="N85" s="69"/>
      <c r="O85" s="69"/>
      <c r="P85" s="69"/>
      <c r="Q85" s="36"/>
      <c r="R85" s="36"/>
      <c r="S85" s="36"/>
      <c r="T85" s="36"/>
    </row>
    <row r="86" ht="21" customHeight="1">
      <c r="A86" s="120"/>
      <c r="B86" t="s" s="121">
        <v>53</v>
      </c>
      <c r="C86" s="67"/>
      <c r="D86" s="69"/>
      <c r="E86" s="69">
        <f>(E84-D84)/(E64-D64)</f>
        <v>-0.623128119800333</v>
      </c>
      <c r="F86" s="69">
        <f>(F84-E84)/(F64-E64)</f>
        <v>-0.614468864468864</v>
      </c>
      <c r="G86" s="69">
        <f>(G84-F84)/(G64-F64)</f>
        <v>2.16792536650378</v>
      </c>
      <c r="H86" s="69">
        <f>(H84-G84)/(H64-G64)</f>
        <v>-1.16638513513514</v>
      </c>
      <c r="I86" s="69">
        <f>(I84-H84)/(I64-H64)</f>
        <v>4.36427939876216</v>
      </c>
      <c r="J86" s="69">
        <f>(J84-I84)/(J64-I64)</f>
        <v>3.03098716246127</v>
      </c>
      <c r="K86" s="69"/>
      <c r="L86" s="69"/>
      <c r="M86" s="69"/>
      <c r="N86" s="69"/>
      <c r="O86" s="69"/>
      <c r="P86" s="69"/>
      <c r="Q86" s="36"/>
      <c r="R86" s="36"/>
      <c r="S86" s="36"/>
      <c r="T86" s="36"/>
    </row>
    <row r="87" ht="21" customHeight="1">
      <c r="A87" s="86"/>
      <c r="B87" s="48"/>
      <c r="C87" s="28"/>
      <c r="D87" s="11"/>
      <c r="E87" s="62"/>
      <c r="F87" s="62"/>
      <c r="G87" s="62"/>
      <c r="H87" s="62"/>
      <c r="I87" s="62"/>
      <c r="J87" s="62"/>
      <c r="K87" s="116"/>
      <c r="L87" s="116"/>
      <c r="M87" s="116"/>
      <c r="N87" s="116"/>
      <c r="O87" s="116"/>
      <c r="P87" s="116"/>
      <c r="Q87" s="36"/>
      <c r="R87" s="36"/>
      <c r="S87" s="36"/>
      <c r="T87" s="36"/>
    </row>
    <row r="88" ht="21" customHeight="1">
      <c r="A88" s="86"/>
      <c r="B88" s="48"/>
      <c r="C88" s="28"/>
      <c r="D88" s="11"/>
      <c r="E88" s="62"/>
      <c r="F88" s="62"/>
      <c r="G88" s="62"/>
      <c r="H88" s="62"/>
      <c r="I88" s="62"/>
      <c r="J88" s="62"/>
      <c r="K88" s="62">
        <v>1</v>
      </c>
      <c r="L88" s="62">
        <v>2</v>
      </c>
      <c r="M88" s="62">
        <v>3</v>
      </c>
      <c r="N88" s="62">
        <v>4</v>
      </c>
      <c r="O88" s="62">
        <v>5</v>
      </c>
      <c r="P88" s="62">
        <v>6</v>
      </c>
      <c r="Q88" s="36"/>
      <c r="R88" s="36"/>
      <c r="S88" s="36"/>
      <c r="T88" s="36"/>
    </row>
    <row r="89" ht="21" customHeight="1">
      <c r="A89" t="s" s="117">
        <v>13</v>
      </c>
      <c r="B89" t="s" s="118">
        <v>5</v>
      </c>
      <c r="C89" s="31"/>
      <c r="D89" s="60">
        <v>2015</v>
      </c>
      <c r="E89" s="61">
        <v>2016</v>
      </c>
      <c r="F89" s="61">
        <v>2017</v>
      </c>
      <c r="G89" s="61">
        <v>2018</v>
      </c>
      <c r="H89" s="61">
        <v>2019</v>
      </c>
      <c r="I89" s="61">
        <v>2020</v>
      </c>
      <c r="J89" s="61">
        <v>2021</v>
      </c>
      <c r="K89" s="61">
        <v>2022</v>
      </c>
      <c r="L89" s="61">
        <v>2023</v>
      </c>
      <c r="M89" s="61">
        <v>2024</v>
      </c>
      <c r="N89" s="61">
        <v>2025</v>
      </c>
      <c r="O89" s="61">
        <v>2026</v>
      </c>
      <c r="P89" s="61">
        <v>2027</v>
      </c>
      <c r="Q89" s="36"/>
      <c r="R89" s="36"/>
      <c r="S89" s="36"/>
      <c r="T89" s="36"/>
    </row>
    <row r="90" ht="21" customHeight="1">
      <c r="A90" s="110"/>
      <c r="B90" s="111"/>
      <c r="C90" s="28"/>
      <c r="D90" s="11"/>
      <c r="E90" s="116"/>
      <c r="F90" s="116"/>
      <c r="G90" s="116"/>
      <c r="H90" s="116"/>
      <c r="I90" s="116"/>
      <c r="J90" s="116"/>
      <c r="K90" s="116"/>
      <c r="L90" s="116"/>
      <c r="M90" s="116"/>
      <c r="N90" s="116"/>
      <c r="O90" s="116"/>
      <c r="P90" s="116"/>
      <c r="Q90" s="36"/>
      <c r="R90" s="36"/>
      <c r="S90" s="36"/>
      <c r="T90" s="36"/>
    </row>
    <row r="91" ht="21" customHeight="1">
      <c r="A91" s="8"/>
      <c r="B91" t="s" s="113">
        <v>42</v>
      </c>
      <c r="C91" s="28"/>
      <c r="D91" s="107">
        <f>D59</f>
        <v>13880</v>
      </c>
      <c r="E91" s="107">
        <f>E59</f>
        <v>15082</v>
      </c>
      <c r="F91" s="107">
        <f>F59</f>
        <v>18358</v>
      </c>
      <c r="G91" s="107">
        <f>G59</f>
        <v>20609</v>
      </c>
      <c r="H91" s="107">
        <f>H59</f>
        <v>22977</v>
      </c>
      <c r="I91" s="107">
        <f>I59</f>
        <v>21846</v>
      </c>
      <c r="J91" s="107">
        <f>J59</f>
        <v>24105</v>
      </c>
      <c r="K91" s="107">
        <f>K59</f>
        <v>28697.3333333334</v>
      </c>
      <c r="L91" s="107">
        <f>L59</f>
        <v>34509.9882419056</v>
      </c>
      <c r="M91" s="107">
        <f>M59</f>
        <v>41793.7651832475</v>
      </c>
      <c r="N91" s="107">
        <f>N59</f>
        <v>50682.2281541242</v>
      </c>
      <c r="O91" s="107">
        <f>O59</f>
        <v>61284.1916125281</v>
      </c>
      <c r="P91" s="107">
        <f>P59</f>
        <v>72928.188018908506</v>
      </c>
      <c r="Q91" s="36"/>
      <c r="R91" s="36"/>
      <c r="S91" s="36"/>
      <c r="T91" s="36"/>
    </row>
    <row r="92" ht="21" customHeight="1">
      <c r="A92" s="110"/>
      <c r="B92" t="s" s="66">
        <v>31</v>
      </c>
      <c r="C92" s="28"/>
      <c r="D92" s="11"/>
      <c r="E92" s="116">
        <f>E91/D91-1</f>
        <v>0.0865994236311239</v>
      </c>
      <c r="F92" s="116">
        <f>F91/E91-1</f>
        <v>0.217212571277019</v>
      </c>
      <c r="G92" s="116">
        <f>G91/F91-1</f>
        <v>0.122616842793333</v>
      </c>
      <c r="H92" s="116">
        <f>H91/G91-1</f>
        <v>0.114901256732496</v>
      </c>
      <c r="I92" s="116">
        <f>I91/H91-1</f>
        <v>-0.0492231361796579</v>
      </c>
      <c r="J92" s="116">
        <f>J91/I91-1</f>
        <v>0.103405657786322</v>
      </c>
      <c r="K92" s="116">
        <f>K91/J91-1</f>
        <v>0.190513724676764</v>
      </c>
      <c r="L92" s="116">
        <f>L91/K91-1</f>
        <v>0.202550349924692</v>
      </c>
      <c r="M92" s="116">
        <f>M91/L91-1</f>
        <v>0.211062863605882</v>
      </c>
      <c r="N92" s="116">
        <f>N91/M91-1</f>
        <v>0.212674376953229</v>
      </c>
      <c r="O92" s="116">
        <f>O91/N91-1</f>
        <v>0.209185030819155</v>
      </c>
      <c r="P92" s="116">
        <f>P91/O91-1</f>
        <v>0.190000000000001</v>
      </c>
      <c r="Q92" s="36"/>
      <c r="R92" s="36"/>
      <c r="S92" s="36"/>
      <c r="T92" s="36"/>
    </row>
    <row r="93" ht="21" customHeight="1">
      <c r="A93" s="86"/>
      <c r="B93" s="111"/>
      <c r="C93" s="28"/>
      <c r="D93" s="11"/>
      <c r="E93" s="116"/>
      <c r="F93" s="116"/>
      <c r="G93" s="116"/>
      <c r="H93" s="116"/>
      <c r="I93" s="116"/>
      <c r="J93" s="116"/>
      <c r="K93" s="116"/>
      <c r="L93" s="116"/>
      <c r="M93" s="116"/>
      <c r="N93" s="116"/>
      <c r="O93" s="116"/>
      <c r="P93" s="116"/>
      <c r="Q93" s="36"/>
      <c r="R93" s="36"/>
      <c r="S93" s="36"/>
      <c r="T93" s="36"/>
    </row>
    <row r="94" ht="21" customHeight="1">
      <c r="A94" s="8"/>
      <c r="B94" t="s" s="113">
        <v>24</v>
      </c>
      <c r="C94" s="28"/>
      <c r="D94" s="62">
        <f>D67</f>
        <v>9064</v>
      </c>
      <c r="E94" s="62">
        <f>E67</f>
        <v>8439</v>
      </c>
      <c r="F94" s="62">
        <f>F67</f>
        <v>12257</v>
      </c>
      <c r="G94" s="109">
        <f>G67</f>
        <v>13418</v>
      </c>
      <c r="H94" s="109">
        <f>H67</f>
        <v>15417</v>
      </c>
      <c r="I94" s="62">
        <f>I67</f>
        <v>14306</v>
      </c>
      <c r="J94" s="109">
        <f>J67</f>
        <v>16576</v>
      </c>
      <c r="K94" s="109">
        <f>K67</f>
        <v>18196</v>
      </c>
      <c r="L94" s="62">
        <f>L59*L95</f>
        <v>21646.4835228124</v>
      </c>
      <c r="M94" s="62">
        <f>M59*M95</f>
        <v>25930.5040190882</v>
      </c>
      <c r="N94" s="62">
        <f>N59*N95</f>
        <v>31099.9508344455</v>
      </c>
      <c r="O94" s="62">
        <f>O59*O95</f>
        <v>37188.05498787</v>
      </c>
      <c r="P94" s="62">
        <f>P59*P95</f>
        <v>43756.9128113451</v>
      </c>
      <c r="Q94" s="36"/>
      <c r="R94" s="36"/>
      <c r="S94" s="36"/>
      <c r="T94" s="36"/>
    </row>
    <row r="95" ht="21.5" customHeight="1">
      <c r="A95" s="79"/>
      <c r="B95" t="s" s="66">
        <v>43</v>
      </c>
      <c r="C95" s="67"/>
      <c r="D95" s="69">
        <f>D94/D59</f>
        <v>0.653025936599424</v>
      </c>
      <c r="E95" s="69">
        <f>E94/E59</f>
        <v>0.559541174910489</v>
      </c>
      <c r="F95" s="69">
        <f>F94/F59</f>
        <v>0.667665323019937</v>
      </c>
      <c r="G95" s="69">
        <f>G94/G59</f>
        <v>0.651074773157358</v>
      </c>
      <c r="H95" s="69">
        <f>H94/H59</f>
        <v>0.670975323149236</v>
      </c>
      <c r="I95" s="69">
        <f>I94/I59</f>
        <v>0.654856724343129</v>
      </c>
      <c r="J95" s="69">
        <f>J94/J59</f>
        <v>0.687658162207011</v>
      </c>
      <c r="K95" s="69">
        <f>K94/K59</f>
        <v>0.634065883008873</v>
      </c>
      <c r="L95" s="70">
        <f>OFFSET(L95,$C$15,0)</f>
        <v>0.627252706407098</v>
      </c>
      <c r="M95" s="70">
        <f>OFFSET(M95,$C$15,0)</f>
        <v>0.620439529805324</v>
      </c>
      <c r="N95" s="70">
        <f>OFFSET(N95,$C$15,0)</f>
        <v>0.613626353203549</v>
      </c>
      <c r="O95" s="70">
        <f>OFFSET(O95,$C$15,0)</f>
        <v>0.606813176601775</v>
      </c>
      <c r="P95" s="70">
        <f>OFFSET(P95,$C$15,0)</f>
        <v>0.6</v>
      </c>
      <c r="Q95" s="36"/>
      <c r="R95" s="36"/>
      <c r="S95" s="36"/>
      <c r="T95" s="36"/>
    </row>
    <row r="96" ht="22" customHeight="1">
      <c r="A96" s="8"/>
      <c r="B96" t="s" s="34">
        <v>32</v>
      </c>
      <c r="C96" s="28"/>
      <c r="D96" s="11"/>
      <c r="E96" s="64"/>
      <c r="F96" s="64"/>
      <c r="G96" s="64"/>
      <c r="H96" s="64"/>
      <c r="I96" s="64"/>
      <c r="J96" s="64"/>
      <c r="K96" s="71"/>
      <c r="L96" s="72">
        <f>L97*$E$15</f>
        <v>0.564527435766388</v>
      </c>
      <c r="M96" s="72">
        <f>M97*$E$15</f>
        <v>0.558395576824792</v>
      </c>
      <c r="N96" s="72">
        <f>N97*$E$15</f>
        <v>0.5522637178831939</v>
      </c>
      <c r="O96" s="72">
        <f>O97*$E$15</f>
        <v>0.546131858941598</v>
      </c>
      <c r="P96" s="72">
        <f>P97*$E$15</f>
        <v>0.54</v>
      </c>
      <c r="Q96" s="73"/>
      <c r="R96" s="36"/>
      <c r="S96" s="36"/>
      <c r="T96" s="36"/>
    </row>
    <row r="97" ht="22" customHeight="1">
      <c r="A97" s="13"/>
      <c r="B97" t="s" s="34">
        <v>33</v>
      </c>
      <c r="C97" s="28"/>
      <c r="D97" s="11"/>
      <c r="E97" s="64"/>
      <c r="F97" s="64"/>
      <c r="G97" s="64"/>
      <c r="H97" s="64"/>
      <c r="I97" s="64"/>
      <c r="J97" s="64"/>
      <c r="K97" s="71"/>
      <c r="L97" s="92">
        <f>K95-(K95-$P$97)/($P$89-K89)</f>
        <v>0.627252706407098</v>
      </c>
      <c r="M97" s="92">
        <f>L97-(L97-$P$97)/($P$89-L89)</f>
        <v>0.620439529805324</v>
      </c>
      <c r="N97" s="92">
        <f>M97-(M97-$P$97)/($P$89-M89)</f>
        <v>0.613626353203549</v>
      </c>
      <c r="O97" s="92">
        <f>N97-(N97-$P$97)/($P$89-N89)</f>
        <v>0.606813176601775</v>
      </c>
      <c r="P97" s="72">
        <f>G15</f>
        <v>0.6</v>
      </c>
      <c r="Q97" s="73"/>
      <c r="R97" s="36"/>
      <c r="S97" s="36"/>
      <c r="T97" s="36"/>
    </row>
    <row r="98" ht="22" customHeight="1">
      <c r="A98" s="13"/>
      <c r="B98" t="s" s="34">
        <v>34</v>
      </c>
      <c r="C98" s="28"/>
      <c r="D98" s="11"/>
      <c r="E98" s="64"/>
      <c r="F98" s="64"/>
      <c r="G98" s="64"/>
      <c r="H98" s="64"/>
      <c r="I98" s="64"/>
      <c r="J98" s="64"/>
      <c r="K98" s="71"/>
      <c r="L98" s="93">
        <f>L97*$I$15</f>
        <v>0.6899779770478081</v>
      </c>
      <c r="M98" s="93">
        <f>M97*$I$15</f>
        <v>0.682483482785856</v>
      </c>
      <c r="N98" s="93">
        <f>N97*$I$15</f>
        <v>0.674988988523904</v>
      </c>
      <c r="O98" s="93">
        <f>O97*$I$15</f>
        <v>0.667494494261953</v>
      </c>
      <c r="P98" s="92">
        <f>P97*$I$15</f>
        <v>0.66</v>
      </c>
      <c r="Q98" s="73"/>
      <c r="R98" s="36"/>
      <c r="S98" s="36"/>
      <c r="T98" s="36"/>
    </row>
    <row r="99" ht="21.5" customHeight="1">
      <c r="A99" s="110"/>
      <c r="B99" s="111"/>
      <c r="C99" s="28"/>
      <c r="D99" s="11"/>
      <c r="E99" s="116"/>
      <c r="F99" s="116"/>
      <c r="G99" s="116"/>
      <c r="H99" s="116"/>
      <c r="I99" s="116"/>
      <c r="J99" s="116"/>
      <c r="K99" s="116"/>
      <c r="L99" s="122"/>
      <c r="M99" s="122"/>
      <c r="N99" s="122"/>
      <c r="O99" s="122"/>
      <c r="P99" s="122"/>
      <c r="Q99" s="36"/>
      <c r="R99" s="36"/>
      <c r="S99" s="36"/>
      <c r="T99" s="36"/>
    </row>
    <row r="100" ht="21" customHeight="1">
      <c r="A100" s="86"/>
      <c r="B100" t="s" s="113">
        <v>44</v>
      </c>
      <c r="C100" s="28"/>
      <c r="D100" s="109">
        <f>D70</f>
        <v>2667</v>
      </c>
      <c r="E100" s="109">
        <f>E70</f>
        <v>2021</v>
      </c>
      <c r="F100" s="109">
        <f>F70</f>
        <v>4995</v>
      </c>
      <c r="G100" s="62">
        <f>G70</f>
        <v>2505</v>
      </c>
      <c r="H100" s="109">
        <f>H70</f>
        <v>2804</v>
      </c>
      <c r="I100" s="62">
        <f>I70</f>
        <v>2924</v>
      </c>
      <c r="J100" s="62">
        <f>J70</f>
        <v>3752</v>
      </c>
      <c r="K100" s="109">
        <f>K70</f>
        <v>3001.333333333330</v>
      </c>
      <c r="L100" s="109">
        <f>L94*L101</f>
        <v>4298.167577524070</v>
      </c>
      <c r="M100" s="109">
        <f>M94*M101</f>
        <v>5098.438061381240</v>
      </c>
      <c r="N100" s="109">
        <f>N94*N101</f>
        <v>5806.629604254280</v>
      </c>
      <c r="O100" s="109">
        <f>O94*O101</f>
        <v>7213.117789041270</v>
      </c>
      <c r="P100" s="109">
        <f>P94*P101</f>
        <v>8420.161114025590</v>
      </c>
      <c r="Q100" s="36"/>
      <c r="R100" s="36"/>
      <c r="S100" s="36"/>
      <c r="T100" s="36"/>
    </row>
    <row r="101" ht="21" customHeight="1">
      <c r="A101" s="120"/>
      <c r="B101" t="s" s="115">
        <v>45</v>
      </c>
      <c r="C101" s="67"/>
      <c r="D101" s="69">
        <f>D100/D94</f>
        <v>0.294240953221536</v>
      </c>
      <c r="E101" s="69">
        <f>E100/E94</f>
        <v>0.239483351107951</v>
      </c>
      <c r="F101" s="69">
        <f>F100/F94</f>
        <v>0.407522232193848</v>
      </c>
      <c r="G101" s="69">
        <f>G100/G94</f>
        <v>0.186689521538232</v>
      </c>
      <c r="H101" s="69">
        <f>H100/H94</f>
        <v>0.181877148602192</v>
      </c>
      <c r="I101" s="69">
        <f>I100/I94</f>
        <v>0.204389766531525</v>
      </c>
      <c r="J101" s="69">
        <f>J100/J94</f>
        <v>0.226351351351351</v>
      </c>
      <c r="K101" s="69">
        <f>K100/K94</f>
        <v>0.164944676485674</v>
      </c>
      <c r="L101" s="69">
        <f>AVERAGE(K101,J101,I101)</f>
        <v>0.198561931456183</v>
      </c>
      <c r="M101" s="69">
        <f>AVERAGE(L101,K101,J101)</f>
        <v>0.196619319764403</v>
      </c>
      <c r="N101" s="69">
        <f>AVERAGE(M101,L101,K101)</f>
        <v>0.186708642568753</v>
      </c>
      <c r="O101" s="69">
        <f>AVERAGE(N101,M101,L101)</f>
        <v>0.19396329792978</v>
      </c>
      <c r="P101" s="69">
        <f>AVERAGE(O101,N101,M101)</f>
        <v>0.192430420087645</v>
      </c>
      <c r="Q101" s="36"/>
      <c r="R101" s="36"/>
      <c r="S101" s="36"/>
      <c r="T101" s="36"/>
    </row>
    <row r="102" ht="21.15" customHeight="1">
      <c r="A102" s="123"/>
      <c r="B102" s="124"/>
      <c r="C102" s="125"/>
      <c r="D102" s="126"/>
      <c r="E102" s="127"/>
      <c r="F102" s="127"/>
      <c r="G102" s="127"/>
      <c r="H102" s="127"/>
      <c r="I102" s="127"/>
      <c r="J102" s="127"/>
      <c r="K102" s="127"/>
      <c r="L102" s="127"/>
      <c r="M102" s="127"/>
      <c r="N102" s="127"/>
      <c r="O102" s="127"/>
      <c r="P102" s="127"/>
      <c r="Q102" s="36"/>
      <c r="R102" s="36"/>
      <c r="S102" s="36"/>
      <c r="T102" s="36"/>
    </row>
    <row r="103" ht="21.15" customHeight="1">
      <c r="A103" s="128"/>
      <c r="B103" t="s" s="129">
        <v>54</v>
      </c>
      <c r="C103" s="130"/>
      <c r="D103" s="131"/>
      <c r="E103" s="132"/>
      <c r="F103" s="132"/>
      <c r="G103" s="132"/>
      <c r="H103" s="132"/>
      <c r="I103" s="132"/>
      <c r="J103" s="132"/>
      <c r="K103" s="132">
        <f>K94-K100</f>
        <v>15194.6666666667</v>
      </c>
      <c r="L103" s="132">
        <f>L94-L100</f>
        <v>17348.3159452883</v>
      </c>
      <c r="M103" s="132">
        <f>M94-M100</f>
        <v>20832.065957707</v>
      </c>
      <c r="N103" s="132">
        <f>N94-N100</f>
        <v>25293.3212301912</v>
      </c>
      <c r="O103" s="132">
        <f>O94-O100</f>
        <v>29974.9371988287</v>
      </c>
      <c r="P103" s="132">
        <f>P94-P100</f>
        <v>35336.7516973195</v>
      </c>
      <c r="Q103" s="36"/>
      <c r="R103" s="36"/>
      <c r="S103" s="36"/>
      <c r="T103" s="36"/>
    </row>
    <row r="104" ht="21" customHeight="1">
      <c r="A104" s="86"/>
      <c r="B104" s="48"/>
      <c r="C104" s="133"/>
      <c r="D104" s="134"/>
      <c r="E104" s="135"/>
      <c r="F104" s="135"/>
      <c r="G104" s="135"/>
      <c r="H104" s="135"/>
      <c r="I104" s="135"/>
      <c r="J104" s="135"/>
      <c r="K104" s="135"/>
      <c r="L104" s="135"/>
      <c r="M104" s="135"/>
      <c r="N104" s="135"/>
      <c r="O104" s="135"/>
      <c r="P104" s="135"/>
      <c r="Q104" s="36"/>
      <c r="R104" s="36"/>
      <c r="S104" s="36"/>
      <c r="T104" s="36"/>
    </row>
    <row r="105" ht="21.5" customHeight="1">
      <c r="A105" s="86"/>
      <c r="B105" t="s" s="119">
        <v>47</v>
      </c>
      <c r="C105" s="28"/>
      <c r="D105" s="109">
        <f>D75</f>
        <v>494</v>
      </c>
      <c r="E105" s="109">
        <f>E75</f>
        <v>502</v>
      </c>
      <c r="F105" s="109">
        <f>F75</f>
        <v>556</v>
      </c>
      <c r="G105" s="109">
        <f>G75</f>
        <v>613</v>
      </c>
      <c r="H105" s="109">
        <f>H75</f>
        <v>656</v>
      </c>
      <c r="I105" s="109">
        <f>I75</f>
        <v>767</v>
      </c>
      <c r="J105" s="109">
        <f>J75</f>
        <v>804</v>
      </c>
      <c r="K105" s="136">
        <f>(635/3)*4</f>
        <v>846.666666666667</v>
      </c>
      <c r="L105" s="137">
        <f>L91*L106</f>
        <v>1126.944373462770</v>
      </c>
      <c r="M105" s="137">
        <f>M91*M106</f>
        <v>1330.615936604250</v>
      </c>
      <c r="N105" s="137">
        <f>N91*N106</f>
        <v>1587.985507334490</v>
      </c>
      <c r="O105" s="137">
        <f>O91*O106</f>
        <v>1957.528659387020</v>
      </c>
      <c r="P105" s="137">
        <f>P91*P106</f>
        <v>2312.107559663050</v>
      </c>
      <c r="Q105" s="36"/>
      <c r="R105" s="36"/>
      <c r="S105" s="36"/>
      <c r="T105" s="36"/>
    </row>
    <row r="106" ht="22" customHeight="1">
      <c r="A106" s="86"/>
      <c r="B106" t="s" s="138">
        <v>43</v>
      </c>
      <c r="C106" s="28"/>
      <c r="D106" s="116">
        <f>D105/D59</f>
        <v>0.0355907780979827</v>
      </c>
      <c r="E106" s="116">
        <f>E105/E59</f>
        <v>0.0332847102506299</v>
      </c>
      <c r="F106" s="116">
        <f>F105/F59</f>
        <v>0.0302865235864473</v>
      </c>
      <c r="G106" s="116">
        <f>G105/G59</f>
        <v>0.029744286476782</v>
      </c>
      <c r="H106" s="116">
        <f>H105/H59</f>
        <v>0.0285502894198546</v>
      </c>
      <c r="I106" s="116">
        <f>I105/I59</f>
        <v>0.0351094021788886</v>
      </c>
      <c r="J106" s="116">
        <f>J105/J59</f>
        <v>0.0333540759178594</v>
      </c>
      <c r="K106" s="139">
        <f>K105/K59</f>
        <v>0.0295033220275983</v>
      </c>
      <c r="L106" s="92">
        <f>AVERAGE(K106,J106,I106)</f>
        <v>0.0326556000414488</v>
      </c>
      <c r="M106" s="92">
        <f>AVERAGE(L106,K106,J106)</f>
        <v>0.0318376659956355</v>
      </c>
      <c r="N106" s="92">
        <f>AVERAGE(M106,L106,K106)</f>
        <v>0.0313321960215609</v>
      </c>
      <c r="O106" s="92">
        <f>AVERAGE(N106,M106,L106)</f>
        <v>0.0319418206862151</v>
      </c>
      <c r="P106" s="92">
        <f>AVERAGE(O106,N106,M106)</f>
        <v>0.0317038942344705</v>
      </c>
      <c r="Q106" s="73"/>
      <c r="R106" s="36"/>
      <c r="S106" s="36"/>
      <c r="T106" s="36"/>
    </row>
    <row r="107" ht="21.5" customHeight="1">
      <c r="A107" s="86"/>
      <c r="B107" s="111"/>
      <c r="C107" s="28"/>
      <c r="D107" s="11"/>
      <c r="E107" s="116"/>
      <c r="F107" s="116"/>
      <c r="G107" s="116"/>
      <c r="H107" s="116"/>
      <c r="I107" s="116"/>
      <c r="J107" s="116"/>
      <c r="K107" s="116"/>
      <c r="L107" s="122"/>
      <c r="M107" s="122"/>
      <c r="N107" s="122"/>
      <c r="O107" s="122"/>
      <c r="P107" s="122"/>
      <c r="Q107" s="36"/>
      <c r="R107" s="36"/>
      <c r="S107" s="36"/>
      <c r="T107" s="36"/>
    </row>
    <row r="108" ht="21.5" customHeight="1">
      <c r="A108" s="86"/>
      <c r="B108" t="s" s="119">
        <v>50</v>
      </c>
      <c r="C108" s="28"/>
      <c r="D108" s="62">
        <f>D79</f>
        <v>414</v>
      </c>
      <c r="E108" s="62">
        <f>E79</f>
        <v>523</v>
      </c>
      <c r="F108" s="109">
        <f>F79</f>
        <v>707</v>
      </c>
      <c r="G108" s="109">
        <f>G79</f>
        <v>718</v>
      </c>
      <c r="H108" s="109">
        <f>H79</f>
        <v>756</v>
      </c>
      <c r="I108" s="109">
        <f>I79</f>
        <v>736</v>
      </c>
      <c r="J108" s="109">
        <f>J79</f>
        <v>705</v>
      </c>
      <c r="K108" s="140">
        <f>(675/3)*4</f>
        <v>900</v>
      </c>
      <c r="L108" s="141">
        <f>L91*L109</f>
        <v>1084.755005964330</v>
      </c>
      <c r="M108" s="141">
        <f>M91*M109</f>
        <v>1282.259421345760</v>
      </c>
      <c r="N108" s="141">
        <f>N91*N109</f>
        <v>1579.182404480190</v>
      </c>
      <c r="O108" s="141">
        <f>O91*O109</f>
        <v>1905.370799380650</v>
      </c>
      <c r="P108" s="141">
        <f>P91*P109</f>
        <v>2259.069297219850</v>
      </c>
      <c r="Q108" s="36"/>
      <c r="R108" s="36"/>
      <c r="S108" s="36"/>
      <c r="T108" s="36"/>
    </row>
    <row r="109" ht="22" customHeight="1">
      <c r="A109" s="86"/>
      <c r="B109" t="s" s="138">
        <v>43</v>
      </c>
      <c r="C109" s="28"/>
      <c r="D109" s="116">
        <f>D108/D59</f>
        <v>0.0298270893371758</v>
      </c>
      <c r="E109" s="116">
        <f>E108/E59</f>
        <v>0.0346770985280467</v>
      </c>
      <c r="F109" s="116">
        <f>F108/F59</f>
        <v>0.0385118204597451</v>
      </c>
      <c r="G109" s="116">
        <f>G108/G59</f>
        <v>0.0348391479450725</v>
      </c>
      <c r="H109" s="116">
        <f>H108/H59</f>
        <v>0.0329024676850764</v>
      </c>
      <c r="I109" s="116">
        <f>I108/I59</f>
        <v>0.0336903781012542</v>
      </c>
      <c r="J109" s="116">
        <f>J108/J59</f>
        <v>0.029247044181705</v>
      </c>
      <c r="K109" s="139">
        <f>K108/K59</f>
        <v>0.0313617990057147</v>
      </c>
      <c r="L109" s="92">
        <f>AVERAGE(K109,J109,I109)</f>
        <v>0.0314330737628913</v>
      </c>
      <c r="M109" s="92">
        <f>AVERAGE(L109,K109,J109)</f>
        <v>0.030680638983437</v>
      </c>
      <c r="N109" s="92">
        <f>AVERAGE(M109,L109,K109)</f>
        <v>0.0311585039173477</v>
      </c>
      <c r="O109" s="92">
        <f>AVERAGE(N109,M109,L109)</f>
        <v>0.031090738887892</v>
      </c>
      <c r="P109" s="92">
        <f>AVERAGE(O109,N109,M109)</f>
        <v>0.0309766272628922</v>
      </c>
      <c r="Q109" s="73"/>
      <c r="R109" s="36"/>
      <c r="S109" s="36"/>
      <c r="T109" s="36"/>
    </row>
    <row r="110" ht="21.5" customHeight="1">
      <c r="A110" s="86"/>
      <c r="B110" s="111"/>
      <c r="C110" s="28"/>
      <c r="D110" s="11"/>
      <c r="E110" s="116"/>
      <c r="F110" s="116"/>
      <c r="G110" s="116"/>
      <c r="H110" s="116"/>
      <c r="I110" s="116"/>
      <c r="J110" s="116"/>
      <c r="K110" s="116"/>
      <c r="L110" s="122"/>
      <c r="M110" s="122"/>
      <c r="N110" s="122"/>
      <c r="O110" s="122"/>
      <c r="P110" s="122"/>
      <c r="Q110" s="36"/>
      <c r="R110" s="36"/>
      <c r="S110" s="36"/>
      <c r="T110" s="36"/>
    </row>
    <row r="111" ht="21.5" customHeight="1">
      <c r="A111" s="86"/>
      <c r="B111" t="s" s="119">
        <v>52</v>
      </c>
      <c r="C111" s="28"/>
      <c r="D111" s="62"/>
      <c r="E111" s="62">
        <f>E84</f>
        <v>-749</v>
      </c>
      <c r="F111" s="62">
        <f>F84</f>
        <v>-2762</v>
      </c>
      <c r="G111" s="62">
        <f>G84</f>
        <v>2118</v>
      </c>
      <c r="H111" s="62">
        <f>H84</f>
        <v>-644</v>
      </c>
      <c r="I111" s="62">
        <f>I84</f>
        <v>-5580</v>
      </c>
      <c r="J111" s="62">
        <f>J84</f>
        <v>1267</v>
      </c>
      <c r="K111" s="62">
        <f>K112*K91</f>
        <v>-1656.486506833170</v>
      </c>
      <c r="L111" s="137">
        <f>L91*L112</f>
        <v>-2997.598408165910</v>
      </c>
      <c r="M111" s="137">
        <f>M91*M112</f>
        <v>-1281.991937443660</v>
      </c>
      <c r="N111" s="137">
        <f>N91*N112</f>
        <v>-2960.833211093350</v>
      </c>
      <c r="O111" s="137">
        <f>O91*O112</f>
        <v>-3594.431346096</v>
      </c>
      <c r="P111" s="137">
        <f>P91*P112</f>
        <v>-3591.607416095790</v>
      </c>
      <c r="Q111" s="36"/>
      <c r="R111" s="36"/>
      <c r="S111" s="36"/>
      <c r="T111" s="36"/>
    </row>
    <row r="112" ht="22" customHeight="1">
      <c r="A112" s="86"/>
      <c r="B112" t="s" s="121">
        <v>43</v>
      </c>
      <c r="C112" s="28"/>
      <c r="D112" s="69"/>
      <c r="E112" s="69">
        <f>E111/E59</f>
        <v>-0.0496618485611988</v>
      </c>
      <c r="F112" s="69">
        <f>F111/F59</f>
        <v>-0.150452118967208</v>
      </c>
      <c r="G112" s="69">
        <f>G111/G59</f>
        <v>0.102770634188947</v>
      </c>
      <c r="H112" s="69">
        <f>H111/H59</f>
        <v>-0.028028028028028</v>
      </c>
      <c r="I112" s="69">
        <f>I111/I59</f>
        <v>-0.255424333974183</v>
      </c>
      <c r="J112" s="69">
        <f>J111/J59</f>
        <v>0.0525617091889649</v>
      </c>
      <c r="K112" s="139">
        <f>AVERAGE(J112,I112,H112)</f>
        <v>-0.0577226632033115</v>
      </c>
      <c r="L112" s="92">
        <f>AVERAGE(K112,J112,I112)</f>
        <v>-0.08686176266284321</v>
      </c>
      <c r="M112" s="92">
        <f>AVERAGE(L112,K112,J112)</f>
        <v>-0.0306742388923966</v>
      </c>
      <c r="N112" s="92">
        <f>AVERAGE(M112,L112,K112)</f>
        <v>-0.0584195549195171</v>
      </c>
      <c r="O112" s="92">
        <f>AVERAGE(N112,M112,L112)</f>
        <v>-0.0586518521582523</v>
      </c>
      <c r="P112" s="92">
        <f>AVERAGE(O112,N112,M112)</f>
        <v>-0.049248548656722</v>
      </c>
      <c r="Q112" s="73"/>
      <c r="R112" s="36"/>
      <c r="S112" s="36"/>
      <c r="T112" s="36"/>
    </row>
    <row r="113" ht="21.65" customHeight="1">
      <c r="A113" s="123"/>
      <c r="B113" s="124"/>
      <c r="C113" s="125"/>
      <c r="D113" s="126"/>
      <c r="E113" s="127"/>
      <c r="F113" s="127"/>
      <c r="G113" s="127"/>
      <c r="H113" s="127"/>
      <c r="I113" s="127"/>
      <c r="J113" s="127"/>
      <c r="K113" s="127"/>
      <c r="L113" s="142"/>
      <c r="M113" s="142"/>
      <c r="N113" s="142"/>
      <c r="O113" s="142"/>
      <c r="P113" s="142"/>
      <c r="Q113" s="36"/>
      <c r="R113" s="36"/>
      <c r="S113" s="36"/>
      <c r="T113" s="36"/>
    </row>
    <row r="114" ht="21.15" customHeight="1">
      <c r="A114" s="143"/>
      <c r="B114" t="s" s="129">
        <v>55</v>
      </c>
      <c r="C114" s="144"/>
      <c r="D114" s="145"/>
      <c r="E114" s="146"/>
      <c r="F114" s="146"/>
      <c r="G114" s="146"/>
      <c r="H114" s="146"/>
      <c r="I114" s="146"/>
      <c r="J114" s="146"/>
      <c r="K114" s="147">
        <f>K103+K105-K108-K111</f>
        <v>16797.8198401665</v>
      </c>
      <c r="L114" s="147">
        <f>L103+L105-L108-L111</f>
        <v>20388.1037209527</v>
      </c>
      <c r="M114" s="147">
        <f>M103+M105-M108-M111</f>
        <v>22162.4144104092</v>
      </c>
      <c r="N114" s="147">
        <f>N103+N105-N108-N111</f>
        <v>28262.9575441389</v>
      </c>
      <c r="O114" s="147">
        <f>O103+O105-O108-O111</f>
        <v>33621.5264049311</v>
      </c>
      <c r="P114" s="147">
        <f>P103+P105-P108-P111</f>
        <v>38981.3973758585</v>
      </c>
      <c r="Q114" s="36"/>
      <c r="R114" s="36"/>
      <c r="S114" s="36"/>
      <c r="T114" s="36"/>
    </row>
    <row r="115" ht="21.15" customHeight="1">
      <c r="A115" s="123"/>
      <c r="B115" t="s" s="148">
        <v>56</v>
      </c>
      <c r="C115" s="125"/>
      <c r="D115" s="126"/>
      <c r="E115" s="127"/>
      <c r="F115" s="127"/>
      <c r="G115" s="127"/>
      <c r="H115" s="127"/>
      <c r="I115" s="127"/>
      <c r="J115" s="127"/>
      <c r="K115" s="149">
        <f>K114/(1+$C$19)^K88</f>
        <v>15607.4124727216</v>
      </c>
      <c r="L115" s="149">
        <f>L114/(1+$C$19)^L88</f>
        <v>17600.8163853797</v>
      </c>
      <c r="M115" s="149">
        <f>M114/(1+$C$19)^M88</f>
        <v>17776.6957059978</v>
      </c>
      <c r="N115" s="149">
        <f>N114/(1+$C$19)^N88</f>
        <v>21063.4527166858</v>
      </c>
      <c r="O115" s="149">
        <f>O114/(1+$C$19)^O88</f>
        <v>23281.3077322622</v>
      </c>
      <c r="P115" s="149">
        <f>P114/(1+$C$19)^P88</f>
        <v>25079.8732524336</v>
      </c>
      <c r="Q115" s="36"/>
      <c r="R115" s="36"/>
      <c r="S115" s="36"/>
      <c r="T115" s="36"/>
    </row>
    <row r="116" ht="21.15" customHeight="1">
      <c r="A116" s="128"/>
      <c r="B116" s="143"/>
      <c r="C116" s="130"/>
      <c r="D116" s="131"/>
      <c r="E116" s="150"/>
      <c r="F116" s="150"/>
      <c r="G116" s="150"/>
      <c r="H116" s="150"/>
      <c r="I116" s="150"/>
      <c r="J116" s="150"/>
      <c r="K116" s="150"/>
      <c r="L116" s="150"/>
      <c r="M116" s="150"/>
      <c r="N116" s="150"/>
      <c r="O116" s="150"/>
      <c r="P116" s="150"/>
      <c r="Q116" s="36"/>
      <c r="R116" s="36"/>
      <c r="S116" s="36"/>
      <c r="T116" s="36"/>
    </row>
    <row r="117" ht="21" customHeight="1">
      <c r="A117" s="86"/>
      <c r="B117" t="s" s="119">
        <v>57</v>
      </c>
      <c r="C117" s="87"/>
      <c r="D117" s="151"/>
      <c r="E117" s="152"/>
      <c r="F117" s="152"/>
      <c r="G117" s="152"/>
      <c r="H117" s="152"/>
      <c r="I117" s="152"/>
      <c r="J117" s="152"/>
      <c r="K117" s="152"/>
      <c r="L117" s="152"/>
      <c r="M117" s="152"/>
      <c r="N117" s="152"/>
      <c r="O117" s="152"/>
      <c r="P117" s="153">
        <f>P114*(1+C20)/($C$19-$C$20)</f>
        <v>706587.281416592</v>
      </c>
      <c r="Q117" s="78"/>
      <c r="R117" s="36"/>
      <c r="S117" s="36"/>
      <c r="T117" s="36"/>
    </row>
    <row r="118" ht="21" customHeight="1">
      <c r="A118" s="86"/>
      <c r="B118" t="s" s="119">
        <v>58</v>
      </c>
      <c r="C118" s="87"/>
      <c r="D118" s="151"/>
      <c r="E118" s="152"/>
      <c r="F118" s="152"/>
      <c r="G118" s="152"/>
      <c r="H118" s="152"/>
      <c r="I118" s="152"/>
      <c r="J118" s="152"/>
      <c r="K118" s="152"/>
      <c r="L118" s="152"/>
      <c r="M118" s="152"/>
      <c r="N118" s="152"/>
      <c r="O118" s="152"/>
      <c r="P118" s="153">
        <f>P117/(1+C19)^P88</f>
        <v>454604.520429137</v>
      </c>
      <c r="Q118" s="78"/>
      <c r="R118" s="36"/>
      <c r="S118" s="36"/>
      <c r="T118" s="36"/>
    </row>
    <row r="119" ht="21" customHeight="1">
      <c r="A119" s="86"/>
      <c r="B119" s="48"/>
      <c r="C119" s="87"/>
      <c r="D119" s="151"/>
      <c r="E119" s="152"/>
      <c r="F119" s="152"/>
      <c r="G119" s="152"/>
      <c r="H119" s="152"/>
      <c r="I119" s="152"/>
      <c r="J119" s="152"/>
      <c r="K119" s="152"/>
      <c r="L119" s="152"/>
      <c r="M119" s="152"/>
      <c r="N119" s="152"/>
      <c r="O119" s="152"/>
      <c r="P119" s="154"/>
      <c r="Q119" s="78"/>
      <c r="R119" s="36"/>
      <c r="S119" s="36"/>
      <c r="T119" s="36"/>
    </row>
    <row r="120" ht="22" customHeight="1">
      <c r="A120" s="155"/>
      <c r="B120" t="s" s="156">
        <v>59</v>
      </c>
      <c r="C120" s="155"/>
      <c r="D120" s="155"/>
      <c r="E120" s="155"/>
      <c r="F120" s="155"/>
      <c r="G120" s="155"/>
      <c r="H120" s="155"/>
      <c r="I120" s="155"/>
      <c r="J120" s="155"/>
      <c r="K120" s="155"/>
      <c r="L120" s="155"/>
      <c r="M120" s="155"/>
      <c r="N120" s="155"/>
      <c r="O120" s="155"/>
      <c r="P120" s="157">
        <f>SUM(P115,O115,N115,M115,L115,K115,,P118)</f>
        <v>575014.078694618</v>
      </c>
      <c r="Q120" s="78"/>
      <c r="R120" s="36"/>
      <c r="S120" s="36"/>
      <c r="T120" s="36"/>
    </row>
    <row r="121" ht="22" customHeight="1">
      <c r="A121" s="158"/>
      <c r="B121" t="s" s="159">
        <v>60</v>
      </c>
      <c r="C121" s="158"/>
      <c r="D121" s="158"/>
      <c r="E121" s="158"/>
      <c r="F121" s="158"/>
      <c r="G121" s="158"/>
      <c r="H121" s="158"/>
      <c r="I121" s="158"/>
      <c r="J121" s="158"/>
      <c r="K121" s="158"/>
      <c r="L121" s="158"/>
      <c r="M121" s="158"/>
      <c r="N121" s="158"/>
      <c r="O121" s="158"/>
      <c r="P121" s="160">
        <v>17360</v>
      </c>
      <c r="Q121" s="78"/>
      <c r="R121" s="36"/>
      <c r="S121" s="36"/>
      <c r="T121" s="36"/>
    </row>
    <row r="122" ht="22" customHeight="1">
      <c r="A122" s="158"/>
      <c r="B122" t="s" s="159">
        <v>61</v>
      </c>
      <c r="C122" s="158"/>
      <c r="D122" s="158"/>
      <c r="E122" s="158"/>
      <c r="F122" s="158"/>
      <c r="G122" s="158"/>
      <c r="H122" s="158"/>
      <c r="I122" s="158"/>
      <c r="J122" s="158"/>
      <c r="K122" s="158"/>
      <c r="L122" s="158"/>
      <c r="M122" s="158"/>
      <c r="N122" s="158"/>
      <c r="O122" s="158"/>
      <c r="P122" s="160">
        <f>'WACC - WACC'!B14</f>
        <v>23790</v>
      </c>
      <c r="Q122" s="78"/>
      <c r="R122" s="36"/>
      <c r="S122" s="36"/>
      <c r="T122" s="36"/>
    </row>
    <row r="123" ht="22" customHeight="1">
      <c r="A123" s="158"/>
      <c r="B123" t="s" s="159">
        <v>62</v>
      </c>
      <c r="C123" s="158"/>
      <c r="D123" s="158"/>
      <c r="E123" s="158"/>
      <c r="F123" s="158"/>
      <c r="G123" s="158"/>
      <c r="H123" s="158"/>
      <c r="I123" s="158"/>
      <c r="J123" s="158"/>
      <c r="K123" s="158"/>
      <c r="L123" s="158"/>
      <c r="M123" s="158"/>
      <c r="N123" s="158"/>
      <c r="O123" s="158"/>
      <c r="P123" s="160">
        <f>P120+P121-P122</f>
        <v>568584.078694618</v>
      </c>
      <c r="Q123" s="78"/>
      <c r="R123" s="36"/>
      <c r="S123" s="36"/>
      <c r="T123" s="36"/>
    </row>
    <row r="124" ht="22" customHeight="1">
      <c r="A124" s="158"/>
      <c r="B124" t="s" s="159">
        <v>63</v>
      </c>
      <c r="C124" s="158"/>
      <c r="D124" s="158"/>
      <c r="E124" s="158"/>
      <c r="F124" s="158"/>
      <c r="G124" s="158"/>
      <c r="H124" s="158"/>
      <c r="I124" s="158"/>
      <c r="J124" s="158"/>
      <c r="K124" s="158"/>
      <c r="L124" s="158"/>
      <c r="M124" s="158"/>
      <c r="N124" s="158"/>
      <c r="O124" s="158"/>
      <c r="P124" s="160">
        <f>1630.01465+245.513385+9.886538</f>
        <v>1885.414573</v>
      </c>
      <c r="Q124" s="78"/>
      <c r="R124" s="36"/>
      <c r="S124" s="36"/>
      <c r="T124" s="36"/>
    </row>
    <row r="125" ht="22" customHeight="1">
      <c r="A125" s="158"/>
      <c r="B125" t="s" s="159">
        <v>64</v>
      </c>
      <c r="C125" s="158"/>
      <c r="D125" s="158"/>
      <c r="E125" s="158"/>
      <c r="F125" s="158"/>
      <c r="G125" s="158"/>
      <c r="H125" s="158"/>
      <c r="I125" s="158"/>
      <c r="J125" s="158"/>
      <c r="K125" s="158"/>
      <c r="L125" s="158"/>
      <c r="M125" s="158"/>
      <c r="N125" s="158"/>
      <c r="O125" s="158"/>
      <c r="P125" s="161">
        <f>P123/P124</f>
        <v>301.569790982314</v>
      </c>
      <c r="Q125" s="78"/>
      <c r="R125" s="36"/>
      <c r="S125" s="36"/>
      <c r="T125" s="36"/>
    </row>
    <row r="126" ht="22" customHeight="1">
      <c r="A126" s="158"/>
      <c r="B126" s="158"/>
      <c r="C126" s="158"/>
      <c r="D126" s="158"/>
      <c r="E126" s="158"/>
      <c r="F126" s="158"/>
      <c r="G126" s="158"/>
      <c r="H126" s="158"/>
      <c r="I126" s="158"/>
      <c r="J126" s="158"/>
      <c r="K126" s="158"/>
      <c r="L126" s="158"/>
      <c r="M126" s="158"/>
      <c r="N126" s="158"/>
      <c r="O126" s="158"/>
      <c r="P126" s="158"/>
      <c r="Q126" s="78"/>
      <c r="R126" s="36"/>
      <c r="S126" s="36"/>
      <c r="T126" s="36"/>
    </row>
    <row r="127" ht="22" customHeight="1">
      <c r="A127" s="158"/>
      <c r="B127" s="158"/>
      <c r="C127" s="158"/>
      <c r="D127" s="158"/>
      <c r="E127" s="158"/>
      <c r="F127" s="158"/>
      <c r="G127" s="158"/>
      <c r="H127" s="158"/>
      <c r="I127" s="158"/>
      <c r="J127" s="158"/>
      <c r="K127" s="158"/>
      <c r="L127" s="158"/>
      <c r="M127" s="158"/>
      <c r="N127" s="158"/>
      <c r="O127" s="158"/>
      <c r="P127" s="158"/>
      <c r="Q127" s="78"/>
      <c r="R127" s="36"/>
      <c r="S127" s="36"/>
      <c r="T127" s="36"/>
    </row>
  </sheetData>
  <mergeCells count="2">
    <mergeCell ref="A1:T1"/>
    <mergeCell ref="K21:L2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1"/>
  <sheetViews>
    <sheetView workbookViewId="0" showGridLines="0" defaultGridColor="1"/>
  </sheetViews>
  <sheetFormatPr defaultColWidth="16.3333" defaultRowHeight="19.9" customHeight="1" outlineLevelRow="0" outlineLevelCol="0"/>
  <cols>
    <col min="1" max="1" width="21.1875" style="162" customWidth="1"/>
    <col min="2" max="5" width="16.3516" style="162" customWidth="1"/>
    <col min="6" max="256" width="16.3516" style="162" customWidth="1"/>
  </cols>
  <sheetData>
    <row r="1" ht="28.65" customHeight="1">
      <c r="A1" t="s" s="163">
        <v>26</v>
      </c>
      <c r="B1" s="163"/>
      <c r="C1" s="163"/>
      <c r="D1" s="163"/>
      <c r="E1" s="163"/>
    </row>
    <row r="2" ht="19.7" customHeight="1">
      <c r="A2" s="36"/>
      <c r="B2" s="36"/>
      <c r="C2" s="36"/>
      <c r="D2" s="36"/>
      <c r="E2" s="36"/>
    </row>
    <row r="3" ht="22" customHeight="1">
      <c r="A3" t="s" s="164">
        <v>66</v>
      </c>
      <c r="B3" s="36"/>
      <c r="C3" s="36"/>
      <c r="D3" s="36"/>
      <c r="E3" s="36"/>
    </row>
    <row r="4" ht="22" customHeight="1">
      <c r="A4" t="s" s="164">
        <v>67</v>
      </c>
      <c r="B4" s="36"/>
      <c r="C4" s="36"/>
      <c r="D4" s="36"/>
      <c r="E4" s="36"/>
    </row>
    <row r="5" ht="19.7" customHeight="1">
      <c r="A5" s="36"/>
      <c r="B5" s="36"/>
      <c r="C5" s="36"/>
      <c r="D5" s="36"/>
      <c r="E5" s="36"/>
    </row>
    <row r="6" ht="22" customHeight="1">
      <c r="A6" t="s" s="165">
        <v>26</v>
      </c>
      <c r="B6" s="36"/>
      <c r="C6" s="36"/>
      <c r="D6" s="36"/>
      <c r="E6" s="36"/>
    </row>
    <row r="7" ht="19.7" customHeight="1">
      <c r="A7" t="s" s="166">
        <v>68</v>
      </c>
      <c r="B7" s="167">
        <v>391535.698669</v>
      </c>
      <c r="C7" s="36"/>
      <c r="D7" s="36"/>
      <c r="E7" s="36"/>
    </row>
    <row r="8" ht="19.7" customHeight="1">
      <c r="A8" t="s" s="166">
        <v>69</v>
      </c>
      <c r="B8" s="168">
        <f>B7/B19</f>
        <v>0.942719653331734</v>
      </c>
      <c r="C8" s="36"/>
      <c r="D8" s="36"/>
      <c r="E8" s="36"/>
    </row>
    <row r="9" ht="19.7" customHeight="1">
      <c r="A9" t="s" s="166">
        <v>70</v>
      </c>
      <c r="B9" s="169">
        <f>B10+B11*B12</f>
        <v>0.0796272</v>
      </c>
      <c r="C9" s="36"/>
      <c r="D9" s="36"/>
      <c r="E9" s="36"/>
    </row>
    <row r="10" ht="19.7" customHeight="1">
      <c r="A10" t="s" s="166">
        <v>71</v>
      </c>
      <c r="B10" s="169">
        <v>0.0371</v>
      </c>
      <c r="C10" s="36"/>
      <c r="D10" s="36"/>
      <c r="E10" s="36"/>
    </row>
    <row r="11" ht="19.7" customHeight="1">
      <c r="A11" t="s" s="166">
        <v>72</v>
      </c>
      <c r="B11" s="170">
        <v>0.901</v>
      </c>
      <c r="C11" s="36"/>
      <c r="D11" s="36"/>
      <c r="E11" s="36"/>
    </row>
    <row r="12" ht="19.7" customHeight="1">
      <c r="A12" t="s" s="171">
        <v>73</v>
      </c>
      <c r="B12" s="169">
        <v>0.0472</v>
      </c>
      <c r="C12" s="36"/>
      <c r="D12" s="36"/>
      <c r="E12" s="36"/>
    </row>
    <row r="13" ht="19.7" customHeight="1">
      <c r="A13" s="172"/>
      <c r="B13" s="36"/>
      <c r="C13" s="36"/>
      <c r="D13" s="36"/>
      <c r="E13" s="36"/>
    </row>
    <row r="14" ht="19.7" customHeight="1">
      <c r="A14" t="s" s="166">
        <v>74</v>
      </c>
      <c r="B14" s="167">
        <v>23790</v>
      </c>
      <c r="C14" s="36"/>
      <c r="D14" s="36"/>
      <c r="E14" s="36"/>
    </row>
    <row r="15" ht="19.7" customHeight="1">
      <c r="A15" t="s" s="166">
        <v>75</v>
      </c>
      <c r="B15" s="173">
        <f>B14/B7</f>
        <v>0.0607607430966641</v>
      </c>
      <c r="C15" s="36"/>
      <c r="D15" s="36"/>
      <c r="E15" s="36"/>
    </row>
    <row r="16" ht="19.7" customHeight="1">
      <c r="A16" t="s" s="166">
        <v>76</v>
      </c>
      <c r="B16" s="174">
        <v>0.0245</v>
      </c>
      <c r="C16" s="36"/>
      <c r="D16" s="36"/>
      <c r="E16" s="36"/>
    </row>
    <row r="17" ht="19.7" customHeight="1">
      <c r="A17" t="s" s="166">
        <v>77</v>
      </c>
      <c r="B17" s="173">
        <v>0.19</v>
      </c>
      <c r="C17" s="36"/>
      <c r="D17" s="36"/>
      <c r="E17" s="36"/>
    </row>
    <row r="18" ht="19.7" customHeight="1">
      <c r="A18" s="172"/>
      <c r="B18" s="167"/>
      <c r="C18" s="36"/>
      <c r="D18" s="36"/>
      <c r="E18" s="36"/>
    </row>
    <row r="19" ht="19.7" customHeight="1">
      <c r="A19" t="s" s="166">
        <v>78</v>
      </c>
      <c r="B19" s="167">
        <f>B7+B14</f>
        <v>415325.698669</v>
      </c>
      <c r="C19" s="36"/>
      <c r="D19" s="36"/>
      <c r="E19" s="36"/>
    </row>
    <row r="20" ht="19.7" customHeight="1">
      <c r="A20" s="172"/>
      <c r="B20" s="36"/>
      <c r="C20" s="36"/>
      <c r="D20" s="36"/>
      <c r="E20" s="36"/>
    </row>
    <row r="21" ht="19.7" customHeight="1">
      <c r="A21" t="s" s="166">
        <v>26</v>
      </c>
      <c r="B21" s="169">
        <f>(B8*B9)+(B15*B16*(1-B17))</f>
        <v>0.07627192332652991</v>
      </c>
      <c r="C21" s="36"/>
      <c r="D21" s="36"/>
      <c r="E21" s="3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