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Pepsi/"/>
    </mc:Choice>
  </mc:AlternateContent>
  <xr:revisionPtr revIDLastSave="0" documentId="13_ncr:1_{7E28DCA9-48CD-904B-8655-C7864B066235}" xr6:coauthVersionLast="47" xr6:coauthVersionMax="47" xr10:uidLastSave="{00000000-0000-0000-0000-000000000000}"/>
  <bookViews>
    <workbookView xWindow="28900" yWindow="500" windowWidth="24180" windowHeight="19540" xr2:uid="{D55A4B92-D753-A24A-82ED-4EAA626EE3F7}"/>
  </bookViews>
  <sheets>
    <sheet name="PEP_DCF" sheetId="1" r:id="rId1"/>
    <sheet name="PEP_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6" i="1" l="1"/>
  <c r="F76" i="1"/>
  <c r="E76" i="1"/>
  <c r="D76" i="1"/>
  <c r="C76" i="1"/>
  <c r="G69" i="1"/>
  <c r="F69" i="1"/>
  <c r="E69" i="1"/>
  <c r="D69" i="1"/>
  <c r="C69" i="1"/>
  <c r="G62" i="1"/>
  <c r="F62" i="1"/>
  <c r="E62" i="1"/>
  <c r="D62" i="1"/>
  <c r="C62" i="1"/>
  <c r="G55" i="1"/>
  <c r="F55" i="1"/>
  <c r="E55" i="1"/>
  <c r="D55" i="1"/>
  <c r="C55" i="1"/>
  <c r="G48" i="1"/>
  <c r="F48" i="1"/>
  <c r="E48" i="1"/>
  <c r="D48" i="1"/>
  <c r="C48" i="1"/>
  <c r="G41" i="1"/>
  <c r="F41" i="1"/>
  <c r="E41" i="1"/>
  <c r="D41" i="1"/>
  <c r="C41" i="1"/>
  <c r="L142" i="1"/>
  <c r="L21" i="1"/>
  <c r="F21" i="1"/>
  <c r="C24" i="1" s="1"/>
  <c r="I20" i="1"/>
  <c r="L20" i="1" s="1"/>
  <c r="D21" i="2"/>
  <c r="D17" i="2"/>
  <c r="D11" i="2"/>
  <c r="D10" i="2"/>
  <c r="F130" i="1"/>
  <c r="D130" i="1"/>
  <c r="G127" i="1"/>
  <c r="F127" i="1"/>
  <c r="E127" i="1"/>
  <c r="D127" i="1"/>
  <c r="C127" i="1"/>
  <c r="C125" i="1"/>
  <c r="F123" i="1"/>
  <c r="F125" i="1" s="1"/>
  <c r="E123" i="1"/>
  <c r="D123" i="1"/>
  <c r="C123" i="1"/>
  <c r="C118" i="1"/>
  <c r="F117" i="1"/>
  <c r="F118" i="1" s="1"/>
  <c r="E117" i="1"/>
  <c r="E118" i="1" s="1"/>
  <c r="D117" i="1"/>
  <c r="D118" i="1" s="1"/>
  <c r="C117" i="1"/>
  <c r="L113" i="1"/>
  <c r="L112" i="1" s="1"/>
  <c r="L114" i="1"/>
  <c r="L115" i="1" s="1"/>
  <c r="F111" i="1"/>
  <c r="E111" i="1"/>
  <c r="D111" i="1"/>
  <c r="C111" i="1"/>
  <c r="G102" i="1"/>
  <c r="G130" i="1" s="1"/>
  <c r="G99" i="1"/>
  <c r="G95" i="1"/>
  <c r="G123" i="1" s="1"/>
  <c r="F102" i="1"/>
  <c r="F97" i="1"/>
  <c r="E102" i="1"/>
  <c r="D102" i="1"/>
  <c r="C102" i="1"/>
  <c r="C130" i="1" s="1"/>
  <c r="D100" i="1"/>
  <c r="E97" i="1"/>
  <c r="D97" i="1"/>
  <c r="C97" i="1"/>
  <c r="E91" i="1"/>
  <c r="G91" i="1" s="1"/>
  <c r="G90" i="1" s="1"/>
  <c r="G117" i="1" s="1"/>
  <c r="D91" i="1"/>
  <c r="C91" i="1"/>
  <c r="F91" i="1"/>
  <c r="G87" i="1"/>
  <c r="G111" i="1" s="1"/>
  <c r="D84" i="1"/>
  <c r="D88" i="1" s="1"/>
  <c r="C84" i="1"/>
  <c r="C100" i="1" s="1"/>
  <c r="L74" i="1"/>
  <c r="L67" i="1"/>
  <c r="L68" i="1" s="1"/>
  <c r="L61" i="1"/>
  <c r="L59" i="1"/>
  <c r="L60" i="1"/>
  <c r="L53" i="1"/>
  <c r="L54" i="1" s="1"/>
  <c r="L46" i="1"/>
  <c r="L47" i="1" s="1"/>
  <c r="L39" i="1"/>
  <c r="L40" i="1" s="1"/>
  <c r="F79" i="1"/>
  <c r="F34" i="1" s="1"/>
  <c r="E79" i="1"/>
  <c r="E34" i="1" s="1"/>
  <c r="D79" i="1"/>
  <c r="C79" i="1"/>
  <c r="D80" i="1" s="1"/>
  <c r="L32" i="1"/>
  <c r="L31" i="1" s="1"/>
  <c r="L30" i="1" s="1"/>
  <c r="G71" i="1"/>
  <c r="G64" i="1"/>
  <c r="G65" i="1" s="1"/>
  <c r="G57" i="1"/>
  <c r="G58" i="1" s="1"/>
  <c r="G50" i="1"/>
  <c r="G51" i="1" s="1"/>
  <c r="G43" i="1"/>
  <c r="G44" i="1" s="1"/>
  <c r="G36" i="1"/>
  <c r="G37" i="1" s="1"/>
  <c r="G29" i="1"/>
  <c r="G30" i="1" s="1"/>
  <c r="F72" i="1"/>
  <c r="E72" i="1"/>
  <c r="D72" i="1"/>
  <c r="F65" i="1"/>
  <c r="E65" i="1"/>
  <c r="D65" i="1"/>
  <c r="F58" i="1"/>
  <c r="E58" i="1"/>
  <c r="D58" i="1"/>
  <c r="F51" i="1"/>
  <c r="E51" i="1"/>
  <c r="D51" i="1"/>
  <c r="F44" i="1"/>
  <c r="E44" i="1"/>
  <c r="D44" i="1"/>
  <c r="F37" i="1"/>
  <c r="E37" i="1"/>
  <c r="D37" i="1"/>
  <c r="F30" i="1"/>
  <c r="E30" i="1"/>
  <c r="D30" i="1"/>
  <c r="D34" i="1"/>
  <c r="B71" i="1"/>
  <c r="B64" i="1"/>
  <c r="B57" i="1"/>
  <c r="B50" i="1"/>
  <c r="B43" i="1"/>
  <c r="B36" i="1"/>
  <c r="B29" i="1"/>
  <c r="I3" i="1" a="1"/>
  <c r="I3" i="1" s="1"/>
  <c r="G118" i="1" l="1"/>
  <c r="C112" i="1"/>
  <c r="H118" i="1"/>
  <c r="I118" i="1" s="1"/>
  <c r="G125" i="1"/>
  <c r="D128" i="1"/>
  <c r="H60" i="1"/>
  <c r="H59" i="1" s="1"/>
  <c r="H58" i="1" s="1"/>
  <c r="H57" i="1" s="1"/>
  <c r="D85" i="1"/>
  <c r="C96" i="1"/>
  <c r="C108" i="1"/>
  <c r="C124" i="1" s="1"/>
  <c r="E84" i="1"/>
  <c r="C88" i="1"/>
  <c r="G88" i="1"/>
  <c r="H91" i="1"/>
  <c r="I91" i="1" s="1"/>
  <c r="J91" i="1" s="1"/>
  <c r="K91" i="1" s="1"/>
  <c r="L91" i="1" s="1"/>
  <c r="D96" i="1"/>
  <c r="D103" i="1"/>
  <c r="G96" i="1"/>
  <c r="D108" i="1"/>
  <c r="D125" i="1"/>
  <c r="F20" i="1"/>
  <c r="C23" i="1" s="1"/>
  <c r="H53" i="1"/>
  <c r="H54" i="1" s="1"/>
  <c r="L33" i="1"/>
  <c r="C103" i="1"/>
  <c r="E130" i="1"/>
  <c r="L52" i="1"/>
  <c r="L51" i="1" s="1"/>
  <c r="H32" i="1"/>
  <c r="H46" i="1"/>
  <c r="H45" i="1" s="1"/>
  <c r="H44" i="1" s="1"/>
  <c r="H43" i="1" s="1"/>
  <c r="L38" i="1"/>
  <c r="L37" i="1" s="1"/>
  <c r="L66" i="1"/>
  <c r="L65" i="1" s="1"/>
  <c r="F84" i="1"/>
  <c r="G97" i="1"/>
  <c r="E125" i="1"/>
  <c r="D23" i="2"/>
  <c r="I46" i="1"/>
  <c r="J46" i="1" s="1"/>
  <c r="K46" i="1" s="1"/>
  <c r="H47" i="1"/>
  <c r="H67" i="1"/>
  <c r="G79" i="1"/>
  <c r="G84" i="1" s="1"/>
  <c r="L45" i="1"/>
  <c r="L44" i="1" s="1"/>
  <c r="G72" i="1"/>
  <c r="H74" i="1" s="1"/>
  <c r="I74" i="1" s="1"/>
  <c r="J74" i="1" s="1"/>
  <c r="K74" i="1" s="1"/>
  <c r="C34" i="1"/>
  <c r="I53" i="1"/>
  <c r="H52" i="1"/>
  <c r="H51" i="1" s="1"/>
  <c r="H50" i="1" s="1"/>
  <c r="H61" i="1"/>
  <c r="H39" i="1"/>
  <c r="I60" i="1"/>
  <c r="H33" i="1"/>
  <c r="I32" i="1"/>
  <c r="H31" i="1"/>
  <c r="H30" i="1" s="1"/>
  <c r="H29" i="1" s="1"/>
  <c r="E80" i="1"/>
  <c r="F80" i="1"/>
  <c r="J118" i="1" l="1"/>
  <c r="G108" i="1"/>
  <c r="G85" i="1"/>
  <c r="G100" i="1"/>
  <c r="F85" i="1"/>
  <c r="F88" i="1"/>
  <c r="F108" i="1"/>
  <c r="F103" i="1"/>
  <c r="F100" i="1"/>
  <c r="F96" i="1"/>
  <c r="D109" i="1"/>
  <c r="D112" i="1"/>
  <c r="E108" i="1"/>
  <c r="E96" i="1"/>
  <c r="H96" i="1" s="1"/>
  <c r="E88" i="1"/>
  <c r="H88" i="1" s="1"/>
  <c r="E85" i="1"/>
  <c r="E100" i="1"/>
  <c r="C128" i="1"/>
  <c r="C131" i="1"/>
  <c r="G103" i="1"/>
  <c r="D131" i="1"/>
  <c r="D124" i="1"/>
  <c r="E103" i="1"/>
  <c r="K118" i="1"/>
  <c r="L118" i="1" s="1"/>
  <c r="H75" i="1"/>
  <c r="H73" i="1"/>
  <c r="H72" i="1" s="1"/>
  <c r="H71" i="1" s="1"/>
  <c r="J60" i="1"/>
  <c r="I59" i="1"/>
  <c r="I61" i="1"/>
  <c r="H40" i="1"/>
  <c r="H38" i="1"/>
  <c r="H37" i="1" s="1"/>
  <c r="H36" i="1" s="1"/>
  <c r="I39" i="1"/>
  <c r="I54" i="1"/>
  <c r="I52" i="1"/>
  <c r="I51" i="1" s="1"/>
  <c r="I50" i="1" s="1"/>
  <c r="J53" i="1"/>
  <c r="H68" i="1"/>
  <c r="H66" i="1"/>
  <c r="H65" i="1" s="1"/>
  <c r="H64" i="1" s="1"/>
  <c r="I67" i="1"/>
  <c r="I47" i="1"/>
  <c r="I45" i="1"/>
  <c r="I44" i="1" s="1"/>
  <c r="I43" i="1" s="1"/>
  <c r="I31" i="1"/>
  <c r="I33" i="1"/>
  <c r="J32" i="1"/>
  <c r="G80" i="1"/>
  <c r="G34" i="1"/>
  <c r="I73" i="1"/>
  <c r="I72" i="1" s="1"/>
  <c r="I75" i="1"/>
  <c r="I58" i="1"/>
  <c r="I57" i="1" s="1"/>
  <c r="I96" i="1" l="1"/>
  <c r="I88" i="1"/>
  <c r="K88" i="1" s="1"/>
  <c r="G109" i="1"/>
  <c r="G124" i="1"/>
  <c r="G131" i="1"/>
  <c r="G128" i="1"/>
  <c r="G112" i="1"/>
  <c r="H100" i="1"/>
  <c r="E109" i="1"/>
  <c r="E128" i="1"/>
  <c r="E112" i="1"/>
  <c r="E124" i="1"/>
  <c r="I100" i="1"/>
  <c r="E131" i="1"/>
  <c r="J100" i="1"/>
  <c r="I71" i="1"/>
  <c r="H103" i="1"/>
  <c r="I103" i="1" s="1"/>
  <c r="F109" i="1"/>
  <c r="F131" i="1"/>
  <c r="F112" i="1"/>
  <c r="F128" i="1"/>
  <c r="F124" i="1"/>
  <c r="J88" i="1"/>
  <c r="H79" i="1"/>
  <c r="H69" i="1" s="1"/>
  <c r="I40" i="1"/>
  <c r="I38" i="1"/>
  <c r="I37" i="1" s="1"/>
  <c r="I36" i="1" s="1"/>
  <c r="J39" i="1"/>
  <c r="I68" i="1"/>
  <c r="I66" i="1"/>
  <c r="I65" i="1" s="1"/>
  <c r="I64" i="1" s="1"/>
  <c r="J67" i="1"/>
  <c r="K53" i="1"/>
  <c r="J54" i="1"/>
  <c r="J52" i="1"/>
  <c r="J51" i="1" s="1"/>
  <c r="J50" i="1" s="1"/>
  <c r="K60" i="1"/>
  <c r="J59" i="1"/>
  <c r="J58" i="1" s="1"/>
  <c r="J57" i="1" s="1"/>
  <c r="J61" i="1"/>
  <c r="J47" i="1"/>
  <c r="J45" i="1"/>
  <c r="J44" i="1" s="1"/>
  <c r="J43" i="1" s="1"/>
  <c r="L75" i="1"/>
  <c r="L73" i="1"/>
  <c r="L72" i="1" s="1"/>
  <c r="K32" i="1"/>
  <c r="J31" i="1"/>
  <c r="J30" i="1" s="1"/>
  <c r="J33" i="1"/>
  <c r="I30" i="1"/>
  <c r="I29" i="1" s="1"/>
  <c r="J73" i="1"/>
  <c r="J72" i="1" s="1"/>
  <c r="J75" i="1"/>
  <c r="L58" i="1"/>
  <c r="H76" i="1" l="1"/>
  <c r="H55" i="1"/>
  <c r="H62" i="1"/>
  <c r="H41" i="1"/>
  <c r="H48" i="1"/>
  <c r="J71" i="1"/>
  <c r="L88" i="1"/>
  <c r="L100" i="1"/>
  <c r="L96" i="1"/>
  <c r="K100" i="1"/>
  <c r="J96" i="1"/>
  <c r="J103" i="1"/>
  <c r="H114" i="1"/>
  <c r="K96" i="1"/>
  <c r="H34" i="1"/>
  <c r="H84" i="1"/>
  <c r="H80" i="1"/>
  <c r="K67" i="1"/>
  <c r="J68" i="1"/>
  <c r="J66" i="1"/>
  <c r="J65" i="1" s="1"/>
  <c r="J64" i="1" s="1"/>
  <c r="K59" i="1"/>
  <c r="K61" i="1"/>
  <c r="K54" i="1"/>
  <c r="K52" i="1"/>
  <c r="K51" i="1" s="1"/>
  <c r="K50" i="1" s="1"/>
  <c r="K39" i="1"/>
  <c r="J40" i="1"/>
  <c r="J38" i="1"/>
  <c r="J37" i="1" s="1"/>
  <c r="J36" i="1" s="1"/>
  <c r="K47" i="1"/>
  <c r="K45" i="1"/>
  <c r="K44" i="1" s="1"/>
  <c r="K43" i="1" s="1"/>
  <c r="J29" i="1"/>
  <c r="I79" i="1"/>
  <c r="I69" i="1" s="1"/>
  <c r="K33" i="1"/>
  <c r="K31" i="1"/>
  <c r="K30" i="1" s="1"/>
  <c r="K75" i="1"/>
  <c r="K73" i="1"/>
  <c r="K72" i="1" s="1"/>
  <c r="K58" i="1"/>
  <c r="K57" i="1" s="1"/>
  <c r="I76" i="1" l="1"/>
  <c r="L57" i="1"/>
  <c r="I55" i="1"/>
  <c r="I62" i="1"/>
  <c r="L50" i="1"/>
  <c r="L43" i="1"/>
  <c r="I41" i="1"/>
  <c r="I48" i="1"/>
  <c r="K71" i="1"/>
  <c r="K103" i="1"/>
  <c r="L103" i="1" s="1"/>
  <c r="H115" i="1"/>
  <c r="I114" i="1"/>
  <c r="H113" i="1"/>
  <c r="H112" i="1" s="1"/>
  <c r="H102" i="1"/>
  <c r="H130" i="1" s="1"/>
  <c r="H108" i="1"/>
  <c r="H95" i="1"/>
  <c r="H123" i="1" s="1"/>
  <c r="H99" i="1"/>
  <c r="H127" i="1" s="1"/>
  <c r="H85" i="1"/>
  <c r="H87" i="1"/>
  <c r="I80" i="1"/>
  <c r="I84" i="1"/>
  <c r="K68" i="1"/>
  <c r="K66" i="1"/>
  <c r="K65" i="1" s="1"/>
  <c r="K64" i="1" s="1"/>
  <c r="J79" i="1"/>
  <c r="J69" i="1" s="1"/>
  <c r="K40" i="1"/>
  <c r="K38" i="1"/>
  <c r="K37" i="1" s="1"/>
  <c r="K36" i="1" s="1"/>
  <c r="K29" i="1"/>
  <c r="I34" i="1"/>
  <c r="L71" i="1" l="1"/>
  <c r="J76" i="1"/>
  <c r="L64" i="1"/>
  <c r="J55" i="1"/>
  <c r="J62" i="1"/>
  <c r="J41" i="1"/>
  <c r="J48" i="1"/>
  <c r="L36" i="1"/>
  <c r="I115" i="1"/>
  <c r="J114" i="1"/>
  <c r="I113" i="1"/>
  <c r="I112" i="1" s="1"/>
  <c r="H128" i="1"/>
  <c r="H131" i="1"/>
  <c r="H125" i="1"/>
  <c r="H124" i="1"/>
  <c r="H109" i="1"/>
  <c r="H111" i="1"/>
  <c r="H90" i="1"/>
  <c r="I102" i="1"/>
  <c r="I130" i="1" s="1"/>
  <c r="I108" i="1"/>
  <c r="I95" i="1"/>
  <c r="I123" i="1" s="1"/>
  <c r="I99" i="1"/>
  <c r="I127" i="1" s="1"/>
  <c r="H97" i="1"/>
  <c r="I85" i="1"/>
  <c r="I87" i="1"/>
  <c r="J34" i="1"/>
  <c r="J84" i="1"/>
  <c r="J80" i="1"/>
  <c r="K79" i="1"/>
  <c r="K69" i="1" s="1"/>
  <c r="L29" i="1"/>
  <c r="K76" i="1" l="1"/>
  <c r="K55" i="1"/>
  <c r="K62" i="1"/>
  <c r="K41" i="1"/>
  <c r="K48" i="1"/>
  <c r="L79" i="1"/>
  <c r="L69" i="1" s="1"/>
  <c r="K114" i="1"/>
  <c r="J113" i="1"/>
  <c r="J112" i="1" s="1"/>
  <c r="J115" i="1"/>
  <c r="I131" i="1"/>
  <c r="I128" i="1"/>
  <c r="I124" i="1"/>
  <c r="I125" i="1"/>
  <c r="H117" i="1"/>
  <c r="H121" i="1" s="1"/>
  <c r="H134" i="1" s="1"/>
  <c r="H135" i="1" s="1"/>
  <c r="I109" i="1"/>
  <c r="I111" i="1"/>
  <c r="I90" i="1"/>
  <c r="J102" i="1"/>
  <c r="J130" i="1" s="1"/>
  <c r="J108" i="1"/>
  <c r="J95" i="1"/>
  <c r="J123" i="1" s="1"/>
  <c r="J99" i="1"/>
  <c r="J127" i="1" s="1"/>
  <c r="I97" i="1"/>
  <c r="J85" i="1"/>
  <c r="J87" i="1"/>
  <c r="K80" i="1"/>
  <c r="K84" i="1"/>
  <c r="K34" i="1"/>
  <c r="L76" i="1" l="1"/>
  <c r="L80" i="1"/>
  <c r="L55" i="1"/>
  <c r="L62" i="1"/>
  <c r="L84" i="1"/>
  <c r="L85" i="1" s="1"/>
  <c r="L48" i="1"/>
  <c r="L34" i="1"/>
  <c r="L41" i="1"/>
  <c r="J128" i="1"/>
  <c r="K115" i="1"/>
  <c r="K113" i="1"/>
  <c r="K112" i="1" s="1"/>
  <c r="J131" i="1"/>
  <c r="J125" i="1"/>
  <c r="J124" i="1"/>
  <c r="I117" i="1"/>
  <c r="I121" i="1" s="1"/>
  <c r="I134" i="1" s="1"/>
  <c r="I135" i="1" s="1"/>
  <c r="J109" i="1"/>
  <c r="J111" i="1"/>
  <c r="J90" i="1"/>
  <c r="K102" i="1"/>
  <c r="K130" i="1" s="1"/>
  <c r="K108" i="1"/>
  <c r="K95" i="1"/>
  <c r="K123" i="1" s="1"/>
  <c r="K99" i="1"/>
  <c r="K127" i="1" s="1"/>
  <c r="J97" i="1"/>
  <c r="K85" i="1"/>
  <c r="K87" i="1"/>
  <c r="L99" i="1" l="1"/>
  <c r="L127" i="1" s="1"/>
  <c r="L108" i="1"/>
  <c r="L111" i="1" s="1"/>
  <c r="L117" i="1" s="1"/>
  <c r="L121" i="1" s="1"/>
  <c r="L102" i="1"/>
  <c r="L130" i="1" s="1"/>
  <c r="L87" i="1"/>
  <c r="L90" i="1" s="1"/>
  <c r="L95" i="1"/>
  <c r="L123" i="1" s="1"/>
  <c r="K111" i="1"/>
  <c r="K117" i="1" s="1"/>
  <c r="K121" i="1" s="1"/>
  <c r="K134" i="1" s="1"/>
  <c r="K135" i="1" s="1"/>
  <c r="K131" i="1"/>
  <c r="K128" i="1"/>
  <c r="K125" i="1"/>
  <c r="K124" i="1"/>
  <c r="J117" i="1"/>
  <c r="J121" i="1" s="1"/>
  <c r="J134" i="1" s="1"/>
  <c r="J135" i="1" s="1"/>
  <c r="K90" i="1"/>
  <c r="K109" i="1"/>
  <c r="K97" i="1"/>
  <c r="L109" i="1" l="1"/>
  <c r="L125" i="1"/>
  <c r="L131" i="1"/>
  <c r="L134" i="1"/>
  <c r="L137" i="1" s="1"/>
  <c r="L138" i="1" s="1"/>
  <c r="L97" i="1"/>
  <c r="L124" i="1"/>
  <c r="L128" i="1"/>
  <c r="L135" i="1" l="1"/>
  <c r="L140" i="1" s="1"/>
  <c r="L143" i="1" s="1"/>
  <c r="L145" i="1" s="1"/>
  <c r="I4" i="1" s="1"/>
  <c r="M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<sst xmlns="http://schemas.openxmlformats.org/spreadsheetml/2006/main" count="125" uniqueCount="64">
  <si>
    <t xml:space="preserve">Ticker </t>
  </si>
  <si>
    <t>Date</t>
  </si>
  <si>
    <t>PEP</t>
  </si>
  <si>
    <t xml:space="preserve">Current Share Price </t>
  </si>
  <si>
    <t xml:space="preserve">Implied Share Price </t>
  </si>
  <si>
    <t xml:space="preserve">Upside/Downside </t>
  </si>
  <si>
    <t>X</t>
  </si>
  <si>
    <t xml:space="preserve">Assumptions </t>
  </si>
  <si>
    <t xml:space="preserve">Conservative </t>
  </si>
  <si>
    <t>Base</t>
  </si>
  <si>
    <t>Optimistic</t>
  </si>
  <si>
    <t>FLNA</t>
  </si>
  <si>
    <t>QFNA</t>
  </si>
  <si>
    <t>PBNA</t>
  </si>
  <si>
    <t>LatAm</t>
  </si>
  <si>
    <t>Europe</t>
  </si>
  <si>
    <t>AMESA</t>
  </si>
  <si>
    <t>APAC</t>
  </si>
  <si>
    <t>Switches</t>
  </si>
  <si>
    <t xml:space="preserve">Segment </t>
  </si>
  <si>
    <t>Revenue Build</t>
  </si>
  <si>
    <t>EBIT</t>
  </si>
  <si>
    <t>WACC</t>
  </si>
  <si>
    <t>TGV</t>
  </si>
  <si>
    <t xml:space="preserve">% Growth </t>
  </si>
  <si>
    <t xml:space="preserve"> Conservative </t>
  </si>
  <si>
    <t xml:space="preserve"> Base</t>
  </si>
  <si>
    <t xml:space="preserve"> Optimistic</t>
  </si>
  <si>
    <t xml:space="preserve">% of Revenue </t>
  </si>
  <si>
    <t>Total Revenue</t>
  </si>
  <si>
    <t>Revenue</t>
  </si>
  <si>
    <t>% of Revenue</t>
  </si>
  <si>
    <t>Taxes</t>
  </si>
  <si>
    <t xml:space="preserve">% of EBIT </t>
  </si>
  <si>
    <t xml:space="preserve">Cash Flow Items </t>
  </si>
  <si>
    <t>Income Statement</t>
  </si>
  <si>
    <t xml:space="preserve">D&amp;A </t>
  </si>
  <si>
    <t>% of CapEx</t>
  </si>
  <si>
    <t>Capital Expenditures</t>
  </si>
  <si>
    <t xml:space="preserve">Change in Net Working Capital </t>
  </si>
  <si>
    <t>DCF</t>
  </si>
  <si>
    <t>EBIAT</t>
  </si>
  <si>
    <t xml:space="preserve">Unlevered Free Cash Flow </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</si>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</sst>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9" formatCode="[$$-409]#,##0.00_);\([$$-409]#,##0.00\)"/>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auto="1"/>
      </top>
      <bottom/>
      <diagonal/>
    </border>
  </borders>
  <cellStyleXfs count="1">
    <xf numFmtId="0" fontId="0" fillId="0" borderId="0"/>
  </cellStyleXfs>
  <cellXfs count="25">
    <xf numFmtId="0" fontId="0" fillId="0" borderId="0" xfId="0"/>
    <xf numFmtId="0" fontId="0" fillId="2" borderId="1" xfId="0" applyFill="1" applyBorder="1"/>
    <xf numFmtId="14" fontId="0" fillId="2" borderId="1" xfId="0" applyNumberFormat="1" applyFill="1" applyBorder="1"/>
    <xf numFmtId="164" fontId="0" fillId="2" borderId="1" xfId="0" applyNumberFormat="1" applyFill="1" applyBorder="1"/>
    <xf numFmtId="0" fontId="0" fillId="0" borderId="0" xfId="0" applyAlignment="1">
      <alignment horizontal="center" vertical="center"/>
    </xf>
    <xf numFmtId="0" fontId="2" fillId="3" borderId="0" xfId="0" applyFont="1" applyFill="1"/>
    <xf numFmtId="0" fontId="1" fillId="0" borderId="0" xfId="0" applyFont="1"/>
    <xf numFmtId="0" fontId="1" fillId="0" borderId="0" xfId="0" applyFont="1" applyFill="1" applyBorder="1"/>
    <xf numFmtId="9" fontId="0" fillId="2" borderId="1" xfId="0" applyNumberFormat="1" applyFill="1" applyBorder="1"/>
    <xf numFmtId="0" fontId="3" fillId="0" borderId="0" xfId="0" applyFont="1"/>
    <xf numFmtId="0" fontId="0" fillId="0" borderId="2" xfId="0" applyBorder="1"/>
    <xf numFmtId="0" fontId="3" fillId="0" borderId="0" xfId="0" applyFont="1" applyFill="1" applyBorder="1"/>
    <xf numFmtId="10" fontId="0" fillId="0" borderId="0" xfId="0" applyNumberFormat="1"/>
    <xf numFmtId="37" fontId="0" fillId="0" borderId="0" xfId="0" applyNumberFormat="1"/>
    <xf numFmtId="37" fontId="1" fillId="0" borderId="0" xfId="0" applyNumberFormat="1" applyFont="1"/>
    <xf numFmtId="10" fontId="3" fillId="0" borderId="0" xfId="0" applyNumberFormat="1" applyFont="1"/>
    <xf numFmtId="10" fontId="0" fillId="2" borderId="1" xfId="0" applyNumberFormat="1" applyFill="1" applyBorder="1"/>
    <xf numFmtId="0" fontId="4" fillId="0" borderId="0" xfId="0" applyFont="1"/>
    <xf numFmtId="0" fontId="5" fillId="0" borderId="0" xfId="0" applyFont="1"/>
    <xf numFmtId="0" fontId="6" fillId="3" borderId="0" xfId="0" applyFont="1" applyFill="1"/>
    <xf numFmtId="0" fontId="7" fillId="0" borderId="0" xfId="0" applyFont="1"/>
    <xf numFmtId="3" fontId="0" fillId="0" borderId="0" xfId="0" applyNumberFormat="1"/>
    <xf numFmtId="2" fontId="0" fillId="0" borderId="0" xfId="0" applyNumberFormat="1"/>
    <xf numFmtId="9" fontId="0" fillId="0" borderId="0" xfId="0" applyNumberFormat="1"/>
    <xf numFmtId="16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en-GB</v>
    <v>axyhnm</v>
    <v>268435456</v>
    <v>1</v>
    <v>Powered by Refinitiv</v>
    <v>186.84</v>
    <v>153.37</v>
    <v>0.58850000000000002</v>
    <v>-0.56000000000000005</v>
    <v>-3.2810000000000001E-3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170.67</v>
    <v>Beverages</v>
    <v>Stock</v>
    <v>44951.627744443751</v>
    <v>0</v>
    <v>169.89</v>
    <v>234389632170</v>
    <v>PEPSICO, INC.</v>
    <v>PEPSICO, INC.</v>
    <v>170.34</v>
    <v>24.208200000000001</v>
    <v>170.69</v>
    <v>170.13</v>
    <v>1377709000</v>
    <v>PEP</v>
    <v>PEPSICO, INC. (XNAS:PEP)</v>
    <v>472799</v>
    <v>4537754</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841E2-EE5E-4047-A7B0-964322CAE2D6}">
  <dimension ref="A3:M145"/>
  <sheetViews>
    <sheetView showGridLines="0" tabSelected="1" zoomScale="130" zoomScaleNormal="130" workbookViewId="0">
      <pane xSplit="2" topLeftCell="C1" activePane="topRight" state="frozen"/>
      <selection pane="topRight" activeCell="F133" sqref="F133"/>
    </sheetView>
  </sheetViews>
  <sheetFormatPr baseColWidth="10" defaultRowHeight="16" x14ac:dyDescent="0.2"/>
  <cols>
    <col min="1" max="1" width="3.5" customWidth="1"/>
    <col min="2" max="2" width="29.83203125" customWidth="1"/>
    <col min="9" max="9" width="10.83203125" customWidth="1"/>
  </cols>
  <sheetData>
    <row r="3" spans="1:13" x14ac:dyDescent="0.2">
      <c r="C3" t="s">
        <v>0</v>
      </c>
      <c r="D3" s="1" t="e" vm="1">
        <v>#VALUE!</v>
      </c>
      <c r="G3" t="s">
        <v>3</v>
      </c>
      <c r="I3" s="3" cm="1">
        <f t="array" ref="I3">_FV(D3,"Price")</f>
        <v>170.13</v>
      </c>
    </row>
    <row r="4" spans="1:13" x14ac:dyDescent="0.2">
      <c r="C4" t="s">
        <v>1</v>
      </c>
      <c r="D4" s="2">
        <v>44950</v>
      </c>
      <c r="G4" t="s">
        <v>4</v>
      </c>
      <c r="I4" s="24">
        <f ca="1">L145</f>
        <v>171.07097499932283</v>
      </c>
      <c r="K4" t="s">
        <v>5</v>
      </c>
      <c r="M4" s="16">
        <f ca="1">I4/I3-1</f>
        <v>5.5309175296704982E-3</v>
      </c>
    </row>
    <row r="7" spans="1:13" x14ac:dyDescent="0.2">
      <c r="A7" s="4" t="s">
        <v>6</v>
      </c>
      <c r="B7" s="5" t="s">
        <v>7</v>
      </c>
      <c r="C7" s="5"/>
      <c r="D7" s="5"/>
      <c r="E7" s="5"/>
      <c r="F7" s="5"/>
      <c r="G7" s="5"/>
      <c r="H7" s="5"/>
      <c r="I7" s="5"/>
      <c r="J7" s="5"/>
      <c r="K7" s="5"/>
      <c r="L7" s="5"/>
    </row>
    <row r="9" spans="1:13" x14ac:dyDescent="0.2">
      <c r="B9" s="6" t="s">
        <v>19</v>
      </c>
      <c r="C9" s="6" t="s">
        <v>18</v>
      </c>
      <c r="F9" s="6" t="s">
        <v>8</v>
      </c>
      <c r="G9" s="6"/>
      <c r="H9" s="6"/>
      <c r="I9" s="6" t="s">
        <v>9</v>
      </c>
      <c r="J9" s="6"/>
      <c r="K9" s="6"/>
      <c r="L9" s="6" t="s">
        <v>10</v>
      </c>
    </row>
    <row r="11" spans="1:13" x14ac:dyDescent="0.2">
      <c r="B11" s="6" t="s">
        <v>11</v>
      </c>
      <c r="C11" s="1">
        <v>2</v>
      </c>
      <c r="F11" s="8">
        <v>0.9</v>
      </c>
      <c r="I11" s="8">
        <v>0.03</v>
      </c>
      <c r="L11" s="8">
        <v>1.1000000000000001</v>
      </c>
    </row>
    <row r="12" spans="1:13" x14ac:dyDescent="0.2">
      <c r="B12" s="6" t="s">
        <v>12</v>
      </c>
      <c r="C12" s="1">
        <v>2</v>
      </c>
      <c r="F12" s="8">
        <v>0.9</v>
      </c>
      <c r="I12" s="8">
        <v>7.4999999999999997E-3</v>
      </c>
      <c r="L12" s="8">
        <v>1.1000000000000001</v>
      </c>
    </row>
    <row r="13" spans="1:13" x14ac:dyDescent="0.2">
      <c r="B13" s="6" t="s">
        <v>13</v>
      </c>
      <c r="C13" s="1">
        <v>2</v>
      </c>
      <c r="F13" s="8">
        <v>0.9</v>
      </c>
      <c r="I13" s="8">
        <v>0.03</v>
      </c>
      <c r="L13" s="8">
        <v>1.1000000000000001</v>
      </c>
    </row>
    <row r="14" spans="1:13" x14ac:dyDescent="0.2">
      <c r="B14" s="6" t="s">
        <v>14</v>
      </c>
      <c r="C14" s="1">
        <v>2</v>
      </c>
      <c r="F14" s="8">
        <v>0.9</v>
      </c>
      <c r="I14" s="8">
        <v>0.03</v>
      </c>
      <c r="L14" s="8">
        <v>1.1000000000000001</v>
      </c>
    </row>
    <row r="15" spans="1:13" x14ac:dyDescent="0.2">
      <c r="B15" s="6" t="s">
        <v>15</v>
      </c>
      <c r="C15" s="1">
        <v>2</v>
      </c>
      <c r="F15" s="8">
        <v>0.9</v>
      </c>
      <c r="I15" s="8">
        <v>2.5000000000000001E-2</v>
      </c>
      <c r="L15" s="8">
        <v>1.1000000000000001</v>
      </c>
    </row>
    <row r="16" spans="1:13" x14ac:dyDescent="0.2">
      <c r="B16" s="6" t="s">
        <v>16</v>
      </c>
      <c r="C16" s="1">
        <v>2</v>
      </c>
      <c r="F16" s="8">
        <v>0.9</v>
      </c>
      <c r="I16" s="8">
        <v>0.15</v>
      </c>
      <c r="L16" s="8">
        <v>1.1000000000000001</v>
      </c>
    </row>
    <row r="17" spans="1:12" x14ac:dyDescent="0.2">
      <c r="B17" s="6" t="s">
        <v>17</v>
      </c>
      <c r="C17" s="1">
        <v>2</v>
      </c>
      <c r="F17" s="8">
        <v>0.9</v>
      </c>
      <c r="I17" s="8">
        <v>0.1</v>
      </c>
      <c r="L17" s="8">
        <v>1.1000000000000001</v>
      </c>
    </row>
    <row r="19" spans="1:12" x14ac:dyDescent="0.2">
      <c r="B19" s="7" t="s">
        <v>21</v>
      </c>
      <c r="C19" s="1">
        <v>3</v>
      </c>
      <c r="F19" s="8">
        <v>0.95</v>
      </c>
      <c r="I19" s="8">
        <v>0.15</v>
      </c>
      <c r="L19" s="8">
        <v>1.05</v>
      </c>
    </row>
    <row r="20" spans="1:12" x14ac:dyDescent="0.2">
      <c r="B20" s="7" t="s">
        <v>22</v>
      </c>
      <c r="C20" s="1">
        <v>2</v>
      </c>
      <c r="F20" s="16">
        <f>I20+0.005</f>
        <v>6.741226426782472E-2</v>
      </c>
      <c r="I20" s="16">
        <f>PEP_WACC!D23</f>
        <v>6.2412264267824716E-2</v>
      </c>
      <c r="L20" s="16">
        <f>I20-0.005</f>
        <v>5.7412264267824718E-2</v>
      </c>
    </row>
    <row r="21" spans="1:12" x14ac:dyDescent="0.2">
      <c r="B21" s="7" t="s">
        <v>23</v>
      </c>
      <c r="C21" s="1">
        <v>2</v>
      </c>
      <c r="F21" s="16">
        <f>I21-0.005</f>
        <v>1.4999999999999999E-2</v>
      </c>
      <c r="I21" s="16">
        <v>0.02</v>
      </c>
      <c r="L21" s="16">
        <f>I21+0.005</f>
        <v>2.5000000000000001E-2</v>
      </c>
    </row>
    <row r="22" spans="1:12" x14ac:dyDescent="0.2">
      <c r="B22" s="7"/>
    </row>
    <row r="23" spans="1:12" x14ac:dyDescent="0.2">
      <c r="B23" s="7" t="s">
        <v>22</v>
      </c>
      <c r="C23" s="16">
        <f>CHOOSE(C20,F20,I20,L20)</f>
        <v>6.2412264267824716E-2</v>
      </c>
    </row>
    <row r="24" spans="1:12" x14ac:dyDescent="0.2">
      <c r="B24" s="7" t="s">
        <v>23</v>
      </c>
      <c r="C24" s="16">
        <f>CHOOSE(C21,F21,I21,L21)</f>
        <v>0.02</v>
      </c>
    </row>
    <row r="27" spans="1:12" x14ac:dyDescent="0.2">
      <c r="A27" s="4" t="s">
        <v>6</v>
      </c>
      <c r="B27" s="5" t="s">
        <v>20</v>
      </c>
      <c r="C27" s="5">
        <v>2018</v>
      </c>
      <c r="D27" s="5">
        <v>2019</v>
      </c>
      <c r="E27" s="5">
        <v>2020</v>
      </c>
      <c r="F27" s="5">
        <v>2021</v>
      </c>
      <c r="G27" s="5">
        <v>2022</v>
      </c>
      <c r="H27" s="5">
        <v>2023</v>
      </c>
      <c r="I27" s="5">
        <v>2024</v>
      </c>
      <c r="J27" s="5">
        <v>2025</v>
      </c>
      <c r="K27" s="5">
        <v>2026</v>
      </c>
      <c r="L27" s="5">
        <v>2027</v>
      </c>
    </row>
    <row r="29" spans="1:12" x14ac:dyDescent="0.2">
      <c r="B29" s="6" t="str">
        <f>B11</f>
        <v>FLNA</v>
      </c>
      <c r="C29" s="13">
        <v>16346</v>
      </c>
      <c r="D29" s="13">
        <v>17078</v>
      </c>
      <c r="E29" s="13">
        <v>18189</v>
      </c>
      <c r="F29" s="13">
        <v>19608</v>
      </c>
      <c r="G29" s="13">
        <f>(15583/3)*4</f>
        <v>20777.333333333332</v>
      </c>
      <c r="H29" s="13">
        <f ca="1">G29*(1+H30)</f>
        <v>22181.217323244597</v>
      </c>
      <c r="I29" s="13">
        <f t="shared" ref="I29:L29" ca="1" si="0">H29*(1+I30)</f>
        <v>23471.632728002121</v>
      </c>
      <c r="J29" s="13">
        <f t="shared" ca="1" si="0"/>
        <v>24616.673497974312</v>
      </c>
      <c r="K29" s="13">
        <f t="shared" ca="1" si="0"/>
        <v>25586.37383547693</v>
      </c>
      <c r="L29" s="13">
        <f t="shared" ca="1" si="0"/>
        <v>26353.965050541239</v>
      </c>
    </row>
    <row r="30" spans="1:12" s="9" customFormat="1" x14ac:dyDescent="0.2">
      <c r="B30" s="9" t="s">
        <v>24</v>
      </c>
      <c r="D30" s="15">
        <f>D29/C29-1</f>
        <v>4.4781597944451246E-2</v>
      </c>
      <c r="E30" s="15">
        <f t="shared" ref="E30:G30" si="1">E29/D29-1</f>
        <v>6.5054456025295693E-2</v>
      </c>
      <c r="F30" s="15">
        <f t="shared" si="1"/>
        <v>7.8014184397163122E-2</v>
      </c>
      <c r="G30" s="15">
        <f t="shared" si="1"/>
        <v>5.963552291581653E-2</v>
      </c>
      <c r="H30" s="15">
        <f ca="1">OFFSET(H30,$C$11,0)</f>
        <v>6.7568054446091777E-2</v>
      </c>
      <c r="I30" s="15">
        <f t="shared" ref="I30:L30" ca="1" si="2">OFFSET(I30,$C$11,0)</f>
        <v>5.8176040834568829E-2</v>
      </c>
      <c r="J30" s="15">
        <f t="shared" ca="1" si="2"/>
        <v>4.8784027223045888E-2</v>
      </c>
      <c r="K30" s="15">
        <f t="shared" ca="1" si="2"/>
        <v>3.9392013611522947E-2</v>
      </c>
      <c r="L30" s="15">
        <f t="shared" ca="1" si="2"/>
        <v>0.03</v>
      </c>
    </row>
    <row r="31" spans="1:12" x14ac:dyDescent="0.2">
      <c r="B31" t="s">
        <v>25</v>
      </c>
      <c r="H31" s="16">
        <f t="shared" ref="H31:K31" si="3">H32*$F$11</f>
        <v>6.0811249001482603E-2</v>
      </c>
      <c r="I31" s="16">
        <f t="shared" si="3"/>
        <v>5.2358436751111945E-2</v>
      </c>
      <c r="J31" s="16">
        <f t="shared" si="3"/>
        <v>4.39056245007413E-2</v>
      </c>
      <c r="K31" s="16">
        <f t="shared" si="3"/>
        <v>3.5452812250370655E-2</v>
      </c>
      <c r="L31" s="16">
        <f>L32*$F$11</f>
        <v>2.7E-2</v>
      </c>
    </row>
    <row r="32" spans="1:12" x14ac:dyDescent="0.2">
      <c r="B32" t="s">
        <v>26</v>
      </c>
      <c r="H32" s="16">
        <f>AVERAGE(E30:G30)</f>
        <v>6.7568054446091777E-2</v>
      </c>
      <c r="I32" s="16">
        <f>H32-(H32-$L$32)/($L$27-H27)</f>
        <v>5.8176040834568829E-2</v>
      </c>
      <c r="J32" s="16">
        <f t="shared" ref="J32:K32" si="4">I32-(I32-$L$32)/($L$27-I27)</f>
        <v>4.8784027223045888E-2</v>
      </c>
      <c r="K32" s="16">
        <f t="shared" si="4"/>
        <v>3.9392013611522947E-2</v>
      </c>
      <c r="L32" s="8">
        <f>I11</f>
        <v>0.03</v>
      </c>
    </row>
    <row r="33" spans="2:12" x14ac:dyDescent="0.2">
      <c r="B33" t="s">
        <v>27</v>
      </c>
      <c r="H33" s="16">
        <f t="shared" ref="H33:K33" si="5">H32*$L$11</f>
        <v>7.4324859890700964E-2</v>
      </c>
      <c r="I33" s="16">
        <f t="shared" si="5"/>
        <v>6.3993644918025713E-2</v>
      </c>
      <c r="J33" s="16">
        <f t="shared" si="5"/>
        <v>5.3662429945350483E-2</v>
      </c>
      <c r="K33" s="16">
        <f t="shared" si="5"/>
        <v>4.3331214972675246E-2</v>
      </c>
      <c r="L33" s="16">
        <f>L32*$L$11</f>
        <v>3.3000000000000002E-2</v>
      </c>
    </row>
    <row r="34" spans="2:12" x14ac:dyDescent="0.2">
      <c r="B34" s="9" t="s">
        <v>28</v>
      </c>
      <c r="C34" s="15">
        <f>C29/C79</f>
        <v>0.25279534804596276</v>
      </c>
      <c r="D34" s="15">
        <f>D29/D79</f>
        <v>0.25428448057652508</v>
      </c>
      <c r="E34" s="15">
        <f>E29/E79</f>
        <v>0.25846927755357246</v>
      </c>
      <c r="F34" s="15">
        <f>F29/F79</f>
        <v>0.24672219845484059</v>
      </c>
      <c r="G34" s="15">
        <f>G29/G79</f>
        <v>0.26685046921021988</v>
      </c>
      <c r="H34" s="15">
        <f ca="1">H29/H79</f>
        <v>0.26923362359023367</v>
      </c>
      <c r="I34" s="15">
        <f ca="1">I29/I79</f>
        <v>0.26974256838688837</v>
      </c>
      <c r="J34" s="15">
        <f ca="1">J29/J79</f>
        <v>0.2684692732698819</v>
      </c>
      <c r="K34" s="15">
        <f ca="1">K29/K79</f>
        <v>0.26551677017898989</v>
      </c>
      <c r="L34" s="15">
        <f ca="1">L29/L79</f>
        <v>0.26099548810369744</v>
      </c>
    </row>
    <row r="36" spans="2:12" x14ac:dyDescent="0.2">
      <c r="B36" s="6" t="str">
        <f>B12</f>
        <v>QFNA</v>
      </c>
      <c r="C36" s="13">
        <v>2465</v>
      </c>
      <c r="D36" s="13">
        <v>2482</v>
      </c>
      <c r="E36" s="13">
        <v>2742</v>
      </c>
      <c r="F36" s="13">
        <v>2751</v>
      </c>
      <c r="G36" s="13">
        <f>(2101/3)*4</f>
        <v>2801.3333333333335</v>
      </c>
      <c r="H36" s="13">
        <f ca="1">G36*(1+H37)</f>
        <v>2919.3001723105481</v>
      </c>
      <c r="I36" s="13">
        <f t="shared" ref="I36:L36" ca="1" si="6">H36*(1+I37)</f>
        <v>3016.9747620903772</v>
      </c>
      <c r="J36" s="13">
        <f t="shared" ca="1" si="6"/>
        <v>3091.8122708438318</v>
      </c>
      <c r="K36" s="13">
        <f t="shared" ca="1" si="6"/>
        <v>3141.7535114197804</v>
      </c>
      <c r="L36" s="13">
        <f t="shared" ca="1" si="6"/>
        <v>3165.3166627554288</v>
      </c>
    </row>
    <row r="37" spans="2:12" s="9" customFormat="1" x14ac:dyDescent="0.2">
      <c r="B37" s="9" t="s">
        <v>24</v>
      </c>
      <c r="D37" s="15">
        <f>D36/C36-1</f>
        <v>6.8965517241379448E-3</v>
      </c>
      <c r="E37" s="15">
        <f t="shared" ref="E37:G37" si="7">E36/D36-1</f>
        <v>0.10475423045930699</v>
      </c>
      <c r="F37" s="15">
        <f t="shared" si="7"/>
        <v>3.2822757111596879E-3</v>
      </c>
      <c r="G37" s="15">
        <f t="shared" si="7"/>
        <v>1.829637707500309E-2</v>
      </c>
      <c r="H37" s="15">
        <f ca="1">OFFSET(H37,$C$12,0)</f>
        <v>4.2110961081823252E-2</v>
      </c>
      <c r="I37" s="15">
        <f t="shared" ref="I37:L37" ca="1" si="8">OFFSET(I37,$C$12,0)</f>
        <v>3.3458220811367442E-2</v>
      </c>
      <c r="J37" s="15">
        <f t="shared" ca="1" si="8"/>
        <v>2.4805480540911626E-2</v>
      </c>
      <c r="K37" s="15">
        <f t="shared" ca="1" si="8"/>
        <v>1.6152740270455813E-2</v>
      </c>
      <c r="L37" s="15">
        <f t="shared" ca="1" si="8"/>
        <v>7.4999999999999997E-3</v>
      </c>
    </row>
    <row r="38" spans="2:12" x14ac:dyDescent="0.2">
      <c r="B38" t="s">
        <v>25</v>
      </c>
      <c r="H38" s="16">
        <f t="shared" ref="H38:K38" si="9">H39*$F$12</f>
        <v>3.789986497364093E-2</v>
      </c>
      <c r="I38" s="16">
        <f t="shared" si="9"/>
        <v>3.0112398730230697E-2</v>
      </c>
      <c r="J38" s="16">
        <f t="shared" si="9"/>
        <v>2.2324932486820465E-2</v>
      </c>
      <c r="K38" s="16">
        <f t="shared" si="9"/>
        <v>1.4537466243410232E-2</v>
      </c>
      <c r="L38" s="16">
        <f>L39*$F$12</f>
        <v>6.7499999999999999E-3</v>
      </c>
    </row>
    <row r="39" spans="2:12" x14ac:dyDescent="0.2">
      <c r="B39" t="s">
        <v>26</v>
      </c>
      <c r="H39" s="16">
        <f>AVERAGE(E37:G37)</f>
        <v>4.2110961081823252E-2</v>
      </c>
      <c r="I39" s="16">
        <f>H39-(H39-$L$39)/($L$27-H27)</f>
        <v>3.3458220811367442E-2</v>
      </c>
      <c r="J39" s="16">
        <f t="shared" ref="J39:K39" si="10">I39-(I39-$L$39)/($L$27-I27)</f>
        <v>2.4805480540911626E-2</v>
      </c>
      <c r="K39" s="16">
        <f t="shared" si="10"/>
        <v>1.6152740270455813E-2</v>
      </c>
      <c r="L39" s="8">
        <f>I12</f>
        <v>7.4999999999999997E-3</v>
      </c>
    </row>
    <row r="40" spans="2:12" x14ac:dyDescent="0.2">
      <c r="B40" t="s">
        <v>27</v>
      </c>
      <c r="H40" s="16">
        <f t="shared" ref="H40:K40" si="11">H39*$L$12</f>
        <v>4.6322057190005581E-2</v>
      </c>
      <c r="I40" s="16">
        <f t="shared" si="11"/>
        <v>3.6804042892504191E-2</v>
      </c>
      <c r="J40" s="16">
        <f t="shared" si="11"/>
        <v>2.728602859500279E-2</v>
      </c>
      <c r="K40" s="16">
        <f t="shared" si="11"/>
        <v>1.7768014297501397E-2</v>
      </c>
      <c r="L40" s="16">
        <f>L39*$L$12</f>
        <v>8.2500000000000004E-3</v>
      </c>
    </row>
    <row r="41" spans="2:12" x14ac:dyDescent="0.2">
      <c r="B41" s="9" t="s">
        <v>28</v>
      </c>
      <c r="C41" s="15">
        <f>C36/C79</f>
        <v>3.8121897279658527E-2</v>
      </c>
      <c r="D41" s="15">
        <f t="shared" ref="D41:L41" si="12">D36/D79</f>
        <v>3.6955971471538542E-2</v>
      </c>
      <c r="E41" s="15">
        <f t="shared" si="12"/>
        <v>3.8964360825328254E-2</v>
      </c>
      <c r="F41" s="15">
        <f t="shared" si="12"/>
        <v>3.4615094244658633E-2</v>
      </c>
      <c r="G41" s="15">
        <f t="shared" si="12"/>
        <v>3.5978491677512166E-2</v>
      </c>
      <c r="H41" s="15">
        <f t="shared" ca="1" si="12"/>
        <v>3.5434203284916588E-2</v>
      </c>
      <c r="I41" s="15">
        <f t="shared" ca="1" si="12"/>
        <v>3.4671917821626132E-2</v>
      </c>
      <c r="J41" s="15">
        <f t="shared" ca="1" si="12"/>
        <v>3.3719283537991092E-2</v>
      </c>
      <c r="K41" s="15">
        <f t="shared" ca="1" si="12"/>
        <v>3.2602831898517481E-2</v>
      </c>
      <c r="L41" s="15">
        <f t="shared" ca="1" si="12"/>
        <v>3.1347592888367033E-2</v>
      </c>
    </row>
    <row r="43" spans="2:12" x14ac:dyDescent="0.2">
      <c r="B43" s="6" t="str">
        <f>B13</f>
        <v>PBNA</v>
      </c>
      <c r="C43" s="13">
        <v>21072</v>
      </c>
      <c r="D43" s="13">
        <v>21730</v>
      </c>
      <c r="E43" s="13">
        <v>22559</v>
      </c>
      <c r="F43" s="13">
        <v>25276</v>
      </c>
      <c r="G43" s="13">
        <f>(18108/3)*4</f>
        <v>24144</v>
      </c>
      <c r="H43" s="13">
        <f ca="1">G43*(1+H44)</f>
        <v>25059.896133006514</v>
      </c>
      <c r="I43" s="13">
        <f t="shared" ref="I43:L43" ca="1" si="13">H43*(1+I44)</f>
        <v>25960.825658482361</v>
      </c>
      <c r="J43" s="13">
        <f t="shared" ca="1" si="13"/>
        <v>26842.646505715882</v>
      </c>
      <c r="K43" s="13">
        <f t="shared" ca="1" si="13"/>
        <v>27701.173192318205</v>
      </c>
      <c r="L43" s="13">
        <f t="shared" ca="1" si="13"/>
        <v>28532.208388087751</v>
      </c>
    </row>
    <row r="44" spans="2:12" s="9" customFormat="1" x14ac:dyDescent="0.2">
      <c r="B44" s="9" t="s">
        <v>24</v>
      </c>
      <c r="D44" s="15">
        <f>D43/C43-1</f>
        <v>3.1226271829916552E-2</v>
      </c>
      <c r="E44" s="15">
        <f t="shared" ref="E44:G44" si="14">E43/D43-1</f>
        <v>3.815002300966408E-2</v>
      </c>
      <c r="F44" s="15">
        <f t="shared" si="14"/>
        <v>0.120439735803892</v>
      </c>
      <c r="G44" s="15">
        <f t="shared" si="14"/>
        <v>-4.4785567336603882E-2</v>
      </c>
      <c r="H44" s="15">
        <f ca="1">OFFSET(H44,$C$13,0)</f>
        <v>3.7934730492317402E-2</v>
      </c>
      <c r="I44" s="15">
        <f t="shared" ref="I44:L44" ca="1" si="15">OFFSET(I44,$C$13,0)</f>
        <v>3.5951047869238049E-2</v>
      </c>
      <c r="J44" s="15">
        <f t="shared" ca="1" si="15"/>
        <v>3.3967365246158697E-2</v>
      </c>
      <c r="K44" s="15">
        <f t="shared" ca="1" si="15"/>
        <v>3.1983682623079351E-2</v>
      </c>
      <c r="L44" s="15">
        <f t="shared" ca="1" si="15"/>
        <v>0.03</v>
      </c>
    </row>
    <row r="45" spans="2:12" x14ac:dyDescent="0.2">
      <c r="B45" t="s">
        <v>25</v>
      </c>
      <c r="H45" s="16">
        <f t="shared" ref="H45:K45" si="16">H46*$F$13</f>
        <v>3.414125744308566E-2</v>
      </c>
      <c r="I45" s="16">
        <f t="shared" si="16"/>
        <v>3.2355943082314244E-2</v>
      </c>
      <c r="J45" s="16">
        <f t="shared" si="16"/>
        <v>3.0570628721542828E-2</v>
      </c>
      <c r="K45" s="16">
        <f t="shared" si="16"/>
        <v>2.8785314360771416E-2</v>
      </c>
      <c r="L45" s="16">
        <f>L46*$F$13</f>
        <v>2.7E-2</v>
      </c>
    </row>
    <row r="46" spans="2:12" x14ac:dyDescent="0.2">
      <c r="B46" t="s">
        <v>26</v>
      </c>
      <c r="H46" s="16">
        <f>AVERAGE(E44:G44)</f>
        <v>3.7934730492317402E-2</v>
      </c>
      <c r="I46" s="16">
        <f>H46-(H46-$L$46)/($L$27-H27)</f>
        <v>3.5951047869238049E-2</v>
      </c>
      <c r="J46" s="16">
        <f t="shared" ref="J46:K46" si="17">I46-(I46-$L$46)/($L$27-I27)</f>
        <v>3.3967365246158697E-2</v>
      </c>
      <c r="K46" s="16">
        <f t="shared" si="17"/>
        <v>3.1983682623079351E-2</v>
      </c>
      <c r="L46" s="8">
        <f>I13</f>
        <v>0.03</v>
      </c>
    </row>
    <row r="47" spans="2:12" x14ac:dyDescent="0.2">
      <c r="B47" t="s">
        <v>27</v>
      </c>
      <c r="H47" s="16">
        <f t="shared" ref="H47:K47" si="18">H46*$L$13</f>
        <v>4.1728203541549144E-2</v>
      </c>
      <c r="I47" s="16">
        <f t="shared" si="18"/>
        <v>3.9546152656161855E-2</v>
      </c>
      <c r="J47" s="16">
        <f t="shared" si="18"/>
        <v>3.7364101770774573E-2</v>
      </c>
      <c r="K47" s="16">
        <f t="shared" si="18"/>
        <v>3.5182050885387291E-2</v>
      </c>
      <c r="L47" s="16">
        <f>L46*$L$13</f>
        <v>3.3000000000000002E-2</v>
      </c>
    </row>
    <row r="48" spans="2:12" x14ac:dyDescent="0.2">
      <c r="B48" s="9" t="s">
        <v>28</v>
      </c>
      <c r="C48" s="15">
        <f>C43/C79</f>
        <v>0.32588422696834257</v>
      </c>
      <c r="D48" s="15">
        <f t="shared" ref="D48:L48" si="19">D43/D79</f>
        <v>0.32355087029674962</v>
      </c>
      <c r="E48" s="15">
        <f t="shared" si="19"/>
        <v>0.32056783948161199</v>
      </c>
      <c r="F48" s="15">
        <f t="shared" si="19"/>
        <v>0.31804112036640914</v>
      </c>
      <c r="G48" s="15">
        <f t="shared" si="19"/>
        <v>0.31008973217343655</v>
      </c>
      <c r="H48" s="15">
        <f t="shared" ca="1" si="19"/>
        <v>0.30417476842507685</v>
      </c>
      <c r="I48" s="15">
        <f t="shared" ca="1" si="19"/>
        <v>0.29834906977770054</v>
      </c>
      <c r="J48" s="15">
        <f t="shared" ca="1" si="19"/>
        <v>0.29274571970997176</v>
      </c>
      <c r="K48" s="15">
        <f t="shared" ca="1" si="19"/>
        <v>0.28746261910684889</v>
      </c>
      <c r="L48" s="15">
        <f t="shared" ca="1" si="19"/>
        <v>0.28256763794913042</v>
      </c>
    </row>
    <row r="50" spans="2:12" x14ac:dyDescent="0.2">
      <c r="B50" s="6" t="str">
        <f>B14</f>
        <v>LatAm</v>
      </c>
      <c r="C50" s="13">
        <v>7354</v>
      </c>
      <c r="D50" s="13">
        <v>7573</v>
      </c>
      <c r="E50" s="13">
        <v>6942</v>
      </c>
      <c r="F50" s="13">
        <v>8108</v>
      </c>
      <c r="G50" s="13">
        <f>(6406/3)*4</f>
        <v>8541.3333333333339</v>
      </c>
      <c r="H50" s="13">
        <f ca="1">G50*(1+H51)</f>
        <v>8934.4793779677384</v>
      </c>
      <c r="I50" s="13">
        <f t="shared" ref="I50:L50" ca="1" si="20">H50*(1+I51)</f>
        <v>9309.9194931163529</v>
      </c>
      <c r="J50" s="13">
        <f t="shared" ca="1" si="20"/>
        <v>9663.8297995965804</v>
      </c>
      <c r="K50" s="13">
        <f t="shared" ca="1" si="20"/>
        <v>9992.4692305581011</v>
      </c>
      <c r="L50" s="13">
        <f t="shared" ca="1" si="20"/>
        <v>10292.243307474844</v>
      </c>
    </row>
    <row r="51" spans="2:12" s="9" customFormat="1" x14ac:dyDescent="0.2">
      <c r="B51" s="9" t="s">
        <v>24</v>
      </c>
      <c r="D51" s="15">
        <f>D50/C50-1</f>
        <v>2.977971172151217E-2</v>
      </c>
      <c r="E51" s="15">
        <f t="shared" ref="E51:G51" si="21">E50/D50-1</f>
        <v>-8.3322329327875311E-2</v>
      </c>
      <c r="F51" s="15">
        <f t="shared" si="21"/>
        <v>0.16796312301930283</v>
      </c>
      <c r="G51" s="15">
        <f t="shared" si="21"/>
        <v>5.3445157046538405E-2</v>
      </c>
      <c r="H51" s="15">
        <f ca="1">OFFSET(H51,$C$14,0)</f>
        <v>4.6028650245988643E-2</v>
      </c>
      <c r="I51" s="15">
        <f t="shared" ref="I51:L51" ca="1" si="22">OFFSET(I51,$C$14,0)</f>
        <v>4.2021487684491481E-2</v>
      </c>
      <c r="J51" s="15">
        <f t="shared" ca="1" si="22"/>
        <v>3.8014325122994318E-2</v>
      </c>
      <c r="K51" s="15">
        <f t="shared" ca="1" si="22"/>
        <v>3.4007162561497162E-2</v>
      </c>
      <c r="L51" s="15">
        <f t="shared" ca="1" si="22"/>
        <v>0.03</v>
      </c>
    </row>
    <row r="52" spans="2:12" x14ac:dyDescent="0.2">
      <c r="B52" t="s">
        <v>25</v>
      </c>
      <c r="H52" s="16">
        <f t="shared" ref="H52:K52" si="23">H53*$F$14</f>
        <v>4.1425785221389781E-2</v>
      </c>
      <c r="I52" s="16">
        <f t="shared" si="23"/>
        <v>3.7819338916042333E-2</v>
      </c>
      <c r="J52" s="16">
        <f t="shared" si="23"/>
        <v>3.4212892610694885E-2</v>
      </c>
      <c r="K52" s="16">
        <f t="shared" si="23"/>
        <v>3.0606446305347448E-2</v>
      </c>
      <c r="L52" s="16">
        <f>L53*$F$14</f>
        <v>2.7E-2</v>
      </c>
    </row>
    <row r="53" spans="2:12" x14ac:dyDescent="0.2">
      <c r="B53" t="s">
        <v>26</v>
      </c>
      <c r="H53" s="16">
        <f>AVERAGE(E51:G51)</f>
        <v>4.6028650245988643E-2</v>
      </c>
      <c r="I53" s="16">
        <f>H53-(H53-$L$53)/($L$27-H27)</f>
        <v>4.2021487684491481E-2</v>
      </c>
      <c r="J53" s="16">
        <f t="shared" ref="J53:K53" si="24">I53-(I53-$L$53)/($L$27-I27)</f>
        <v>3.8014325122994318E-2</v>
      </c>
      <c r="K53" s="16">
        <f t="shared" si="24"/>
        <v>3.4007162561497162E-2</v>
      </c>
      <c r="L53" s="8">
        <f>I14</f>
        <v>0.03</v>
      </c>
    </row>
    <row r="54" spans="2:12" x14ac:dyDescent="0.2">
      <c r="B54" t="s">
        <v>27</v>
      </c>
      <c r="H54" s="16">
        <f t="shared" ref="H54:K54" si="25">H53*$L$14</f>
        <v>5.0631515270587513E-2</v>
      </c>
      <c r="I54" s="16">
        <f t="shared" si="25"/>
        <v>4.6223636452940635E-2</v>
      </c>
      <c r="J54" s="16">
        <f t="shared" si="25"/>
        <v>4.181575763529375E-2</v>
      </c>
      <c r="K54" s="16">
        <f t="shared" si="25"/>
        <v>3.7407878817646879E-2</v>
      </c>
      <c r="L54" s="16">
        <f>L53*$L$14</f>
        <v>3.3000000000000002E-2</v>
      </c>
    </row>
    <row r="55" spans="2:12" x14ac:dyDescent="0.2">
      <c r="B55" s="9" t="s">
        <v>28</v>
      </c>
      <c r="C55" s="15">
        <f>C50/C79</f>
        <v>0.11373161565704211</v>
      </c>
      <c r="D55" s="15">
        <f t="shared" ref="D55:L55" si="26">D50/D79</f>
        <v>0.11275889280981521</v>
      </c>
      <c r="E55" s="15">
        <f t="shared" si="26"/>
        <v>9.8647189222986417E-2</v>
      </c>
      <c r="F55" s="15">
        <f t="shared" si="26"/>
        <v>0.10202078667237084</v>
      </c>
      <c r="G55" s="15">
        <f t="shared" si="26"/>
        <v>0.10969929447222414</v>
      </c>
      <c r="H55" s="15">
        <f t="shared" ca="1" si="26"/>
        <v>0.10844590820999214</v>
      </c>
      <c r="I55" s="15">
        <f t="shared" ca="1" si="26"/>
        <v>0.10699219882357627</v>
      </c>
      <c r="J55" s="15">
        <f t="shared" ca="1" si="26"/>
        <v>0.10539366188185488</v>
      </c>
      <c r="K55" s="15">
        <f t="shared" ca="1" si="26"/>
        <v>0.1036945748260724</v>
      </c>
      <c r="L55" s="15">
        <f t="shared" ca="1" si="26"/>
        <v>0.10192883919231131</v>
      </c>
    </row>
    <row r="57" spans="2:12" x14ac:dyDescent="0.2">
      <c r="B57" s="6" t="str">
        <f>B15</f>
        <v>Europe</v>
      </c>
      <c r="C57" s="13">
        <v>10973</v>
      </c>
      <c r="D57" s="13">
        <v>11728</v>
      </c>
      <c r="E57" s="13">
        <v>11922</v>
      </c>
      <c r="F57" s="13">
        <v>13038</v>
      </c>
      <c r="G57" s="13">
        <f>(8466/3)*4</f>
        <v>11288</v>
      </c>
      <c r="H57" s="13">
        <f ca="1">G57*(1+H58)</f>
        <v>11197.421417278825</v>
      </c>
      <c r="I57" s="13">
        <f t="shared" ref="I57:L57" ca="1" si="27">H57*(1+I58)</f>
        <v>11200.016488098048</v>
      </c>
      <c r="J57" s="13">
        <f t="shared" ca="1" si="27"/>
        <v>11295.080406994024</v>
      </c>
      <c r="K57" s="13">
        <f t="shared" ca="1" si="27"/>
        <v>11484.204315072822</v>
      </c>
      <c r="L57" s="13">
        <f t="shared" ca="1" si="27"/>
        <v>11771.309422949642</v>
      </c>
    </row>
    <row r="58" spans="2:12" s="9" customFormat="1" x14ac:dyDescent="0.2">
      <c r="B58" s="9" t="s">
        <v>24</v>
      </c>
      <c r="D58" s="15">
        <f>D57/C57-1</f>
        <v>6.8805249248154565E-2</v>
      </c>
      <c r="E58" s="15">
        <f t="shared" ref="E58:G58" si="28">E57/D57-1</f>
        <v>1.6541609822646741E-2</v>
      </c>
      <c r="F58" s="15">
        <f t="shared" si="28"/>
        <v>9.3608454957222031E-2</v>
      </c>
      <c r="G58" s="15">
        <f t="shared" si="28"/>
        <v>-0.13422304034361099</v>
      </c>
      <c r="H58" s="15">
        <f ca="1">OFFSET(H58,$C$15,0)</f>
        <v>-8.024325187914072E-3</v>
      </c>
      <c r="I58" s="15">
        <f t="shared" ref="I58:L58" ca="1" si="29">OFFSET(I58,$C$15,0)</f>
        <v>2.3175610906444634E-4</v>
      </c>
      <c r="J58" s="15">
        <f t="shared" ca="1" si="29"/>
        <v>8.4878374060429647E-3</v>
      </c>
      <c r="K58" s="15">
        <f t="shared" ca="1" si="29"/>
        <v>1.6743918703021485E-2</v>
      </c>
      <c r="L58" s="15">
        <f t="shared" ca="1" si="29"/>
        <v>2.5000000000000001E-2</v>
      </c>
    </row>
    <row r="59" spans="2:12" x14ac:dyDescent="0.2">
      <c r="B59" t="s">
        <v>25</v>
      </c>
      <c r="H59" s="16">
        <f t="shared" ref="H59:K59" si="30">H60*$F$15</f>
        <v>-7.221892669122665E-3</v>
      </c>
      <c r="I59" s="16">
        <f t="shared" si="30"/>
        <v>2.0858049815800171E-4</v>
      </c>
      <c r="J59" s="16">
        <f t="shared" si="30"/>
        <v>7.6390536654386684E-3</v>
      </c>
      <c r="K59" s="16">
        <f t="shared" si="30"/>
        <v>1.5069526832719336E-2</v>
      </c>
      <c r="L59" s="16">
        <f>L60*$F$15</f>
        <v>2.2500000000000003E-2</v>
      </c>
    </row>
    <row r="60" spans="2:12" x14ac:dyDescent="0.2">
      <c r="B60" t="s">
        <v>26</v>
      </c>
      <c r="H60" s="16">
        <f>AVERAGE(E58:G58)</f>
        <v>-8.024325187914072E-3</v>
      </c>
      <c r="I60" s="16">
        <f>H60-(H60-$L$60)/($L$27-H27)</f>
        <v>2.3175610906444634E-4</v>
      </c>
      <c r="J60" s="16">
        <f t="shared" ref="J60:K60" si="31">I60-(I60-$L$60)/($L$27-I27)</f>
        <v>8.4878374060429647E-3</v>
      </c>
      <c r="K60" s="16">
        <f t="shared" si="31"/>
        <v>1.6743918703021485E-2</v>
      </c>
      <c r="L60" s="8">
        <f>I15</f>
        <v>2.5000000000000001E-2</v>
      </c>
    </row>
    <row r="61" spans="2:12" x14ac:dyDescent="0.2">
      <c r="B61" t="s">
        <v>27</v>
      </c>
      <c r="H61" s="16">
        <f t="shared" ref="H61:K61" si="32">H60*$L$15</f>
        <v>-8.8267577067054799E-3</v>
      </c>
      <c r="I61" s="16">
        <f t="shared" si="32"/>
        <v>2.5493171997089097E-4</v>
      </c>
      <c r="J61" s="16">
        <f t="shared" si="32"/>
        <v>9.3366211466472619E-3</v>
      </c>
      <c r="K61" s="16">
        <f t="shared" si="32"/>
        <v>1.8418310573323635E-2</v>
      </c>
      <c r="L61" s="16">
        <f>L60*$L$15</f>
        <v>2.7500000000000004E-2</v>
      </c>
    </row>
    <row r="62" spans="2:12" x14ac:dyDescent="0.2">
      <c r="B62" s="9" t="s">
        <v>28</v>
      </c>
      <c r="C62" s="15">
        <f>C57/C79</f>
        <v>0.16970043766721826</v>
      </c>
      <c r="D62" s="15">
        <f t="shared" ref="D62:L62" si="33">D57/D79</f>
        <v>0.17462515447953425</v>
      </c>
      <c r="E62" s="15">
        <f t="shared" si="33"/>
        <v>0.16941397146592393</v>
      </c>
      <c r="F62" s="15">
        <f t="shared" si="33"/>
        <v>0.16405365276694264</v>
      </c>
      <c r="G62" s="15">
        <f t="shared" si="33"/>
        <v>0.14497568326597712</v>
      </c>
      <c r="H62" s="15">
        <f t="shared" ca="1" si="33"/>
        <v>0.13591329542953526</v>
      </c>
      <c r="I62" s="15">
        <f t="shared" ca="1" si="33"/>
        <v>0.1287137221549487</v>
      </c>
      <c r="J62" s="15">
        <f t="shared" ca="1" si="33"/>
        <v>0.12318406988012008</v>
      </c>
      <c r="K62" s="15">
        <f t="shared" ca="1" si="33"/>
        <v>0.11917471609774581</v>
      </c>
      <c r="L62" s="15">
        <f t="shared" ca="1" si="33"/>
        <v>0.11657671407586917</v>
      </c>
    </row>
    <row r="64" spans="2:12" x14ac:dyDescent="0.2">
      <c r="B64" s="6" t="str">
        <f>B16</f>
        <v>AMESA</v>
      </c>
      <c r="C64" s="13">
        <v>3657</v>
      </c>
      <c r="D64" s="13">
        <v>3651</v>
      </c>
      <c r="E64" s="13">
        <v>4573</v>
      </c>
      <c r="F64" s="13">
        <v>6078</v>
      </c>
      <c r="G64" s="13">
        <f>(4426/3)*4</f>
        <v>5901.333333333333</v>
      </c>
      <c r="H64" s="13">
        <f ca="1">G64*(1+H65)</f>
        <v>6988.3050216555021</v>
      </c>
      <c r="I64" s="13">
        <f t="shared" ref="I64:L64" ca="1" si="34">H64*(1+I65)</f>
        <v>8215.752917422009</v>
      </c>
      <c r="J64" s="13">
        <f t="shared" ca="1" si="34"/>
        <v>9588.5677023850094</v>
      </c>
      <c r="K64" s="13">
        <f t="shared" ca="1" si="34"/>
        <v>11108.813212488933</v>
      </c>
      <c r="L64" s="13">
        <f t="shared" ca="1" si="34"/>
        <v>12775.135194362272</v>
      </c>
    </row>
    <row r="65" spans="2:12" s="9" customFormat="1" x14ac:dyDescent="0.2">
      <c r="B65" s="9" t="s">
        <v>24</v>
      </c>
      <c r="D65" s="15">
        <f>D64/C64-1</f>
        <v>-1.6406890894175019E-3</v>
      </c>
      <c r="E65" s="15">
        <f t="shared" ref="E65:G65" si="35">E64/D64-1</f>
        <v>0.2525335524513832</v>
      </c>
      <c r="F65" s="15">
        <f t="shared" si="35"/>
        <v>0.32910561994314458</v>
      </c>
      <c r="G65" s="15">
        <f t="shared" si="35"/>
        <v>-2.9066578918503949E-2</v>
      </c>
      <c r="H65" s="15">
        <f ca="1">OFFSET(H65,$C$16,0)</f>
        <v>0.18419086449200794</v>
      </c>
      <c r="I65" s="15">
        <f t="shared" ref="I65:L65" ca="1" si="36">OFFSET(I65,$C$16,0)</f>
        <v>0.17564314836900596</v>
      </c>
      <c r="J65" s="15">
        <f t="shared" ca="1" si="36"/>
        <v>0.16709543224600398</v>
      </c>
      <c r="K65" s="15">
        <f t="shared" ca="1" si="36"/>
        <v>0.158547716123002</v>
      </c>
      <c r="L65" s="15">
        <f t="shared" ca="1" si="36"/>
        <v>0.15</v>
      </c>
    </row>
    <row r="66" spans="2:12" x14ac:dyDescent="0.2">
      <c r="B66" t="s">
        <v>25</v>
      </c>
      <c r="H66" s="16">
        <f t="shared" ref="H66:K66" si="37">H67*$F$16</f>
        <v>0.16577177804280716</v>
      </c>
      <c r="I66" s="16">
        <f t="shared" si="37"/>
        <v>0.15807883353210536</v>
      </c>
      <c r="J66" s="16">
        <f t="shared" si="37"/>
        <v>0.1503858890214036</v>
      </c>
      <c r="K66" s="16">
        <f t="shared" si="37"/>
        <v>0.1426929445107018</v>
      </c>
      <c r="L66" s="16">
        <f>L67*$F$16</f>
        <v>0.13500000000000001</v>
      </c>
    </row>
    <row r="67" spans="2:12" x14ac:dyDescent="0.2">
      <c r="B67" t="s">
        <v>26</v>
      </c>
      <c r="H67" s="16">
        <f>AVERAGE(E65:G65)</f>
        <v>0.18419086449200794</v>
      </c>
      <c r="I67" s="16">
        <f>H67-(H67-$L$67)/($L$27-H27)</f>
        <v>0.17564314836900596</v>
      </c>
      <c r="J67" s="16">
        <f t="shared" ref="J67:K67" si="38">I67-(I67-$L$67)/($L$27-I27)</f>
        <v>0.16709543224600398</v>
      </c>
      <c r="K67" s="16">
        <f t="shared" si="38"/>
        <v>0.158547716123002</v>
      </c>
      <c r="L67" s="8">
        <f>I16</f>
        <v>0.15</v>
      </c>
    </row>
    <row r="68" spans="2:12" x14ac:dyDescent="0.2">
      <c r="B68" t="s">
        <v>27</v>
      </c>
      <c r="H68" s="16">
        <f t="shared" ref="H68:K68" si="39">H67*$L$16</f>
        <v>0.20260995094120876</v>
      </c>
      <c r="I68" s="16">
        <f t="shared" si="39"/>
        <v>0.19320746320590657</v>
      </c>
      <c r="J68" s="16">
        <f t="shared" si="39"/>
        <v>0.1838049754706044</v>
      </c>
      <c r="K68" s="16">
        <f t="shared" si="39"/>
        <v>0.17440248773530223</v>
      </c>
      <c r="L68" s="16">
        <f>L67*$L$16</f>
        <v>0.16500000000000001</v>
      </c>
    </row>
    <row r="69" spans="2:12" x14ac:dyDescent="0.2">
      <c r="B69" s="9" t="s">
        <v>28</v>
      </c>
      <c r="C69" s="15">
        <f>C64/C79</f>
        <v>5.6556502373919362E-2</v>
      </c>
      <c r="D69" s="15">
        <f t="shared" ref="D69:L69" si="40">D64/D79</f>
        <v>5.4361906463572612E-2</v>
      </c>
      <c r="E69" s="15">
        <f t="shared" si="40"/>
        <v>6.4983231967259705E-2</v>
      </c>
      <c r="F69" s="15">
        <f t="shared" si="40"/>
        <v>7.6477841809900096E-2</v>
      </c>
      <c r="G69" s="15">
        <f t="shared" si="40"/>
        <v>7.5792862524830473E-2</v>
      </c>
      <c r="H69" s="15">
        <f t="shared" ca="1" si="40"/>
        <v>8.4823418675153195E-2</v>
      </c>
      <c r="I69" s="15">
        <f t="shared" ca="1" si="40"/>
        <v>9.4417730494461394E-2</v>
      </c>
      <c r="J69" s="15">
        <f t="shared" ca="1" si="40"/>
        <v>0.10457285396299369</v>
      </c>
      <c r="K69" s="15">
        <f t="shared" ca="1" si="40"/>
        <v>0.11527918038202034</v>
      </c>
      <c r="L69" s="15">
        <f t="shared" ca="1" si="40"/>
        <v>0.12651806433107601</v>
      </c>
    </row>
    <row r="71" spans="2:12" x14ac:dyDescent="0.2">
      <c r="B71" s="6" t="str">
        <f>B17</f>
        <v>APAC</v>
      </c>
      <c r="C71" s="13">
        <v>2794</v>
      </c>
      <c r="D71" s="13">
        <v>2919</v>
      </c>
      <c r="E71" s="13">
        <v>3445</v>
      </c>
      <c r="F71" s="13">
        <v>4615</v>
      </c>
      <c r="G71" s="13">
        <f>(3306/3)*4</f>
        <v>4408</v>
      </c>
      <c r="H71" s="13">
        <f ca="1">G71*(1+H72)</f>
        <v>5105.8857296989991</v>
      </c>
      <c r="I71" s="13">
        <f t="shared" ref="I71:L71" ca="1" si="41">H71*(1+I72)</f>
        <v>5839.8154480714702</v>
      </c>
      <c r="J71" s="13">
        <f t="shared" ca="1" si="41"/>
        <v>6594.0934102759566</v>
      </c>
      <c r="K71" s="13">
        <f t="shared" ca="1" si="41"/>
        <v>7349.648810518851</v>
      </c>
      <c r="L71" s="13">
        <f t="shared" ca="1" si="41"/>
        <v>8084.6136915707366</v>
      </c>
    </row>
    <row r="72" spans="2:12" s="9" customFormat="1" x14ac:dyDescent="0.2">
      <c r="B72" s="9" t="s">
        <v>24</v>
      </c>
      <c r="D72" s="15">
        <f>D71/C71-1</f>
        <v>4.4738725841088067E-2</v>
      </c>
      <c r="E72" s="15">
        <f t="shared" ref="E72:L72" si="42">E71/D71-1</f>
        <v>0.18019869818430978</v>
      </c>
      <c r="F72" s="15">
        <f t="shared" si="42"/>
        <v>0.33962264150943389</v>
      </c>
      <c r="G72" s="15">
        <f t="shared" si="42"/>
        <v>-4.4853737811484273E-2</v>
      </c>
      <c r="H72" s="15">
        <f ca="1">OFFSET(H72,$C$17,0)</f>
        <v>0.15832253396075313</v>
      </c>
      <c r="I72" s="15">
        <f t="shared" ref="I72:L72" ca="1" si="43">OFFSET(I72,$C$17,0)</f>
        <v>0.14374190047056484</v>
      </c>
      <c r="J72" s="15">
        <f t="shared" ca="1" si="43"/>
        <v>0.12916126698037655</v>
      </c>
      <c r="K72" s="15">
        <f t="shared" ca="1" si="43"/>
        <v>0.11458063349018828</v>
      </c>
      <c r="L72" s="15">
        <f t="shared" ca="1" si="43"/>
        <v>0.1</v>
      </c>
    </row>
    <row r="73" spans="2:12" x14ac:dyDescent="0.2">
      <c r="B73" t="s">
        <v>25</v>
      </c>
      <c r="H73" s="16">
        <f t="shared" ref="H73" si="44">H74*$F$11</f>
        <v>0.14249028056467783</v>
      </c>
      <c r="I73" s="16">
        <f t="shared" ref="I73" si="45">I74*$F$11</f>
        <v>0.12936771042350836</v>
      </c>
      <c r="J73" s="16">
        <f t="shared" ref="J73" si="46">J74*$F$11</f>
        <v>0.1162451402823389</v>
      </c>
      <c r="K73" s="16">
        <f t="shared" ref="K73" si="47">K74*$F$11</f>
        <v>0.10312257014116945</v>
      </c>
      <c r="L73" s="16">
        <f>L74*$F$11</f>
        <v>9.0000000000000011E-2</v>
      </c>
    </row>
    <row r="74" spans="2:12" x14ac:dyDescent="0.2">
      <c r="B74" t="s">
        <v>26</v>
      </c>
      <c r="H74" s="16">
        <f>AVERAGE(E72:G72)</f>
        <v>0.15832253396075313</v>
      </c>
      <c r="I74" s="16">
        <f>H74-(H74-$L$74)/($L$27-H27)</f>
        <v>0.14374190047056484</v>
      </c>
      <c r="J74" s="16">
        <f t="shared" ref="J74:K74" si="48">I74-(I74-$L$74)/($L$27-I27)</f>
        <v>0.12916126698037655</v>
      </c>
      <c r="K74" s="16">
        <f t="shared" si="48"/>
        <v>0.11458063349018828</v>
      </c>
      <c r="L74" s="8">
        <f>I17</f>
        <v>0.1</v>
      </c>
    </row>
    <row r="75" spans="2:12" x14ac:dyDescent="0.2">
      <c r="B75" t="s">
        <v>27</v>
      </c>
      <c r="H75" s="16">
        <f t="shared" ref="H75" si="49">H74*$L$11</f>
        <v>0.17415478735682846</v>
      </c>
      <c r="I75" s="16">
        <f t="shared" ref="I75" si="50">I74*$L$11</f>
        <v>0.15811609051762135</v>
      </c>
      <c r="J75" s="16">
        <f t="shared" ref="J75" si="51">J74*$L$11</f>
        <v>0.14207739367841421</v>
      </c>
      <c r="K75" s="16">
        <f t="shared" ref="K75" si="52">K74*$L$11</f>
        <v>0.12603869683920713</v>
      </c>
      <c r="L75" s="16">
        <f>L74*$L$11</f>
        <v>0.11000000000000001</v>
      </c>
    </row>
    <row r="76" spans="2:12" x14ac:dyDescent="0.2">
      <c r="B76" s="9" t="s">
        <v>28</v>
      </c>
      <c r="C76" s="15">
        <f>C71/C79</f>
        <v>4.3209972007856361E-2</v>
      </c>
      <c r="D76" s="15">
        <f t="shared" ref="D76:L76" si="53">D71/D79</f>
        <v>4.3462723902264709E-2</v>
      </c>
      <c r="E76" s="15">
        <f t="shared" si="53"/>
        <v>4.8954129483317226E-2</v>
      </c>
      <c r="F76" s="15">
        <f t="shared" si="53"/>
        <v>5.8069305684878073E-2</v>
      </c>
      <c r="G76" s="15">
        <f t="shared" si="53"/>
        <v>5.6613466675799716E-2</v>
      </c>
      <c r="H76" s="15">
        <f t="shared" ca="1" si="53"/>
        <v>6.1974782385092408E-2</v>
      </c>
      <c r="I76" s="15">
        <f t="shared" ca="1" si="53"/>
        <v>6.7112792540798633E-2</v>
      </c>
      <c r="J76" s="15">
        <f t="shared" ca="1" si="53"/>
        <v>7.1915137757186443E-2</v>
      </c>
      <c r="K76" s="15">
        <f t="shared" ca="1" si="53"/>
        <v>7.6269307509805068E-2</v>
      </c>
      <c r="L76" s="15">
        <f t="shared" ca="1" si="53"/>
        <v>8.0065663459548575E-2</v>
      </c>
    </row>
    <row r="78" spans="2:12" x14ac:dyDescent="0.2">
      <c r="B78" s="10"/>
      <c r="C78" s="10"/>
      <c r="D78" s="10"/>
      <c r="E78" s="10"/>
      <c r="F78" s="10"/>
      <c r="G78" s="10"/>
      <c r="H78" s="10"/>
      <c r="I78" s="10"/>
      <c r="J78" s="10"/>
      <c r="K78" s="10"/>
      <c r="L78" s="10"/>
    </row>
    <row r="79" spans="2:12" x14ac:dyDescent="0.2">
      <c r="B79" s="7" t="s">
        <v>29</v>
      </c>
      <c r="C79" s="14">
        <f>SUM(C29,C36,C43,C50,C57,C64,C71)</f>
        <v>64661</v>
      </c>
      <c r="D79" s="14">
        <f t="shared" ref="D79:L79" si="54">SUM(D29,D36,D43,D50,D57,D64,D71)</f>
        <v>67161</v>
      </c>
      <c r="E79" s="14">
        <f t="shared" si="54"/>
        <v>70372</v>
      </c>
      <c r="F79" s="14">
        <f t="shared" si="54"/>
        <v>79474</v>
      </c>
      <c r="G79" s="14">
        <f t="shared" si="54"/>
        <v>77861.333333333328</v>
      </c>
      <c r="H79" s="14">
        <f t="shared" ca="1" si="54"/>
        <v>82386.505175162718</v>
      </c>
      <c r="I79" s="14">
        <f t="shared" ca="1" si="54"/>
        <v>87014.937495282735</v>
      </c>
      <c r="J79" s="14">
        <f t="shared" ca="1" si="54"/>
        <v>91692.703593785613</v>
      </c>
      <c r="K79" s="14">
        <f t="shared" ca="1" si="54"/>
        <v>96364.436107853631</v>
      </c>
      <c r="L79" s="14">
        <f t="shared" ca="1" si="54"/>
        <v>100974.79171774191</v>
      </c>
    </row>
    <row r="80" spans="2:12" s="9" customFormat="1" x14ac:dyDescent="0.2">
      <c r="B80" s="11" t="s">
        <v>24</v>
      </c>
      <c r="D80" s="15">
        <f>D79/C79-1</f>
        <v>3.8663181825211446E-2</v>
      </c>
      <c r="E80" s="15">
        <f t="shared" ref="E80:L80" si="55">E79/D79-1</f>
        <v>4.7810485251857493E-2</v>
      </c>
      <c r="F80" s="15">
        <f t="shared" si="55"/>
        <v>0.12934121525606779</v>
      </c>
      <c r="G80" s="15">
        <f t="shared" si="55"/>
        <v>-2.0291751600104102E-2</v>
      </c>
      <c r="H80" s="15">
        <f t="shared" ca="1" si="55"/>
        <v>5.8118345115625081E-2</v>
      </c>
      <c r="I80" s="15">
        <f t="shared" ca="1" si="55"/>
        <v>5.6179495783677869E-2</v>
      </c>
      <c r="J80" s="15">
        <f t="shared" ca="1" si="55"/>
        <v>5.3758196387332591E-2</v>
      </c>
      <c r="K80" s="15">
        <f t="shared" ca="1" si="55"/>
        <v>5.0949882934683499E-2</v>
      </c>
      <c r="L80" s="15">
        <f t="shared" ca="1" si="55"/>
        <v>4.7842915873323344E-2</v>
      </c>
    </row>
    <row r="82" spans="1:12" x14ac:dyDescent="0.2">
      <c r="A82" s="4" t="s">
        <v>6</v>
      </c>
      <c r="B82" s="5" t="s">
        <v>35</v>
      </c>
      <c r="C82" s="5">
        <v>2018</v>
      </c>
      <c r="D82" s="5">
        <v>2019</v>
      </c>
      <c r="E82" s="5">
        <v>2020</v>
      </c>
      <c r="F82" s="5">
        <v>2021</v>
      </c>
      <c r="G82" s="5">
        <v>2022</v>
      </c>
      <c r="H82" s="5">
        <v>2023</v>
      </c>
      <c r="I82" s="5">
        <v>2024</v>
      </c>
      <c r="J82" s="5">
        <v>2025</v>
      </c>
      <c r="K82" s="5">
        <v>2026</v>
      </c>
      <c r="L82" s="5">
        <v>2027</v>
      </c>
    </row>
    <row r="84" spans="1:12" x14ac:dyDescent="0.2">
      <c r="B84" s="6" t="s">
        <v>30</v>
      </c>
      <c r="C84" s="13">
        <f>C79</f>
        <v>64661</v>
      </c>
      <c r="D84" s="13">
        <f t="shared" ref="D84:L84" si="56">D79</f>
        <v>67161</v>
      </c>
      <c r="E84" s="13">
        <f t="shared" si="56"/>
        <v>70372</v>
      </c>
      <c r="F84" s="13">
        <f t="shared" si="56"/>
        <v>79474</v>
      </c>
      <c r="G84" s="13">
        <f t="shared" si="56"/>
        <v>77861.333333333328</v>
      </c>
      <c r="H84" s="13">
        <f t="shared" ca="1" si="56"/>
        <v>82386.505175162718</v>
      </c>
      <c r="I84" s="13">
        <f t="shared" ca="1" si="56"/>
        <v>87014.937495282735</v>
      </c>
      <c r="J84" s="13">
        <f t="shared" ca="1" si="56"/>
        <v>91692.703593785613</v>
      </c>
      <c r="K84" s="13">
        <f t="shared" ca="1" si="56"/>
        <v>96364.436107853631</v>
      </c>
      <c r="L84" s="13">
        <f t="shared" ca="1" si="56"/>
        <v>100974.79171774191</v>
      </c>
    </row>
    <row r="85" spans="1:12" s="9" customFormat="1" x14ac:dyDescent="0.2">
      <c r="B85" s="9" t="s">
        <v>24</v>
      </c>
      <c r="D85" s="15">
        <f>D84/C84-1</f>
        <v>3.8663181825211446E-2</v>
      </c>
      <c r="E85" s="15">
        <f t="shared" ref="E85:L85" si="57">E84/D84-1</f>
        <v>4.7810485251857493E-2</v>
      </c>
      <c r="F85" s="15">
        <f t="shared" si="57"/>
        <v>0.12934121525606779</v>
      </c>
      <c r="G85" s="15">
        <f t="shared" si="57"/>
        <v>-2.0291751600104102E-2</v>
      </c>
      <c r="H85" s="15">
        <f t="shared" ca="1" si="57"/>
        <v>5.8118345115625081E-2</v>
      </c>
      <c r="I85" s="15">
        <f t="shared" ca="1" si="57"/>
        <v>5.6179495783677869E-2</v>
      </c>
      <c r="J85" s="15">
        <f t="shared" ca="1" si="57"/>
        <v>5.3758196387332591E-2</v>
      </c>
      <c r="K85" s="15">
        <f t="shared" ca="1" si="57"/>
        <v>5.0949882934683499E-2</v>
      </c>
      <c r="L85" s="15">
        <f t="shared" ca="1" si="57"/>
        <v>4.7842915873323344E-2</v>
      </c>
    </row>
    <row r="87" spans="1:12" x14ac:dyDescent="0.2">
      <c r="B87" s="6" t="s">
        <v>21</v>
      </c>
      <c r="C87" s="13">
        <v>10110</v>
      </c>
      <c r="D87" s="13">
        <v>10291</v>
      </c>
      <c r="E87" s="13">
        <v>10080</v>
      </c>
      <c r="F87" s="13">
        <v>11162</v>
      </c>
      <c r="G87" s="13">
        <f>(10697/3)*4</f>
        <v>14262.666666666666</v>
      </c>
      <c r="H87" s="13">
        <f ca="1">H84*H88</f>
        <v>12821.196415025703</v>
      </c>
      <c r="I87" s="13">
        <f t="shared" ref="I87:L87" ca="1" si="58">I84*I88</f>
        <v>13900.674953902664</v>
      </c>
      <c r="J87" s="13">
        <f t="shared" ca="1" si="58"/>
        <v>15237.900902978099</v>
      </c>
      <c r="K87" s="13">
        <f t="shared" ca="1" si="58"/>
        <v>15468.336360822708</v>
      </c>
      <c r="L87" s="13">
        <f t="shared" ca="1" si="58"/>
        <v>16373.198033185137</v>
      </c>
    </row>
    <row r="88" spans="1:12" s="9" customFormat="1" x14ac:dyDescent="0.2">
      <c r="B88" s="9" t="s">
        <v>31</v>
      </c>
      <c r="C88" s="15">
        <f>C87/C84</f>
        <v>0.15635390730115525</v>
      </c>
      <c r="D88" s="15">
        <f t="shared" ref="D88:G88" si="59">D87/D84</f>
        <v>0.15322880838581915</v>
      </c>
      <c r="E88" s="15">
        <f t="shared" si="59"/>
        <v>0.14323878815437957</v>
      </c>
      <c r="F88" s="15">
        <f t="shared" si="59"/>
        <v>0.14044844854921107</v>
      </c>
      <c r="G88" s="15">
        <f t="shared" si="59"/>
        <v>0.18318035481882322</v>
      </c>
      <c r="H88" s="15">
        <f>AVERAGE(E88:G88)</f>
        <v>0.1556225305074713</v>
      </c>
      <c r="I88" s="15">
        <f t="shared" ref="I88:L88" si="60">AVERAGE(F88:H88)</f>
        <v>0.15975044462516852</v>
      </c>
      <c r="J88" s="15">
        <f t="shared" si="60"/>
        <v>0.16618444331715435</v>
      </c>
      <c r="K88" s="15">
        <f t="shared" si="60"/>
        <v>0.16051913948326471</v>
      </c>
      <c r="L88" s="15">
        <f t="shared" si="60"/>
        <v>0.16215134247519583</v>
      </c>
    </row>
    <row r="90" spans="1:12" x14ac:dyDescent="0.2">
      <c r="B90" s="6" t="s">
        <v>32</v>
      </c>
      <c r="C90" s="13">
        <v>-3370</v>
      </c>
      <c r="D90" s="13">
        <v>1959</v>
      </c>
      <c r="E90" s="13">
        <v>1894</v>
      </c>
      <c r="F90" s="13">
        <v>2142</v>
      </c>
      <c r="G90" s="13">
        <f>G87*G91</f>
        <v>2710.6598665581328</v>
      </c>
      <c r="H90" s="13">
        <f t="shared" ref="H90:L90" ca="1" si="61">H87*H91</f>
        <v>2435.3893685253229</v>
      </c>
      <c r="I90" s="13">
        <f t="shared" ca="1" si="61"/>
        <v>2649.9512068136487</v>
      </c>
      <c r="J90" s="13">
        <f t="shared" ca="1" si="61"/>
        <v>2898.4405797652212</v>
      </c>
      <c r="K90" s="13">
        <f t="shared" ca="1" si="61"/>
        <v>2943.0961467306261</v>
      </c>
      <c r="L90" s="13">
        <f t="shared" ca="1" si="61"/>
        <v>3116.982915337037</v>
      </c>
    </row>
    <row r="91" spans="1:12" s="9" customFormat="1" x14ac:dyDescent="0.2">
      <c r="B91" s="9" t="s">
        <v>33</v>
      </c>
      <c r="C91" s="15">
        <f t="shared" ref="C91:E91" si="62">C90/C87</f>
        <v>-0.33333333333333331</v>
      </c>
      <c r="D91" s="15">
        <f t="shared" si="62"/>
        <v>0.19036050918278108</v>
      </c>
      <c r="E91" s="15">
        <f t="shared" si="62"/>
        <v>0.1878968253968254</v>
      </c>
      <c r="F91" s="15">
        <f>F90/F87</f>
        <v>0.19190109299408709</v>
      </c>
      <c r="G91" s="15">
        <f>AVERAGE(D91:F91)</f>
        <v>0.19005280919123116</v>
      </c>
      <c r="H91" s="15">
        <f t="shared" ref="H91:L91" si="63">AVERAGE(E91:G91)</f>
        <v>0.18995024252738121</v>
      </c>
      <c r="I91" s="15">
        <f t="shared" si="63"/>
        <v>0.19063471490423314</v>
      </c>
      <c r="J91" s="15">
        <f t="shared" si="63"/>
        <v>0.19021258887428183</v>
      </c>
      <c r="K91" s="15">
        <f t="shared" si="63"/>
        <v>0.19026584876863206</v>
      </c>
      <c r="L91" s="15">
        <f t="shared" si="63"/>
        <v>0.19037105084904901</v>
      </c>
    </row>
    <row r="93" spans="1:12" x14ac:dyDescent="0.2">
      <c r="A93" s="4" t="s">
        <v>6</v>
      </c>
      <c r="B93" s="5" t="s">
        <v>34</v>
      </c>
      <c r="C93" s="5">
        <v>2018</v>
      </c>
      <c r="D93" s="5">
        <v>2019</v>
      </c>
      <c r="E93" s="5">
        <v>2020</v>
      </c>
      <c r="F93" s="5">
        <v>2021</v>
      </c>
      <c r="G93" s="5">
        <v>2022</v>
      </c>
      <c r="H93" s="5">
        <v>2023</v>
      </c>
      <c r="I93" s="5">
        <v>2024</v>
      </c>
      <c r="J93" s="5">
        <v>2025</v>
      </c>
      <c r="K93" s="5">
        <v>2026</v>
      </c>
      <c r="L93" s="5">
        <v>2027</v>
      </c>
    </row>
    <row r="95" spans="1:12" s="13" customFormat="1" x14ac:dyDescent="0.2">
      <c r="A95"/>
      <c r="B95" s="6" t="s">
        <v>36</v>
      </c>
      <c r="C95" s="13">
        <v>2399</v>
      </c>
      <c r="D95" s="13">
        <v>2432</v>
      </c>
      <c r="E95" s="13">
        <v>2548</v>
      </c>
      <c r="F95" s="13">
        <v>2710</v>
      </c>
      <c r="G95" s="13">
        <f>(1854/3)*4</f>
        <v>2472</v>
      </c>
      <c r="H95" s="13">
        <f ca="1">H84*H96</f>
        <v>2802.6662800747149</v>
      </c>
      <c r="I95" s="13">
        <f t="shared" ref="I95:L95" ca="1" si="64">I84*I96</f>
        <v>2896.6247002449368</v>
      </c>
      <c r="J95" s="13">
        <f t="shared" ca="1" si="64"/>
        <v>3027.5733446093845</v>
      </c>
      <c r="K95" s="13">
        <f t="shared" ca="1" si="64"/>
        <v>3222.6203419151097</v>
      </c>
      <c r="L95" s="13">
        <f t="shared" ca="1" si="64"/>
        <v>3357.3958207611445</v>
      </c>
    </row>
    <row r="96" spans="1:12" x14ac:dyDescent="0.2">
      <c r="B96" s="9" t="s">
        <v>31</v>
      </c>
      <c r="C96" s="15">
        <f>C95/C84</f>
        <v>3.7101189279472944E-2</v>
      </c>
      <c r="D96" s="15">
        <f t="shared" ref="D96:E96" si="65">D95/D84</f>
        <v>3.6211491788389095E-2</v>
      </c>
      <c r="E96" s="15">
        <f t="shared" si="65"/>
        <v>3.6207582561245948E-2</v>
      </c>
      <c r="F96" s="15">
        <f t="shared" ref="F96:G96" si="66">F95/F84</f>
        <v>3.4099202254825475E-2</v>
      </c>
      <c r="G96" s="15">
        <f t="shared" si="66"/>
        <v>3.1748749914377698E-2</v>
      </c>
      <c r="H96" s="15">
        <f>AVERAGE(E96:G96)</f>
        <v>3.4018511576816374E-2</v>
      </c>
      <c r="I96" s="15">
        <f t="shared" ref="I96:L96" si="67">AVERAGE(F96:H96)</f>
        <v>3.3288821248673182E-2</v>
      </c>
      <c r="J96" s="15">
        <f t="shared" si="67"/>
        <v>3.3018694246622425E-2</v>
      </c>
      <c r="K96" s="15">
        <f t="shared" si="67"/>
        <v>3.3442009024037329E-2</v>
      </c>
      <c r="L96" s="15">
        <f t="shared" si="67"/>
        <v>3.3249841506444312E-2</v>
      </c>
    </row>
    <row r="97" spans="1:12" x14ac:dyDescent="0.2">
      <c r="B97" s="9" t="s">
        <v>37</v>
      </c>
      <c r="C97" s="15">
        <f>C95/C99</f>
        <v>0.73095673369896408</v>
      </c>
      <c r="D97" s="15">
        <f t="shared" ref="D97:L97" si="68">D95/D99</f>
        <v>0.5746691871455577</v>
      </c>
      <c r="E97" s="15">
        <f t="shared" si="68"/>
        <v>0.60094339622641513</v>
      </c>
      <c r="F97" s="15">
        <f t="shared" si="68"/>
        <v>0.58594594594594596</v>
      </c>
      <c r="G97" s="15">
        <f t="shared" si="68"/>
        <v>0.72535211267605637</v>
      </c>
      <c r="H97" s="15">
        <f t="shared" ca="1" si="68"/>
        <v>0.62913168937625152</v>
      </c>
      <c r="I97" s="15">
        <f t="shared" ca="1" si="68"/>
        <v>0.64001612681179332</v>
      </c>
      <c r="J97" s="15">
        <f t="shared" ca="1" si="68"/>
        <v>0.66101393444085144</v>
      </c>
      <c r="K97" s="15">
        <f t="shared" ca="1" si="68"/>
        <v>0.64296626686704383</v>
      </c>
      <c r="L97" s="15">
        <f t="shared" ca="1" si="68"/>
        <v>0.64782458825037714</v>
      </c>
    </row>
    <row r="99" spans="1:12" x14ac:dyDescent="0.2">
      <c r="B99" s="6" t="s">
        <v>38</v>
      </c>
      <c r="C99" s="13">
        <v>3282</v>
      </c>
      <c r="D99" s="13">
        <v>4232</v>
      </c>
      <c r="E99" s="13">
        <v>4240</v>
      </c>
      <c r="F99" s="13">
        <v>4625</v>
      </c>
      <c r="G99" s="13">
        <f>(2556/3)*4</f>
        <v>3408</v>
      </c>
      <c r="H99" s="13">
        <f ca="1">H84*H100</f>
        <v>4454.8165787887747</v>
      </c>
      <c r="I99" s="13">
        <f t="shared" ref="I99:L99" ca="1" si="69">I84*I100</f>
        <v>4525.8620508116264</v>
      </c>
      <c r="J99" s="13">
        <f t="shared" ca="1" si="69"/>
        <v>4580.1959487743543</v>
      </c>
      <c r="K99" s="13">
        <f t="shared" ca="1" si="69"/>
        <v>5012.1141776501645</v>
      </c>
      <c r="L99" s="13">
        <f t="shared" ca="1" si="69"/>
        <v>5182.5692967731993</v>
      </c>
    </row>
    <row r="100" spans="1:12" x14ac:dyDescent="0.2">
      <c r="B100" s="9" t="s">
        <v>31</v>
      </c>
      <c r="C100" s="15">
        <f>C99/C84</f>
        <v>5.0757025100137639E-2</v>
      </c>
      <c r="D100" s="15">
        <f t="shared" ref="D100:E100" si="70">D99/D84</f>
        <v>6.3012760381769187E-2</v>
      </c>
      <c r="E100" s="15">
        <f t="shared" si="70"/>
        <v>6.0251236287159664E-2</v>
      </c>
      <c r="F100" s="15">
        <f t="shared" ref="F100:G100" si="71">F99/F84</f>
        <v>5.8195132999471523E-2</v>
      </c>
      <c r="G100" s="15">
        <f t="shared" si="71"/>
        <v>4.3770121241180904E-2</v>
      </c>
      <c r="H100" s="15">
        <f>AVERAGE(E100:G100)</f>
        <v>5.4072163509270695E-2</v>
      </c>
      <c r="I100" s="15">
        <f t="shared" ref="I100:L100" si="72">AVERAGE(F100:H100)</f>
        <v>5.2012472583307705E-2</v>
      </c>
      <c r="J100" s="15">
        <f t="shared" si="72"/>
        <v>4.995158577791977E-2</v>
      </c>
      <c r="K100" s="15">
        <f t="shared" si="72"/>
        <v>5.2012073956832723E-2</v>
      </c>
      <c r="L100" s="15">
        <f t="shared" si="72"/>
        <v>5.1325377439353399E-2</v>
      </c>
    </row>
    <row r="102" spans="1:12" x14ac:dyDescent="0.2">
      <c r="B102" s="6" t="s">
        <v>39</v>
      </c>
      <c r="C102" s="13">
        <f>-253-174+9+882+448-258</f>
        <v>654</v>
      </c>
      <c r="D102" s="13">
        <f>-650-190-87+735-287+218</f>
        <v>-261</v>
      </c>
      <c r="E102" s="13">
        <f>-420-526+26+766-159+642</f>
        <v>329</v>
      </c>
      <c r="F102" s="13">
        <f>-651-582+159+1762+30+375</f>
        <v>1093</v>
      </c>
      <c r="G102" s="13">
        <f>-2258-837-124+426+718-426</f>
        <v>-2501</v>
      </c>
      <c r="H102" s="13">
        <f ca="1">H84*H103</f>
        <v>-376.04294728363129</v>
      </c>
      <c r="I102" s="13">
        <f t="shared" ref="I102:L102" ca="1" si="73">I84*I103</f>
        <v>-665.16123748476946</v>
      </c>
      <c r="J102" s="13">
        <f t="shared" ca="1" si="73"/>
        <v>-1354.906447908096</v>
      </c>
      <c r="K102" s="13">
        <f t="shared" ca="1" si="73"/>
        <v>-866.80436605391856</v>
      </c>
      <c r="L102" s="13">
        <f t="shared" ca="1" si="73"/>
        <v>-1057.4041301198542</v>
      </c>
    </row>
    <row r="103" spans="1:12" x14ac:dyDescent="0.2">
      <c r="B103" s="9" t="s">
        <v>28</v>
      </c>
      <c r="C103" s="15">
        <f>C102/C84</f>
        <v>1.0114288365475324E-2</v>
      </c>
      <c r="D103" s="15">
        <f t="shared" ref="D103:E103" si="74">D102/D84</f>
        <v>-3.8861839460401127E-3</v>
      </c>
      <c r="E103" s="15">
        <f t="shared" si="74"/>
        <v>4.6751548911498891E-3</v>
      </c>
      <c r="F103" s="15">
        <f t="shared" ref="F103:G103" si="75">F102/F84</f>
        <v>1.3752925485064297E-2</v>
      </c>
      <c r="G103" s="15">
        <f t="shared" si="75"/>
        <v>-3.2121206931981644E-2</v>
      </c>
      <c r="H103" s="15">
        <f>AVERAGE(E103:G103)</f>
        <v>-4.5643755185891532E-3</v>
      </c>
      <c r="I103" s="15">
        <f t="shared" ref="I103:L103" si="76">AVERAGE(F103:H103)</f>
        <v>-7.6442189885021668E-3</v>
      </c>
      <c r="J103" s="15">
        <f t="shared" si="76"/>
        <v>-1.4776600479690987E-2</v>
      </c>
      <c r="K103" s="15">
        <f t="shared" si="76"/>
        <v>-8.9950649955941025E-3</v>
      </c>
      <c r="L103" s="15">
        <f t="shared" si="76"/>
        <v>-1.0471961487929086E-2</v>
      </c>
    </row>
    <row r="104" spans="1:12" x14ac:dyDescent="0.2">
      <c r="B104" s="9"/>
      <c r="C104" s="15"/>
      <c r="D104" s="15"/>
      <c r="E104" s="15"/>
      <c r="F104" s="15"/>
      <c r="G104" s="15"/>
      <c r="H104" s="15"/>
      <c r="I104" s="15"/>
      <c r="J104" s="15"/>
      <c r="K104" s="15"/>
      <c r="L104" s="15"/>
    </row>
    <row r="105" spans="1:12" x14ac:dyDescent="0.2">
      <c r="H105">
        <v>1</v>
      </c>
      <c r="I105">
        <v>2</v>
      </c>
      <c r="J105">
        <v>3</v>
      </c>
      <c r="K105">
        <v>4</v>
      </c>
      <c r="L105">
        <v>5</v>
      </c>
    </row>
    <row r="106" spans="1:12" x14ac:dyDescent="0.2">
      <c r="A106" s="4" t="s">
        <v>6</v>
      </c>
      <c r="B106" s="5" t="s">
        <v>40</v>
      </c>
      <c r="C106" s="5">
        <v>2018</v>
      </c>
      <c r="D106" s="5">
        <v>2019</v>
      </c>
      <c r="E106" s="5">
        <v>2020</v>
      </c>
      <c r="F106" s="5">
        <v>2021</v>
      </c>
      <c r="G106" s="5">
        <v>2022</v>
      </c>
      <c r="H106" s="5">
        <v>2023</v>
      </c>
      <c r="I106" s="5">
        <v>2024</v>
      </c>
      <c r="J106" s="5">
        <v>2025</v>
      </c>
      <c r="K106" s="5">
        <v>2026</v>
      </c>
      <c r="L106" s="5">
        <v>2027</v>
      </c>
    </row>
    <row r="108" spans="1:12" x14ac:dyDescent="0.2">
      <c r="B108" s="6" t="s">
        <v>30</v>
      </c>
      <c r="C108" s="13">
        <f>C84</f>
        <v>64661</v>
      </c>
      <c r="D108" s="13">
        <f t="shared" ref="D108:L108" si="77">D84</f>
        <v>67161</v>
      </c>
      <c r="E108" s="13">
        <f t="shared" si="77"/>
        <v>70372</v>
      </c>
      <c r="F108" s="13">
        <f t="shared" si="77"/>
        <v>79474</v>
      </c>
      <c r="G108" s="13">
        <f t="shared" si="77"/>
        <v>77861.333333333328</v>
      </c>
      <c r="H108" s="13">
        <f t="shared" ca="1" si="77"/>
        <v>82386.505175162718</v>
      </c>
      <c r="I108" s="13">
        <f t="shared" ca="1" si="77"/>
        <v>87014.937495282735</v>
      </c>
      <c r="J108" s="13">
        <f t="shared" ca="1" si="77"/>
        <v>91692.703593785613</v>
      </c>
      <c r="K108" s="13">
        <f t="shared" ca="1" si="77"/>
        <v>96364.436107853631</v>
      </c>
      <c r="L108" s="13">
        <f t="shared" ca="1" si="77"/>
        <v>100974.79171774191</v>
      </c>
    </row>
    <row r="109" spans="1:12" x14ac:dyDescent="0.2">
      <c r="B109" s="9" t="s">
        <v>24</v>
      </c>
      <c r="D109" s="15">
        <f>D108/C108-1</f>
        <v>3.8663181825211446E-2</v>
      </c>
      <c r="E109" s="15">
        <f t="shared" ref="E109:L109" si="78">E108/D108-1</f>
        <v>4.7810485251857493E-2</v>
      </c>
      <c r="F109" s="15">
        <f t="shared" si="78"/>
        <v>0.12934121525606779</v>
      </c>
      <c r="G109" s="15">
        <f t="shared" si="78"/>
        <v>-2.0291751600104102E-2</v>
      </c>
      <c r="H109" s="15">
        <f t="shared" ca="1" si="78"/>
        <v>5.8118345115625081E-2</v>
      </c>
      <c r="I109" s="15">
        <f t="shared" ca="1" si="78"/>
        <v>5.6179495783677869E-2</v>
      </c>
      <c r="J109" s="15">
        <f t="shared" ca="1" si="78"/>
        <v>5.3758196387332591E-2</v>
      </c>
      <c r="K109" s="15">
        <f t="shared" ca="1" si="78"/>
        <v>5.0949882934683499E-2</v>
      </c>
      <c r="L109" s="15">
        <f t="shared" ca="1" si="78"/>
        <v>4.7842915873323344E-2</v>
      </c>
    </row>
    <row r="111" spans="1:12" x14ac:dyDescent="0.2">
      <c r="B111" s="6" t="s">
        <v>21</v>
      </c>
      <c r="C111" s="13">
        <f>C87</f>
        <v>10110</v>
      </c>
      <c r="D111" s="13">
        <f t="shared" ref="D111:L111" si="79">D87</f>
        <v>10291</v>
      </c>
      <c r="E111" s="13">
        <f t="shared" si="79"/>
        <v>10080</v>
      </c>
      <c r="F111" s="13">
        <f t="shared" si="79"/>
        <v>11162</v>
      </c>
      <c r="G111" s="13">
        <f t="shared" si="79"/>
        <v>14262.666666666666</v>
      </c>
      <c r="H111" s="13">
        <f ca="1">H108*H112</f>
        <v>13462.256235776988</v>
      </c>
      <c r="I111" s="13">
        <f t="shared" ref="I111:L111" ca="1" si="80">I108*I112</f>
        <v>14090.132416286968</v>
      </c>
      <c r="J111" s="13">
        <f t="shared" ca="1" si="80"/>
        <v>14712.261953237239</v>
      </c>
      <c r="K111" s="13">
        <f t="shared" ca="1" si="80"/>
        <v>15319.624332223013</v>
      </c>
      <c r="L111" s="13">
        <f t="shared" ca="1" si="80"/>
        <v>15903.529695544352</v>
      </c>
    </row>
    <row r="112" spans="1:12" x14ac:dyDescent="0.2">
      <c r="B112" s="9" t="s">
        <v>31</v>
      </c>
      <c r="C112" s="15">
        <f>C111/C108</f>
        <v>0.15635390730115525</v>
      </c>
      <c r="D112" s="15">
        <f t="shared" ref="D112:G112" si="81">D111/D108</f>
        <v>0.15322880838581915</v>
      </c>
      <c r="E112" s="15">
        <f t="shared" si="81"/>
        <v>0.14323878815437957</v>
      </c>
      <c r="F112" s="15">
        <f t="shared" si="81"/>
        <v>0.14044844854921107</v>
      </c>
      <c r="G112" s="15">
        <f t="shared" si="81"/>
        <v>0.18318035481882322</v>
      </c>
      <c r="H112" s="15">
        <f ca="1">OFFSET(H112,$C$19,0)</f>
        <v>0.16340365703284487</v>
      </c>
      <c r="I112" s="15">
        <f t="shared" ref="I112:L112" ca="1" si="82">OFFSET(I112,$C$19,0)</f>
        <v>0.16192774277463365</v>
      </c>
      <c r="J112" s="15">
        <f t="shared" ca="1" si="82"/>
        <v>0.16045182851642242</v>
      </c>
      <c r="K112" s="15">
        <f t="shared" ca="1" si="82"/>
        <v>0.15897591425821123</v>
      </c>
      <c r="L112" s="15">
        <f t="shared" ca="1" si="82"/>
        <v>0.1575</v>
      </c>
    </row>
    <row r="113" spans="2:12" x14ac:dyDescent="0.2">
      <c r="B113" t="s">
        <v>25</v>
      </c>
      <c r="H113" s="16">
        <f t="shared" ref="H113:K113" si="83">H114*$F$19</f>
        <v>0.14784140398209772</v>
      </c>
      <c r="I113" s="16">
        <f t="shared" si="83"/>
        <v>0.14650605298657329</v>
      </c>
      <c r="J113" s="16">
        <f t="shared" si="83"/>
        <v>0.14517070199104887</v>
      </c>
      <c r="K113" s="16">
        <f t="shared" si="83"/>
        <v>0.14383535099552441</v>
      </c>
      <c r="L113" s="16">
        <f>L114*$F$19</f>
        <v>0.14249999999999999</v>
      </c>
    </row>
    <row r="114" spans="2:12" x14ac:dyDescent="0.2">
      <c r="B114" t="s">
        <v>26</v>
      </c>
      <c r="H114" s="16">
        <f>AVERAGE(E112:G112)</f>
        <v>0.1556225305074713</v>
      </c>
      <c r="I114" s="16">
        <f>H114-(H114-$L$114)/($L$106-H106)</f>
        <v>0.15421689788060347</v>
      </c>
      <c r="J114" s="16">
        <f t="shared" ref="J114:K114" si="84">I114-(I114-$L$114)/($L$106-I106)</f>
        <v>0.15281126525373565</v>
      </c>
      <c r="K114" s="16">
        <f t="shared" si="84"/>
        <v>0.15140563262686782</v>
      </c>
      <c r="L114" s="8">
        <f>I19</f>
        <v>0.15</v>
      </c>
    </row>
    <row r="115" spans="2:12" x14ac:dyDescent="0.2">
      <c r="B115" t="s">
        <v>27</v>
      </c>
      <c r="H115" s="16">
        <f t="shared" ref="H115:K115" si="85">H114*$L$19</f>
        <v>0.16340365703284487</v>
      </c>
      <c r="I115" s="16">
        <f t="shared" si="85"/>
        <v>0.16192774277463365</v>
      </c>
      <c r="J115" s="16">
        <f t="shared" si="85"/>
        <v>0.16045182851642242</v>
      </c>
      <c r="K115" s="16">
        <f t="shared" si="85"/>
        <v>0.15897591425821123</v>
      </c>
      <c r="L115" s="16">
        <f>L114*$L$19</f>
        <v>0.1575</v>
      </c>
    </row>
    <row r="117" spans="2:12" x14ac:dyDescent="0.2">
      <c r="B117" s="6" t="s">
        <v>32</v>
      </c>
      <c r="C117" s="13">
        <f>C90</f>
        <v>-3370</v>
      </c>
      <c r="D117" s="13">
        <f t="shared" ref="D117:G117" si="86">D90</f>
        <v>1959</v>
      </c>
      <c r="E117" s="13">
        <f t="shared" si="86"/>
        <v>1894</v>
      </c>
      <c r="F117" s="13">
        <f t="shared" si="86"/>
        <v>2142</v>
      </c>
      <c r="G117" s="13">
        <f t="shared" si="86"/>
        <v>2710.6598665581328</v>
      </c>
      <c r="H117" s="13">
        <f ca="1">H111*H118</f>
        <v>2557.1588369515889</v>
      </c>
      <c r="I117" s="13">
        <f t="shared" ref="I117:L117" ca="1" si="87">I111*I118</f>
        <v>2686.0683761417599</v>
      </c>
      <c r="J117" s="13">
        <f t="shared" ca="1" si="87"/>
        <v>2798.4574343218537</v>
      </c>
      <c r="K117" s="13">
        <f t="shared" ca="1" si="87"/>
        <v>2914.8013263869998</v>
      </c>
      <c r="L117" s="13">
        <f t="shared" ca="1" si="87"/>
        <v>3027.5716603498349</v>
      </c>
    </row>
    <row r="118" spans="2:12" x14ac:dyDescent="0.2">
      <c r="B118" s="9" t="s">
        <v>33</v>
      </c>
      <c r="C118" s="15">
        <f>C117/C111</f>
        <v>-0.33333333333333331</v>
      </c>
      <c r="D118" s="15">
        <f t="shared" ref="D118:G118" si="88">D117/D111</f>
        <v>0.19036050918278108</v>
      </c>
      <c r="E118" s="15">
        <f t="shared" si="88"/>
        <v>0.1878968253968254</v>
      </c>
      <c r="F118" s="15">
        <f t="shared" si="88"/>
        <v>0.19190109299408709</v>
      </c>
      <c r="G118" s="15">
        <f t="shared" si="88"/>
        <v>0.19005280919123116</v>
      </c>
      <c r="H118" s="15">
        <f>AVERAGE(E118:G118)</f>
        <v>0.18995024252738121</v>
      </c>
      <c r="I118" s="15">
        <f t="shared" ref="I118:L118" si="89">AVERAGE(F118:H118)</f>
        <v>0.19063471490423314</v>
      </c>
      <c r="J118" s="15">
        <f t="shared" si="89"/>
        <v>0.19021258887428183</v>
      </c>
      <c r="K118" s="15">
        <f t="shared" si="89"/>
        <v>0.19026584876863206</v>
      </c>
      <c r="L118" s="15">
        <f t="shared" si="89"/>
        <v>0.19037105084904901</v>
      </c>
    </row>
    <row r="120" spans="2:12" x14ac:dyDescent="0.2">
      <c r="B120" s="10"/>
      <c r="C120" s="10"/>
      <c r="D120" s="10"/>
      <c r="E120" s="10"/>
      <c r="F120" s="10"/>
      <c r="G120" s="10"/>
      <c r="H120" s="10"/>
      <c r="I120" s="10"/>
      <c r="J120" s="10"/>
      <c r="K120" s="10"/>
      <c r="L120" s="10"/>
    </row>
    <row r="121" spans="2:12" x14ac:dyDescent="0.2">
      <c r="B121" s="6" t="s">
        <v>41</v>
      </c>
      <c r="H121" s="14">
        <f ca="1">H111-H117</f>
        <v>10905.097398825399</v>
      </c>
      <c r="I121" s="14">
        <f t="shared" ref="I121:L121" ca="1" si="90">I111-I117</f>
        <v>11404.064040145207</v>
      </c>
      <c r="J121" s="14">
        <f t="shared" ca="1" si="90"/>
        <v>11913.804518915385</v>
      </c>
      <c r="K121" s="14">
        <f t="shared" ca="1" si="90"/>
        <v>12404.823005836013</v>
      </c>
      <c r="L121" s="14">
        <f t="shared" ca="1" si="90"/>
        <v>12875.958035194517</v>
      </c>
    </row>
    <row r="123" spans="2:12" x14ac:dyDescent="0.2">
      <c r="B123" s="6" t="s">
        <v>36</v>
      </c>
      <c r="C123" s="13">
        <f>C95</f>
        <v>2399</v>
      </c>
      <c r="D123" s="13">
        <f t="shared" ref="D123:L123" si="91">D95</f>
        <v>2432</v>
      </c>
      <c r="E123" s="13">
        <f t="shared" si="91"/>
        <v>2548</v>
      </c>
      <c r="F123" s="13">
        <f t="shared" si="91"/>
        <v>2710</v>
      </c>
      <c r="G123" s="13">
        <f t="shared" si="91"/>
        <v>2472</v>
      </c>
      <c r="H123" s="13">
        <f t="shared" ca="1" si="91"/>
        <v>2802.6662800747149</v>
      </c>
      <c r="I123" s="13">
        <f t="shared" ca="1" si="91"/>
        <v>2896.6247002449368</v>
      </c>
      <c r="J123" s="13">
        <f t="shared" ca="1" si="91"/>
        <v>3027.5733446093845</v>
      </c>
      <c r="K123" s="13">
        <f t="shared" ca="1" si="91"/>
        <v>3222.6203419151097</v>
      </c>
      <c r="L123" s="13">
        <f t="shared" ca="1" si="91"/>
        <v>3357.3958207611445</v>
      </c>
    </row>
    <row r="124" spans="2:12" x14ac:dyDescent="0.2">
      <c r="B124" s="9" t="s">
        <v>31</v>
      </c>
      <c r="C124" s="15">
        <f>C123/C108</f>
        <v>3.7101189279472944E-2</v>
      </c>
      <c r="D124" s="15">
        <f t="shared" ref="D124:L124" si="92">D123/D108</f>
        <v>3.6211491788389095E-2</v>
      </c>
      <c r="E124" s="15">
        <f t="shared" si="92"/>
        <v>3.6207582561245948E-2</v>
      </c>
      <c r="F124" s="15">
        <f t="shared" si="92"/>
        <v>3.4099202254825475E-2</v>
      </c>
      <c r="G124" s="15">
        <f t="shared" si="92"/>
        <v>3.1748749914377698E-2</v>
      </c>
      <c r="H124" s="15">
        <f t="shared" ca="1" si="92"/>
        <v>3.4018511576816374E-2</v>
      </c>
      <c r="I124" s="15">
        <f t="shared" ca="1" si="92"/>
        <v>3.3288821248673182E-2</v>
      </c>
      <c r="J124" s="15">
        <f t="shared" ca="1" si="92"/>
        <v>3.3018694246622425E-2</v>
      </c>
      <c r="K124" s="15">
        <f t="shared" ca="1" si="92"/>
        <v>3.3442009024037329E-2</v>
      </c>
      <c r="L124" s="15">
        <f t="shared" ca="1" si="92"/>
        <v>3.3249841506444312E-2</v>
      </c>
    </row>
    <row r="125" spans="2:12" x14ac:dyDescent="0.2">
      <c r="B125" s="9" t="s">
        <v>37</v>
      </c>
      <c r="C125" s="15">
        <f>C123/C127</f>
        <v>0.73095673369896408</v>
      </c>
      <c r="D125" s="15">
        <f t="shared" ref="D125:L125" si="93">D123/D127</f>
        <v>0.5746691871455577</v>
      </c>
      <c r="E125" s="15">
        <f t="shared" si="93"/>
        <v>0.60094339622641513</v>
      </c>
      <c r="F125" s="15">
        <f t="shared" si="93"/>
        <v>0.58594594594594596</v>
      </c>
      <c r="G125" s="15">
        <f t="shared" si="93"/>
        <v>0.72535211267605637</v>
      </c>
      <c r="H125" s="15">
        <f t="shared" ca="1" si="93"/>
        <v>0.62913168937625152</v>
      </c>
      <c r="I125" s="15">
        <f t="shared" ca="1" si="93"/>
        <v>0.64001612681179332</v>
      </c>
      <c r="J125" s="15">
        <f t="shared" ca="1" si="93"/>
        <v>0.66101393444085144</v>
      </c>
      <c r="K125" s="15">
        <f t="shared" ca="1" si="93"/>
        <v>0.64296626686704383</v>
      </c>
      <c r="L125" s="15">
        <f t="shared" ca="1" si="93"/>
        <v>0.64782458825037714</v>
      </c>
    </row>
    <row r="127" spans="2:12" x14ac:dyDescent="0.2">
      <c r="B127" s="6" t="s">
        <v>38</v>
      </c>
      <c r="C127" s="13">
        <f>C99</f>
        <v>3282</v>
      </c>
      <c r="D127" s="13">
        <f t="shared" ref="D127:L127" si="94">D99</f>
        <v>4232</v>
      </c>
      <c r="E127" s="13">
        <f t="shared" si="94"/>
        <v>4240</v>
      </c>
      <c r="F127" s="13">
        <f t="shared" si="94"/>
        <v>4625</v>
      </c>
      <c r="G127" s="13">
        <f t="shared" si="94"/>
        <v>3408</v>
      </c>
      <c r="H127" s="13">
        <f t="shared" ca="1" si="94"/>
        <v>4454.8165787887747</v>
      </c>
      <c r="I127" s="13">
        <f t="shared" ca="1" si="94"/>
        <v>4525.8620508116264</v>
      </c>
      <c r="J127" s="13">
        <f t="shared" ca="1" si="94"/>
        <v>4580.1959487743543</v>
      </c>
      <c r="K127" s="13">
        <f t="shared" ca="1" si="94"/>
        <v>5012.1141776501645</v>
      </c>
      <c r="L127" s="13">
        <f t="shared" ca="1" si="94"/>
        <v>5182.5692967731993</v>
      </c>
    </row>
    <row r="128" spans="2:12" x14ac:dyDescent="0.2">
      <c r="B128" s="9" t="s">
        <v>31</v>
      </c>
      <c r="C128" s="15">
        <f>C127/C108</f>
        <v>5.0757025100137639E-2</v>
      </c>
      <c r="D128" s="15">
        <f t="shared" ref="D128:L128" si="95">D127/D108</f>
        <v>6.3012760381769187E-2</v>
      </c>
      <c r="E128" s="15">
        <f t="shared" si="95"/>
        <v>6.0251236287159664E-2</v>
      </c>
      <c r="F128" s="15">
        <f t="shared" si="95"/>
        <v>5.8195132999471523E-2</v>
      </c>
      <c r="G128" s="15">
        <f t="shared" si="95"/>
        <v>4.3770121241180904E-2</v>
      </c>
      <c r="H128" s="15">
        <f t="shared" ca="1" si="95"/>
        <v>5.4072163509270695E-2</v>
      </c>
      <c r="I128" s="15">
        <f t="shared" ca="1" si="95"/>
        <v>5.2012472583307698E-2</v>
      </c>
      <c r="J128" s="15">
        <f t="shared" ca="1" si="95"/>
        <v>4.995158577791977E-2</v>
      </c>
      <c r="K128" s="15">
        <f t="shared" ca="1" si="95"/>
        <v>5.2012073956832723E-2</v>
      </c>
      <c r="L128" s="15">
        <f t="shared" ca="1" si="95"/>
        <v>5.1325377439353399E-2</v>
      </c>
    </row>
    <row r="130" spans="2:12" x14ac:dyDescent="0.2">
      <c r="B130" s="6" t="s">
        <v>39</v>
      </c>
      <c r="C130" s="13">
        <f>C102</f>
        <v>654</v>
      </c>
      <c r="D130" s="13">
        <f t="shared" ref="D130:L130" si="96">D102</f>
        <v>-261</v>
      </c>
      <c r="E130" s="13">
        <f t="shared" si="96"/>
        <v>329</v>
      </c>
      <c r="F130" s="13">
        <f t="shared" si="96"/>
        <v>1093</v>
      </c>
      <c r="G130" s="13">
        <f t="shared" si="96"/>
        <v>-2501</v>
      </c>
      <c r="H130" s="13">
        <f t="shared" ca="1" si="96"/>
        <v>-376.04294728363129</v>
      </c>
      <c r="I130" s="13">
        <f t="shared" ca="1" si="96"/>
        <v>-665.16123748476946</v>
      </c>
      <c r="J130" s="13">
        <f t="shared" ca="1" si="96"/>
        <v>-1354.906447908096</v>
      </c>
      <c r="K130" s="13">
        <f t="shared" ca="1" si="96"/>
        <v>-866.80436605391856</v>
      </c>
      <c r="L130" s="13">
        <f t="shared" ca="1" si="96"/>
        <v>-1057.4041301198542</v>
      </c>
    </row>
    <row r="131" spans="2:12" x14ac:dyDescent="0.2">
      <c r="B131" s="9" t="s">
        <v>28</v>
      </c>
      <c r="C131" s="15">
        <f>C130/C108</f>
        <v>1.0114288365475324E-2</v>
      </c>
      <c r="D131" s="15">
        <f t="shared" ref="D131:L131" si="97">D130/D108</f>
        <v>-3.8861839460401127E-3</v>
      </c>
      <c r="E131" s="15">
        <f t="shared" si="97"/>
        <v>4.6751548911498891E-3</v>
      </c>
      <c r="F131" s="15">
        <f t="shared" si="97"/>
        <v>1.3752925485064297E-2</v>
      </c>
      <c r="G131" s="15">
        <f t="shared" si="97"/>
        <v>-3.2121206931981644E-2</v>
      </c>
      <c r="H131" s="15">
        <f t="shared" ca="1" si="97"/>
        <v>-4.5643755185891532E-3</v>
      </c>
      <c r="I131" s="15">
        <f t="shared" ca="1" si="97"/>
        <v>-7.6442189885021668E-3</v>
      </c>
      <c r="J131" s="15">
        <f t="shared" ca="1" si="97"/>
        <v>-1.4776600479690987E-2</v>
      </c>
      <c r="K131" s="15">
        <f t="shared" ca="1" si="97"/>
        <v>-8.9950649955941025E-3</v>
      </c>
      <c r="L131" s="15">
        <f t="shared" ca="1" si="97"/>
        <v>-1.0471961487929086E-2</v>
      </c>
    </row>
    <row r="133" spans="2:12" x14ac:dyDescent="0.2">
      <c r="B133" s="10"/>
      <c r="C133" s="10"/>
      <c r="D133" s="10"/>
      <c r="E133" s="10"/>
      <c r="F133" s="10"/>
      <c r="G133" s="10"/>
      <c r="H133" s="10"/>
      <c r="I133" s="10"/>
      <c r="J133" s="10"/>
      <c r="K133" s="10"/>
      <c r="L133" s="10"/>
    </row>
    <row r="134" spans="2:12" x14ac:dyDescent="0.2">
      <c r="B134" s="6" t="s">
        <v>42</v>
      </c>
      <c r="H134" s="14">
        <f ca="1">H121+H123-H127-H130</f>
        <v>9628.9900473949692</v>
      </c>
      <c r="I134" s="14">
        <f t="shared" ref="I134:L134" ca="1" si="98">I121+I123-I127-I130</f>
        <v>10439.987927063286</v>
      </c>
      <c r="J134" s="14">
        <f t="shared" ca="1" si="98"/>
        <v>11716.088362658509</v>
      </c>
      <c r="K134" s="14">
        <f t="shared" ca="1" si="98"/>
        <v>11482.133536154877</v>
      </c>
      <c r="L134" s="14">
        <f t="shared" ca="1" si="98"/>
        <v>12108.188689302317</v>
      </c>
    </row>
    <row r="135" spans="2:12" x14ac:dyDescent="0.2">
      <c r="B135" s="6" t="s">
        <v>43</v>
      </c>
      <c r="H135" s="13">
        <f t="shared" ref="H135:K135" ca="1" si="99">H134/(1+$C$23)^H105</f>
        <v>9063.327270634356</v>
      </c>
      <c r="I135" s="13">
        <f t="shared" ca="1" si="99"/>
        <v>9249.4060517569415</v>
      </c>
      <c r="J135" s="13">
        <f t="shared" ca="1" si="99"/>
        <v>9770.1990572957984</v>
      </c>
      <c r="K135" s="13">
        <f t="shared" ca="1" si="99"/>
        <v>9012.6040472911027</v>
      </c>
      <c r="L135" s="13">
        <f ca="1">L134/(1+$C$23)^L105</f>
        <v>8945.6891487215689</v>
      </c>
    </row>
    <row r="137" spans="2:12" x14ac:dyDescent="0.2">
      <c r="B137" s="6" t="s">
        <v>57</v>
      </c>
      <c r="L137" s="14">
        <f ca="1">L134*(1+C23)/(C23-C24)</f>
        <v>303305.85701227677</v>
      </c>
    </row>
    <row r="138" spans="2:12" x14ac:dyDescent="0.2">
      <c r="B138" s="6" t="s">
        <v>58</v>
      </c>
      <c r="L138" s="14">
        <f ca="1">L137/(1+C23)^L105</f>
        <v>224086.35869835966</v>
      </c>
    </row>
    <row r="140" spans="2:12" x14ac:dyDescent="0.2">
      <c r="B140" s="6" t="s">
        <v>59</v>
      </c>
      <c r="L140" s="13">
        <f ca="1">SUM(L138,H135:L135)</f>
        <v>270127.58427405939</v>
      </c>
    </row>
    <row r="141" spans="2:12" x14ac:dyDescent="0.2">
      <c r="B141" s="6" t="s">
        <v>60</v>
      </c>
      <c r="L141" s="13">
        <v>6740</v>
      </c>
    </row>
    <row r="142" spans="2:12" x14ac:dyDescent="0.2">
      <c r="B142" s="6" t="s">
        <v>61</v>
      </c>
      <c r="L142" s="13">
        <f>PEP_WACC!D16</f>
        <v>39250</v>
      </c>
    </row>
    <row r="143" spans="2:12" x14ac:dyDescent="0.2">
      <c r="B143" s="6" t="s">
        <v>62</v>
      </c>
      <c r="L143" s="13">
        <f ca="1">L140+L141-L142</f>
        <v>237617.58427405939</v>
      </c>
    </row>
    <row r="144" spans="2:12" x14ac:dyDescent="0.2">
      <c r="B144" s="6" t="s">
        <v>63</v>
      </c>
      <c r="L144" s="13">
        <v>1389</v>
      </c>
    </row>
    <row r="145" spans="2:12" x14ac:dyDescent="0.2">
      <c r="B145" s="6" t="s">
        <v>4</v>
      </c>
      <c r="L145" s="13">
        <f ca="1">L143/L144</f>
        <v>171.07097499932283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6A64-633C-8744-80A2-C8B77A9F173D}">
  <dimension ref="A1:D23"/>
  <sheetViews>
    <sheetView showGridLines="0" zoomScale="140" zoomScaleNormal="140" workbookViewId="0">
      <selection activeCell="D13" sqref="D13"/>
    </sheetView>
  </sheetViews>
  <sheetFormatPr baseColWidth="10" defaultRowHeight="16" x14ac:dyDescent="0.2"/>
  <sheetData>
    <row r="1" spans="1:4" ht="24" x14ac:dyDescent="0.3">
      <c r="A1" s="17" t="s">
        <v>2</v>
      </c>
    </row>
    <row r="3" spans="1:4" ht="19" x14ac:dyDescent="0.25">
      <c r="A3" s="18" t="s">
        <v>44</v>
      </c>
    </row>
    <row r="4" spans="1:4" ht="19" x14ac:dyDescent="0.25">
      <c r="A4" s="18"/>
    </row>
    <row r="5" spans="1:4" ht="19" x14ac:dyDescent="0.25">
      <c r="A5" s="18" t="s">
        <v>45</v>
      </c>
    </row>
    <row r="7" spans="1:4" ht="19" x14ac:dyDescent="0.25">
      <c r="A7" s="19" t="s">
        <v>22</v>
      </c>
    </row>
    <row r="8" spans="1:4" ht="19" x14ac:dyDescent="0.25">
      <c r="A8" s="20"/>
    </row>
    <row r="9" spans="1:4" ht="19" x14ac:dyDescent="0.25">
      <c r="A9" s="20" t="s">
        <v>46</v>
      </c>
      <c r="D9" s="21">
        <v>234050</v>
      </c>
    </row>
    <row r="10" spans="1:4" ht="19" x14ac:dyDescent="0.25">
      <c r="A10" s="20" t="s">
        <v>47</v>
      </c>
      <c r="D10" s="12">
        <f>D9/D21</f>
        <v>0.8563849249908525</v>
      </c>
    </row>
    <row r="11" spans="1:4" ht="19" x14ac:dyDescent="0.25">
      <c r="A11" s="20" t="s">
        <v>48</v>
      </c>
      <c r="D11" s="12">
        <f>D12+D13*D14</f>
        <v>6.5629999999999994E-2</v>
      </c>
    </row>
    <row r="12" spans="1:4" ht="19" x14ac:dyDescent="0.25">
      <c r="A12" s="20" t="s">
        <v>49</v>
      </c>
      <c r="D12" s="12">
        <v>3.4970000000000001E-2</v>
      </c>
    </row>
    <row r="13" spans="1:4" ht="19" x14ac:dyDescent="0.25">
      <c r="A13" s="20" t="s">
        <v>50</v>
      </c>
      <c r="D13" s="22">
        <v>0.6</v>
      </c>
    </row>
    <row r="14" spans="1:4" ht="19" x14ac:dyDescent="0.25">
      <c r="A14" s="20" t="s">
        <v>51</v>
      </c>
      <c r="D14" s="12">
        <v>5.11E-2</v>
      </c>
    </row>
    <row r="15" spans="1:4" ht="19" x14ac:dyDescent="0.25">
      <c r="A15" s="20"/>
    </row>
    <row r="16" spans="1:4" ht="19" x14ac:dyDescent="0.25">
      <c r="A16" s="20" t="s">
        <v>52</v>
      </c>
      <c r="D16" s="21">
        <v>39250</v>
      </c>
    </row>
    <row r="17" spans="1:4" ht="19" x14ac:dyDescent="0.25">
      <c r="A17" s="20" t="s">
        <v>53</v>
      </c>
      <c r="D17" s="12">
        <f>D16/D9</f>
        <v>0.16769920957060458</v>
      </c>
    </row>
    <row r="18" spans="1:4" ht="19" x14ac:dyDescent="0.25">
      <c r="A18" s="20" t="s">
        <v>54</v>
      </c>
      <c r="D18" s="12">
        <v>4.5699999999999998E-2</v>
      </c>
    </row>
    <row r="19" spans="1:4" ht="19" x14ac:dyDescent="0.25">
      <c r="A19" s="20" t="s">
        <v>55</v>
      </c>
      <c r="D19" s="23">
        <v>0.19</v>
      </c>
    </row>
    <row r="20" spans="1:4" ht="19" x14ac:dyDescent="0.25">
      <c r="A20" s="20"/>
    </row>
    <row r="21" spans="1:4" ht="19" x14ac:dyDescent="0.25">
      <c r="A21" s="20" t="s">
        <v>56</v>
      </c>
      <c r="D21" s="21">
        <f>D9+D16</f>
        <v>273300</v>
      </c>
    </row>
    <row r="22" spans="1:4" ht="19" x14ac:dyDescent="0.25">
      <c r="A22" s="20"/>
    </row>
    <row r="23" spans="1:4" ht="19" x14ac:dyDescent="0.25">
      <c r="A23" s="20" t="s">
        <v>22</v>
      </c>
      <c r="D23" s="12">
        <f>(D10*D11)+(D17*D18*(1-D19))</f>
        <v>6.2412264267824716E-2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PEP_DCF</vt:lpstr>
      <vt:lpstr>PEP_WACC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2023-01-24T10:19:54Z</dcterms:created>
  <dcterms:modified xsi:type="dcterms:W3CDTF">2023-01-25T15:04:02Z</dcterms:modified>
</cp:coreProperties>
</file>