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AMD DCF" sheetId="2" r:id="rId5"/>
    <sheet name="WACC - MAR" sheetId="3" r:id="rId6"/>
    <sheet name="Sheet 2 - Booking Metrics for C" sheetId="4" r:id="rId7"/>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<sst xmlns="http://schemas.openxmlformats.org/spreadsheetml/2006/main" uniqueCount="79">
  <si>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</si>
  <si>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</si>
  <si>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</si>
  <si>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</si>
  <si>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</si>
  <si>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AMD DCF</t>
  </si>
  <si>
    <t>Model - AMD DCF</t>
  </si>
  <si>
    <t>Ticker</t>
  </si>
  <si>
    <t>AMD</t>
  </si>
  <si>
    <t>Implied Share Price</t>
  </si>
  <si>
    <t>Date</t>
  </si>
  <si>
    <t xml:space="preserve">Current Share Price </t>
  </si>
  <si>
    <t>Upside (Downside)</t>
  </si>
  <si>
    <t>X</t>
  </si>
  <si>
    <t xml:space="preserve">Assumptions </t>
  </si>
  <si>
    <t>Switches</t>
  </si>
  <si>
    <t>Conservative</t>
  </si>
  <si>
    <t>Street/ Base</t>
  </si>
  <si>
    <t>Optimistic</t>
  </si>
  <si>
    <t>Computing &amp; Graphics</t>
  </si>
  <si>
    <t xml:space="preserve">Enterprise, Embedded &amp; Semi-Custom </t>
  </si>
  <si>
    <t>EBIT</t>
  </si>
  <si>
    <t>Step</t>
  </si>
  <si>
    <t>WACC</t>
  </si>
  <si>
    <t>TGV</t>
  </si>
  <si>
    <t>Yahoo Street Estimates</t>
  </si>
  <si>
    <t>Revenue Build</t>
  </si>
  <si>
    <t xml:space="preserve">% growth </t>
  </si>
  <si>
    <t xml:space="preserve">   Conservative</t>
  </si>
  <si>
    <t xml:space="preserve">   Street/Base Case</t>
  </si>
  <si>
    <t xml:space="preserve">   Optimistic</t>
  </si>
  <si>
    <t>% of Revenue</t>
  </si>
  <si>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</si>
  <si>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</si>
  <si>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</si>
  <si>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</si>
  <si>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</si>
  <si>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</si>
  <si>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</si>
  <si>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</si>
  <si>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</si>
  <si>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</si>
  <si>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</si>
  <si>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</si>
  <si>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</si>
  <si>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</si>
  <si>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DCF</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</si>
  <si>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</si>
  <si>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</si>
  <si>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</si>
  <si>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</si>
  <si>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</si>
  <si>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</si>
  <si>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</si>
  <si>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</si>
  <si>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</si>
  <si>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</si>
  <si>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</si>
  <si>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MAR</t>
  </si>
  <si>
    <t>WACC - MAR</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</si>
  <si>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</si>
  <si>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</si>
  <si>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</si>
  <si>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</si>
  <si>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</si>
  <si>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</si>
  <si>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</si>
  <si>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</si>
  <si>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</si>
  <si>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</si>
  <si>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</si>
  <si>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</si>
  <si>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</si>
  <si>
    <t>Sheet 2</t>
  </si>
  <si>
    <t>Booking Metrics for Calculations</t>
  </si>
  <si>
    <t>Sheet 2 - Booking Metrics for C</t>
  </si>
  <si>
    <t>Shares Outstanding</t>
  </si>
  <si>
    <t>EPS</t>
  </si>
  <si>
    <t xml:space="preserve">Dec 2022
95.83
105.03
85.79
8
0
0
Dec 2023
120.13
130
103.42
10
1
1
Dec 2024
147.18
154.37
132.28
5
1
0
Dec 2025
174.53
</t>
  </si>
</sst>
</file>

<file path=xl/styles.xml><?xml version="1.0" encoding="utf-8"?>
<styleSheet xmlns="http://schemas.openxmlformats.org/spreadsheetml/2006/main">
  <numFmts count="9">
    <numFmt numFmtId="0" formatCode="General"/>
    <numFmt numFmtId="59" formatCode="[$$-409]0.00"/>
    <numFmt numFmtId="60" formatCode="dd/mm/yyyy"/>
    <numFmt numFmtId="61" formatCode="0%_);\(0%\)"/>
    <numFmt numFmtId="62" formatCode="0.0%_);\(0.0%\)"/>
    <numFmt numFmtId="63" formatCode="0.0%"/>
    <numFmt numFmtId="64" formatCode="#,##0%_);\(#,##0%\)"/>
    <numFmt numFmtId="65" formatCode="0.0#%"/>
    <numFmt numFmtId="66" formatCode="#,##0.0#####"/>
  </numFmts>
  <fonts count="23">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i val="1"/>
      <sz val="11"/>
      <color indexed="17"/>
      <name val="Calibri"/>
    </font>
    <font>
      <sz val="11"/>
      <color indexed="19"/>
      <name val="Calibri"/>
    </font>
    <font>
      <b val="1"/>
      <sz val="12"/>
      <color indexed="8"/>
      <name val="Calibri"/>
    </font>
    <font>
      <b val="1"/>
      <sz val="12"/>
      <color indexed="8"/>
      <name val="Helvetica Neue"/>
    </font>
    <font>
      <b val="1"/>
      <sz val="12"/>
      <color indexed="15"/>
      <name val="Calibri"/>
    </font>
    <font>
      <b val="1"/>
      <sz val="10"/>
      <color indexed="8"/>
      <name val="Helvetica Neue"/>
    </font>
    <font>
      <sz val="10"/>
      <color indexed="8"/>
      <name val="Calibri"/>
    </font>
    <font>
      <b val="1"/>
      <sz val="10"/>
      <color indexed="8"/>
      <name val="Calibri"/>
    </font>
    <font>
      <outline val="1"/>
      <sz val="10"/>
      <color indexed="21"/>
      <name val="Calibri"/>
    </font>
    <font>
      <outline val="1"/>
      <sz val="10"/>
      <color indexed="22"/>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7">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right>
        <color indexed="8"/>
      </right>
      <top/>
      <bottom/>
      <diagonal/>
    </border>
    <border>
      <left>
        <color indexed="8"/>
      </left>
      <right>
        <color indexed="8"/>
      </right>
      <top style="dotted">
        <color indexed="12"/>
      </top>
      <bottom>
        <color indexed="8"/>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color indexed="8"/>
      </top>
      <bottom>
        <color indexed="8"/>
      </bottom>
      <diagonal/>
    </border>
    <border>
      <left>
        <color indexed="8"/>
      </left>
      <right/>
      <top>
        <color indexed="8"/>
      </top>
      <bottom>
        <color indexed="8"/>
      </bottom>
      <diagonal/>
    </border>
    <border>
      <left/>
      <right>
        <color indexed="8"/>
      </right>
      <top>
        <color indexed="8"/>
      </top>
      <bottom>
        <color indexed="8"/>
      </bottom>
      <diagonal/>
    </border>
    <border>
      <left>
        <color indexed="8"/>
      </left>
      <right/>
      <top>
        <color indexed="8"/>
      </top>
      <bottom/>
      <diagonal/>
    </border>
    <border>
      <left/>
      <right/>
      <top>
        <color indexed="8"/>
      </top>
      <bottom/>
      <diagonal/>
    </border>
    <border>
      <left/>
      <right/>
      <top>
        <color indexed="8"/>
      </top>
      <bottom style="dotted">
        <color indexed="12"/>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right/>
      <top/>
      <bottom style="thin">
        <color indexed="18"/>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right/>
      <top style="thin">
        <color indexed="18"/>
      </top>
      <bottom/>
      <diagonal/>
    </border>
    <border>
      <left>
        <color indexed="8"/>
      </left>
      <right>
        <color indexed="8"/>
      </right>
      <top>
        <color indexed="8"/>
      </top>
      <bottom style="thin">
        <color indexed="18"/>
      </bottom>
      <diagonal/>
    </border>
    <border>
      <left>
        <color indexed="8"/>
      </left>
      <right/>
      <top/>
      <bottom style="thin">
        <color indexed="18"/>
      </bottom>
      <diagonal/>
    </border>
    <border>
      <left>
        <color indexed="8"/>
      </left>
      <right>
        <color indexed="8"/>
      </right>
      <top style="thin">
        <color indexed="18"/>
      </top>
      <bottom>
        <color indexed="8"/>
      </bottom>
      <diagonal/>
    </border>
    <border>
      <left>
        <color indexed="8"/>
      </left>
      <right/>
      <top style="thin">
        <color indexed="18"/>
      </top>
      <bottom>
        <color indexed="8"/>
      </bottom>
      <diagonal/>
    </border>
    <border>
      <left/>
      <right/>
      <top style="thin">
        <color indexed="18"/>
      </top>
      <bottom>
        <color indexed="8"/>
      </bottom>
      <diagonal/>
    </border>
    <border>
      <left/>
      <right>
        <color indexed="8"/>
      </right>
      <top style="thin">
        <color indexed="18"/>
      </top>
      <bottom>
        <color indexed="8"/>
      </bottom>
      <diagonal/>
    </border>
    <border>
      <left/>
      <right/>
      <top style="hair">
        <color indexed="12"/>
      </top>
      <bottom style="thin">
        <color indexed="18"/>
      </bottom>
      <diagonal/>
    </border>
    <border>
      <left>
        <color indexed="8"/>
      </left>
      <right/>
      <top style="thin">
        <color indexed="18"/>
      </top>
      <bottom/>
      <diagonal/>
    </border>
    <border>
      <left/>
      <right/>
      <top/>
      <bottom style="thin">
        <color indexed="20"/>
      </bottom>
      <diagonal/>
    </border>
    <border>
      <left/>
      <right/>
      <top style="thin">
        <color indexed="20"/>
      </top>
      <bottom/>
      <diagonal/>
    </border>
  </borders>
  <cellStyleXfs count="1">
    <xf numFmtId="0" fontId="0" applyNumberFormat="0" applyFont="1" applyFill="0" applyBorder="0" applyAlignment="1" applyProtection="0">
      <alignment vertical="top" wrapText="1"/>
    </xf>
  </cellStyleXfs>
  <cellXfs count="18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1"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63" fontId="5" fillId="4" borderId="17" applyNumberFormat="1" applyFont="1" applyFill="1"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37" fontId="10"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64" fontId="11" borderId="28" applyNumberFormat="1" applyFont="1" applyFill="0" applyBorder="1" applyAlignment="1" applyProtection="0">
      <alignment vertical="top"/>
    </xf>
    <xf numFmtId="64" fontId="11" borderId="29" applyNumberFormat="1" applyFont="1" applyFill="0" applyBorder="1" applyAlignment="1" applyProtection="0">
      <alignment vertical="top"/>
    </xf>
    <xf numFmtId="61" fontId="11" borderId="29" applyNumberFormat="1" applyFont="1" applyFill="0" applyBorder="1" applyAlignment="1" applyProtection="0">
      <alignment vertical="top"/>
    </xf>
    <xf numFmtId="0" fontId="11" borderId="30"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31" applyNumberFormat="0" applyFont="1" applyFill="0" applyBorder="1" applyAlignment="1" applyProtection="0">
      <alignment vertical="top"/>
    </xf>
    <xf numFmtId="37" fontId="11" borderId="32" applyNumberFormat="1" applyFont="1" applyFill="0" applyBorder="1" applyAlignment="1" applyProtection="0">
      <alignment vertical="top"/>
    </xf>
    <xf numFmtId="64" fontId="11" borderId="32" applyNumberFormat="1" applyFont="1" applyFill="0" applyBorder="1" applyAlignment="1" applyProtection="0">
      <alignment vertical="top"/>
    </xf>
    <xf numFmtId="64" fontId="11" borderId="33"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4" applyNumberFormat="0" applyFont="1" applyFill="0" applyBorder="1" applyAlignment="1" applyProtection="0">
      <alignment vertical="top"/>
    </xf>
    <xf numFmtId="37" fontId="10" borderId="33" applyNumberFormat="1" applyFont="1" applyFill="0" applyBorder="1" applyAlignment="1" applyProtection="0">
      <alignment vertical="top"/>
    </xf>
    <xf numFmtId="37" fontId="5" borderId="33" applyNumberFormat="1" applyFont="1" applyFill="0" applyBorder="1" applyAlignment="1" applyProtection="0">
      <alignment vertical="top"/>
    </xf>
    <xf numFmtId="37" fontId="5" borderId="35"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6" applyNumberFormat="0" applyFont="1" applyFill="0" applyBorder="1" applyAlignment="1" applyProtection="0">
      <alignment vertical="top"/>
    </xf>
    <xf numFmtId="64" fontId="11" borderId="37" applyNumberFormat="1" applyFont="1" applyFill="0" applyBorder="1" applyAlignment="1" applyProtection="0">
      <alignment vertical="top"/>
    </xf>
    <xf numFmtId="64" fontId="11" borderId="38" applyNumberFormat="1" applyFont="1" applyFill="0" applyBorder="1" applyAlignment="1" applyProtection="0">
      <alignment vertical="top"/>
    </xf>
    <xf numFmtId="61" fontId="11" fillId="4" borderId="7" applyNumberFormat="1" applyFont="1" applyFill="1" applyBorder="1" applyAlignment="1" applyProtection="0">
      <alignment vertical="top"/>
    </xf>
    <xf numFmtId="61" fontId="11" fillId="4" borderId="24" applyNumberFormat="1" applyFont="1" applyFill="1" applyBorder="1" applyAlignment="1" applyProtection="0">
      <alignment vertical="top"/>
    </xf>
    <xf numFmtId="64" fontId="11" borderId="14" applyNumberFormat="1" applyFont="1" applyFill="0" applyBorder="1" applyAlignment="1" applyProtection="0">
      <alignment vertical="top"/>
    </xf>
    <xf numFmtId="0" fontId="11" borderId="39" applyNumberFormat="0" applyFont="1" applyFill="0" applyBorder="1" applyAlignment="1" applyProtection="0">
      <alignment vertical="top"/>
    </xf>
    <xf numFmtId="0" fontId="6" borderId="39" applyNumberFormat="0" applyFont="1" applyFill="0" applyBorder="1" applyAlignment="1" applyProtection="0">
      <alignment vertical="top"/>
    </xf>
    <xf numFmtId="0" fontId="11" borderId="40" applyNumberFormat="0" applyFont="1" applyFill="0" applyBorder="1" applyAlignment="1" applyProtection="0">
      <alignment vertical="top"/>
    </xf>
    <xf numFmtId="0" fontId="11" borderId="41" applyNumberFormat="0" applyFont="1" applyFill="0" applyBorder="1" applyAlignment="1" applyProtection="0">
      <alignment vertical="top"/>
    </xf>
    <xf numFmtId="37" fontId="13" borderId="41" applyNumberFormat="1" applyFont="1" applyFill="0" applyBorder="1" applyAlignment="1" applyProtection="0">
      <alignment vertical="top"/>
    </xf>
    <xf numFmtId="64" fontId="11" borderId="41" applyNumberFormat="1" applyFont="1" applyFill="0" applyBorder="1" applyAlignment="1" applyProtection="0">
      <alignment vertical="top"/>
    </xf>
    <xf numFmtId="64" fontId="11" borderId="42" applyNumberFormat="1" applyFont="1" applyFill="0" applyBorder="1" applyAlignment="1" applyProtection="0">
      <alignment vertical="top"/>
    </xf>
    <xf numFmtId="0" fontId="6" borderId="43" applyNumberFormat="0" applyFont="1" applyFill="0" applyBorder="1" applyAlignment="1" applyProtection="0">
      <alignment vertical="top"/>
    </xf>
    <xf numFmtId="49" fontId="6" borderId="43" applyNumberFormat="1" applyFont="1" applyFill="0" applyBorder="1" applyAlignment="1" applyProtection="0">
      <alignment vertical="top"/>
    </xf>
    <xf numFmtId="0" fontId="6" borderId="44" applyNumberFormat="0" applyFont="1" applyFill="0" applyBorder="1" applyAlignment="1" applyProtection="0">
      <alignment vertical="top"/>
    </xf>
    <xf numFmtId="37" fontId="6" borderId="45" applyNumberFormat="1" applyFont="1" applyFill="0" applyBorder="1" applyAlignment="1" applyProtection="0">
      <alignment vertical="top"/>
    </xf>
    <xf numFmtId="37" fontId="6" borderId="46"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4" borderId="3" applyNumberFormat="1" applyFont="1" applyFill="0" applyBorder="1" applyAlignment="1" applyProtection="0">
      <alignment vertical="top"/>
    </xf>
    <xf numFmtId="0" fontId="14" borderId="3" applyNumberFormat="0" applyFont="1" applyFill="0" applyBorder="1" applyAlignment="1" applyProtection="0">
      <alignment vertical="top"/>
    </xf>
    <xf numFmtId="3" fontId="5" borderId="3" applyNumberFormat="1" applyFont="1" applyFill="0" applyBorder="1" applyAlignment="1" applyProtection="0">
      <alignment vertical="top"/>
    </xf>
    <xf numFmtId="0" fontId="5" borderId="30" applyNumberFormat="0" applyFont="1" applyFill="0" applyBorder="1" applyAlignment="1" applyProtection="0">
      <alignment vertical="top"/>
    </xf>
    <xf numFmtId="0" fontId="6" borderId="30"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0" borderId="3" applyNumberFormat="1" applyFont="1" applyFill="0" applyBorder="1" applyAlignment="1" applyProtection="0">
      <alignment vertical="top"/>
    </xf>
    <xf numFmtId="49" fontId="12" borderId="30"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64" fontId="5" borderId="14" applyNumberFormat="1" applyFont="1" applyFill="0" applyBorder="1" applyAlignment="1" applyProtection="0">
      <alignment vertical="top"/>
    </xf>
    <xf numFmtId="0" fontId="5" borderId="47" applyNumberFormat="0" applyFont="1" applyFill="0" applyBorder="1" applyAlignment="1" applyProtection="0">
      <alignment vertical="top"/>
    </xf>
    <xf numFmtId="0" fontId="6" borderId="47" applyNumberFormat="0" applyFont="1" applyFill="0" applyBorder="1" applyAlignment="1" applyProtection="0">
      <alignment vertical="top"/>
    </xf>
    <xf numFmtId="0" fontId="5" borderId="48" applyNumberFormat="0" applyFont="1" applyFill="0" applyBorder="1" applyAlignment="1" applyProtection="0">
      <alignment vertical="top"/>
    </xf>
    <xf numFmtId="0" fontId="5" borderId="42" applyNumberFormat="0" applyFont="1" applyFill="0" applyBorder="1" applyAlignment="1" applyProtection="0">
      <alignment vertical="top"/>
    </xf>
    <xf numFmtId="64" fontId="5" borderId="42" applyNumberFormat="1" applyFont="1" applyFill="0" applyBorder="1" applyAlignment="1" applyProtection="0">
      <alignment vertical="top"/>
    </xf>
    <xf numFmtId="0" fontId="5" borderId="49" applyNumberFormat="0" applyFont="1" applyFill="0" applyBorder="1" applyAlignment="1" applyProtection="0">
      <alignment vertical="top"/>
    </xf>
    <xf numFmtId="49" fontId="6" borderId="49" applyNumberFormat="1" applyFont="1" applyFill="0" applyBorder="1" applyAlignment="1" applyProtection="0">
      <alignment vertical="top"/>
    </xf>
    <xf numFmtId="0" fontId="5" borderId="50" applyNumberFormat="0" applyFont="1" applyFill="0" applyBorder="1" applyAlignment="1" applyProtection="0">
      <alignment vertical="top"/>
    </xf>
    <xf numFmtId="0" fontId="5" borderId="51" applyNumberFormat="0" applyFont="1" applyFill="0" applyBorder="1" applyAlignment="1" applyProtection="0">
      <alignment vertical="top"/>
    </xf>
    <xf numFmtId="37" fontId="6" borderId="51" applyNumberFormat="1" applyFont="1" applyFill="0" applyBorder="1" applyAlignment="1" applyProtection="0">
      <alignment vertical="top"/>
    </xf>
    <xf numFmtId="37" fontId="6" borderId="52" applyNumberFormat="1" applyFont="1" applyFill="0" applyBorder="1" applyAlignment="1" applyProtection="0">
      <alignment vertical="top"/>
    </xf>
    <xf numFmtId="0" fontId="5" borderId="36" applyNumberFormat="0" applyFont="1" applyFill="0" applyBorder="1" applyAlignment="1" applyProtection="0">
      <alignment vertical="top"/>
    </xf>
    <xf numFmtId="0" fontId="5" borderId="37" applyNumberFormat="0" applyFont="1" applyFill="0" applyBorder="1" applyAlignment="1" applyProtection="0">
      <alignment vertical="top"/>
    </xf>
    <xf numFmtId="64" fontId="5" borderId="37" applyNumberFormat="1" applyFont="1" applyFill="0" applyBorder="1" applyAlignment="1" applyProtection="0">
      <alignment vertical="top"/>
    </xf>
    <xf numFmtId="37"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3" fontId="5" borderId="16" applyNumberFormat="1" applyFont="1" applyFill="0" applyBorder="1" applyAlignment="1" applyProtection="0">
      <alignment vertical="top"/>
    </xf>
    <xf numFmtId="64" fontId="11" borderId="27" applyNumberFormat="1" applyFont="1" applyFill="0" applyBorder="1" applyAlignment="1" applyProtection="0">
      <alignment vertical="top"/>
    </xf>
    <xf numFmtId="64" fontId="5" borderId="53" applyNumberFormat="1" applyFont="1" applyFill="0" applyBorder="1" applyAlignment="1" applyProtection="0">
      <alignment vertical="top"/>
    </xf>
    <xf numFmtId="0" fontId="5" borderId="53" applyNumberFormat="0" applyFont="1" applyFill="0" applyBorder="1" applyAlignment="1" applyProtection="0">
      <alignment vertical="top"/>
    </xf>
    <xf numFmtId="0" fontId="6" borderId="49" applyNumberFormat="0" applyFont="1" applyFill="0" applyBorder="1" applyAlignment="1" applyProtection="0">
      <alignment vertical="top"/>
    </xf>
    <xf numFmtId="0" fontId="6" borderId="54" applyNumberFormat="0" applyFont="1" applyFill="0" applyBorder="1" applyAlignment="1" applyProtection="0">
      <alignment vertical="top"/>
    </xf>
    <xf numFmtId="0" fontId="6" borderId="46" applyNumberFormat="0" applyFont="1" applyFill="0" applyBorder="1" applyAlignment="1" applyProtection="0">
      <alignment vertical="top"/>
    </xf>
    <xf numFmtId="64" fontId="6" borderId="46" applyNumberFormat="1" applyFont="1" applyFill="0" applyBorder="1" applyAlignment="1" applyProtection="0">
      <alignment vertical="top"/>
    </xf>
    <xf numFmtId="49" fontId="6" borderId="47" applyNumberFormat="1" applyFont="1" applyFill="0" applyBorder="1" applyAlignment="1" applyProtection="0">
      <alignment vertical="top"/>
    </xf>
    <xf numFmtId="37" fontId="5" borderId="42" applyNumberFormat="1" applyFont="1" applyFill="0" applyBorder="1" applyAlignment="1" applyProtection="0">
      <alignment vertical="top"/>
    </xf>
    <xf numFmtId="64" fontId="5" borderId="51" applyNumberFormat="1" applyFont="1" applyFill="0" applyBorder="1" applyAlignment="1" applyProtection="0">
      <alignment vertical="top"/>
    </xf>
    <xf numFmtId="0" fontId="5" borderId="52" applyNumberFormat="0" applyFont="1" applyFill="0" applyBorder="1" applyAlignment="1" applyProtection="0">
      <alignment vertical="top"/>
    </xf>
    <xf numFmtId="0" fontId="5" borderId="33" applyNumberFormat="0" applyFont="1" applyFill="0" applyBorder="1" applyAlignment="1" applyProtection="0">
      <alignment vertical="top"/>
    </xf>
    <xf numFmtId="64" fontId="5" borderId="33" applyNumberFormat="1" applyFont="1" applyFill="0" applyBorder="1" applyAlignment="1" applyProtection="0">
      <alignment vertical="top"/>
    </xf>
    <xf numFmtId="3" fontId="5" borderId="35" applyNumberFormat="1" applyFont="1" applyFill="0" applyBorder="1" applyAlignment="1" applyProtection="0">
      <alignment vertical="top"/>
    </xf>
    <xf numFmtId="0" fontId="5" borderId="35" applyNumberFormat="0" applyFont="1" applyFill="0" applyBorder="1" applyAlignment="1" applyProtection="0">
      <alignment vertical="top"/>
    </xf>
    <xf numFmtId="0" fontId="15" borderId="1" applyNumberFormat="0" applyFont="1" applyFill="0" applyBorder="1" applyAlignment="1" applyProtection="0">
      <alignment vertical="top"/>
    </xf>
    <xf numFmtId="49" fontId="15" borderId="1" applyNumberFormat="1" applyFont="1" applyFill="0" applyBorder="1" applyAlignment="1" applyProtection="0">
      <alignment vertical="top"/>
    </xf>
    <xf numFmtId="3" fontId="15" borderId="1" applyNumberFormat="1" applyFont="1" applyFill="0" applyBorder="1" applyAlignment="1" applyProtection="0">
      <alignment vertical="top"/>
    </xf>
    <xf numFmtId="0" fontId="15" borderId="5" applyNumberFormat="0" applyFont="1" applyFill="0" applyBorder="1" applyAlignment="1" applyProtection="0">
      <alignment vertical="top"/>
    </xf>
    <xf numFmtId="49" fontId="15" borderId="5" applyNumberFormat="1" applyFont="1" applyFill="0" applyBorder="1" applyAlignment="1" applyProtection="0">
      <alignment vertical="top"/>
    </xf>
    <xf numFmtId="3" fontId="15" borderId="5" applyNumberFormat="1" applyFont="1" applyFill="0" applyBorder="1" applyAlignment="1" applyProtection="0">
      <alignment vertical="top"/>
    </xf>
    <xf numFmtId="37" fontId="15"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6"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7" fillId="6" borderId="3" applyNumberFormat="1" applyFont="1" applyFill="1" applyBorder="1" applyAlignment="1" applyProtection="0">
      <alignment vertical="top" wrapText="1"/>
    </xf>
    <xf numFmtId="49" fontId="18"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8" borderId="3" applyNumberFormat="1" applyFont="1" applyFill="0" applyBorder="1" applyAlignment="1" applyProtection="0">
      <alignment vertical="top"/>
    </xf>
    <xf numFmtId="0" fontId="18"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5"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5" applyNumberFormat="0" applyFont="1" applyFill="0" applyBorder="0" applyAlignment="1" applyProtection="0">
      <alignment horizontal="left" vertical="center"/>
    </xf>
    <xf numFmtId="0" fontId="19" borderId="3" applyNumberFormat="0" applyFont="1" applyFill="0" applyBorder="1" applyAlignment="1" applyProtection="0">
      <alignment vertical="top" wrapText="1"/>
    </xf>
    <xf numFmtId="49" fontId="20" borderId="3" applyNumberFormat="1" applyFont="1" applyFill="0" applyBorder="1" applyAlignment="1" applyProtection="0">
      <alignment vertical="top" wrapText="1"/>
    </xf>
    <xf numFmtId="59" fontId="19" borderId="55" applyNumberFormat="1" applyFont="1" applyFill="0" applyBorder="1" applyAlignment="1" applyProtection="0">
      <alignment vertical="top" wrapText="1"/>
    </xf>
    <xf numFmtId="66" fontId="21" borderId="56" applyNumberFormat="1" applyFont="1" applyFill="0" applyBorder="1" applyAlignment="1" applyProtection="0">
      <alignment vertical="top" wrapText="1" readingOrder="1"/>
    </xf>
    <xf numFmtId="0" fontId="20" borderId="3" applyNumberFormat="0" applyFont="1" applyFill="0" applyBorder="1" applyAlignment="1" applyProtection="0">
      <alignment vertical="top" wrapText="1"/>
    </xf>
    <xf numFmtId="0" fontId="19" borderId="3" applyNumberFormat="1" applyFont="1" applyFill="0" applyBorder="1" applyAlignment="1" applyProtection="0">
      <alignment vertical="top" wrapText="1"/>
    </xf>
    <xf numFmtId="1" fontId="19" borderId="3" applyNumberFormat="1" applyFont="1" applyFill="0" applyBorder="1" applyAlignment="1" applyProtection="0">
      <alignment vertical="top" wrapText="1"/>
    </xf>
    <xf numFmtId="49" fontId="22" borderId="3"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a5a5a5"/>
      <rgbColor rgb="ff98185e"/>
      <rgbColor rgb="ffdee2e6"/>
      <rgbColor rgb="ff212529"/>
      <rgbColor rgb="ff2b2b2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23</v>
      </c>
      <c r="C11" s="3"/>
      <c r="D11" s="3"/>
    </row>
    <row r="12">
      <c r="B12" s="4"/>
      <c r="C12" t="s" s="4">
        <v>58</v>
      </c>
      <c r="D12" t="s" s="5">
        <v>59</v>
      </c>
    </row>
    <row r="13">
      <c r="B13" t="s" s="3">
        <v>73</v>
      </c>
      <c r="C13" s="3"/>
      <c r="D13" s="3"/>
    </row>
    <row r="14">
      <c r="B14" s="4"/>
      <c r="C14" t="s" s="4">
        <v>74</v>
      </c>
      <c r="D14" t="s" s="5">
        <v>75</v>
      </c>
    </row>
  </sheetData>
  <mergeCells count="1">
    <mergeCell ref="B3:D3"/>
  </mergeCells>
  <hyperlinks>
    <hyperlink ref="D10" location="'Model - AMD DCF'!R2C1" tooltip="" display="Model - AMD DCF"/>
    <hyperlink ref="D12" location="'WACC - MAR'!R2C1" tooltip="" display="WACC - MAR"/>
    <hyperlink ref="D14" location="'Sheet 2 - Booking Metrics for C'!R2C1" tooltip="" display="Sheet 2 - Booking Metrics for C"/>
  </hyperlinks>
</worksheet>
</file>

<file path=xl/worksheets/sheet2.xml><?xml version="1.0" encoding="utf-8"?>
<worksheet xmlns:r="http://schemas.openxmlformats.org/officeDocument/2006/relationships" xmlns="http://schemas.openxmlformats.org/spreadsheetml/2006/main">
  <sheetPr>
    <pageSetUpPr fitToPage="1"/>
  </sheetPr>
  <dimension ref="A2:T103"/>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T101</f>
        <v>87.146115633515</v>
      </c>
      <c r="G3" s="19"/>
      <c r="H3" s="20"/>
      <c r="I3" s="21"/>
      <c r="J3" s="11"/>
      <c r="K3" s="11"/>
      <c r="L3" s="11"/>
      <c r="M3" s="11"/>
      <c r="N3" s="11"/>
      <c r="O3" s="11"/>
      <c r="P3" s="11"/>
      <c r="Q3" s="11"/>
      <c r="R3" s="11"/>
      <c r="S3" s="11"/>
      <c r="T3" s="11"/>
    </row>
    <row r="4" ht="23" customHeight="1">
      <c r="A4" s="13"/>
      <c r="B4" t="s" s="14">
        <v>10</v>
      </c>
      <c r="C4" s="22">
        <v>43356</v>
      </c>
      <c r="D4" s="16"/>
      <c r="E4" t="s" s="17">
        <v>11</v>
      </c>
      <c r="F4" s="18">
        <v>77.03</v>
      </c>
      <c r="G4" s="19"/>
      <c r="H4" t="s" s="17">
        <v>12</v>
      </c>
      <c r="I4" s="23">
        <f>F3/F4-1</f>
        <v>0.131326958763014</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41">
        <v>0.12</v>
      </c>
      <c r="H9" s="40"/>
      <c r="I9" s="39">
        <v>1.2</v>
      </c>
      <c r="J9" s="16"/>
      <c r="K9" s="11"/>
      <c r="L9" s="11"/>
      <c r="M9" s="11"/>
      <c r="N9" s="11"/>
      <c r="O9" s="11"/>
      <c r="P9" s="11"/>
      <c r="Q9" s="11"/>
      <c r="R9" s="11"/>
      <c r="S9" s="11"/>
      <c r="T9" s="11"/>
    </row>
    <row r="10" ht="22" customHeight="1">
      <c r="A10" s="13"/>
      <c r="B10" t="s" s="42">
        <v>20</v>
      </c>
      <c r="C10" s="43">
        <v>2</v>
      </c>
      <c r="D10" s="38"/>
      <c r="E10" s="44">
        <v>0.9</v>
      </c>
      <c r="F10" s="38"/>
      <c r="G10" s="45">
        <v>0.12</v>
      </c>
      <c r="H10" s="38"/>
      <c r="I10" s="44">
        <v>1.1</v>
      </c>
      <c r="J10" s="16"/>
      <c r="K10" s="11"/>
      <c r="L10" s="11"/>
      <c r="M10" s="11"/>
      <c r="N10" s="11"/>
      <c r="O10" s="11"/>
      <c r="P10" s="11"/>
      <c r="Q10" s="11"/>
      <c r="R10" s="11"/>
      <c r="S10" s="11"/>
      <c r="T10" s="11"/>
    </row>
    <row r="11" ht="22" customHeight="1">
      <c r="A11" s="13"/>
      <c r="B11" s="46"/>
      <c r="C11" s="47"/>
      <c r="D11" s="11"/>
      <c r="E11" s="48"/>
      <c r="F11" s="11"/>
      <c r="G11" s="48"/>
      <c r="H11" s="11"/>
      <c r="I11" s="48"/>
      <c r="J11" s="11"/>
      <c r="K11" s="11"/>
      <c r="L11" s="11"/>
      <c r="M11" s="11"/>
      <c r="N11" s="11"/>
      <c r="O11" s="11"/>
      <c r="P11" s="11"/>
      <c r="Q11" s="11"/>
      <c r="R11" s="11"/>
      <c r="S11" s="11"/>
      <c r="T11" s="11"/>
    </row>
    <row r="12" ht="23" customHeight="1">
      <c r="A12" s="13"/>
      <c r="B12" t="s" s="49">
        <v>21</v>
      </c>
      <c r="C12" s="37">
        <v>2</v>
      </c>
      <c r="D12" s="38"/>
      <c r="E12" s="50">
        <v>0.9</v>
      </c>
      <c r="F12" s="38"/>
      <c r="G12" s="50">
        <v>0.2</v>
      </c>
      <c r="H12" s="38"/>
      <c r="I12" s="50">
        <v>1.1</v>
      </c>
      <c r="J12" s="16"/>
      <c r="K12" t="s" s="51">
        <v>22</v>
      </c>
      <c r="L12" s="11"/>
      <c r="M12" s="11"/>
      <c r="N12" s="11"/>
      <c r="O12" s="11"/>
      <c r="P12" s="11"/>
      <c r="Q12" s="11"/>
      <c r="R12" s="11"/>
      <c r="S12" s="11"/>
      <c r="T12" s="11"/>
    </row>
    <row r="13" ht="23" customHeight="1">
      <c r="A13" s="13"/>
      <c r="B13" t="s" s="49">
        <v>23</v>
      </c>
      <c r="C13" s="37">
        <v>2</v>
      </c>
      <c r="D13" s="38"/>
      <c r="E13" s="52">
        <f>G13+$K$13</f>
        <v>0.130016128249402</v>
      </c>
      <c r="F13" s="38"/>
      <c r="G13" s="53">
        <f>'WACC - MAR'!B21</f>
        <v>0.125016128249402</v>
      </c>
      <c r="H13" s="38"/>
      <c r="I13" s="53">
        <f>G13-$K$13</f>
        <v>0.120016128249402</v>
      </c>
      <c r="J13" s="38"/>
      <c r="K13" s="54">
        <v>0.005</v>
      </c>
      <c r="L13" s="16"/>
      <c r="M13" s="11"/>
      <c r="N13" s="11"/>
      <c r="O13" s="11"/>
      <c r="P13" s="11"/>
      <c r="Q13" s="11"/>
      <c r="R13" s="11"/>
      <c r="S13" s="11"/>
      <c r="T13" s="11"/>
    </row>
    <row r="14" ht="23" customHeight="1">
      <c r="A14" s="13"/>
      <c r="B14" t="s" s="49">
        <v>24</v>
      </c>
      <c r="C14" s="43">
        <v>2</v>
      </c>
      <c r="D14" s="38"/>
      <c r="E14" s="55">
        <f>G14-$K$14</f>
        <v>0.015</v>
      </c>
      <c r="F14" s="38"/>
      <c r="G14" s="45">
        <v>0.02</v>
      </c>
      <c r="H14" s="38"/>
      <c r="I14" s="44">
        <f>G14+$K$14</f>
        <v>0.025</v>
      </c>
      <c r="J14" s="38"/>
      <c r="K14" s="54">
        <v>0.005</v>
      </c>
      <c r="L14" s="16"/>
      <c r="M14" s="11"/>
      <c r="N14" s="11"/>
      <c r="O14" s="11"/>
      <c r="P14" s="11"/>
      <c r="Q14" s="11"/>
      <c r="R14" s="11"/>
      <c r="S14" s="11"/>
      <c r="T14" s="11"/>
    </row>
    <row r="15" ht="22" customHeight="1">
      <c r="A15" s="13"/>
      <c r="B15" s="46"/>
      <c r="C15" s="47"/>
      <c r="D15" s="11"/>
      <c r="E15" s="27"/>
      <c r="F15" s="11"/>
      <c r="G15" s="27"/>
      <c r="H15" s="11"/>
      <c r="I15" s="27"/>
      <c r="J15" s="11"/>
      <c r="K15" s="56"/>
      <c r="L15" s="11"/>
      <c r="M15" s="11"/>
      <c r="N15" s="11"/>
      <c r="O15" s="11"/>
      <c r="P15" s="11"/>
      <c r="Q15" s="11"/>
      <c r="R15" s="11"/>
      <c r="S15" s="11"/>
      <c r="T15" s="11"/>
    </row>
    <row r="16" ht="22" customHeight="1">
      <c r="A16" s="13"/>
      <c r="B16" t="s" s="49">
        <v>23</v>
      </c>
      <c r="C16" s="53">
        <f>CHOOSE(C13,E13,G13,I13)</f>
        <v>0.125016128249402</v>
      </c>
      <c r="D16" s="16"/>
      <c r="E16" s="11"/>
      <c r="F16" s="11"/>
      <c r="G16" s="11"/>
      <c r="H16" s="11"/>
      <c r="I16" s="11"/>
      <c r="J16" s="11"/>
      <c r="K16" s="11"/>
      <c r="L16" s="11"/>
      <c r="M16" s="11"/>
      <c r="N16" s="11"/>
      <c r="O16" s="11"/>
      <c r="P16" s="11"/>
      <c r="Q16" s="11"/>
      <c r="R16" s="11"/>
      <c r="S16" s="11"/>
      <c r="T16" s="11"/>
    </row>
    <row r="17" ht="22" customHeight="1">
      <c r="A17" s="13"/>
      <c r="B17" t="s" s="49">
        <v>24</v>
      </c>
      <c r="C17" s="45">
        <f>CHOOSE(C14,E14,G14,I14)</f>
        <v>0.02</v>
      </c>
      <c r="D17" s="16"/>
      <c r="E17" s="11"/>
      <c r="F17" s="11"/>
      <c r="G17" s="11"/>
      <c r="H17" s="11"/>
      <c r="I17" s="11"/>
      <c r="J17" s="11"/>
      <c r="K17" s="11"/>
      <c r="L17" s="11"/>
      <c r="M17" s="11"/>
      <c r="N17" s="11"/>
      <c r="O17" s="11"/>
      <c r="P17" s="11"/>
      <c r="Q17" s="11"/>
      <c r="R17" s="11"/>
      <c r="S17" s="11"/>
      <c r="T17" s="11"/>
    </row>
    <row r="18" ht="21.5" customHeight="1">
      <c r="A18" s="13"/>
      <c r="B18" s="9"/>
      <c r="C18" s="57"/>
      <c r="D18" s="11"/>
      <c r="E18" s="11"/>
      <c r="F18" s="11"/>
      <c r="G18" s="11"/>
      <c r="H18" s="11"/>
      <c r="I18" s="11"/>
      <c r="J18" s="11"/>
      <c r="K18" t="s" s="58">
        <v>25</v>
      </c>
      <c r="L18" s="36"/>
      <c r="M18" s="11"/>
      <c r="N18" s="11"/>
      <c r="O18" s="11"/>
      <c r="P18" s="11"/>
      <c r="Q18" s="11"/>
      <c r="R18" s="11"/>
      <c r="S18" s="11"/>
      <c r="T18" s="11"/>
    </row>
    <row r="19" ht="21" customHeight="1">
      <c r="A19" t="s" s="29">
        <v>13</v>
      </c>
      <c r="B19" t="s" s="30">
        <v>26</v>
      </c>
      <c r="C19" s="31"/>
      <c r="D19" s="59">
        <v>2015</v>
      </c>
      <c r="E19" s="60">
        <v>2016</v>
      </c>
      <c r="F19" s="60">
        <v>2017</v>
      </c>
      <c r="G19" s="60">
        <v>2018</v>
      </c>
      <c r="H19" s="60">
        <v>2019</v>
      </c>
      <c r="I19" s="60">
        <v>2020</v>
      </c>
      <c r="J19" s="60">
        <v>2021</v>
      </c>
      <c r="K19" s="60">
        <v>2022</v>
      </c>
      <c r="L19" s="60">
        <v>2023</v>
      </c>
      <c r="M19" s="60">
        <v>2024</v>
      </c>
      <c r="N19" s="60">
        <v>2025</v>
      </c>
      <c r="O19" s="60">
        <v>2026</v>
      </c>
      <c r="P19" s="60">
        <v>2027</v>
      </c>
      <c r="Q19" s="60">
        <v>2028</v>
      </c>
      <c r="R19" s="60">
        <v>2029</v>
      </c>
      <c r="S19" s="60">
        <v>2030</v>
      </c>
      <c r="T19" s="60">
        <v>2031</v>
      </c>
    </row>
    <row r="20" ht="21" customHeight="1">
      <c r="A20" s="13"/>
      <c r="B20" s="25"/>
      <c r="C20" s="28"/>
      <c r="D20" s="11"/>
      <c r="E20" s="61"/>
      <c r="F20" s="61"/>
      <c r="G20" s="61"/>
      <c r="H20" s="61"/>
      <c r="I20" s="61"/>
      <c r="J20" s="62"/>
      <c r="K20" s="61"/>
      <c r="L20" s="61"/>
      <c r="M20" s="61"/>
      <c r="N20" s="61"/>
      <c r="O20" s="61"/>
      <c r="P20" s="61"/>
      <c r="Q20" s="61"/>
      <c r="R20" s="61"/>
      <c r="S20" s="61"/>
      <c r="T20" s="61"/>
    </row>
    <row r="21" ht="21" customHeight="1">
      <c r="A21" s="13"/>
      <c r="B21" t="s" s="34">
        <v>19</v>
      </c>
      <c r="C21" s="28"/>
      <c r="D21" s="63">
        <v>1805</v>
      </c>
      <c r="E21" s="63">
        <v>1967</v>
      </c>
      <c r="F21" s="63">
        <v>2977</v>
      </c>
      <c r="G21" s="63">
        <v>4125</v>
      </c>
      <c r="H21" s="63">
        <v>4709</v>
      </c>
      <c r="I21" s="63">
        <v>6432</v>
      </c>
      <c r="J21" s="63">
        <v>9332</v>
      </c>
      <c r="K21" s="61">
        <f>((2779+4276)*2)*1.05</f>
        <v>14815.5</v>
      </c>
      <c r="L21" s="61">
        <f>L35*L26</f>
        <v>17632.3700991817</v>
      </c>
      <c r="M21" s="61">
        <f>L21*(1+M22)</f>
        <v>20830.2419080572</v>
      </c>
      <c r="N21" s="61">
        <f>M21*(1+N22)</f>
        <v>24425.488620069</v>
      </c>
      <c r="O21" s="61">
        <f>N21*(1+O22)</f>
        <v>28427.1460088941</v>
      </c>
      <c r="P21" s="61">
        <f>O21*(1+P22)</f>
        <v>32835.200526153</v>
      </c>
      <c r="Q21" s="61">
        <f>P21*(1+Q22)</f>
        <v>37638.9485579896</v>
      </c>
      <c r="R21" s="61">
        <f>Q21*(1+R22)</f>
        <v>42815.5266688796</v>
      </c>
      <c r="S21" s="61">
        <f>R21*(1+S22)</f>
        <v>48328.7211489767</v>
      </c>
      <c r="T21" s="61">
        <f>S21*(1+T22)</f>
        <v>54128.1676868539</v>
      </c>
    </row>
    <row r="22" ht="21.5" customHeight="1">
      <c r="A22" s="64"/>
      <c r="B22" t="s" s="65">
        <v>27</v>
      </c>
      <c r="C22" s="66"/>
      <c r="D22" s="67"/>
      <c r="E22" s="68">
        <f>E21/D21-1</f>
        <v>0.0897506925207756</v>
      </c>
      <c r="F22" s="68">
        <f>F21/E21-1</f>
        <v>0.513472292831723</v>
      </c>
      <c r="G22" s="68">
        <f>G21/F21-1</f>
        <v>0.38562311051394</v>
      </c>
      <c r="H22" s="68">
        <f>H21/G21-1</f>
        <v>0.141575757575758</v>
      </c>
      <c r="I22" s="68">
        <f>I21/H21-1</f>
        <v>0.365895094499894</v>
      </c>
      <c r="J22" s="68">
        <f>J21/I21-1</f>
        <v>0.450870646766169</v>
      </c>
      <c r="K22" s="69">
        <f>K21/J21-1</f>
        <v>0.58760180025718</v>
      </c>
      <c r="L22" s="69">
        <f>L21/K21-1</f>
        <v>0.190129938185124</v>
      </c>
      <c r="M22" s="69">
        <f>OFFSET(M22,$C$9,0)</f>
        <v>0.181363695911984</v>
      </c>
      <c r="N22" s="69">
        <f>OFFSET(N22,$C$9,0)</f>
        <v>0.172597453638843</v>
      </c>
      <c r="O22" s="69">
        <f>OFFSET(O22,$C$9,0)</f>
        <v>0.163831211365703</v>
      </c>
      <c r="P22" s="69">
        <f>OFFSET(P22,$C$9,0)</f>
        <v>0.155064969092562</v>
      </c>
      <c r="Q22" s="69">
        <f>OFFSET(Q22,$C$9,0)</f>
        <v>0.146298726819422</v>
      </c>
      <c r="R22" s="69">
        <f>OFFSET(R22,$C$9,0)</f>
        <v>0.137532484546281</v>
      </c>
      <c r="S22" s="69">
        <f>OFFSET(S22,$C$9,0)</f>
        <v>0.128766242273141</v>
      </c>
      <c r="T22" s="69">
        <f>OFFSET(T22,$C$9,0)</f>
        <v>0.12</v>
      </c>
    </row>
    <row r="23" ht="22" customHeight="1">
      <c r="A23" s="13"/>
      <c r="B23" t="s" s="34">
        <v>28</v>
      </c>
      <c r="C23" s="28"/>
      <c r="D23" s="11"/>
      <c r="E23" s="63"/>
      <c r="F23" s="63"/>
      <c r="G23" s="63"/>
      <c r="H23" s="63"/>
      <c r="I23" s="63"/>
      <c r="J23" s="70"/>
      <c r="K23" s="71">
        <f>K24</f>
        <v>0.58760180025718</v>
      </c>
      <c r="L23" s="71">
        <f>L24</f>
        <v>0.190129938185124</v>
      </c>
      <c r="M23" s="71">
        <f>M24*$E$9</f>
        <v>0.145090956729587</v>
      </c>
      <c r="N23" s="71">
        <f>N24*$E$9</f>
        <v>0.138077962911074</v>
      </c>
      <c r="O23" s="71">
        <f>O24*$E$9</f>
        <v>0.131064969092562</v>
      </c>
      <c r="P23" s="71">
        <f>P24*$E$9</f>
        <v>0.12405197527405</v>
      </c>
      <c r="Q23" s="71">
        <f>Q24*$E$9</f>
        <v>0.117038981455538</v>
      </c>
      <c r="R23" s="71">
        <f>R24*$E$9</f>
        <v>0.110025987637025</v>
      </c>
      <c r="S23" s="71">
        <f>S24*$E$9</f>
        <v>0.103012993818513</v>
      </c>
      <c r="T23" s="71">
        <f>T24*$E$9</f>
        <v>0.096</v>
      </c>
    </row>
    <row r="24" ht="22" customHeight="1">
      <c r="A24" s="13"/>
      <c r="B24" t="s" s="34">
        <v>29</v>
      </c>
      <c r="C24" s="28"/>
      <c r="D24" s="11"/>
      <c r="E24" s="63"/>
      <c r="F24" s="63"/>
      <c r="G24" s="63"/>
      <c r="H24" s="63"/>
      <c r="I24" s="63"/>
      <c r="J24" s="70"/>
      <c r="K24" s="71">
        <f>K22</f>
        <v>0.58760180025718</v>
      </c>
      <c r="L24" s="71">
        <f>L22</f>
        <v>0.190129938185124</v>
      </c>
      <c r="M24" s="71">
        <f>L24-(L24-$T$24)/($T$19-L19)</f>
        <v>0.181363695911984</v>
      </c>
      <c r="N24" s="71">
        <f>M24-(M24-$T$24)/($T$19-M19)</f>
        <v>0.172597453638843</v>
      </c>
      <c r="O24" s="71">
        <f>N24-(N24-$T$24)/($T$19-N19)</f>
        <v>0.163831211365703</v>
      </c>
      <c r="P24" s="71">
        <f>O24-(O24-$T$24)/($T$19-O19)</f>
        <v>0.155064969092562</v>
      </c>
      <c r="Q24" s="71">
        <f>P24-(P24-$T$24)/($T$19-P19)</f>
        <v>0.146298726819422</v>
      </c>
      <c r="R24" s="71">
        <f>Q24-(Q24-$T$24)/($T$19-Q19)</f>
        <v>0.137532484546281</v>
      </c>
      <c r="S24" s="71">
        <f>R24-(R24-$T$24)/($T$19-R19)</f>
        <v>0.128766242273141</v>
      </c>
      <c r="T24" s="71">
        <v>0.12</v>
      </c>
    </row>
    <row r="25" ht="22" customHeight="1">
      <c r="A25" s="13"/>
      <c r="B25" t="s" s="34">
        <v>30</v>
      </c>
      <c r="C25" s="28"/>
      <c r="D25" s="11"/>
      <c r="E25" s="63"/>
      <c r="F25" s="63"/>
      <c r="G25" s="63"/>
      <c r="H25" s="63"/>
      <c r="I25" s="63"/>
      <c r="J25" s="70"/>
      <c r="K25" s="71">
        <f>K24</f>
        <v>0.58760180025718</v>
      </c>
      <c r="L25" s="71">
        <f>L24</f>
        <v>0.190129938185124</v>
      </c>
      <c r="M25" s="71">
        <f>M24*$I$9</f>
        <v>0.217636435094381</v>
      </c>
      <c r="N25" s="71">
        <f>N24*$I$9</f>
        <v>0.207116944366612</v>
      </c>
      <c r="O25" s="71">
        <f>O24*$I$9</f>
        <v>0.196597453638844</v>
      </c>
      <c r="P25" s="71">
        <f>P24*$I$9</f>
        <v>0.186077962911074</v>
      </c>
      <c r="Q25" s="71">
        <f>Q24*$I$9</f>
        <v>0.175558472183306</v>
      </c>
      <c r="R25" s="71">
        <f>R24*$I$9</f>
        <v>0.165038981455537</v>
      </c>
      <c r="S25" s="71">
        <f>S24*$I$9</f>
        <v>0.154519490727769</v>
      </c>
      <c r="T25" s="71">
        <f>T24*$I$9</f>
        <v>0.144</v>
      </c>
    </row>
    <row r="26" ht="21.5" customHeight="1">
      <c r="A26" s="13"/>
      <c r="B26" t="s" s="34">
        <v>31</v>
      </c>
      <c r="C26" s="28"/>
      <c r="D26" s="68">
        <f>D21/D35</f>
        <v>0.452267602104736</v>
      </c>
      <c r="E26" s="68">
        <f>E21/E35</f>
        <v>0.460440074906367</v>
      </c>
      <c r="F26" s="68">
        <f>F21/F35</f>
        <v>0.566723776889397</v>
      </c>
      <c r="G26" s="68">
        <f>G21/G35</f>
        <v>0.637065637065637</v>
      </c>
      <c r="H26" s="68">
        <f>H21/H35</f>
        <v>0.699598870895855</v>
      </c>
      <c r="I26" s="68">
        <f>I21/I35</f>
        <v>0.65881388917341</v>
      </c>
      <c r="J26" s="72">
        <f>J21/J35</f>
        <v>0.567847146160399</v>
      </c>
      <c r="K26" s="73">
        <f>K21/K35</f>
        <v>0.567258985285841</v>
      </c>
      <c r="L26" s="74">
        <f>AVERAGE(K26,J26,I26)</f>
        <v>0.59797334020655</v>
      </c>
      <c r="M26" s="74"/>
      <c r="N26" s="74"/>
      <c r="O26" s="74"/>
      <c r="P26" s="74"/>
      <c r="Q26" s="74"/>
      <c r="R26" s="74"/>
      <c r="S26" s="74"/>
      <c r="T26" s="74"/>
    </row>
    <row r="27" ht="21" customHeight="1">
      <c r="A27" s="75"/>
      <c r="B27" s="76"/>
      <c r="C27" s="77"/>
      <c r="D27" s="67"/>
      <c r="E27" s="78"/>
      <c r="F27" s="79"/>
      <c r="G27" s="79"/>
      <c r="H27" s="79"/>
      <c r="I27" s="79"/>
      <c r="J27" s="79"/>
      <c r="K27" s="80"/>
      <c r="L27" s="80"/>
      <c r="M27" s="80"/>
      <c r="N27" s="80"/>
      <c r="O27" s="80"/>
      <c r="P27" s="80"/>
      <c r="Q27" s="80"/>
      <c r="R27" s="80"/>
      <c r="S27" s="80"/>
      <c r="T27" s="80"/>
    </row>
    <row r="28" ht="21" customHeight="1">
      <c r="A28" s="81"/>
      <c r="B28" t="s" s="34">
        <v>20</v>
      </c>
      <c r="C28" s="82"/>
      <c r="D28" s="63">
        <v>2186</v>
      </c>
      <c r="E28" s="83">
        <v>2305</v>
      </c>
      <c r="F28" s="83">
        <v>2276</v>
      </c>
      <c r="G28" s="83">
        <v>2350</v>
      </c>
      <c r="H28" s="83">
        <v>2022</v>
      </c>
      <c r="I28" s="83">
        <v>3331</v>
      </c>
      <c r="J28" s="83">
        <v>7102</v>
      </c>
      <c r="K28" s="84">
        <f>((3530+1852)*2)*1.05</f>
        <v>11302.2</v>
      </c>
      <c r="L28" s="84">
        <f>L35*L33</f>
        <v>11854.5132008183</v>
      </c>
      <c r="M28" s="84">
        <f>L28*(1+M29)</f>
        <v>12539.2214700314</v>
      </c>
      <c r="N28" s="84">
        <f>M28*(1+N29)</f>
        <v>13374.9708662878</v>
      </c>
      <c r="O28" s="84">
        <f>N28*(1+O29)</f>
        <v>14385.3475994796</v>
      </c>
      <c r="P28" s="84">
        <f>O28*(1+P29)</f>
        <v>15599.9583148365</v>
      </c>
      <c r="Q28" s="84">
        <f>P28*(1+Q29)</f>
        <v>17055.8308224906</v>
      </c>
      <c r="R28" s="84">
        <f>Q28*(1+R29)</f>
        <v>18799.2256597366</v>
      </c>
      <c r="S28" s="84">
        <f>R28*(1+S29)</f>
        <v>20887.9788607536</v>
      </c>
      <c r="T28" s="85">
        <f>S28*(1+T29)</f>
        <v>23394.536324044</v>
      </c>
    </row>
    <row r="29" ht="21.5" customHeight="1">
      <c r="A29" s="86"/>
      <c r="B29" t="s" s="65">
        <v>27</v>
      </c>
      <c r="C29" s="87"/>
      <c r="D29" s="67"/>
      <c r="E29" s="88">
        <f>E28/D28-1</f>
        <v>0.0544373284537969</v>
      </c>
      <c r="F29" s="88">
        <f>F28/E28-1</f>
        <v>-0.0125813449023861</v>
      </c>
      <c r="G29" s="88">
        <f>G28/F28-1</f>
        <v>0.0325131810193322</v>
      </c>
      <c r="H29" s="88">
        <f>H28/G28-1</f>
        <v>-0.139574468085106</v>
      </c>
      <c r="I29" s="88">
        <f>I28/H28-1</f>
        <v>0.647378832838773</v>
      </c>
      <c r="J29" s="88">
        <f>J28/I28-1</f>
        <v>1.13209246472531</v>
      </c>
      <c r="K29" s="89">
        <f>K28/J28-1</f>
        <v>0.591410870177415</v>
      </c>
      <c r="L29" s="89">
        <f>L28/K28-1</f>
        <v>0.0488677603314664</v>
      </c>
      <c r="M29" s="89">
        <f>OFFSET(M29,$C$10,0)</f>
        <v>0.0577592902900331</v>
      </c>
      <c r="N29" s="89">
        <f>OFFSET(N29,$C$10,0)</f>
        <v>0.06665082024859981</v>
      </c>
      <c r="O29" s="89">
        <f>OFFSET(O29,$C$10,0)</f>
        <v>0.0755423502071665</v>
      </c>
      <c r="P29" s="89">
        <f>OFFSET(P29,$C$10,0)</f>
        <v>0.08443388016573319</v>
      </c>
      <c r="Q29" s="89">
        <f>OFFSET(Q29,$C$10,0)</f>
        <v>0.0933254101242999</v>
      </c>
      <c r="R29" s="89">
        <f>OFFSET(R29,$C$10,0)</f>
        <v>0.102216940082867</v>
      </c>
      <c r="S29" s="89">
        <f>OFFSET(S29,$C$10,0)</f>
        <v>0.111108470041434</v>
      </c>
      <c r="T29" s="89">
        <f>OFFSET(T29,$C$10,0)</f>
        <v>0.12</v>
      </c>
    </row>
    <row r="30" ht="22" customHeight="1">
      <c r="A30" s="13"/>
      <c r="B30" t="s" s="34">
        <v>28</v>
      </c>
      <c r="C30" s="28"/>
      <c r="D30" s="11"/>
      <c r="E30" s="63"/>
      <c r="F30" s="63"/>
      <c r="G30" s="63"/>
      <c r="H30" s="63"/>
      <c r="I30" s="63"/>
      <c r="J30" s="70"/>
      <c r="K30" s="71">
        <f>K31</f>
        <v>0.591410870177415</v>
      </c>
      <c r="L30" s="71">
        <f>L31</f>
        <v>0.0488677603314664</v>
      </c>
      <c r="M30" s="71">
        <f>M31*$E$10</f>
        <v>0.0519833612610298</v>
      </c>
      <c r="N30" s="71">
        <f>N31*$E$10</f>
        <v>0.0599857382237398</v>
      </c>
      <c r="O30" s="71">
        <f>O31*$E$10</f>
        <v>0.0679881151864499</v>
      </c>
      <c r="P30" s="71">
        <f>P31*$E$10</f>
        <v>0.0759904921491599</v>
      </c>
      <c r="Q30" s="71">
        <f>Q31*$E$10</f>
        <v>0.0839928691118699</v>
      </c>
      <c r="R30" s="71">
        <f>R31*$E$10</f>
        <v>0.0919952460745803</v>
      </c>
      <c r="S30" s="71">
        <f>S31*$E$10</f>
        <v>0.09999762303729059</v>
      </c>
      <c r="T30" s="71">
        <f>T31*$E$10</f>
        <v>0.108</v>
      </c>
    </row>
    <row r="31" ht="22" customHeight="1">
      <c r="A31" s="13"/>
      <c r="B31" t="s" s="34">
        <v>29</v>
      </c>
      <c r="C31" s="28"/>
      <c r="D31" s="11"/>
      <c r="E31" s="63"/>
      <c r="F31" s="63"/>
      <c r="G31" s="63"/>
      <c r="H31" s="63"/>
      <c r="I31" s="63"/>
      <c r="J31" s="70"/>
      <c r="K31" s="71">
        <f>K29</f>
        <v>0.591410870177415</v>
      </c>
      <c r="L31" s="90">
        <f>L29</f>
        <v>0.0488677603314664</v>
      </c>
      <c r="M31" s="71">
        <f>L31-(L31-$T$31)/($T$19-L19)</f>
        <v>0.0577592902900331</v>
      </c>
      <c r="N31" s="71">
        <f>M31-(M31-$T$31)/($T$19-M19)</f>
        <v>0.06665082024859981</v>
      </c>
      <c r="O31" s="71">
        <f>N31-(N31-$T$31)/($T$19-N19)</f>
        <v>0.0755423502071665</v>
      </c>
      <c r="P31" s="71">
        <f>O31-(O31-$T$31)/($T$19-O19)</f>
        <v>0.08443388016573319</v>
      </c>
      <c r="Q31" s="71">
        <f>P31-(P31-$T$31)/($T$19-P19)</f>
        <v>0.0933254101242999</v>
      </c>
      <c r="R31" s="71">
        <f>Q31-(Q31-$T$31)/($T$19-Q19)</f>
        <v>0.102216940082867</v>
      </c>
      <c r="S31" s="71">
        <f>R31-(R31-$T$31)/($T$19-R19)</f>
        <v>0.111108470041434</v>
      </c>
      <c r="T31" s="71">
        <f>G10</f>
        <v>0.12</v>
      </c>
    </row>
    <row r="32" ht="22" customHeight="1">
      <c r="A32" s="13"/>
      <c r="B32" t="s" s="34">
        <v>30</v>
      </c>
      <c r="C32" s="28"/>
      <c r="D32" s="11"/>
      <c r="E32" s="63"/>
      <c r="F32" s="63"/>
      <c r="G32" s="63"/>
      <c r="H32" s="63"/>
      <c r="I32" s="63"/>
      <c r="J32" s="70"/>
      <c r="K32" s="90">
        <f>K31</f>
        <v>0.591410870177415</v>
      </c>
      <c r="L32" s="91">
        <f>L31</f>
        <v>0.0488677603314664</v>
      </c>
      <c r="M32" s="90">
        <f>M31*$I$10</f>
        <v>0.0635352193190364</v>
      </c>
      <c r="N32" s="90">
        <f>N31*$I$10</f>
        <v>0.0733159022734598</v>
      </c>
      <c r="O32" s="90">
        <f>O31*$I$10</f>
        <v>0.0830965852278832</v>
      </c>
      <c r="P32" s="90">
        <f>P31*$I$10</f>
        <v>0.0928772681823065</v>
      </c>
      <c r="Q32" s="90">
        <f>Q31*$I$10</f>
        <v>0.10265795113673</v>
      </c>
      <c r="R32" s="90">
        <f>R31*$I$10</f>
        <v>0.112438634091154</v>
      </c>
      <c r="S32" s="90">
        <f>S31*$I$10</f>
        <v>0.122219317045577</v>
      </c>
      <c r="T32" s="90">
        <f>T31*$I$10</f>
        <v>0.132</v>
      </c>
    </row>
    <row r="33" ht="21.5" customHeight="1">
      <c r="A33" s="64"/>
      <c r="B33" t="s" s="34">
        <v>31</v>
      </c>
      <c r="C33" s="66"/>
      <c r="D33" s="68">
        <f>D28/D35</f>
        <v>0.547732397895264</v>
      </c>
      <c r="E33" s="68">
        <f>E28/E35</f>
        <v>0.539559925093633</v>
      </c>
      <c r="F33" s="68">
        <f>F28/F35</f>
        <v>0.433276223110603</v>
      </c>
      <c r="G33" s="68">
        <f>G28/G35</f>
        <v>0.362934362934363</v>
      </c>
      <c r="H33" s="68">
        <f>H28/H35</f>
        <v>0.300401129104145</v>
      </c>
      <c r="I33" s="68">
        <f>I28/I35</f>
        <v>0.34118611082659</v>
      </c>
      <c r="J33" s="68">
        <f>J28/J35</f>
        <v>0.432152853839601</v>
      </c>
      <c r="K33" s="92">
        <f>K28/K35</f>
        <v>0.432741014714159</v>
      </c>
      <c r="L33" s="92">
        <f>AVERAGE(K33,J33,I33)</f>
        <v>0.40202665979345</v>
      </c>
      <c r="M33" s="92"/>
      <c r="N33" s="92"/>
      <c r="O33" s="92"/>
      <c r="P33" s="92"/>
      <c r="Q33" s="92"/>
      <c r="R33" s="92"/>
      <c r="S33" s="92"/>
      <c r="T33" s="92"/>
    </row>
    <row r="34" ht="21.5" customHeight="1">
      <c r="A34" s="93"/>
      <c r="B34" s="94"/>
      <c r="C34" s="95"/>
      <c r="D34" s="96"/>
      <c r="E34" s="97"/>
      <c r="F34" s="98"/>
      <c r="G34" s="98"/>
      <c r="H34" s="98"/>
      <c r="I34" s="98"/>
      <c r="J34" s="98"/>
      <c r="K34" s="98"/>
      <c r="L34" s="98"/>
      <c r="M34" s="98"/>
      <c r="N34" s="99"/>
      <c r="O34" s="99"/>
      <c r="P34" s="98"/>
      <c r="Q34" s="98"/>
      <c r="R34" s="98"/>
      <c r="S34" s="98"/>
      <c r="T34" s="98"/>
    </row>
    <row r="35" ht="21.5" customHeight="1">
      <c r="A35" s="100"/>
      <c r="B35" t="s" s="101">
        <v>32</v>
      </c>
      <c r="C35" s="102"/>
      <c r="D35" s="103">
        <f>D21+D28</f>
        <v>3991</v>
      </c>
      <c r="E35" s="103">
        <f>E21+E28</f>
        <v>4272</v>
      </c>
      <c r="F35" s="103">
        <f>F21+F28</f>
        <v>5253</v>
      </c>
      <c r="G35" s="103">
        <f>G21+G28</f>
        <v>6475</v>
      </c>
      <c r="H35" s="103">
        <f>H21+H28</f>
        <v>6731</v>
      </c>
      <c r="I35" s="103">
        <f>I21+I28</f>
        <v>9763</v>
      </c>
      <c r="J35" s="103">
        <f>J21+J28</f>
        <v>16434</v>
      </c>
      <c r="K35" s="103">
        <f>K21+K28</f>
        <v>26117.7</v>
      </c>
      <c r="L35" s="103">
        <f>K35*(1+L36)</f>
        <v>29486.8833</v>
      </c>
      <c r="M35" s="103">
        <f>M21+M28</f>
        <v>33369.4633780886</v>
      </c>
      <c r="N35" s="104">
        <f>N21+N28</f>
        <v>37800.4594863568</v>
      </c>
      <c r="O35" s="104">
        <f>O21+O28</f>
        <v>42812.4936083737</v>
      </c>
      <c r="P35" s="103">
        <f>P21+P28</f>
        <v>48435.1588409895</v>
      </c>
      <c r="Q35" s="103">
        <f>Q21+Q28</f>
        <v>54694.7793804802</v>
      </c>
      <c r="R35" s="103">
        <f>R21+R28</f>
        <v>61614.7523286162</v>
      </c>
      <c r="S35" s="103">
        <f>S21+S28</f>
        <v>69216.7000097303</v>
      </c>
      <c r="T35" s="103">
        <f>T21+T28</f>
        <v>77522.7040108979</v>
      </c>
    </row>
    <row r="36" ht="21" customHeight="1">
      <c r="A36" s="13"/>
      <c r="B36" t="s" s="65">
        <v>27</v>
      </c>
      <c r="C36" s="28"/>
      <c r="D36" s="11"/>
      <c r="E36" s="105">
        <f>E35/D35-1</f>
        <v>0.0704084189426209</v>
      </c>
      <c r="F36" s="105">
        <f>F35/E35-1</f>
        <v>0.229634831460674</v>
      </c>
      <c r="G36" s="105">
        <f>G35/F35-1</f>
        <v>0.232628973919665</v>
      </c>
      <c r="H36" s="105">
        <f>H35/G35-1</f>
        <v>0.0395366795366795</v>
      </c>
      <c r="I36" s="105">
        <f>I35/H35-1</f>
        <v>0.450453127321349</v>
      </c>
      <c r="J36" s="105">
        <f>J35/I35-1</f>
        <v>0.683294069445867</v>
      </c>
      <c r="K36" s="105">
        <f>K35/J35-1</f>
        <v>0.589247900693684</v>
      </c>
      <c r="L36" s="105">
        <v>0.129</v>
      </c>
      <c r="M36" s="105">
        <f>M35/L35-1</f>
        <v>0.131671429584035</v>
      </c>
      <c r="N36" s="105">
        <f>N35/M35-1</f>
        <v>0.132785956371649</v>
      </c>
      <c r="O36" s="105">
        <f>O35/N35-1</f>
        <v>0.132591883541148</v>
      </c>
      <c r="P36" s="105">
        <f>P35/O35-1</f>
        <v>0.131332346208305</v>
      </c>
      <c r="Q36" s="105">
        <f>Q35/P35-1</f>
        <v>0.129237122150064</v>
      </c>
      <c r="R36" s="105">
        <f>R35/Q35-1</f>
        <v>0.126519807311</v>
      </c>
      <c r="S36" s="105">
        <f>S35/R35-1</f>
        <v>0.12337869412458</v>
      </c>
      <c r="T36" s="105">
        <f>T35/S35-1</f>
        <v>0.119999999999999</v>
      </c>
    </row>
    <row r="37" ht="21" customHeight="1">
      <c r="A37" s="13"/>
      <c r="B37" s="25"/>
      <c r="C37" s="28"/>
      <c r="D37" s="11"/>
      <c r="E37" s="61"/>
      <c r="F37" s="61"/>
      <c r="G37" s="61"/>
      <c r="H37" s="61"/>
      <c r="I37" s="61"/>
      <c r="J37" s="61"/>
      <c r="K37" s="61"/>
      <c r="L37" s="61"/>
      <c r="M37" s="61"/>
      <c r="N37" s="61"/>
      <c r="O37" s="61"/>
      <c r="P37" s="61"/>
      <c r="Q37" s="61"/>
      <c r="R37" s="61"/>
      <c r="S37" s="61"/>
      <c r="T37" s="61"/>
    </row>
    <row r="38" ht="21" customHeight="1">
      <c r="A38" t="s" s="29">
        <v>13</v>
      </c>
      <c r="B38" t="s" s="30">
        <v>33</v>
      </c>
      <c r="C38" s="31"/>
      <c r="D38" s="59">
        <v>2015</v>
      </c>
      <c r="E38" s="60">
        <v>2016</v>
      </c>
      <c r="F38" s="60">
        <v>2017</v>
      </c>
      <c r="G38" s="60">
        <v>2018</v>
      </c>
      <c r="H38" s="60">
        <v>2019</v>
      </c>
      <c r="I38" s="60">
        <v>2020</v>
      </c>
      <c r="J38" s="60">
        <v>2021</v>
      </c>
      <c r="K38" s="60">
        <v>2022</v>
      </c>
      <c r="L38" s="60">
        <v>2023</v>
      </c>
      <c r="M38" s="60">
        <v>2024</v>
      </c>
      <c r="N38" s="60">
        <v>2025</v>
      </c>
      <c r="O38" s="60">
        <v>2026</v>
      </c>
      <c r="P38" s="106"/>
      <c r="Q38" s="106"/>
      <c r="R38" s="106"/>
      <c r="S38" s="106"/>
      <c r="T38" s="106"/>
    </row>
    <row r="39" ht="21" customHeight="1">
      <c r="A39" s="13"/>
      <c r="B39" s="25"/>
      <c r="C39" s="28"/>
      <c r="D39" s="11"/>
      <c r="E39" s="11"/>
      <c r="F39" s="11"/>
      <c r="G39" s="11"/>
      <c r="H39" s="11"/>
      <c r="I39" s="11"/>
      <c r="J39" s="11"/>
      <c r="K39" s="11"/>
      <c r="L39" s="11"/>
      <c r="M39" s="11"/>
      <c r="N39" s="11"/>
      <c r="O39" s="11"/>
      <c r="P39" s="11"/>
      <c r="Q39" s="11"/>
      <c r="R39" s="11"/>
      <c r="S39" s="11"/>
      <c r="T39" s="11"/>
    </row>
    <row r="40" ht="21" customHeight="1">
      <c r="A40" s="13"/>
      <c r="B40" t="s" s="34">
        <v>34</v>
      </c>
      <c r="C40" s="28"/>
      <c r="D40" s="107">
        <f>D35</f>
        <v>3991</v>
      </c>
      <c r="E40" s="107">
        <f>E35</f>
        <v>4272</v>
      </c>
      <c r="F40" s="107">
        <f>F35</f>
        <v>5253</v>
      </c>
      <c r="G40" s="107">
        <f>G35</f>
        <v>6475</v>
      </c>
      <c r="H40" s="107">
        <f>H35</f>
        <v>6731</v>
      </c>
      <c r="I40" s="107">
        <f>I35</f>
        <v>9763</v>
      </c>
      <c r="J40" s="107">
        <f>J35</f>
        <v>16434</v>
      </c>
      <c r="K40" s="107">
        <f>K35</f>
        <v>26117.7</v>
      </c>
      <c r="L40" s="107">
        <f>L35</f>
        <v>29486.8833</v>
      </c>
      <c r="M40" s="107">
        <f>M35</f>
        <v>33369.4633780886</v>
      </c>
      <c r="N40" s="107">
        <f>N35</f>
        <v>37800.4594863568</v>
      </c>
      <c r="O40" s="107">
        <f>O35</f>
        <v>42812.4936083737</v>
      </c>
      <c r="P40" s="108"/>
      <c r="Q40" s="108"/>
      <c r="R40" s="108"/>
      <c r="S40" s="108"/>
      <c r="T40" s="108"/>
    </row>
    <row r="41" ht="21" customHeight="1">
      <c r="A41" s="64"/>
      <c r="B41" t="s" s="65">
        <v>27</v>
      </c>
      <c r="C41" s="66"/>
      <c r="D41" s="67"/>
      <c r="E41" s="68">
        <f>E40/D40-1</f>
        <v>0.0704084189426209</v>
      </c>
      <c r="F41" s="68">
        <f>F40/E40-1</f>
        <v>0.229634831460674</v>
      </c>
      <c r="G41" s="68">
        <f>G40/F40-1</f>
        <v>0.232628973919665</v>
      </c>
      <c r="H41" s="68">
        <f>H40/G40-1</f>
        <v>0.0395366795366795</v>
      </c>
      <c r="I41" s="68">
        <f>I40/H40-1</f>
        <v>0.450453127321349</v>
      </c>
      <c r="J41" s="68">
        <f>J40/I40-1</f>
        <v>0.683294069445867</v>
      </c>
      <c r="K41" s="68">
        <f>K40/J40-1</f>
        <v>0.589247900693684</v>
      </c>
      <c r="L41" s="68">
        <f>L40/K40-1</f>
        <v>0.129</v>
      </c>
      <c r="M41" s="68">
        <f>M40/L40-1</f>
        <v>0.131671429584035</v>
      </c>
      <c r="N41" s="68">
        <f>N40/M40-1</f>
        <v>0.132785956371649</v>
      </c>
      <c r="O41" s="68">
        <f>O40/N40-1</f>
        <v>0.132591883541148</v>
      </c>
      <c r="P41" s="68"/>
      <c r="Q41" s="68"/>
      <c r="R41" s="68"/>
      <c r="S41" s="68"/>
      <c r="T41" s="68"/>
    </row>
    <row r="42" ht="21" customHeight="1">
      <c r="A42" s="13"/>
      <c r="B42" s="25"/>
      <c r="C42" s="28"/>
      <c r="D42" s="11"/>
      <c r="E42" s="11"/>
      <c r="F42" s="11"/>
      <c r="G42" s="11"/>
      <c r="H42" s="11"/>
      <c r="I42" s="11"/>
      <c r="J42" s="11"/>
      <c r="K42" s="11"/>
      <c r="L42" s="11"/>
      <c r="M42" s="11"/>
      <c r="N42" s="11"/>
      <c r="O42" s="11"/>
      <c r="P42" s="11"/>
      <c r="Q42" s="11"/>
      <c r="R42" s="11"/>
      <c r="S42" s="11"/>
      <c r="T42" s="11"/>
    </row>
    <row r="43" ht="21" customHeight="1">
      <c r="A43" s="13"/>
      <c r="B43" t="s" s="34">
        <v>21</v>
      </c>
      <c r="C43" s="28"/>
      <c r="D43" s="61">
        <v>-481</v>
      </c>
      <c r="E43" s="61">
        <v>-373</v>
      </c>
      <c r="F43" s="61">
        <v>127</v>
      </c>
      <c r="G43" s="109">
        <v>451</v>
      </c>
      <c r="H43" s="109">
        <v>631</v>
      </c>
      <c r="I43" s="61">
        <v>1369</v>
      </c>
      <c r="J43" s="109">
        <v>3648</v>
      </c>
      <c r="K43" s="109">
        <f>6992+1000</f>
        <v>7992</v>
      </c>
      <c r="L43" s="109">
        <f>7824+1200</f>
        <v>9024</v>
      </c>
      <c r="M43" s="109">
        <f>M40*M44</f>
        <v>9276.850775786450</v>
      </c>
      <c r="N43" s="109">
        <f>N40*N44</f>
        <v>11214.61451818</v>
      </c>
      <c r="O43" s="109">
        <f>O40*O44</f>
        <v>12568.5763441448</v>
      </c>
      <c r="P43" s="109"/>
      <c r="Q43" s="109"/>
      <c r="R43" s="109"/>
      <c r="S43" s="109"/>
      <c r="T43" s="109"/>
    </row>
    <row r="44" ht="21" customHeight="1">
      <c r="A44" s="64"/>
      <c r="B44" t="s" s="65">
        <v>35</v>
      </c>
      <c r="C44" s="66"/>
      <c r="D44" s="68">
        <f>D43/D40</f>
        <v>-0.120521172638436</v>
      </c>
      <c r="E44" s="68">
        <f>E43/E40</f>
        <v>-0.08731273408239699</v>
      </c>
      <c r="F44" s="68">
        <f>F43/F40</f>
        <v>0.0241766609556444</v>
      </c>
      <c r="G44" s="68">
        <f>G43/G40</f>
        <v>0.0696525096525097</v>
      </c>
      <c r="H44" s="68">
        <f>H43/H40</f>
        <v>0.0937453573020354</v>
      </c>
      <c r="I44" s="68">
        <f>I43/I40</f>
        <v>0.140223292020895</v>
      </c>
      <c r="J44" s="68">
        <f>J43/J40</f>
        <v>0.221978824388463</v>
      </c>
      <c r="K44" s="68">
        <f>K43/K40</f>
        <v>0.305999379730987</v>
      </c>
      <c r="L44" s="68">
        <f>L43/L40</f>
        <v>0.306034378343404</v>
      </c>
      <c r="M44" s="68">
        <f>AVERAGE(L44,K44,J44)</f>
        <v>0.278004194154285</v>
      </c>
      <c r="N44" s="68">
        <f>AVERAGE(M44,L44,K44)</f>
        <v>0.296679317409559</v>
      </c>
      <c r="O44" s="68">
        <f>AVERAGE(N44,M44,L44)</f>
        <v>0.293572629969083</v>
      </c>
      <c r="P44" s="68"/>
      <c r="Q44" s="68"/>
      <c r="R44" s="68"/>
      <c r="S44" s="68"/>
      <c r="T44" s="68"/>
    </row>
    <row r="45" ht="21" customHeight="1">
      <c r="A45" s="110"/>
      <c r="B45" s="111"/>
      <c r="C45" s="28"/>
      <c r="D45" s="112"/>
      <c r="E45" s="11"/>
      <c r="F45" s="11"/>
      <c r="G45" s="11"/>
      <c r="H45" s="11"/>
      <c r="I45" s="11"/>
      <c r="J45" s="11"/>
      <c r="K45" s="11"/>
      <c r="L45" s="11"/>
      <c r="M45" s="11"/>
      <c r="N45" s="11"/>
      <c r="O45" s="11"/>
      <c r="P45" s="11"/>
      <c r="Q45" s="11"/>
      <c r="R45" s="11"/>
      <c r="S45" s="11"/>
      <c r="T45" s="11"/>
    </row>
    <row r="46" ht="21" customHeight="1">
      <c r="A46" s="8"/>
      <c r="B46" t="s" s="113">
        <v>36</v>
      </c>
      <c r="C46" s="28"/>
      <c r="D46" s="114">
        <v>14</v>
      </c>
      <c r="E46" s="114">
        <v>39</v>
      </c>
      <c r="F46" s="114">
        <v>18</v>
      </c>
      <c r="G46" s="63">
        <v>-9</v>
      </c>
      <c r="H46" s="114">
        <v>31</v>
      </c>
      <c r="I46" s="63">
        <v>-1210</v>
      </c>
      <c r="J46" s="63">
        <v>513</v>
      </c>
      <c r="K46" s="109">
        <v>1100</v>
      </c>
      <c r="L46" s="109">
        <v>1200</v>
      </c>
      <c r="M46" s="109">
        <f>M43*M47</f>
        <v>1271.674913072320</v>
      </c>
      <c r="N46" s="109">
        <f>N43*N47</f>
        <v>1524.054205800980</v>
      </c>
      <c r="O46" s="109">
        <f>O43*O47</f>
        <v>1700.771854998840</v>
      </c>
      <c r="P46" s="109"/>
      <c r="Q46" s="109"/>
      <c r="R46" s="109"/>
      <c r="S46" s="109"/>
      <c r="T46" s="109"/>
    </row>
    <row r="47" ht="21" customHeight="1">
      <c r="A47" s="75"/>
      <c r="B47" t="s" s="115">
        <v>37</v>
      </c>
      <c r="C47" s="66"/>
      <c r="D47" s="68">
        <f>D46/D43</f>
        <v>-0.0291060291060291</v>
      </c>
      <c r="E47" s="68">
        <f>E46/E43</f>
        <v>-0.10455764075067</v>
      </c>
      <c r="F47" s="68">
        <f>F46/F43</f>
        <v>0.141732283464567</v>
      </c>
      <c r="G47" s="68">
        <f>G46/G43</f>
        <v>-0.0199556541019956</v>
      </c>
      <c r="H47" s="68">
        <f>H46/H43</f>
        <v>0.0491283676703645</v>
      </c>
      <c r="I47" s="68">
        <f>I46/I43</f>
        <v>-0.883856829802776</v>
      </c>
      <c r="J47" s="68">
        <f>J46/J43</f>
        <v>0.140625</v>
      </c>
      <c r="K47" s="68">
        <f>K46/K43</f>
        <v>0.137637637637638</v>
      </c>
      <c r="L47" s="68">
        <f>L46/L43</f>
        <v>0.132978723404255</v>
      </c>
      <c r="M47" s="68">
        <f>AVERAGE(L47,K47,J47)</f>
        <v>0.137080453680631</v>
      </c>
      <c r="N47" s="68">
        <f>AVERAGE(M47,L47,K47)</f>
        <v>0.135898938240841</v>
      </c>
      <c r="O47" s="68">
        <f>AVERAGE(N47,M47,L47)</f>
        <v>0.135319371775242</v>
      </c>
      <c r="P47" s="68"/>
      <c r="Q47" s="68"/>
      <c r="R47" s="68"/>
      <c r="S47" s="68"/>
      <c r="T47" s="67"/>
    </row>
    <row r="48" ht="21" customHeight="1">
      <c r="A48" s="81"/>
      <c r="B48" s="46"/>
      <c r="C48" s="28"/>
      <c r="D48" s="11"/>
      <c r="E48" s="116"/>
      <c r="F48" s="116"/>
      <c r="G48" s="116"/>
      <c r="H48" s="116"/>
      <c r="I48" s="116"/>
      <c r="J48" s="116"/>
      <c r="K48" s="116"/>
      <c r="L48" s="116"/>
      <c r="M48" s="116"/>
      <c r="N48" s="116"/>
      <c r="O48" s="116"/>
      <c r="P48" s="116"/>
      <c r="Q48" s="116"/>
      <c r="R48" s="116"/>
      <c r="S48" s="116"/>
      <c r="T48" s="11"/>
    </row>
    <row r="49" ht="21" customHeight="1">
      <c r="A49" t="s" s="117">
        <v>13</v>
      </c>
      <c r="B49" t="s" s="118">
        <v>38</v>
      </c>
      <c r="C49" s="31"/>
      <c r="D49" s="59">
        <v>2015</v>
      </c>
      <c r="E49" s="60">
        <v>2016</v>
      </c>
      <c r="F49" s="60">
        <v>2017</v>
      </c>
      <c r="G49" s="60">
        <v>2018</v>
      </c>
      <c r="H49" s="60">
        <v>2019</v>
      </c>
      <c r="I49" s="60">
        <v>2020</v>
      </c>
      <c r="J49" s="60">
        <v>2021</v>
      </c>
      <c r="K49" s="60">
        <v>2022</v>
      </c>
      <c r="L49" s="60">
        <v>2023</v>
      </c>
      <c r="M49" s="60">
        <v>2024</v>
      </c>
      <c r="N49" s="60">
        <v>2025</v>
      </c>
      <c r="O49" s="60">
        <v>2026</v>
      </c>
      <c r="P49" s="116"/>
      <c r="Q49" s="116"/>
      <c r="R49" s="116"/>
      <c r="S49" s="116"/>
      <c r="T49" s="116"/>
    </row>
    <row r="50" ht="21" customHeight="1">
      <c r="A50" s="110"/>
      <c r="B50" s="111"/>
      <c r="C50" s="28"/>
      <c r="D50" s="11"/>
      <c r="E50" s="116"/>
      <c r="F50" s="116"/>
      <c r="G50" s="116"/>
      <c r="H50" s="116"/>
      <c r="I50" s="116"/>
      <c r="J50" s="116"/>
      <c r="K50" s="116"/>
      <c r="L50" s="116"/>
      <c r="M50" s="116"/>
      <c r="N50" s="116"/>
      <c r="O50" s="116"/>
      <c r="P50" s="116"/>
      <c r="Q50" s="116"/>
      <c r="R50" s="116"/>
      <c r="S50" s="116"/>
      <c r="T50" s="11"/>
    </row>
    <row r="51" ht="21" customHeight="1">
      <c r="A51" s="81"/>
      <c r="B51" t="s" s="119">
        <v>39</v>
      </c>
      <c r="C51" s="28"/>
      <c r="D51" s="114">
        <v>167</v>
      </c>
      <c r="E51" s="114">
        <v>133</v>
      </c>
      <c r="F51" s="114">
        <v>144</v>
      </c>
      <c r="G51" s="114">
        <v>170</v>
      </c>
      <c r="H51" s="114">
        <v>222</v>
      </c>
      <c r="I51" s="114">
        <v>312</v>
      </c>
      <c r="J51" s="114">
        <v>407</v>
      </c>
      <c r="K51" s="109">
        <f>K40*K52</f>
        <v>780.9614194207441</v>
      </c>
      <c r="L51" s="109">
        <f>L40*L52</f>
        <v>851.4311514866801</v>
      </c>
      <c r="M51" s="109">
        <f>M40*M52</f>
        <v>929.253424476428</v>
      </c>
      <c r="N51" s="109">
        <f>N40*N52</f>
        <v>1091.474986266840</v>
      </c>
      <c r="O51" s="109">
        <f>O40*O52</f>
        <v>1221.540041922010</v>
      </c>
      <c r="P51" s="116"/>
      <c r="Q51" s="116"/>
      <c r="R51" s="116"/>
      <c r="S51" s="116"/>
      <c r="T51" s="11"/>
    </row>
    <row r="52" ht="21" customHeight="1">
      <c r="A52" s="120"/>
      <c r="B52" t="s" s="121">
        <v>40</v>
      </c>
      <c r="C52" s="66"/>
      <c r="D52" s="68">
        <f>D51/D40</f>
        <v>0.041844149336006</v>
      </c>
      <c r="E52" s="68">
        <f>E51/E40</f>
        <v>0.0311329588014981</v>
      </c>
      <c r="F52" s="68">
        <f>F51/F40</f>
        <v>0.027412906910337</v>
      </c>
      <c r="G52" s="68">
        <f>G51/G40</f>
        <v>0.0262548262548263</v>
      </c>
      <c r="H52" s="68">
        <f>H51/H40</f>
        <v>0.0329817263408112</v>
      </c>
      <c r="I52" s="68">
        <f>I51/I40</f>
        <v>0.0319573901464714</v>
      </c>
      <c r="J52" s="68">
        <f>J51/J40</f>
        <v>0.0247657295850067</v>
      </c>
      <c r="K52" s="68">
        <f>AVERAGE(H52:J52)</f>
        <v>0.0299016153574298</v>
      </c>
      <c r="L52" s="68">
        <f>AVERAGE(I52:K52)</f>
        <v>0.0288749116963026</v>
      </c>
      <c r="M52" s="68">
        <f>AVERAGE(J52:L52)</f>
        <v>0.0278474188795797</v>
      </c>
      <c r="N52" s="68">
        <f>AVERAGE(K52:M52)</f>
        <v>0.0288746486444374</v>
      </c>
      <c r="O52" s="68">
        <f>AVERAGE(L52:N52)</f>
        <v>0.0285323264067732</v>
      </c>
      <c r="P52" s="68"/>
      <c r="Q52" s="68"/>
      <c r="R52" s="68"/>
      <c r="S52" s="68"/>
      <c r="T52" s="67"/>
    </row>
    <row r="53" ht="21" customHeight="1">
      <c r="A53" s="120"/>
      <c r="B53" t="s" s="121">
        <v>41</v>
      </c>
      <c r="C53" s="66"/>
      <c r="D53" s="68">
        <f>D51/D55</f>
        <v>1.73958333333333</v>
      </c>
      <c r="E53" s="68">
        <f>E51/E55</f>
        <v>1.72727272727273</v>
      </c>
      <c r="F53" s="68">
        <f>F51/F55</f>
        <v>1.27433628318584</v>
      </c>
      <c r="G53" s="68">
        <f>G51/G55</f>
        <v>1.04294478527607</v>
      </c>
      <c r="H53" s="68">
        <f>H51/H55</f>
        <v>1.02304147465438</v>
      </c>
      <c r="I53" s="68">
        <f>I51/I55</f>
        <v>1.06122448979592</v>
      </c>
      <c r="J53" s="68">
        <f>J51/J55</f>
        <v>1.35215946843854</v>
      </c>
      <c r="K53" s="68">
        <f>K51/K55</f>
        <v>1.11202135806053</v>
      </c>
      <c r="L53" s="68">
        <f>L51/L55</f>
        <v>1.15010763696542</v>
      </c>
      <c r="M53" s="68">
        <f>M51/M55</f>
        <v>1.18817544181969</v>
      </c>
      <c r="N53" s="68">
        <f>N51/N55</f>
        <v>1.14835882032145</v>
      </c>
      <c r="O53" s="68">
        <f>O51/O55</f>
        <v>1.16161875215987</v>
      </c>
      <c r="P53" s="68"/>
      <c r="Q53" s="68"/>
      <c r="R53" s="68"/>
      <c r="S53" s="68"/>
      <c r="T53" s="67"/>
    </row>
    <row r="54" ht="21" customHeight="1">
      <c r="A54" s="81"/>
      <c r="B54" s="46"/>
      <c r="C54" s="28"/>
      <c r="D54" s="11"/>
      <c r="E54" s="116"/>
      <c r="F54" s="116"/>
      <c r="G54" s="116"/>
      <c r="H54" s="116"/>
      <c r="I54" s="116"/>
      <c r="J54" s="116"/>
      <c r="K54" s="116"/>
      <c r="L54" s="116"/>
      <c r="M54" s="116"/>
      <c r="N54" s="116"/>
      <c r="O54" s="116"/>
      <c r="P54" s="116"/>
      <c r="Q54" s="116"/>
      <c r="R54" s="116"/>
      <c r="S54" s="116"/>
      <c r="T54" s="11"/>
    </row>
    <row r="55" ht="21" customHeight="1">
      <c r="A55" s="81"/>
      <c r="B55" t="s" s="119">
        <v>42</v>
      </c>
      <c r="C55" s="28"/>
      <c r="D55" s="63">
        <v>96</v>
      </c>
      <c r="E55" s="63">
        <v>77</v>
      </c>
      <c r="F55" s="114">
        <v>113</v>
      </c>
      <c r="G55" s="114">
        <v>163</v>
      </c>
      <c r="H55" s="114">
        <v>217</v>
      </c>
      <c r="I55" s="114">
        <v>294</v>
      </c>
      <c r="J55" s="114">
        <v>301</v>
      </c>
      <c r="K55" s="109">
        <f>K40*K56</f>
        <v>702.2899459258711</v>
      </c>
      <c r="L55" s="109">
        <f>L40*L56</f>
        <v>740.305623683360</v>
      </c>
      <c r="M55" s="109">
        <f>M40*M56</f>
        <v>782.0843553652981</v>
      </c>
      <c r="N55" s="109">
        <f>N40*N56</f>
        <v>950.4651045927531</v>
      </c>
      <c r="O55" s="109">
        <f>O40*O56</f>
        <v>1051.584299625610</v>
      </c>
      <c r="P55" s="116"/>
      <c r="Q55" s="116"/>
      <c r="R55" s="116"/>
      <c r="S55" s="116"/>
      <c r="T55" s="11"/>
    </row>
    <row r="56" ht="21" customHeight="1">
      <c r="A56" s="120"/>
      <c r="B56" t="s" s="121">
        <v>35</v>
      </c>
      <c r="C56" s="66"/>
      <c r="D56" s="68">
        <f>D55/D40</f>
        <v>0.0240541217739915</v>
      </c>
      <c r="E56" s="68">
        <f>E55/E40</f>
        <v>0.0180243445692884</v>
      </c>
      <c r="F56" s="68">
        <f>F55/F40</f>
        <v>0.0215115172282505</v>
      </c>
      <c r="G56" s="68">
        <f>G55/G40</f>
        <v>0.0251737451737452</v>
      </c>
      <c r="H56" s="68">
        <f>H55/H40</f>
        <v>0.0322388946664686</v>
      </c>
      <c r="I56" s="68">
        <f>I55/I40</f>
        <v>0.030113694561098</v>
      </c>
      <c r="J56" s="68">
        <f>J55/J40</f>
        <v>0.0183156869903858</v>
      </c>
      <c r="K56" s="68">
        <f>AVERAGE(H56:J56)</f>
        <v>0.0268894254059841</v>
      </c>
      <c r="L56" s="68">
        <f>AVERAGE(I56:K56)</f>
        <v>0.0251062689858226</v>
      </c>
      <c r="M56" s="68">
        <f>AVERAGE(J56:L56)</f>
        <v>0.0234371271273975</v>
      </c>
      <c r="N56" s="68">
        <f>AVERAGE(K56:M56)</f>
        <v>0.0251442738397347</v>
      </c>
      <c r="O56" s="68">
        <f>AVERAGE(L56:N56)</f>
        <v>0.0245625566509849</v>
      </c>
      <c r="P56" s="68"/>
      <c r="Q56" s="68"/>
      <c r="R56" s="68"/>
      <c r="S56" s="68"/>
      <c r="T56" s="67"/>
    </row>
    <row r="57" ht="21" customHeight="1">
      <c r="A57" s="81"/>
      <c r="B57" s="46"/>
      <c r="C57" s="28"/>
      <c r="D57" s="11"/>
      <c r="E57" s="116"/>
      <c r="F57" s="116"/>
      <c r="G57" s="116"/>
      <c r="H57" s="116"/>
      <c r="I57" s="116"/>
      <c r="J57" s="116"/>
      <c r="K57" s="116"/>
      <c r="L57" s="116"/>
      <c r="M57" s="116"/>
      <c r="N57" s="116"/>
      <c r="O57" s="116"/>
      <c r="P57" s="116"/>
      <c r="Q57" s="116"/>
      <c r="R57" s="116"/>
      <c r="S57" s="116"/>
      <c r="T57" s="11"/>
    </row>
    <row r="58" ht="21" customHeight="1">
      <c r="A58" s="81"/>
      <c r="B58" t="s" s="119">
        <v>43</v>
      </c>
      <c r="C58" s="28"/>
      <c r="D58" s="61">
        <f>2320-1403</f>
        <v>917</v>
      </c>
      <c r="E58" s="61">
        <f>2530-1346</f>
        <v>1184</v>
      </c>
      <c r="F58" s="61">
        <f>2622-1486</f>
        <v>1136</v>
      </c>
      <c r="G58" s="61">
        <f>3540-1984</f>
        <v>1556</v>
      </c>
      <c r="H58" s="61">
        <f>4597-2359</f>
        <v>2238</v>
      </c>
      <c r="I58" s="61">
        <f>6143-2417</f>
        <v>3726</v>
      </c>
      <c r="J58" s="61">
        <f>8583-4240</f>
        <v>4343</v>
      </c>
      <c r="K58" s="61">
        <f>13462-5523</f>
        <v>7939</v>
      </c>
      <c r="L58" s="116"/>
      <c r="M58" s="116"/>
      <c r="N58" s="116"/>
      <c r="O58" s="116"/>
      <c r="P58" s="116"/>
      <c r="Q58" s="116"/>
      <c r="R58" s="116"/>
      <c r="S58" s="116"/>
      <c r="T58" s="11"/>
    </row>
    <row r="59" ht="21" customHeight="1">
      <c r="A59" s="81"/>
      <c r="B59" s="46"/>
      <c r="C59" s="28"/>
      <c r="D59" s="11"/>
      <c r="E59" s="116"/>
      <c r="F59" s="116"/>
      <c r="G59" s="116"/>
      <c r="H59" s="116"/>
      <c r="I59" s="116"/>
      <c r="J59" s="116"/>
      <c r="K59" s="116"/>
      <c r="L59" s="116"/>
      <c r="M59" s="116"/>
      <c r="N59" s="116"/>
      <c r="O59" s="116"/>
      <c r="P59" s="116"/>
      <c r="Q59" s="116"/>
      <c r="R59" s="116"/>
      <c r="S59" s="116"/>
      <c r="T59" s="11"/>
    </row>
    <row r="60" ht="21" customHeight="1">
      <c r="A60" s="81"/>
      <c r="B60" t="s" s="119">
        <v>44</v>
      </c>
      <c r="C60" s="28"/>
      <c r="D60" s="61">
        <f>(2736-1440)-D58</f>
        <v>379</v>
      </c>
      <c r="E60" s="61">
        <f>D58-E58</f>
        <v>-267</v>
      </c>
      <c r="F60" s="61">
        <f>E58-F58</f>
        <v>48</v>
      </c>
      <c r="G60" s="61">
        <f>F58-G58</f>
        <v>-420</v>
      </c>
      <c r="H60" s="61">
        <f>G58-H58</f>
        <v>-682</v>
      </c>
      <c r="I60" s="61">
        <f>H58-I58</f>
        <v>-1488</v>
      </c>
      <c r="J60" s="61">
        <f>I58-J58</f>
        <v>-617</v>
      </c>
      <c r="K60" s="61">
        <f>J58-K58</f>
        <v>-3596</v>
      </c>
      <c r="L60" s="116"/>
      <c r="M60" s="116"/>
      <c r="N60" s="116"/>
      <c r="O60" s="116"/>
      <c r="P60" s="116"/>
      <c r="Q60" s="116"/>
      <c r="R60" s="116"/>
      <c r="S60" s="116"/>
      <c r="T60" s="11"/>
    </row>
    <row r="61" ht="21" customHeight="1">
      <c r="A61" s="120"/>
      <c r="B61" t="s" s="121">
        <v>35</v>
      </c>
      <c r="C61" s="66"/>
      <c r="D61" s="68">
        <f>D60/D40</f>
        <v>0.0949636682535705</v>
      </c>
      <c r="E61" s="68">
        <f>E60/E40</f>
        <v>-0.0625</v>
      </c>
      <c r="F61" s="68">
        <f>F60/F40</f>
        <v>0.00913763563677898</v>
      </c>
      <c r="G61" s="68">
        <f>G60/G40</f>
        <v>-0.0648648648648649</v>
      </c>
      <c r="H61" s="68">
        <f>H60/H40</f>
        <v>-0.10132224038033</v>
      </c>
      <c r="I61" s="68">
        <f>I60/I40</f>
        <v>-0.152412168390863</v>
      </c>
      <c r="J61" s="68">
        <f>J60/J40</f>
        <v>-0.0375441158573689</v>
      </c>
      <c r="K61" s="68">
        <f>K60/K40</f>
        <v>-0.137684405594673</v>
      </c>
      <c r="L61" s="68"/>
      <c r="M61" s="68"/>
      <c r="N61" s="68"/>
      <c r="O61" s="68"/>
      <c r="P61" s="68"/>
      <c r="Q61" s="68"/>
      <c r="R61" s="68"/>
      <c r="S61" s="68"/>
      <c r="T61" s="67"/>
    </row>
    <row r="62" ht="21" customHeight="1">
      <c r="A62" s="120"/>
      <c r="B62" t="s" s="121">
        <v>45</v>
      </c>
      <c r="C62" s="66"/>
      <c r="D62" s="68">
        <f>(D60-C60)/(D40-C40)</f>
        <v>0.0949636682535705</v>
      </c>
      <c r="E62" s="68">
        <f>(E60-D60)/(E40-D40)</f>
        <v>-2.29893238434164</v>
      </c>
      <c r="F62" s="68">
        <f>(F60-E60)/(F40-E40)</f>
        <v>0.321100917431193</v>
      </c>
      <c r="G62" s="68">
        <f>(G60-F60)/(G40-F40)</f>
        <v>-0.382978723404255</v>
      </c>
      <c r="H62" s="68">
        <f>(H60-G60)/(H40-G40)</f>
        <v>-1.0234375</v>
      </c>
      <c r="I62" s="68">
        <f>(I60-H60)/(I40-H40)</f>
        <v>-0.265831134564644</v>
      </c>
      <c r="J62" s="68">
        <f>(J60-I60)/(J40-I40)</f>
        <v>0.130565132663769</v>
      </c>
      <c r="K62" s="68">
        <f>(K60-J60)/(K40-J40)</f>
        <v>-0.30763034790421</v>
      </c>
      <c r="L62" s="68"/>
      <c r="M62" s="68"/>
      <c r="N62" s="68"/>
      <c r="O62" s="68"/>
      <c r="P62" s="68"/>
      <c r="Q62" s="68"/>
      <c r="R62" s="68"/>
      <c r="S62" s="68"/>
      <c r="T62" s="67"/>
    </row>
    <row r="63" ht="21" customHeight="1">
      <c r="A63" s="81"/>
      <c r="B63" s="46"/>
      <c r="C63" s="28"/>
      <c r="D63" s="11"/>
      <c r="E63" s="61"/>
      <c r="F63" s="61"/>
      <c r="G63" s="61"/>
      <c r="H63" s="61"/>
      <c r="I63" s="61"/>
      <c r="J63" s="61"/>
      <c r="K63" s="116"/>
      <c r="L63" s="116"/>
      <c r="M63" s="116"/>
      <c r="N63" s="116"/>
      <c r="O63" s="116"/>
      <c r="P63" s="116"/>
      <c r="Q63" s="116"/>
      <c r="R63" s="116"/>
      <c r="S63" s="116"/>
      <c r="T63" s="11"/>
    </row>
    <row r="64" ht="21" customHeight="1">
      <c r="A64" s="81"/>
      <c r="B64" s="46"/>
      <c r="C64" s="28"/>
      <c r="D64" s="11"/>
      <c r="E64" s="61"/>
      <c r="F64" s="61"/>
      <c r="G64" s="61"/>
      <c r="H64" s="61"/>
      <c r="I64" s="61"/>
      <c r="J64" s="61"/>
      <c r="K64" s="61">
        <v>1</v>
      </c>
      <c r="L64" s="61">
        <v>2</v>
      </c>
      <c r="M64" s="61">
        <v>3</v>
      </c>
      <c r="N64" s="61">
        <v>4</v>
      </c>
      <c r="O64" s="61">
        <v>5</v>
      </c>
      <c r="P64" s="61">
        <v>6</v>
      </c>
      <c r="Q64" s="61">
        <v>7</v>
      </c>
      <c r="R64" s="61">
        <v>8</v>
      </c>
      <c r="S64" s="61">
        <v>9</v>
      </c>
      <c r="T64" s="61">
        <v>10</v>
      </c>
    </row>
    <row r="65" ht="21" customHeight="1">
      <c r="A65" t="s" s="117">
        <v>13</v>
      </c>
      <c r="B65" t="s" s="118">
        <v>46</v>
      </c>
      <c r="C65" s="31"/>
      <c r="D65" s="59">
        <v>2015</v>
      </c>
      <c r="E65" s="60">
        <v>2016</v>
      </c>
      <c r="F65" s="60">
        <v>2017</v>
      </c>
      <c r="G65" s="60">
        <v>2018</v>
      </c>
      <c r="H65" s="60">
        <v>2019</v>
      </c>
      <c r="I65" s="60">
        <v>2020</v>
      </c>
      <c r="J65" s="60">
        <v>2021</v>
      </c>
      <c r="K65" s="60">
        <v>2022</v>
      </c>
      <c r="L65" s="60">
        <v>2023</v>
      </c>
      <c r="M65" s="60">
        <v>2024</v>
      </c>
      <c r="N65" s="60">
        <v>2025</v>
      </c>
      <c r="O65" s="60">
        <v>2026</v>
      </c>
      <c r="P65" s="60">
        <v>2027</v>
      </c>
      <c r="Q65" s="60">
        <v>2028</v>
      </c>
      <c r="R65" s="60">
        <v>2029</v>
      </c>
      <c r="S65" s="60">
        <v>2030</v>
      </c>
      <c r="T65" s="60">
        <v>2031</v>
      </c>
    </row>
    <row r="66" ht="21" customHeight="1">
      <c r="A66" s="110"/>
      <c r="B66" s="111"/>
      <c r="C66" s="28"/>
      <c r="D66" s="11"/>
      <c r="E66" s="116"/>
      <c r="F66" s="116"/>
      <c r="G66" s="116"/>
      <c r="H66" s="116"/>
      <c r="I66" s="116"/>
      <c r="J66" s="116"/>
      <c r="K66" s="116"/>
      <c r="L66" s="116"/>
      <c r="M66" s="116"/>
      <c r="N66" s="116"/>
      <c r="O66" s="116"/>
      <c r="P66" s="116"/>
      <c r="Q66" s="116"/>
      <c r="R66" s="116"/>
      <c r="S66" s="116"/>
      <c r="T66" s="11"/>
    </row>
    <row r="67" ht="21" customHeight="1">
      <c r="A67" s="8"/>
      <c r="B67" t="s" s="113">
        <v>34</v>
      </c>
      <c r="C67" s="28"/>
      <c r="D67" s="107">
        <f>D35</f>
        <v>3991</v>
      </c>
      <c r="E67" s="107">
        <f>E35</f>
        <v>4272</v>
      </c>
      <c r="F67" s="107">
        <f>F35</f>
        <v>5253</v>
      </c>
      <c r="G67" s="107">
        <f>G35</f>
        <v>6475</v>
      </c>
      <c r="H67" s="107">
        <f>H35</f>
        <v>6731</v>
      </c>
      <c r="I67" s="107">
        <f>I35</f>
        <v>9763</v>
      </c>
      <c r="J67" s="107">
        <f>J35</f>
        <v>16434</v>
      </c>
      <c r="K67" s="107">
        <f>K35</f>
        <v>26117.7</v>
      </c>
      <c r="L67" s="107">
        <f>L35</f>
        <v>29486.8833</v>
      </c>
      <c r="M67" s="107">
        <f>M35</f>
        <v>33369.4633780886</v>
      </c>
      <c r="N67" s="107">
        <f>N35</f>
        <v>37800.4594863568</v>
      </c>
      <c r="O67" s="107">
        <f>O35</f>
        <v>42812.4936083737</v>
      </c>
      <c r="P67" s="107">
        <f>P35</f>
        <v>48435.1588409895</v>
      </c>
      <c r="Q67" s="107">
        <f>Q35</f>
        <v>54694.7793804802</v>
      </c>
      <c r="R67" s="107">
        <f>R35</f>
        <v>61614.7523286162</v>
      </c>
      <c r="S67" s="107">
        <f>S35</f>
        <v>69216.7000097303</v>
      </c>
      <c r="T67" s="107">
        <f>T35</f>
        <v>77522.7040108979</v>
      </c>
    </row>
    <row r="68" ht="21" customHeight="1">
      <c r="A68" s="110"/>
      <c r="B68" t="s" s="65">
        <v>27</v>
      </c>
      <c r="C68" s="28"/>
      <c r="D68" s="11"/>
      <c r="E68" s="116">
        <f>E67/D67-1</f>
        <v>0.0704084189426209</v>
      </c>
      <c r="F68" s="116">
        <f>F67/E67-1</f>
        <v>0.229634831460674</v>
      </c>
      <c r="G68" s="116">
        <f>G67/F67-1</f>
        <v>0.232628973919665</v>
      </c>
      <c r="H68" s="116">
        <f>H67/G67-1</f>
        <v>0.0395366795366795</v>
      </c>
      <c r="I68" s="116">
        <f>I67/H67-1</f>
        <v>0.450453127321349</v>
      </c>
      <c r="J68" s="116">
        <f>J67/I67-1</f>
        <v>0.683294069445867</v>
      </c>
      <c r="K68" s="116">
        <f>K67/J67-1</f>
        <v>0.589247900693684</v>
      </c>
      <c r="L68" s="116">
        <f>L67/K67-1</f>
        <v>0.129</v>
      </c>
      <c r="M68" s="116">
        <f>M67/L67-1</f>
        <v>0.131671429584035</v>
      </c>
      <c r="N68" s="116">
        <f>N67/M67-1</f>
        <v>0.132785956371649</v>
      </c>
      <c r="O68" s="116">
        <f>O67/N67-1</f>
        <v>0.132591883541148</v>
      </c>
      <c r="P68" s="116">
        <f>P67/O67-1</f>
        <v>0.131332346208305</v>
      </c>
      <c r="Q68" s="116">
        <f>Q67/P67-1</f>
        <v>0.129237122150064</v>
      </c>
      <c r="R68" s="116">
        <f>R67/Q67-1</f>
        <v>0.126519807311</v>
      </c>
      <c r="S68" s="116">
        <f>S67/R67-1</f>
        <v>0.12337869412458</v>
      </c>
      <c r="T68" s="116">
        <f>T67/S67-1</f>
        <v>0.119999999999999</v>
      </c>
    </row>
    <row r="69" ht="21" customHeight="1">
      <c r="A69" s="81"/>
      <c r="B69" s="111"/>
      <c r="C69" s="28"/>
      <c r="D69" s="11"/>
      <c r="E69" s="116"/>
      <c r="F69" s="116"/>
      <c r="G69" s="116"/>
      <c r="H69" s="116"/>
      <c r="I69" s="116"/>
      <c r="J69" s="116"/>
      <c r="K69" s="116"/>
      <c r="L69" s="116"/>
      <c r="M69" s="116"/>
      <c r="N69" s="116"/>
      <c r="O69" s="116"/>
      <c r="P69" s="116"/>
      <c r="Q69" s="116"/>
      <c r="R69" s="116"/>
      <c r="S69" s="116"/>
      <c r="T69" s="11"/>
    </row>
    <row r="70" ht="21" customHeight="1">
      <c r="A70" s="8"/>
      <c r="B70" t="s" s="113">
        <v>21</v>
      </c>
      <c r="C70" s="28"/>
      <c r="D70" s="61">
        <f>D43</f>
        <v>-481</v>
      </c>
      <c r="E70" s="61">
        <f>E43</f>
        <v>-373</v>
      </c>
      <c r="F70" s="61">
        <f>F43</f>
        <v>127</v>
      </c>
      <c r="G70" s="109">
        <f>G43</f>
        <v>451</v>
      </c>
      <c r="H70" s="109">
        <f>H43</f>
        <v>631</v>
      </c>
      <c r="I70" s="61">
        <f>I43</f>
        <v>1369</v>
      </c>
      <c r="J70" s="109">
        <f>J43</f>
        <v>3648</v>
      </c>
      <c r="K70" s="61">
        <f>K67*K71</f>
        <v>8096.487</v>
      </c>
      <c r="L70" s="61">
        <f>L67*L71</f>
        <v>9140.933822999999</v>
      </c>
      <c r="M70" s="61">
        <f>M67*M71</f>
        <v>9343.449745864809</v>
      </c>
      <c r="N70" s="61">
        <f>N67*N71</f>
        <v>11340.137845907</v>
      </c>
      <c r="O70" s="61">
        <f>O67*O71</f>
        <v>12415.6231464284</v>
      </c>
      <c r="P70" s="61">
        <f>P67*P71</f>
        <v>13174.3632047491</v>
      </c>
      <c r="Q70" s="61">
        <f>Q67*Q71</f>
        <v>13892.473962642</v>
      </c>
      <c r="R70" s="61">
        <f>R67*R71</f>
        <v>14541.0815495534</v>
      </c>
      <c r="S70" s="61">
        <f>S67*S71</f>
        <v>15089.2406021212</v>
      </c>
      <c r="T70" s="61">
        <f>T67*T71</f>
        <v>15504.5408021796</v>
      </c>
    </row>
    <row r="71" ht="21.5" customHeight="1">
      <c r="A71" s="75"/>
      <c r="B71" t="s" s="65">
        <v>35</v>
      </c>
      <c r="C71" s="66"/>
      <c r="D71" s="68">
        <f>D70/D67</f>
        <v>-0.120521172638436</v>
      </c>
      <c r="E71" s="68">
        <f>E70/E67</f>
        <v>-0.08731273408239699</v>
      </c>
      <c r="F71" s="68">
        <f>F70/F67</f>
        <v>0.0241766609556444</v>
      </c>
      <c r="G71" s="68">
        <f>G70/G67</f>
        <v>0.0696525096525097</v>
      </c>
      <c r="H71" s="68">
        <f>H70/H67</f>
        <v>0.0937453573020354</v>
      </c>
      <c r="I71" s="68">
        <f>I70/I67</f>
        <v>0.140223292020895</v>
      </c>
      <c r="J71" s="68">
        <f>J70/J67</f>
        <v>0.221978824388463</v>
      </c>
      <c r="K71" s="69">
        <f>OFFSET(K71,$C$12,0)</f>
        <v>0.31</v>
      </c>
      <c r="L71" s="69">
        <f>OFFSET(L71,$C$12,0)</f>
        <v>0.31</v>
      </c>
      <c r="M71" s="69">
        <f>OFFSET(M71,$C$12,0)</f>
        <v>0.28</v>
      </c>
      <c r="N71" s="69">
        <f>OFFSET(N71,$C$12,0)</f>
        <v>0.3</v>
      </c>
      <c r="O71" s="69">
        <f>OFFSET(O71,$C$12,0)</f>
        <v>0.29</v>
      </c>
      <c r="P71" s="69">
        <f>OFFSET(P71,$C$12,0)</f>
        <v>0.272</v>
      </c>
      <c r="Q71" s="69">
        <f>OFFSET(Q71,$C$12,0)</f>
        <v>0.254</v>
      </c>
      <c r="R71" s="69">
        <f>OFFSET(R71,$C$12,0)</f>
        <v>0.236</v>
      </c>
      <c r="S71" s="69">
        <f>OFFSET(S71,$C$12,0)</f>
        <v>0.218</v>
      </c>
      <c r="T71" s="69">
        <f>OFFSET(T71,$C$12,0)</f>
        <v>0.2</v>
      </c>
    </row>
    <row r="72" ht="22" customHeight="1">
      <c r="A72" s="8"/>
      <c r="B72" t="s" s="34">
        <v>28</v>
      </c>
      <c r="C72" s="28"/>
      <c r="D72" s="11"/>
      <c r="E72" s="63"/>
      <c r="F72" s="63"/>
      <c r="G72" s="63"/>
      <c r="H72" s="63"/>
      <c r="I72" s="63"/>
      <c r="J72" s="70"/>
      <c r="K72" s="71">
        <f>K73*$E$12</f>
        <v>0.279</v>
      </c>
      <c r="L72" s="71">
        <f>L73*$E$12</f>
        <v>0.279</v>
      </c>
      <c r="M72" s="71">
        <f>M73*$E$12</f>
        <v>0.252</v>
      </c>
      <c r="N72" s="71">
        <f>N73*$E$12</f>
        <v>0.27</v>
      </c>
      <c r="O72" s="71">
        <f>O73*$E$12</f>
        <v>0.261</v>
      </c>
      <c r="P72" s="71">
        <f>P73*$E$12</f>
        <v>0.2448</v>
      </c>
      <c r="Q72" s="71">
        <f>Q73*$E$12</f>
        <v>0.2286</v>
      </c>
      <c r="R72" s="71">
        <f>R73*$E$12</f>
        <v>0.2124</v>
      </c>
      <c r="S72" s="71">
        <f>S73*$E$12</f>
        <v>0.1962</v>
      </c>
      <c r="T72" s="71">
        <f>T73*$E$12</f>
        <v>0.18</v>
      </c>
    </row>
    <row r="73" ht="22" customHeight="1">
      <c r="A73" s="13"/>
      <c r="B73" t="s" s="34">
        <v>29</v>
      </c>
      <c r="C73" s="28"/>
      <c r="D73" s="11"/>
      <c r="E73" s="63"/>
      <c r="F73" s="63"/>
      <c r="G73" s="63"/>
      <c r="H73" s="63"/>
      <c r="I73" s="63"/>
      <c r="J73" s="70"/>
      <c r="K73" s="71">
        <v>0.31</v>
      </c>
      <c r="L73" s="71">
        <v>0.31</v>
      </c>
      <c r="M73" s="71">
        <v>0.28</v>
      </c>
      <c r="N73" s="71">
        <v>0.3</v>
      </c>
      <c r="O73" s="71">
        <v>0.29</v>
      </c>
      <c r="P73" s="71">
        <f>O73-(O73-$T$73)/($T$65-O65)</f>
        <v>0.272</v>
      </c>
      <c r="Q73" s="71">
        <f>P73-(P73-$T$73)/($T$65-P65)</f>
        <v>0.254</v>
      </c>
      <c r="R73" s="71">
        <f>Q73-(Q73-$T$73)/($T$65-Q65)</f>
        <v>0.236</v>
      </c>
      <c r="S73" s="71">
        <f>R73-(R73-$T$73)/($T$65-R65)</f>
        <v>0.218</v>
      </c>
      <c r="T73" s="71">
        <f>G12</f>
        <v>0.2</v>
      </c>
    </row>
    <row r="74" ht="22" customHeight="1">
      <c r="A74" s="13"/>
      <c r="B74" t="s" s="34">
        <v>30</v>
      </c>
      <c r="C74" s="28"/>
      <c r="D74" s="11"/>
      <c r="E74" s="63"/>
      <c r="F74" s="63"/>
      <c r="G74" s="63"/>
      <c r="H74" s="63"/>
      <c r="I74" s="63"/>
      <c r="J74" s="70"/>
      <c r="K74" s="90">
        <f>K73*$I$12</f>
        <v>0.341</v>
      </c>
      <c r="L74" s="90">
        <f>L73*$I$12</f>
        <v>0.341</v>
      </c>
      <c r="M74" s="90">
        <f>M73*$I$12</f>
        <v>0.308</v>
      </c>
      <c r="N74" s="90">
        <f>N73*$I$12</f>
        <v>0.33</v>
      </c>
      <c r="O74" s="90">
        <f>O73*$I$12</f>
        <v>0.319</v>
      </c>
      <c r="P74" s="90">
        <f>P73*$I$12</f>
        <v>0.2992</v>
      </c>
      <c r="Q74" s="90">
        <f>Q73*$I$12</f>
        <v>0.2794</v>
      </c>
      <c r="R74" s="90">
        <f>R73*$I$12</f>
        <v>0.2596</v>
      </c>
      <c r="S74" s="90">
        <f>S73*$I$12</f>
        <v>0.2398</v>
      </c>
      <c r="T74" s="90">
        <f>T73*$I$12</f>
        <v>0.22</v>
      </c>
    </row>
    <row r="75" ht="21.5" customHeight="1">
      <c r="A75" s="110"/>
      <c r="B75" s="111"/>
      <c r="C75" s="28"/>
      <c r="D75" s="11"/>
      <c r="E75" s="116"/>
      <c r="F75" s="116"/>
      <c r="G75" s="116"/>
      <c r="H75" s="116"/>
      <c r="I75" s="116"/>
      <c r="J75" s="116"/>
      <c r="K75" s="122"/>
      <c r="L75" s="122"/>
      <c r="M75" s="122"/>
      <c r="N75" s="122"/>
      <c r="O75" s="122"/>
      <c r="P75" s="122"/>
      <c r="Q75" s="122"/>
      <c r="R75" s="122"/>
      <c r="S75" s="122"/>
      <c r="T75" s="27"/>
    </row>
    <row r="76" ht="21" customHeight="1">
      <c r="A76" s="81"/>
      <c r="B76" t="s" s="113">
        <v>36</v>
      </c>
      <c r="C76" s="28"/>
      <c r="D76" s="109">
        <f>D46</f>
        <v>14</v>
      </c>
      <c r="E76" s="109">
        <f>E46</f>
        <v>39</v>
      </c>
      <c r="F76" s="109">
        <f>F46</f>
        <v>18</v>
      </c>
      <c r="G76" s="61">
        <f>G46</f>
        <v>-9</v>
      </c>
      <c r="H76" s="109">
        <f>H46</f>
        <v>31</v>
      </c>
      <c r="I76" s="61">
        <f>I46</f>
        <v>-1210</v>
      </c>
      <c r="J76" s="61">
        <f>J46</f>
        <v>513</v>
      </c>
      <c r="K76" s="109">
        <f>K70*K77</f>
        <v>1133.50818</v>
      </c>
      <c r="L76" s="109">
        <f>L70*L77</f>
        <v>1188.32139699</v>
      </c>
      <c r="M76" s="109">
        <f>M70*M77</f>
        <v>1278.884683965250</v>
      </c>
      <c r="N76" s="109">
        <f>N70*N77</f>
        <v>1538.006195351140</v>
      </c>
      <c r="O76" s="109">
        <f>O70*O77</f>
        <v>1665.762772145810</v>
      </c>
      <c r="P76" s="109">
        <f>P70*P77</f>
        <v>1785.858123310440</v>
      </c>
      <c r="Q76" s="109">
        <f>Q70*Q77</f>
        <v>1877.091910183830</v>
      </c>
      <c r="R76" s="109">
        <f>R70*R77</f>
        <v>1962.260611266510</v>
      </c>
      <c r="S76" s="109">
        <f>S70*S77</f>
        <v>2040.152263303270</v>
      </c>
      <c r="T76" s="109">
        <f>T70*T77</f>
        <v>2094.4954433452</v>
      </c>
    </row>
    <row r="77" ht="21" customHeight="1">
      <c r="A77" s="120"/>
      <c r="B77" t="s" s="115">
        <v>37</v>
      </c>
      <c r="C77" s="66"/>
      <c r="D77" s="68">
        <f>D76/D70</f>
        <v>-0.0291060291060291</v>
      </c>
      <c r="E77" s="68">
        <f>E76/E70</f>
        <v>-0.10455764075067</v>
      </c>
      <c r="F77" s="68">
        <f>F76/F70</f>
        <v>0.141732283464567</v>
      </c>
      <c r="G77" s="68">
        <f>G76/G70</f>
        <v>-0.0199556541019956</v>
      </c>
      <c r="H77" s="68">
        <f>H76/H70</f>
        <v>0.0491283676703645</v>
      </c>
      <c r="I77" s="68">
        <f>I76/I70</f>
        <v>-0.883856829802776</v>
      </c>
      <c r="J77" s="68">
        <f>J76/J70</f>
        <v>0.140625</v>
      </c>
      <c r="K77" s="68">
        <v>0.14</v>
      </c>
      <c r="L77" s="68">
        <v>0.13</v>
      </c>
      <c r="M77" s="68">
        <f>AVERAGE(L77,K77,J77)</f>
        <v>0.136875</v>
      </c>
      <c r="N77" s="68">
        <f>AVERAGE(M77,L77,K77)</f>
        <v>0.135625</v>
      </c>
      <c r="O77" s="68">
        <f>AVERAGE(N77,M77,L77)</f>
        <v>0.134166666666667</v>
      </c>
      <c r="P77" s="68">
        <f>AVERAGE(O77,N77,M77)</f>
        <v>0.135555555555556</v>
      </c>
      <c r="Q77" s="68">
        <f>AVERAGE(P77,O77,N77)</f>
        <v>0.135115740740741</v>
      </c>
      <c r="R77" s="68">
        <f>AVERAGE(Q77,P77,O77)</f>
        <v>0.134945987654321</v>
      </c>
      <c r="S77" s="68">
        <f>AVERAGE(R77,Q77,P77)</f>
        <v>0.135205761316873</v>
      </c>
      <c r="T77" s="68">
        <f>AVERAGE(S77,R77,Q77)</f>
        <v>0.135089163237312</v>
      </c>
    </row>
    <row r="78" ht="21.15" customHeight="1">
      <c r="A78" s="123"/>
      <c r="B78" s="124"/>
      <c r="C78" s="125"/>
      <c r="D78" s="126"/>
      <c r="E78" s="127"/>
      <c r="F78" s="127"/>
      <c r="G78" s="127"/>
      <c r="H78" s="127"/>
      <c r="I78" s="127"/>
      <c r="J78" s="127"/>
      <c r="K78" s="127"/>
      <c r="L78" s="127"/>
      <c r="M78" s="127"/>
      <c r="N78" s="127"/>
      <c r="O78" s="127"/>
      <c r="P78" s="127"/>
      <c r="Q78" s="127"/>
      <c r="R78" s="127"/>
      <c r="S78" s="127"/>
      <c r="T78" s="126"/>
    </row>
    <row r="79" ht="21.15" customHeight="1">
      <c r="A79" s="128"/>
      <c r="B79" t="s" s="129">
        <v>47</v>
      </c>
      <c r="C79" s="130"/>
      <c r="D79" s="131"/>
      <c r="E79" s="132"/>
      <c r="F79" s="132"/>
      <c r="G79" s="132"/>
      <c r="H79" s="132"/>
      <c r="I79" s="132"/>
      <c r="J79" s="132"/>
      <c r="K79" s="132">
        <f>K70-K76</f>
        <v>6962.97882</v>
      </c>
      <c r="L79" s="132">
        <f>L70-L76</f>
        <v>7952.61242601</v>
      </c>
      <c r="M79" s="132">
        <f>M70-M76</f>
        <v>8064.565061899560</v>
      </c>
      <c r="N79" s="132">
        <f>N70-N76</f>
        <v>9802.131650555861</v>
      </c>
      <c r="O79" s="132">
        <f>O70-O76</f>
        <v>10749.8603742826</v>
      </c>
      <c r="P79" s="132">
        <f>P70-P76</f>
        <v>11388.5050814387</v>
      </c>
      <c r="Q79" s="132">
        <f>Q70-Q76</f>
        <v>12015.3820524582</v>
      </c>
      <c r="R79" s="132">
        <f>R70-R76</f>
        <v>12578.8209382869</v>
      </c>
      <c r="S79" s="132">
        <f>S70-S76</f>
        <v>13049.0883388179</v>
      </c>
      <c r="T79" s="133">
        <f>T70-T76</f>
        <v>13410.0453588344</v>
      </c>
    </row>
    <row r="80" ht="21" customHeight="1">
      <c r="A80" s="81"/>
      <c r="B80" s="46"/>
      <c r="C80" s="134"/>
      <c r="D80" s="135"/>
      <c r="E80" s="136"/>
      <c r="F80" s="136"/>
      <c r="G80" s="136"/>
      <c r="H80" s="136"/>
      <c r="I80" s="136"/>
      <c r="J80" s="136"/>
      <c r="K80" s="136"/>
      <c r="L80" s="136"/>
      <c r="M80" s="136"/>
      <c r="N80" s="136"/>
      <c r="O80" s="136"/>
      <c r="P80" s="136"/>
      <c r="Q80" s="136"/>
      <c r="R80" s="136"/>
      <c r="S80" s="136"/>
      <c r="T80" s="135"/>
    </row>
    <row r="81" ht="21.5" customHeight="1">
      <c r="A81" s="81"/>
      <c r="B81" t="s" s="119">
        <v>39</v>
      </c>
      <c r="C81" s="28"/>
      <c r="D81" s="109">
        <f>D51</f>
        <v>167</v>
      </c>
      <c r="E81" s="109">
        <f>E51</f>
        <v>133</v>
      </c>
      <c r="F81" s="109">
        <f>F51</f>
        <v>144</v>
      </c>
      <c r="G81" s="109">
        <f>G51</f>
        <v>170</v>
      </c>
      <c r="H81" s="109">
        <f>H51</f>
        <v>222</v>
      </c>
      <c r="I81" s="109">
        <f>I51</f>
        <v>312</v>
      </c>
      <c r="J81" s="109">
        <f>J51</f>
        <v>407</v>
      </c>
      <c r="K81" s="109">
        <f>K51</f>
        <v>780.9614194207441</v>
      </c>
      <c r="L81" s="137">
        <f>L67*L82</f>
        <v>851.4311514866801</v>
      </c>
      <c r="M81" s="137">
        <f>M67*M82</f>
        <v>929.253424476428</v>
      </c>
      <c r="N81" s="137">
        <f>N67*N82</f>
        <v>1091.474986266840</v>
      </c>
      <c r="O81" s="137">
        <f>O67*O82</f>
        <v>1221.540041922010</v>
      </c>
      <c r="P81" s="137">
        <f>P67*P82</f>
        <v>1376.4367039767</v>
      </c>
      <c r="Q81" s="137">
        <f>Q67*Q82</f>
        <v>1564.728419249020</v>
      </c>
      <c r="R81" s="137">
        <f>R67*R82</f>
        <v>1757.228634861</v>
      </c>
      <c r="S81" s="137">
        <f>S67*S82</f>
        <v>1973.739786318850</v>
      </c>
      <c r="T81" s="137">
        <f>T67*T82</f>
        <v>2213.101286866690</v>
      </c>
    </row>
    <row r="82" ht="22" customHeight="1">
      <c r="A82" s="81"/>
      <c r="B82" t="s" s="138">
        <v>35</v>
      </c>
      <c r="C82" s="28"/>
      <c r="D82" s="116">
        <f>D81/D67</f>
        <v>0.041844149336006</v>
      </c>
      <c r="E82" s="116">
        <f>E81/E67</f>
        <v>0.0311329588014981</v>
      </c>
      <c r="F82" s="116">
        <f>F81/F67</f>
        <v>0.027412906910337</v>
      </c>
      <c r="G82" s="116">
        <f>G81/G67</f>
        <v>0.0262548262548263</v>
      </c>
      <c r="H82" s="116">
        <f>H81/H67</f>
        <v>0.0329817263408112</v>
      </c>
      <c r="I82" s="116">
        <f>I81/I67</f>
        <v>0.0319573901464714</v>
      </c>
      <c r="J82" s="116">
        <f>J81/J67</f>
        <v>0.0247657295850067</v>
      </c>
      <c r="K82" s="139">
        <f>K81/K67</f>
        <v>0.0299016153574298</v>
      </c>
      <c r="L82" s="90">
        <f>AVERAGE(K82,J82,I82)</f>
        <v>0.0288749116963026</v>
      </c>
      <c r="M82" s="90">
        <f>AVERAGE(L82,K82,J82)</f>
        <v>0.0278474188795797</v>
      </c>
      <c r="N82" s="90">
        <f>AVERAGE(M82,L82,K82)</f>
        <v>0.0288746486444374</v>
      </c>
      <c r="O82" s="90">
        <f>AVERAGE(N82,M82,L82)</f>
        <v>0.0285323264067732</v>
      </c>
      <c r="P82" s="90">
        <f>AVERAGE(O82,N82,M82)</f>
        <v>0.0284181313102634</v>
      </c>
      <c r="Q82" s="90">
        <f>AVERAGE(P82,O82,N82)</f>
        <v>0.028608368787158</v>
      </c>
      <c r="R82" s="90">
        <f>AVERAGE(Q82,P82,O82)</f>
        <v>0.0285196088347315</v>
      </c>
      <c r="S82" s="90">
        <f>AVERAGE(R82,Q82,P82)</f>
        <v>0.028515369644051</v>
      </c>
      <c r="T82" s="90">
        <f>AVERAGE(S82,R82,Q82)</f>
        <v>0.0285477824219802</v>
      </c>
    </row>
    <row r="83" ht="21.5" customHeight="1">
      <c r="A83" s="81"/>
      <c r="B83" s="111"/>
      <c r="C83" s="28"/>
      <c r="D83" s="11"/>
      <c r="E83" s="116"/>
      <c r="F83" s="116"/>
      <c r="G83" s="116"/>
      <c r="H83" s="116"/>
      <c r="I83" s="116"/>
      <c r="J83" s="116"/>
      <c r="K83" s="116"/>
      <c r="L83" s="122"/>
      <c r="M83" s="122"/>
      <c r="N83" s="122"/>
      <c r="O83" s="122"/>
      <c r="P83" s="122"/>
      <c r="Q83" s="122"/>
      <c r="R83" s="122"/>
      <c r="S83" s="122"/>
      <c r="T83" s="27"/>
    </row>
    <row r="84" ht="21.5" customHeight="1">
      <c r="A84" s="81"/>
      <c r="B84" t="s" s="119">
        <v>42</v>
      </c>
      <c r="C84" s="28"/>
      <c r="D84" s="61">
        <f>D55</f>
        <v>96</v>
      </c>
      <c r="E84" s="61">
        <f>E55</f>
        <v>77</v>
      </c>
      <c r="F84" s="109">
        <f>F55</f>
        <v>113</v>
      </c>
      <c r="G84" s="109">
        <f>G55</f>
        <v>163</v>
      </c>
      <c r="H84" s="109">
        <f>H55</f>
        <v>217</v>
      </c>
      <c r="I84" s="109">
        <f>I55</f>
        <v>294</v>
      </c>
      <c r="J84" s="109">
        <f>J55</f>
        <v>301</v>
      </c>
      <c r="K84" s="109">
        <f>K55</f>
        <v>702.2899459258711</v>
      </c>
      <c r="L84" s="140">
        <f>L67*L85</f>
        <v>740.305623683360</v>
      </c>
      <c r="M84" s="140">
        <f>M67*M85</f>
        <v>782.0843553652981</v>
      </c>
      <c r="N84" s="140">
        <f>N67*N85</f>
        <v>950.4651045927531</v>
      </c>
      <c r="O84" s="140">
        <f>O67*O85</f>
        <v>1051.584299625610</v>
      </c>
      <c r="P84" s="140">
        <f>P67*P85</f>
        <v>1180.913068497370</v>
      </c>
      <c r="Q84" s="140">
        <f>Q67*Q85</f>
        <v>1350.745000790730</v>
      </c>
      <c r="R84" s="140">
        <f>R67*R85</f>
        <v>1512.435262316710</v>
      </c>
      <c r="S84" s="140">
        <f>S67*S85</f>
        <v>1698.670361511350</v>
      </c>
      <c r="T84" s="140">
        <f>T67*T85</f>
        <v>1906.645809121950</v>
      </c>
    </row>
    <row r="85" ht="22" customHeight="1">
      <c r="A85" s="81"/>
      <c r="B85" t="s" s="138">
        <v>35</v>
      </c>
      <c r="C85" s="28"/>
      <c r="D85" s="116">
        <f>D84/D67</f>
        <v>0.0240541217739915</v>
      </c>
      <c r="E85" s="116">
        <f>E84/E67</f>
        <v>0.0180243445692884</v>
      </c>
      <c r="F85" s="116">
        <f>F84/F67</f>
        <v>0.0215115172282505</v>
      </c>
      <c r="G85" s="116">
        <f>G84/G67</f>
        <v>0.0251737451737452</v>
      </c>
      <c r="H85" s="116">
        <f>H84/H67</f>
        <v>0.0322388946664686</v>
      </c>
      <c r="I85" s="116">
        <f>I84/I67</f>
        <v>0.030113694561098</v>
      </c>
      <c r="J85" s="116">
        <f>J84/J67</f>
        <v>0.0183156869903858</v>
      </c>
      <c r="K85" s="139">
        <f>K84/K67</f>
        <v>0.0268894254059841</v>
      </c>
      <c r="L85" s="90">
        <f>AVERAGE(K85,J85,I85)</f>
        <v>0.0251062689858226</v>
      </c>
      <c r="M85" s="90">
        <f>AVERAGE(L85,K85,J85)</f>
        <v>0.0234371271273975</v>
      </c>
      <c r="N85" s="90">
        <f>AVERAGE(M85,L85,K85)</f>
        <v>0.0251442738397347</v>
      </c>
      <c r="O85" s="90">
        <f>AVERAGE(N85,M85,L85)</f>
        <v>0.0245625566509849</v>
      </c>
      <c r="P85" s="90">
        <f>AVERAGE(O85,N85,M85)</f>
        <v>0.024381319206039</v>
      </c>
      <c r="Q85" s="90">
        <f>AVERAGE(P85,O85,N85)</f>
        <v>0.0246960498989195</v>
      </c>
      <c r="R85" s="90">
        <f>AVERAGE(Q85,P85,O85)</f>
        <v>0.0245466419186478</v>
      </c>
      <c r="S85" s="90">
        <f>AVERAGE(R85,Q85,P85)</f>
        <v>0.0245413370078688</v>
      </c>
      <c r="T85" s="90">
        <f>AVERAGE(S85,R85,Q85)</f>
        <v>0.0245946762751454</v>
      </c>
    </row>
    <row r="86" ht="21.5" customHeight="1">
      <c r="A86" s="81"/>
      <c r="B86" s="111"/>
      <c r="C86" s="28"/>
      <c r="D86" s="11"/>
      <c r="E86" s="116"/>
      <c r="F86" s="116"/>
      <c r="G86" s="116"/>
      <c r="H86" s="116"/>
      <c r="I86" s="116"/>
      <c r="J86" s="116"/>
      <c r="K86" s="116"/>
      <c r="L86" s="122"/>
      <c r="M86" s="122"/>
      <c r="N86" s="122"/>
      <c r="O86" s="122"/>
      <c r="P86" s="122"/>
      <c r="Q86" s="122"/>
      <c r="R86" s="122"/>
      <c r="S86" s="122"/>
      <c r="T86" s="27"/>
    </row>
    <row r="87" ht="21.5" customHeight="1">
      <c r="A87" s="81"/>
      <c r="B87" t="s" s="119">
        <v>44</v>
      </c>
      <c r="C87" s="28"/>
      <c r="D87" s="61">
        <f>D60</f>
        <v>379</v>
      </c>
      <c r="E87" s="61">
        <f>E60</f>
        <v>-267</v>
      </c>
      <c r="F87" s="61">
        <f>F60</f>
        <v>48</v>
      </c>
      <c r="G87" s="61">
        <f>G60</f>
        <v>-420</v>
      </c>
      <c r="H87" s="61">
        <f>H60</f>
        <v>-682</v>
      </c>
      <c r="I87" s="61">
        <f>I60</f>
        <v>-1488</v>
      </c>
      <c r="J87" s="61">
        <f>J60</f>
        <v>-617</v>
      </c>
      <c r="K87" s="61">
        <f>K60</f>
        <v>-3596</v>
      </c>
      <c r="L87" s="137">
        <f>L67*L88</f>
        <v>-3220.367595243070</v>
      </c>
      <c r="M87" s="137">
        <f>M67*M88</f>
        <v>-3163.893243228450</v>
      </c>
      <c r="N87" s="137">
        <f>N67*N88</f>
        <v>-4305.623501045280</v>
      </c>
      <c r="O87" s="137">
        <f>O67*O88</f>
        <v>-4537.148062992290</v>
      </c>
      <c r="P87" s="137">
        <f>P67*P88</f>
        <v>-5080.771055898</v>
      </c>
      <c r="Q87" s="137">
        <f>Q67*Q88</f>
        <v>-5921.249594954620</v>
      </c>
      <c r="R87" s="137">
        <f>R67*R88</f>
        <v>-6554.484373635410</v>
      </c>
      <c r="S87" s="137">
        <f>S67*S88</f>
        <v>-7372.426847555530</v>
      </c>
      <c r="T87" s="137">
        <f>T67*T88</f>
        <v>-8298.821346282441</v>
      </c>
    </row>
    <row r="88" ht="22" customHeight="1">
      <c r="A88" s="81"/>
      <c r="B88" t="s" s="121">
        <v>35</v>
      </c>
      <c r="C88" s="28"/>
      <c r="D88" s="68">
        <f>D87/D67</f>
        <v>0.0949636682535705</v>
      </c>
      <c r="E88" s="68">
        <f>E87/E67</f>
        <v>-0.0625</v>
      </c>
      <c r="F88" s="68">
        <f>F87/F67</f>
        <v>0.00913763563677898</v>
      </c>
      <c r="G88" s="68">
        <f>G87/G67</f>
        <v>-0.0648648648648649</v>
      </c>
      <c r="H88" s="68">
        <f>H87/H67</f>
        <v>-0.10132224038033</v>
      </c>
      <c r="I88" s="68">
        <f>I87/I67</f>
        <v>-0.152412168390863</v>
      </c>
      <c r="J88" s="68">
        <f>J87/J67</f>
        <v>-0.0375441158573689</v>
      </c>
      <c r="K88" s="141">
        <f>K87/K67</f>
        <v>-0.137684405594673</v>
      </c>
      <c r="L88" s="90">
        <f>AVERAGE(K88,J88,I88)</f>
        <v>-0.109213563280968</v>
      </c>
      <c r="M88" s="90">
        <f>AVERAGE(L88,K88,J88)</f>
        <v>-0.0948140282443366</v>
      </c>
      <c r="N88" s="90">
        <f>AVERAGE(M88,L88,K88)</f>
        <v>-0.113903999039993</v>
      </c>
      <c r="O88" s="90">
        <f>AVERAGE(N88,M88,L88)</f>
        <v>-0.105977196855099</v>
      </c>
      <c r="P88" s="90">
        <f>AVERAGE(O88,N88,M88)</f>
        <v>-0.104898408046476</v>
      </c>
      <c r="Q88" s="90">
        <f>AVERAGE(P88,O88,N88)</f>
        <v>-0.108259867980523</v>
      </c>
      <c r="R88" s="90">
        <f>AVERAGE(Q88,P88,O88)</f>
        <v>-0.106378490960699</v>
      </c>
      <c r="S88" s="90">
        <f>AVERAGE(R88,Q88,P88)</f>
        <v>-0.106512255662566</v>
      </c>
      <c r="T88" s="90">
        <f>AVERAGE(S88,R88,Q88)</f>
        <v>-0.107050204867929</v>
      </c>
    </row>
    <row r="89" ht="21.65" customHeight="1">
      <c r="A89" s="123"/>
      <c r="B89" s="124"/>
      <c r="C89" s="125"/>
      <c r="D89" s="126"/>
      <c r="E89" s="127"/>
      <c r="F89" s="127"/>
      <c r="G89" s="127"/>
      <c r="H89" s="127"/>
      <c r="I89" s="127"/>
      <c r="J89" s="127"/>
      <c r="K89" s="127"/>
      <c r="L89" s="142"/>
      <c r="M89" s="142"/>
      <c r="N89" s="142"/>
      <c r="O89" s="142"/>
      <c r="P89" s="142"/>
      <c r="Q89" s="142"/>
      <c r="R89" s="142"/>
      <c r="S89" s="142"/>
      <c r="T89" s="143"/>
    </row>
    <row r="90" ht="21.15" customHeight="1">
      <c r="A90" s="144"/>
      <c r="B90" t="s" s="129">
        <v>48</v>
      </c>
      <c r="C90" s="145"/>
      <c r="D90" s="146"/>
      <c r="E90" s="147"/>
      <c r="F90" s="147"/>
      <c r="G90" s="147"/>
      <c r="H90" s="147"/>
      <c r="I90" s="147"/>
      <c r="J90" s="147"/>
      <c r="K90" s="104">
        <f>K79+K81-K84-K87</f>
        <v>10637.6502934949</v>
      </c>
      <c r="L90" s="104">
        <f>L79+L81-L84-L87</f>
        <v>11284.1055490564</v>
      </c>
      <c r="M90" s="104">
        <f>M79+M81-M84-M87</f>
        <v>11375.6273742391</v>
      </c>
      <c r="N90" s="104">
        <f>N79+N81-N84-N87</f>
        <v>14248.7650332752</v>
      </c>
      <c r="O90" s="104">
        <f>O79+O81-O84-O87</f>
        <v>15456.9641795713</v>
      </c>
      <c r="P90" s="104">
        <f>P79+P81-P84-P87</f>
        <v>16664.799772816</v>
      </c>
      <c r="Q90" s="104">
        <f>Q79+Q81-Q84-Q87</f>
        <v>18150.6150658711</v>
      </c>
      <c r="R90" s="104">
        <f>R79+R81-R84-R87</f>
        <v>19378.0986844666</v>
      </c>
      <c r="S90" s="104">
        <f>S79+S81-S84-S87</f>
        <v>20696.5846111809</v>
      </c>
      <c r="T90" s="104">
        <f>T79+T81-T84-T87</f>
        <v>22015.3221828616</v>
      </c>
    </row>
    <row r="91" ht="21.15" customHeight="1">
      <c r="A91" s="123"/>
      <c r="B91" t="s" s="148">
        <v>49</v>
      </c>
      <c r="C91" s="125"/>
      <c r="D91" s="126"/>
      <c r="E91" s="127"/>
      <c r="F91" s="127"/>
      <c r="G91" s="127"/>
      <c r="H91" s="127"/>
      <c r="I91" s="127"/>
      <c r="J91" s="127"/>
      <c r="K91" s="149">
        <f>K90/(1+$C$16)^K64</f>
        <v>9455.553592860730</v>
      </c>
      <c r="L91" s="149">
        <f>L90/(1+$C$16)^L64</f>
        <v>8915.580849885529</v>
      </c>
      <c r="M91" s="149">
        <f>M90/(1+$C$16)^M64</f>
        <v>7989.123081635330</v>
      </c>
      <c r="N91" s="149">
        <f>N90/(1+$C$16)^N64</f>
        <v>8894.923773810040</v>
      </c>
      <c r="O91" s="149">
        <f>O90/(1+$C$16)^O64</f>
        <v>8576.902195811030</v>
      </c>
      <c r="P91" s="149">
        <f>P90/(1+$C$16)^P64</f>
        <v>8219.541806420690</v>
      </c>
      <c r="Q91" s="149">
        <f>Q90/(1+$C$16)^Q64</f>
        <v>7957.563385417650</v>
      </c>
      <c r="R91" s="149">
        <f>R90/(1+$C$16)^R64</f>
        <v>7551.638203730860</v>
      </c>
      <c r="S91" s="149">
        <f>S90/(1+$C$16)^S64</f>
        <v>7169.187623649820</v>
      </c>
      <c r="T91" s="149">
        <f>T90/(1+$C$16)^T64</f>
        <v>6778.561803306560</v>
      </c>
    </row>
    <row r="92" ht="21.15" customHeight="1">
      <c r="A92" s="128"/>
      <c r="B92" s="144"/>
      <c r="C92" s="130"/>
      <c r="D92" s="131"/>
      <c r="E92" s="150"/>
      <c r="F92" s="150"/>
      <c r="G92" s="150"/>
      <c r="H92" s="150"/>
      <c r="I92" s="150"/>
      <c r="J92" s="150"/>
      <c r="K92" s="150"/>
      <c r="L92" s="150"/>
      <c r="M92" s="150"/>
      <c r="N92" s="150"/>
      <c r="O92" s="150"/>
      <c r="P92" s="150"/>
      <c r="Q92" s="150"/>
      <c r="R92" s="150"/>
      <c r="S92" s="150"/>
      <c r="T92" s="151"/>
    </row>
    <row r="93" ht="21" customHeight="1">
      <c r="A93" s="81"/>
      <c r="B93" t="s" s="119">
        <v>50</v>
      </c>
      <c r="C93" s="82"/>
      <c r="D93" s="152"/>
      <c r="E93" s="153"/>
      <c r="F93" s="153"/>
      <c r="G93" s="153"/>
      <c r="H93" s="153"/>
      <c r="I93" s="153"/>
      <c r="J93" s="153"/>
      <c r="K93" s="153"/>
      <c r="L93" s="153"/>
      <c r="M93" s="153"/>
      <c r="N93" s="153"/>
      <c r="O93" s="153"/>
      <c r="P93" s="153"/>
      <c r="Q93" s="153"/>
      <c r="R93" s="153"/>
      <c r="S93" s="153"/>
      <c r="T93" s="154">
        <f>T90*(1+C17)/($C$16-$C$17)</f>
        <v>213830.284936702</v>
      </c>
    </row>
    <row r="94" ht="21" customHeight="1">
      <c r="A94" s="81"/>
      <c r="B94" t="s" s="119">
        <v>51</v>
      </c>
      <c r="C94" s="82"/>
      <c r="D94" s="152"/>
      <c r="E94" s="153"/>
      <c r="F94" s="153"/>
      <c r="G94" s="153"/>
      <c r="H94" s="153"/>
      <c r="I94" s="153"/>
      <c r="J94" s="153"/>
      <c r="K94" s="153"/>
      <c r="L94" s="153"/>
      <c r="M94" s="153"/>
      <c r="N94" s="153"/>
      <c r="O94" s="153"/>
      <c r="P94" s="153"/>
      <c r="Q94" s="153"/>
      <c r="R94" s="153"/>
      <c r="S94" s="153"/>
      <c r="T94" s="154">
        <f>T93/(1+C16)^T64</f>
        <v>65838.7730973321</v>
      </c>
    </row>
    <row r="95" ht="21" customHeight="1">
      <c r="A95" s="81"/>
      <c r="B95" s="46"/>
      <c r="C95" s="82"/>
      <c r="D95" s="152"/>
      <c r="E95" s="153"/>
      <c r="F95" s="153"/>
      <c r="G95" s="153"/>
      <c r="H95" s="153"/>
      <c r="I95" s="153"/>
      <c r="J95" s="153"/>
      <c r="K95" s="153"/>
      <c r="L95" s="153"/>
      <c r="M95" s="153"/>
      <c r="N95" s="153"/>
      <c r="O95" s="153"/>
      <c r="P95" s="153"/>
      <c r="Q95" s="153"/>
      <c r="R95" s="153"/>
      <c r="S95" s="153"/>
      <c r="T95" s="155"/>
    </row>
    <row r="96" ht="22" customHeight="1">
      <c r="A96" s="156"/>
      <c r="B96" t="s" s="157">
        <v>52</v>
      </c>
      <c r="C96" s="156"/>
      <c r="D96" s="156"/>
      <c r="E96" s="156"/>
      <c r="F96" s="156"/>
      <c r="G96" s="156"/>
      <c r="H96" s="156"/>
      <c r="I96" s="156"/>
      <c r="J96" s="156"/>
      <c r="K96" s="156"/>
      <c r="L96" s="156"/>
      <c r="M96" s="156"/>
      <c r="N96" s="156"/>
      <c r="O96" s="156"/>
      <c r="P96" s="156"/>
      <c r="Q96" s="156"/>
      <c r="R96" s="156"/>
      <c r="S96" s="156"/>
      <c r="T96" s="158">
        <f>SUM(T91,S91,R91,Q91,P91,O91,N91,M91,L91,T94)</f>
        <v>137891.795821</v>
      </c>
    </row>
    <row r="97" ht="22" customHeight="1">
      <c r="A97" s="159"/>
      <c r="B97" t="s" s="160">
        <v>53</v>
      </c>
      <c r="C97" s="159"/>
      <c r="D97" s="159"/>
      <c r="E97" s="159"/>
      <c r="F97" s="159"/>
      <c r="G97" s="159"/>
      <c r="H97" s="159"/>
      <c r="I97" s="159"/>
      <c r="J97" s="159"/>
      <c r="K97" s="159"/>
      <c r="L97" s="159"/>
      <c r="M97" s="159"/>
      <c r="N97" s="159"/>
      <c r="O97" s="159"/>
      <c r="P97" s="159"/>
      <c r="Q97" s="159"/>
      <c r="R97" s="159"/>
      <c r="S97" s="159"/>
      <c r="T97" s="161">
        <v>5990</v>
      </c>
    </row>
    <row r="98" ht="22" customHeight="1">
      <c r="A98" s="159"/>
      <c r="B98" t="s" s="160">
        <v>54</v>
      </c>
      <c r="C98" s="159"/>
      <c r="D98" s="159"/>
      <c r="E98" s="159"/>
      <c r="F98" s="159"/>
      <c r="G98" s="159"/>
      <c r="H98" s="159"/>
      <c r="I98" s="159"/>
      <c r="J98" s="159"/>
      <c r="K98" s="159"/>
      <c r="L98" s="159"/>
      <c r="M98" s="159"/>
      <c r="N98" s="159"/>
      <c r="O98" s="159"/>
      <c r="P98" s="159"/>
      <c r="Q98" s="159"/>
      <c r="R98" s="159"/>
      <c r="S98" s="159"/>
      <c r="T98" s="161">
        <f>'WACC - MAR'!B14</f>
        <v>3200</v>
      </c>
    </row>
    <row r="99" ht="22" customHeight="1">
      <c r="A99" s="159"/>
      <c r="B99" t="s" s="160">
        <v>55</v>
      </c>
      <c r="C99" s="159"/>
      <c r="D99" s="159"/>
      <c r="E99" s="159"/>
      <c r="F99" s="159"/>
      <c r="G99" s="159"/>
      <c r="H99" s="159"/>
      <c r="I99" s="159"/>
      <c r="J99" s="159"/>
      <c r="K99" s="159"/>
      <c r="L99" s="159"/>
      <c r="M99" s="159"/>
      <c r="N99" s="159"/>
      <c r="O99" s="159"/>
      <c r="P99" s="159"/>
      <c r="Q99" s="159"/>
      <c r="R99" s="159"/>
      <c r="S99" s="159"/>
      <c r="T99" s="161">
        <f>T96+T97-T98</f>
        <v>140681.795821</v>
      </c>
    </row>
    <row r="100" ht="22" customHeight="1">
      <c r="A100" s="159"/>
      <c r="B100" t="s" s="160">
        <v>56</v>
      </c>
      <c r="C100" s="159"/>
      <c r="D100" s="159"/>
      <c r="E100" s="159"/>
      <c r="F100" s="159"/>
      <c r="G100" s="159"/>
      <c r="H100" s="159"/>
      <c r="I100" s="159"/>
      <c r="J100" s="159"/>
      <c r="K100" s="159"/>
      <c r="L100" s="159"/>
      <c r="M100" s="159"/>
      <c r="N100" s="159"/>
      <c r="O100" s="159"/>
      <c r="P100" s="159"/>
      <c r="Q100" s="159"/>
      <c r="R100" s="159"/>
      <c r="S100" s="159"/>
      <c r="T100" s="161">
        <v>1614.3209</v>
      </c>
    </row>
    <row r="101" ht="22" customHeight="1">
      <c r="A101" s="159"/>
      <c r="B101" t="s" s="160">
        <v>57</v>
      </c>
      <c r="C101" s="159"/>
      <c r="D101" s="159"/>
      <c r="E101" s="159"/>
      <c r="F101" s="159"/>
      <c r="G101" s="159"/>
      <c r="H101" s="159"/>
      <c r="I101" s="159"/>
      <c r="J101" s="159"/>
      <c r="K101" s="159"/>
      <c r="L101" s="159"/>
      <c r="M101" s="159"/>
      <c r="N101" s="159"/>
      <c r="O101" s="159"/>
      <c r="P101" s="159"/>
      <c r="Q101" s="159"/>
      <c r="R101" s="159"/>
      <c r="S101" s="159"/>
      <c r="T101" s="162">
        <f>T99/T100</f>
        <v>87.146115633515</v>
      </c>
    </row>
    <row r="102" ht="22" customHeight="1">
      <c r="A102" s="159"/>
      <c r="B102" s="159"/>
      <c r="C102" s="159"/>
      <c r="D102" s="159"/>
      <c r="E102" s="159"/>
      <c r="F102" s="159"/>
      <c r="G102" s="159"/>
      <c r="H102" s="159"/>
      <c r="I102" s="159"/>
      <c r="J102" s="159"/>
      <c r="K102" s="159"/>
      <c r="L102" s="159"/>
      <c r="M102" s="159"/>
      <c r="N102" s="159"/>
      <c r="O102" s="159"/>
      <c r="P102" s="159"/>
      <c r="Q102" s="159"/>
      <c r="R102" s="159"/>
      <c r="S102" s="159"/>
      <c r="T102" s="159"/>
    </row>
    <row r="103" ht="22" customHeight="1">
      <c r="A103" s="159"/>
      <c r="B103" s="159"/>
      <c r="C103" s="159"/>
      <c r="D103" s="159"/>
      <c r="E103" s="159"/>
      <c r="F103" s="159"/>
      <c r="G103" s="159"/>
      <c r="H103" s="159"/>
      <c r="I103" s="159"/>
      <c r="J103" s="159"/>
      <c r="K103" s="159"/>
      <c r="L103" s="159"/>
      <c r="M103" s="159"/>
      <c r="N103" s="159"/>
      <c r="O103" s="159"/>
      <c r="P103" s="159"/>
      <c r="Q103" s="159"/>
      <c r="R103" s="159"/>
      <c r="S103" s="159"/>
      <c r="T103" s="159"/>
    </row>
  </sheetData>
  <mergeCells count="2">
    <mergeCell ref="A1:T1"/>
    <mergeCell ref="K18:L18"/>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63" customWidth="1"/>
    <col min="2" max="5" width="16.3516" style="163" customWidth="1"/>
    <col min="6" max="256" width="16.3516" style="163" customWidth="1"/>
  </cols>
  <sheetData>
    <row r="1" ht="28.65" customHeight="1">
      <c r="A1" t="s" s="164">
        <v>58</v>
      </c>
      <c r="B1" s="164"/>
      <c r="C1" s="164"/>
      <c r="D1" s="164"/>
      <c r="E1" s="164"/>
    </row>
    <row r="2" ht="19.7" customHeight="1">
      <c r="A2" s="36"/>
      <c r="B2" s="36"/>
      <c r="C2" s="36"/>
      <c r="D2" s="36"/>
      <c r="E2" s="36"/>
    </row>
    <row r="3" ht="22" customHeight="1">
      <c r="A3" t="s" s="165">
        <v>60</v>
      </c>
      <c r="B3" s="36"/>
      <c r="C3" s="36"/>
      <c r="D3" s="36"/>
      <c r="E3" s="36"/>
    </row>
    <row r="4" ht="22" customHeight="1">
      <c r="A4" t="s" s="165">
        <v>61</v>
      </c>
      <c r="B4" s="36"/>
      <c r="C4" s="36"/>
      <c r="D4" s="36"/>
      <c r="E4" s="36"/>
    </row>
    <row r="5" ht="19.7" customHeight="1">
      <c r="A5" s="36"/>
      <c r="B5" s="36"/>
      <c r="C5" s="36"/>
      <c r="D5" s="36"/>
      <c r="E5" s="36"/>
    </row>
    <row r="6" ht="22" customHeight="1">
      <c r="A6" t="s" s="166">
        <v>23</v>
      </c>
      <c r="B6" s="36"/>
      <c r="C6" s="36"/>
      <c r="D6" s="36"/>
      <c r="E6" s="36"/>
    </row>
    <row r="7" ht="19.7" customHeight="1">
      <c r="A7" t="s" s="167">
        <v>62</v>
      </c>
      <c r="B7" s="168">
        <v>124351.067629</v>
      </c>
      <c r="C7" s="36"/>
      <c r="D7" s="36"/>
      <c r="E7" s="36"/>
    </row>
    <row r="8" ht="19.7" customHeight="1">
      <c r="A8" t="s" s="167">
        <v>63</v>
      </c>
      <c r="B8" s="169">
        <f>B7/B19</f>
        <v>0.974912009287859</v>
      </c>
      <c r="C8" s="36"/>
      <c r="D8" s="36"/>
      <c r="E8" s="36"/>
    </row>
    <row r="9" ht="19.7" customHeight="1">
      <c r="A9" t="s" s="167">
        <v>64</v>
      </c>
      <c r="B9" s="170">
        <f>B10+B11*B12</f>
        <v>0.127064</v>
      </c>
      <c r="C9" s="36"/>
      <c r="D9" s="36"/>
      <c r="E9" s="36"/>
    </row>
    <row r="10" ht="19.7" customHeight="1">
      <c r="A10" t="s" s="167">
        <v>65</v>
      </c>
      <c r="B10" s="170">
        <v>0.03408</v>
      </c>
      <c r="C10" s="36"/>
      <c r="D10" s="36"/>
      <c r="E10" s="36"/>
    </row>
    <row r="11" ht="19.7" customHeight="1">
      <c r="A11" t="s" s="167">
        <v>66</v>
      </c>
      <c r="B11" s="171">
        <v>1.97</v>
      </c>
      <c r="C11" s="36"/>
      <c r="D11" s="36"/>
      <c r="E11" s="36"/>
    </row>
    <row r="12" ht="19.7" customHeight="1">
      <c r="A12" t="s" s="172">
        <v>67</v>
      </c>
      <c r="B12" s="170">
        <v>0.0472</v>
      </c>
      <c r="C12" s="36"/>
      <c r="D12" s="36"/>
      <c r="E12" s="36"/>
    </row>
    <row r="13" ht="19.7" customHeight="1">
      <c r="A13" s="173"/>
      <c r="B13" s="36"/>
      <c r="C13" s="36"/>
      <c r="D13" s="36"/>
      <c r="E13" s="36"/>
    </row>
    <row r="14" ht="19.7" customHeight="1">
      <c r="A14" t="s" s="167">
        <v>68</v>
      </c>
      <c r="B14" s="168">
        <v>3200</v>
      </c>
      <c r="C14" s="36"/>
      <c r="D14" s="36"/>
      <c r="E14" s="36"/>
    </row>
    <row r="15" ht="19.7" customHeight="1">
      <c r="A15" t="s" s="167">
        <v>69</v>
      </c>
      <c r="B15" s="174">
        <f>B14/B7</f>
        <v>0.025733594902033</v>
      </c>
      <c r="C15" s="36"/>
      <c r="D15" s="36"/>
      <c r="E15" s="36"/>
    </row>
    <row r="16" ht="19.7" customHeight="1">
      <c r="A16" t="s" s="167">
        <v>70</v>
      </c>
      <c r="B16" s="175">
        <v>0.0514</v>
      </c>
      <c r="C16" s="36"/>
      <c r="D16" s="36"/>
      <c r="E16" s="36"/>
    </row>
    <row r="17" ht="19.7" customHeight="1">
      <c r="A17" t="s" s="167">
        <v>71</v>
      </c>
      <c r="B17" s="175">
        <v>0.1382</v>
      </c>
      <c r="C17" s="36"/>
      <c r="D17" s="36"/>
      <c r="E17" s="36"/>
    </row>
    <row r="18" ht="19.7" customHeight="1">
      <c r="A18" s="173"/>
      <c r="B18" s="168"/>
      <c r="C18" s="36"/>
      <c r="D18" s="36"/>
      <c r="E18" s="36"/>
    </row>
    <row r="19" ht="19.7" customHeight="1">
      <c r="A19" t="s" s="167">
        <v>72</v>
      </c>
      <c r="B19" s="168">
        <f>B7+B14</f>
        <v>127551.067629</v>
      </c>
      <c r="C19" s="36"/>
      <c r="D19" s="36"/>
      <c r="E19" s="36"/>
    </row>
    <row r="20" ht="19.7" customHeight="1">
      <c r="A20" s="173"/>
      <c r="B20" s="36"/>
      <c r="C20" s="36"/>
      <c r="D20" s="36"/>
      <c r="E20" s="36"/>
    </row>
    <row r="21" ht="19.7" customHeight="1">
      <c r="A21" t="s" s="167">
        <v>23</v>
      </c>
      <c r="B21" s="170">
        <f>(B8*B9)+(B15*B16*(1-B17))</f>
        <v>0.125016128249402</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15"/>
  <sheetViews>
    <sheetView workbookViewId="0" showGridLines="0" defaultGridColor="1"/>
  </sheetViews>
  <sheetFormatPr defaultColWidth="16.3333" defaultRowHeight="19.9" customHeight="1" outlineLevelRow="0" outlineLevelCol="0"/>
  <cols>
    <col min="1" max="5" width="16.3516" style="176" customWidth="1"/>
    <col min="6" max="256" width="16.3516" style="176" customWidth="1"/>
  </cols>
  <sheetData>
    <row r="1" ht="28" customHeight="1">
      <c r="A1" t="s" s="177">
        <v>74</v>
      </c>
      <c r="B1" s="177"/>
      <c r="C1" s="177"/>
      <c r="D1" s="177"/>
      <c r="E1" s="177"/>
    </row>
    <row r="2" ht="21" customHeight="1">
      <c r="A2" s="178"/>
      <c r="B2" s="178"/>
      <c r="C2" s="178"/>
      <c r="D2" s="178"/>
      <c r="E2" s="178"/>
    </row>
    <row r="3" ht="21.5" customHeight="1">
      <c r="A3" t="s" s="179">
        <v>62</v>
      </c>
      <c r="B3" s="180">
        <v>76267.670898</v>
      </c>
      <c r="C3" s="178"/>
      <c r="D3" s="178"/>
      <c r="E3" s="178"/>
    </row>
    <row r="4" ht="21.5" customHeight="1">
      <c r="A4" t="s" s="179">
        <v>76</v>
      </c>
      <c r="B4" s="181">
        <v>39.706248</v>
      </c>
      <c r="C4" s="178"/>
      <c r="D4" s="178"/>
      <c r="E4" s="178"/>
    </row>
    <row r="5" ht="21" customHeight="1">
      <c r="A5" s="182"/>
      <c r="B5" s="178"/>
      <c r="C5" s="178"/>
      <c r="D5" s="178"/>
      <c r="E5" s="178"/>
    </row>
    <row r="6" ht="21" customHeight="1">
      <c r="A6" s="182"/>
      <c r="B6" s="178"/>
      <c r="C6" s="178"/>
      <c r="D6" s="178"/>
      <c r="E6" s="178"/>
    </row>
    <row r="7" ht="21" customHeight="1">
      <c r="A7" s="182"/>
      <c r="B7" s="178"/>
      <c r="C7" s="178"/>
      <c r="D7" s="178"/>
      <c r="E7" s="178"/>
    </row>
    <row r="8" ht="21" customHeight="1">
      <c r="A8" s="182"/>
      <c r="B8" s="183">
        <v>2022</v>
      </c>
      <c r="C8" s="183">
        <v>2023</v>
      </c>
      <c r="D8" s="183">
        <v>2024</v>
      </c>
      <c r="E8" s="183">
        <v>2025</v>
      </c>
    </row>
    <row r="9" ht="21" customHeight="1">
      <c r="A9" t="s" s="179">
        <v>77</v>
      </c>
      <c r="B9" s="183">
        <f>95.83</f>
        <v>95.83</v>
      </c>
      <c r="C9" s="183">
        <v>120.13</v>
      </c>
      <c r="D9" s="183">
        <v>147.18</v>
      </c>
      <c r="E9" s="183">
        <v>174.53</v>
      </c>
    </row>
    <row r="10" ht="21" customHeight="1">
      <c r="A10" t="s" s="179">
        <v>34</v>
      </c>
      <c r="B10" s="184">
        <f>B9*$B$4</f>
        <v>3805.04974584</v>
      </c>
      <c r="C10" s="184">
        <f>C9*$B$4</f>
        <v>4769.91157224</v>
      </c>
      <c r="D10" s="184">
        <f>D9*$B$4</f>
        <v>5843.96558064</v>
      </c>
      <c r="E10" s="184">
        <f>E9*$B$4</f>
        <v>6929.93146344</v>
      </c>
    </row>
    <row r="11" ht="21" customHeight="1">
      <c r="A11" s="178"/>
      <c r="B11" s="178"/>
      <c r="C11" s="178"/>
      <c r="D11" s="178"/>
      <c r="E11" s="178"/>
    </row>
    <row r="12" ht="21" customHeight="1">
      <c r="A12" s="178"/>
      <c r="B12" s="178"/>
      <c r="C12" s="178"/>
      <c r="D12" s="178"/>
      <c r="E12" s="178"/>
    </row>
    <row r="13" ht="21" customHeight="1">
      <c r="A13" s="178"/>
      <c r="B13" s="178"/>
      <c r="C13" s="178"/>
      <c r="D13" s="178"/>
      <c r="E13" s="178"/>
    </row>
    <row r="14" ht="21" customHeight="1">
      <c r="A14" s="178"/>
      <c r="B14" s="178"/>
      <c r="C14" s="178"/>
      <c r="D14" s="178"/>
      <c r="E14" s="178"/>
    </row>
    <row r="15" ht="296" customHeight="1">
      <c r="A15" s="178"/>
      <c r="B15" s="178"/>
      <c r="C15" t="s" s="185">
        <v>78</v>
      </c>
      <c r="D15" s="178"/>
      <c r="E15" s="17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