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halilgunputh/Library/Mobile Documents/com~apple~Numbers/Documents/Stock Market Analysis/Company/Zoom/"/>
    </mc:Choice>
  </mc:AlternateContent>
  <xr:revisionPtr revIDLastSave="0" documentId="13_ncr:1_{0924C829-68D4-484C-8B86-A8DEFFE80856}" xr6:coauthVersionLast="47" xr6:coauthVersionMax="47" xr10:uidLastSave="{00000000-0000-0000-0000-000000000000}"/>
  <bookViews>
    <workbookView xWindow="29000" yWindow="500" windowWidth="23400" windowHeight="19540" xr2:uid="{BA5D17D1-6B1B-6A42-B20C-00538EE56004}"/>
  </bookViews>
  <sheets>
    <sheet name="ZM_DCF" sheetId="1" r:id="rId1"/>
    <sheet name="ZM_WAC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4" i="1" l="1"/>
  <c r="G54" i="1"/>
  <c r="F54" i="1"/>
  <c r="E54" i="1"/>
  <c r="D54" i="1"/>
  <c r="C54" i="1"/>
  <c r="M99" i="1" l="1"/>
  <c r="G83" i="1"/>
  <c r="G84" i="1" s="1"/>
  <c r="G81" i="1"/>
  <c r="G80" i="1"/>
  <c r="G78" i="1" s="1"/>
  <c r="G77" i="1"/>
  <c r="G76" i="1"/>
  <c r="H70" i="1"/>
  <c r="G71" i="1"/>
  <c r="G70" i="1"/>
  <c r="I67" i="1"/>
  <c r="G65" i="1"/>
  <c r="G64" i="1"/>
  <c r="H62" i="1"/>
  <c r="G62" i="1"/>
  <c r="F62" i="1"/>
  <c r="H61" i="1"/>
  <c r="G61" i="1"/>
  <c r="F61" i="1"/>
  <c r="H51" i="1"/>
  <c r="H47" i="1"/>
  <c r="G56" i="1"/>
  <c r="G55" i="1"/>
  <c r="G52" i="1"/>
  <c r="F49" i="1"/>
  <c r="G48" i="1"/>
  <c r="E83" i="1"/>
  <c r="D83" i="1"/>
  <c r="H43" i="1"/>
  <c r="H42" i="1"/>
  <c r="G43" i="1"/>
  <c r="G40" i="1"/>
  <c r="H39" i="1"/>
  <c r="G37" i="1"/>
  <c r="G36" i="1"/>
  <c r="G32" i="1"/>
  <c r="H23" i="1"/>
  <c r="G23" i="1"/>
  <c r="H22" i="1"/>
  <c r="G27" i="1"/>
  <c r="H31" i="1"/>
  <c r="H27" i="1" s="1"/>
  <c r="G31" i="1"/>
  <c r="F31" i="1"/>
  <c r="E31" i="1"/>
  <c r="D31" i="1"/>
  <c r="D36" i="1" s="1"/>
  <c r="D48" i="1" s="1"/>
  <c r="C31" i="1"/>
  <c r="C36" i="1" s="1"/>
  <c r="C40" i="1" s="1"/>
  <c r="E15" i="1"/>
  <c r="L15" i="1"/>
  <c r="C18" i="1" s="1"/>
  <c r="D11" i="2"/>
  <c r="D17" i="2"/>
  <c r="D21" i="2"/>
  <c r="D10" i="2" s="1"/>
  <c r="M97" i="1"/>
  <c r="E49" i="1"/>
  <c r="D49" i="1"/>
  <c r="C49" i="1"/>
  <c r="F80" i="1"/>
  <c r="E80" i="1"/>
  <c r="D80" i="1"/>
  <c r="C80" i="1"/>
  <c r="F76" i="1"/>
  <c r="F78" i="1" s="1"/>
  <c r="E76" i="1"/>
  <c r="D76" i="1"/>
  <c r="C76" i="1"/>
  <c r="C78" i="1" s="1"/>
  <c r="M67" i="1"/>
  <c r="F70" i="1"/>
  <c r="E70" i="1"/>
  <c r="D70" i="1"/>
  <c r="C70" i="1"/>
  <c r="I68" i="1"/>
  <c r="I65" i="1" s="1"/>
  <c r="I66" i="1"/>
  <c r="F64" i="1"/>
  <c r="E64" i="1"/>
  <c r="D64" i="1"/>
  <c r="C64" i="1"/>
  <c r="H83" i="1"/>
  <c r="H76" i="1"/>
  <c r="E43" i="1"/>
  <c r="D43" i="1"/>
  <c r="C43" i="1"/>
  <c r="F43" i="1"/>
  <c r="H64" i="1"/>
  <c r="I26" i="1"/>
  <c r="I24" i="1"/>
  <c r="M25" i="1"/>
  <c r="J25" i="1" s="1"/>
  <c r="F36" i="1"/>
  <c r="F52" i="1" s="1"/>
  <c r="E23" i="1"/>
  <c r="D23" i="1"/>
  <c r="F23" i="1"/>
  <c r="B22" i="1"/>
  <c r="J3" i="1" a="1"/>
  <c r="J3" i="1" s="1"/>
  <c r="D23" i="2" l="1"/>
  <c r="I14" i="1" s="1"/>
  <c r="L14" i="1" s="1"/>
  <c r="J67" i="1"/>
  <c r="K67" i="1" s="1"/>
  <c r="L67" i="1" s="1"/>
  <c r="M66" i="1"/>
  <c r="C71" i="1"/>
  <c r="M68" i="1"/>
  <c r="M65" i="1" s="1"/>
  <c r="D71" i="1"/>
  <c r="C55" i="1"/>
  <c r="C27" i="1"/>
  <c r="F56" i="1"/>
  <c r="F71" i="1"/>
  <c r="H71" i="1"/>
  <c r="I23" i="1"/>
  <c r="I22" i="1" s="1"/>
  <c r="I31" i="1" s="1"/>
  <c r="E71" i="1"/>
  <c r="C52" i="1"/>
  <c r="E56" i="1"/>
  <c r="D55" i="1"/>
  <c r="C61" i="1"/>
  <c r="C77" i="1" s="1"/>
  <c r="D78" i="1"/>
  <c r="H49" i="1"/>
  <c r="F83" i="1"/>
  <c r="C48" i="1"/>
  <c r="D52" i="1"/>
  <c r="D56" i="1"/>
  <c r="F55" i="1"/>
  <c r="H56" i="1"/>
  <c r="D61" i="1"/>
  <c r="D77" i="1" s="1"/>
  <c r="H80" i="1"/>
  <c r="E78" i="1"/>
  <c r="C83" i="1"/>
  <c r="C84" i="1" s="1"/>
  <c r="F48" i="1"/>
  <c r="E32" i="1"/>
  <c r="M24" i="1"/>
  <c r="F40" i="1"/>
  <c r="K25" i="1"/>
  <c r="J24" i="1"/>
  <c r="J26" i="1"/>
  <c r="D40" i="1"/>
  <c r="D37" i="1"/>
  <c r="D27" i="1"/>
  <c r="M26" i="1"/>
  <c r="F32" i="1"/>
  <c r="E27" i="1"/>
  <c r="E36" i="1"/>
  <c r="D32" i="1"/>
  <c r="F27" i="1"/>
  <c r="E14" i="1" l="1"/>
  <c r="C17" i="1" s="1"/>
  <c r="C81" i="1"/>
  <c r="I36" i="1"/>
  <c r="I61" i="1" s="1"/>
  <c r="I64" i="1" s="1"/>
  <c r="M23" i="1"/>
  <c r="J23" i="1"/>
  <c r="J22" i="1" s="1"/>
  <c r="J31" i="1" s="1"/>
  <c r="F77" i="1"/>
  <c r="F81" i="1"/>
  <c r="F37" i="1"/>
  <c r="E61" i="1"/>
  <c r="E48" i="1"/>
  <c r="E55" i="1"/>
  <c r="E52" i="1"/>
  <c r="F84" i="1"/>
  <c r="G85" i="1" s="1"/>
  <c r="D81" i="1"/>
  <c r="D62" i="1"/>
  <c r="D65" i="1"/>
  <c r="F65" i="1"/>
  <c r="D84" i="1"/>
  <c r="D85" i="1" s="1"/>
  <c r="H78" i="1"/>
  <c r="H36" i="1"/>
  <c r="H32" i="1"/>
  <c r="L25" i="1"/>
  <c r="K26" i="1"/>
  <c r="K24" i="1"/>
  <c r="E37" i="1"/>
  <c r="E40" i="1"/>
  <c r="K23" i="1" l="1"/>
  <c r="K22" i="1" s="1"/>
  <c r="K31" i="1" s="1"/>
  <c r="I27" i="1"/>
  <c r="I32" i="1"/>
  <c r="J36" i="1"/>
  <c r="J37" i="1" s="1"/>
  <c r="I62" i="1"/>
  <c r="J66" i="1" s="1"/>
  <c r="H52" i="1"/>
  <c r="I52" i="1" s="1"/>
  <c r="H48" i="1"/>
  <c r="H55" i="1"/>
  <c r="I37" i="1"/>
  <c r="E62" i="1"/>
  <c r="E77" i="1"/>
  <c r="E81" i="1"/>
  <c r="E65" i="1"/>
  <c r="E84" i="1"/>
  <c r="E85" i="1" s="1"/>
  <c r="H37" i="1"/>
  <c r="H40" i="1"/>
  <c r="L26" i="1"/>
  <c r="L24" i="1"/>
  <c r="L23" i="1" l="1"/>
  <c r="L22" i="1" s="1"/>
  <c r="J61" i="1"/>
  <c r="J62" i="1" s="1"/>
  <c r="K68" i="1" s="1"/>
  <c r="J27" i="1"/>
  <c r="J32" i="1"/>
  <c r="K36" i="1"/>
  <c r="K37" i="1" s="1"/>
  <c r="I54" i="1"/>
  <c r="I51" i="1"/>
  <c r="I80" i="1" s="1"/>
  <c r="I81" i="1" s="1"/>
  <c r="J52" i="1"/>
  <c r="J51" i="1" s="1"/>
  <c r="J80" i="1" s="1"/>
  <c r="J54" i="1"/>
  <c r="J83" i="1" s="1"/>
  <c r="I48" i="1"/>
  <c r="F85" i="1"/>
  <c r="H65" i="1"/>
  <c r="H77" i="1"/>
  <c r="H84" i="1"/>
  <c r="H85" i="1" s="1"/>
  <c r="H81" i="1"/>
  <c r="J68" i="1"/>
  <c r="J65" i="1" s="1"/>
  <c r="I39" i="1"/>
  <c r="I42" i="1" s="1"/>
  <c r="J39" i="1"/>
  <c r="J42" i="1" s="1"/>
  <c r="J84" i="1" l="1"/>
  <c r="J64" i="1"/>
  <c r="J70" i="1" s="1"/>
  <c r="M22" i="1"/>
  <c r="M31" i="1" s="1"/>
  <c r="M36" i="1" s="1"/>
  <c r="L31" i="1"/>
  <c r="L32" i="1" s="1"/>
  <c r="J81" i="1"/>
  <c r="K52" i="1"/>
  <c r="L52" i="1" s="1"/>
  <c r="K61" i="1"/>
  <c r="K62" i="1" s="1"/>
  <c r="L66" i="1" s="1"/>
  <c r="K32" i="1"/>
  <c r="K27" i="1"/>
  <c r="I47" i="1"/>
  <c r="J48" i="1"/>
  <c r="J47" i="1" s="1"/>
  <c r="K54" i="1"/>
  <c r="K83" i="1" s="1"/>
  <c r="I83" i="1"/>
  <c r="I56" i="1"/>
  <c r="J56" i="1"/>
  <c r="K66" i="1"/>
  <c r="K65" i="1" s="1"/>
  <c r="I84" i="1" l="1"/>
  <c r="I85" i="1" s="1"/>
  <c r="M52" i="1"/>
  <c r="M51" i="1" s="1"/>
  <c r="M80" i="1" s="1"/>
  <c r="L27" i="1"/>
  <c r="L36" i="1"/>
  <c r="L51" i="1" s="1"/>
  <c r="L80" i="1" s="1"/>
  <c r="K51" i="1"/>
  <c r="K80" i="1" s="1"/>
  <c r="K81" i="1" s="1"/>
  <c r="K84" i="1"/>
  <c r="K85" i="1" s="1"/>
  <c r="K48" i="1"/>
  <c r="L48" i="1" s="1"/>
  <c r="K64" i="1"/>
  <c r="K70" i="1" s="1"/>
  <c r="K56" i="1"/>
  <c r="J49" i="1"/>
  <c r="J76" i="1"/>
  <c r="I76" i="1"/>
  <c r="I49" i="1"/>
  <c r="L68" i="1"/>
  <c r="L65" i="1" s="1"/>
  <c r="M61" i="1"/>
  <c r="M64" i="1" s="1"/>
  <c r="M70" i="1" s="1"/>
  <c r="M39" i="1"/>
  <c r="M42" i="1" s="1"/>
  <c r="K39" i="1"/>
  <c r="K42" i="1" s="1"/>
  <c r="M32" i="1"/>
  <c r="M27" i="1"/>
  <c r="J85" i="1" l="1"/>
  <c r="M37" i="1"/>
  <c r="L47" i="1"/>
  <c r="L49" i="1" s="1"/>
  <c r="L37" i="1"/>
  <c r="L61" i="1"/>
  <c r="L62" i="1" s="1"/>
  <c r="L39" i="1"/>
  <c r="L42" i="1" s="1"/>
  <c r="K47" i="1"/>
  <c r="K49" i="1" s="1"/>
  <c r="M54" i="1"/>
  <c r="M83" i="1" s="1"/>
  <c r="M84" i="1" s="1"/>
  <c r="L54" i="1"/>
  <c r="M48" i="1"/>
  <c r="M47" i="1" s="1"/>
  <c r="M76" i="1" s="1"/>
  <c r="M77" i="1" s="1"/>
  <c r="I78" i="1"/>
  <c r="I77" i="1"/>
  <c r="J78" i="1"/>
  <c r="J77" i="1"/>
  <c r="M81" i="1"/>
  <c r="L76" i="1" l="1"/>
  <c r="L78" i="1" s="1"/>
  <c r="M62" i="1"/>
  <c r="L64" i="1"/>
  <c r="L70" i="1" s="1"/>
  <c r="L81" i="1"/>
  <c r="K76" i="1"/>
  <c r="M56" i="1"/>
  <c r="L83" i="1"/>
  <c r="L84" i="1" s="1"/>
  <c r="L85" i="1" s="1"/>
  <c r="L56" i="1"/>
  <c r="M49" i="1"/>
  <c r="M78" i="1"/>
  <c r="M85" i="1" l="1"/>
  <c r="L77" i="1"/>
  <c r="K78" i="1"/>
  <c r="K77" i="1"/>
  <c r="I70" i="1" l="1"/>
  <c r="I74" i="1" s="1"/>
  <c r="I88" i="1" s="1"/>
  <c r="I89" i="1" s="1"/>
  <c r="L74" i="1"/>
  <c r="L88" i="1" s="1"/>
  <c r="L89" i="1" s="1"/>
  <c r="M74" i="1"/>
  <c r="M88" i="1" s="1"/>
  <c r="J74" i="1"/>
  <c r="J88" i="1" s="1"/>
  <c r="J89" i="1" s="1"/>
  <c r="K74" i="1"/>
  <c r="K88" i="1" s="1"/>
  <c r="K89" i="1" s="1"/>
  <c r="M92" i="1" l="1"/>
  <c r="M93" i="1" s="1"/>
  <c r="M89" i="1"/>
  <c r="M95" i="1" l="1"/>
  <c r="M98" i="1" s="1"/>
  <c r="M100" i="1" s="1"/>
  <c r="J4" i="1" s="1"/>
  <c r="N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<sst xmlns="http://schemas.openxmlformats.org/spreadsheetml/2006/main" count="87" uniqueCount="61">
  <si>
    <t xml:space="preserve">Ticker </t>
  </si>
  <si>
    <t>Date</t>
  </si>
  <si>
    <t xml:space="preserve">Implied Share Price </t>
  </si>
  <si>
    <t xml:space="preserve">Current Share Price </t>
  </si>
  <si>
    <t xml:space="preserve">Upside/Downside </t>
  </si>
  <si>
    <t>X</t>
  </si>
  <si>
    <t xml:space="preserve">Assumptions </t>
  </si>
  <si>
    <t xml:space="preserve">Switches </t>
  </si>
  <si>
    <t>EBIT</t>
  </si>
  <si>
    <t>WACC</t>
  </si>
  <si>
    <t>TGV</t>
  </si>
  <si>
    <t xml:space="preserve">Conservative </t>
  </si>
  <si>
    <t>Base</t>
  </si>
  <si>
    <t xml:space="preserve">Optimistic </t>
  </si>
  <si>
    <t xml:space="preserve">Revenue Build </t>
  </si>
  <si>
    <t xml:space="preserve">% Growth </t>
  </si>
  <si>
    <t xml:space="preserve">% of Revenue </t>
  </si>
  <si>
    <t xml:space="preserve">  Conservative </t>
  </si>
  <si>
    <t xml:space="preserve">  Base </t>
  </si>
  <si>
    <t xml:space="preserve">  Optimistic </t>
  </si>
  <si>
    <t>Total Revenues</t>
  </si>
  <si>
    <t xml:space="preserve">Income Statement </t>
  </si>
  <si>
    <t xml:space="preserve">Revenues </t>
  </si>
  <si>
    <t xml:space="preserve">EBIT </t>
  </si>
  <si>
    <t>% of Sales</t>
  </si>
  <si>
    <t>Taxes</t>
  </si>
  <si>
    <t>% of EBIT</t>
  </si>
  <si>
    <t xml:space="preserve">Cash Flow Items </t>
  </si>
  <si>
    <t>D&amp;A</t>
  </si>
  <si>
    <t xml:space="preserve">Capital Expenditures </t>
  </si>
  <si>
    <t xml:space="preserve">Change in Net Working Capital </t>
  </si>
  <si>
    <t xml:space="preserve">% of Sales </t>
  </si>
  <si>
    <t>% of CapEx</t>
  </si>
  <si>
    <t>% Change in Sales</t>
  </si>
  <si>
    <t>DCF</t>
  </si>
  <si>
    <t>Revenues</t>
  </si>
  <si>
    <t xml:space="preserve">% of EBIT </t>
  </si>
  <si>
    <t>EBIAT</t>
  </si>
  <si>
    <t>Present Value of Free Cash Flow</t>
  </si>
  <si>
    <t xml:space="preserve">Unlevered Free Cash Flow </t>
  </si>
  <si>
    <t xml:space="preserve">Terminal Value </t>
  </si>
  <si>
    <t xml:space="preserve">Present Value of Terminal Value </t>
  </si>
  <si>
    <t xml:space="preserve">Enterprise Value </t>
  </si>
  <si>
    <t xml:space="preserve">(+) Cash </t>
  </si>
  <si>
    <t xml:space="preserve">(-) Debt </t>
  </si>
  <si>
    <t xml:space="preserve">Equity Value </t>
  </si>
  <si>
    <t xml:space="preserve">Shares </t>
  </si>
  <si>
    <t>WACC = % of equity * cost of equity + % of debt * cost of debt * (1-Tax Rate)</t>
  </si>
  <si>
    <t xml:space="preserve">Cost of equity = Risk Free Rate + Beta * Market Risk Premium </t>
  </si>
  <si>
    <t xml:space="preserve">Market Cap </t>
  </si>
  <si>
    <t xml:space="preserve">% of equity </t>
  </si>
  <si>
    <t xml:space="preserve">Cost of Equity </t>
  </si>
  <si>
    <t xml:space="preserve">Risk Free Rate </t>
  </si>
  <si>
    <t xml:space="preserve">Beta </t>
  </si>
  <si>
    <t xml:space="preserve">Market Risk Premium </t>
  </si>
  <si>
    <t xml:space="preserve">Debt </t>
  </si>
  <si>
    <t xml:space="preserve">% of Debt </t>
  </si>
  <si>
    <t xml:space="preserve">Cost of Debt </t>
  </si>
  <si>
    <t xml:space="preserve">Tax Rate </t>
  </si>
  <si>
    <t xml:space="preserve">Total </t>
  </si>
  <si>
    <t>ZM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</si>
</sst>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9" x14ac:knownFonts="1">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sz val="14"/>
      <color theme="1"/>
      <name val="Calibri"/>
      <family val="2"/>
      <scheme val="minor"/>
    </font>
    <font>
      <b/>
      <sz val="1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499984740745262"/>
        <bgColor indexed="64"/>
      </patternFill>
    </fill>
  </fills>
  <borders count="11">
    <border>
      <left/>
      <right/>
      <top/>
      <bottom/>
      <diagonal/>
    </border>
    <border>
      <left style="dotted">
        <color indexed="64"/>
      </left>
      <right style="dotted">
        <color indexed="64"/>
      </right>
      <top style="dotted">
        <color indexed="64"/>
      </top>
      <bottom style="dotted">
        <color indexed="64"/>
      </bottom>
      <diagonal/>
    </border>
    <border>
      <left/>
      <right/>
      <top style="medium">
        <color theme="1"/>
      </top>
      <bottom/>
      <diagonal/>
    </border>
    <border>
      <left/>
      <right style="thick">
        <color theme="0"/>
      </right>
      <top/>
      <bottom/>
      <diagonal/>
    </border>
    <border>
      <left/>
      <right style="hair">
        <color auto="1"/>
      </right>
      <top/>
      <bottom/>
      <diagonal/>
    </border>
    <border>
      <left/>
      <right style="hair">
        <color theme="1"/>
      </right>
      <top style="medium">
        <color theme="1"/>
      </top>
      <bottom/>
      <diagonal/>
    </border>
    <border>
      <left style="hair">
        <color auto="1"/>
      </left>
      <right/>
      <top/>
      <bottom/>
      <diagonal/>
    </border>
    <border>
      <left style="hair">
        <color auto="1"/>
      </left>
      <right/>
      <top style="dotted">
        <color indexed="64"/>
      </top>
      <bottom/>
      <diagonal/>
    </border>
    <border>
      <left/>
      <right/>
      <top style="dotted">
        <color indexed="64"/>
      </top>
      <bottom/>
      <diagonal/>
    </border>
    <border>
      <left style="dotted">
        <color indexed="64"/>
      </left>
      <right/>
      <top style="dotted">
        <color indexed="64"/>
      </top>
      <bottom style="dotted">
        <color indexed="64"/>
      </bottom>
      <diagonal/>
    </border>
    <border>
      <left/>
      <right/>
      <top style="thin">
        <color auto="1"/>
      </top>
      <bottom/>
      <diagonal/>
    </border>
  </borders>
  <cellStyleXfs count="1">
    <xf numFmtId="0" fontId="0" fillId="0" borderId="0"/>
  </cellStyleXfs>
  <cellXfs count="34">
    <xf numFmtId="0" fontId="0" fillId="0" borderId="0" xfId="0"/>
    <xf numFmtId="164" fontId="0" fillId="0" borderId="0" xfId="0" applyNumberFormat="1"/>
    <xf numFmtId="0" fontId="0" fillId="2" borderId="0" xfId="0" applyFill="1"/>
    <xf numFmtId="164" fontId="0" fillId="2" borderId="0" xfId="0" applyNumberFormat="1" applyFill="1"/>
    <xf numFmtId="14" fontId="0" fillId="2" borderId="0" xfId="0" applyNumberFormat="1" applyFill="1"/>
    <xf numFmtId="0" fontId="3" fillId="3" borderId="0" xfId="0" applyFont="1" applyFill="1"/>
    <xf numFmtId="0" fontId="2" fillId="0" borderId="0" xfId="0" applyFont="1"/>
    <xf numFmtId="0" fontId="1" fillId="3" borderId="0" xfId="0" applyFont="1" applyFill="1"/>
    <xf numFmtId="0" fontId="0" fillId="2" borderId="1" xfId="0" applyFill="1" applyBorder="1"/>
    <xf numFmtId="10" fontId="0" fillId="2" borderId="1" xfId="0" applyNumberFormat="1" applyFill="1" applyBorder="1"/>
    <xf numFmtId="10" fontId="0" fillId="0" borderId="0" xfId="0" applyNumberFormat="1"/>
    <xf numFmtId="0" fontId="4" fillId="0" borderId="0" xfId="0" applyFont="1"/>
    <xf numFmtId="0" fontId="0" fillId="0" borderId="2" xfId="0" applyBorder="1"/>
    <xf numFmtId="0" fontId="3" fillId="3" borderId="3" xfId="0" applyFont="1" applyFill="1" applyBorder="1"/>
    <xf numFmtId="37" fontId="0" fillId="0" borderId="0" xfId="0" applyNumberFormat="1"/>
    <xf numFmtId="9" fontId="0" fillId="0" borderId="0" xfId="0" applyNumberFormat="1"/>
    <xf numFmtId="37" fontId="2" fillId="0" borderId="0" xfId="0" applyNumberFormat="1" applyFont="1"/>
    <xf numFmtId="0" fontId="0" fillId="0" borderId="4" xfId="0" applyBorder="1"/>
    <xf numFmtId="9" fontId="0" fillId="0" borderId="4" xfId="0" applyNumberFormat="1" applyBorder="1"/>
    <xf numFmtId="37" fontId="2" fillId="0" borderId="4" xfId="0" applyNumberFormat="1" applyFont="1" applyBorder="1"/>
    <xf numFmtId="0" fontId="0" fillId="0" borderId="5" xfId="0" applyBorder="1"/>
    <xf numFmtId="37" fontId="0" fillId="0" borderId="6" xfId="0" applyNumberFormat="1" applyBorder="1"/>
    <xf numFmtId="9" fontId="0" fillId="0" borderId="8" xfId="0" applyNumberFormat="1" applyBorder="1"/>
    <xf numFmtId="9" fontId="0" fillId="0" borderId="7" xfId="0" applyNumberFormat="1" applyBorder="1"/>
    <xf numFmtId="10" fontId="0" fillId="2" borderId="9" xfId="0" applyNumberFormat="1" applyFill="1" applyBorder="1"/>
    <xf numFmtId="0" fontId="3" fillId="0" borderId="0" xfId="0" applyFont="1"/>
    <xf numFmtId="0" fontId="0" fillId="0" borderId="10" xfId="0" applyBorder="1"/>
    <xf numFmtId="0" fontId="5" fillId="0" borderId="0" xfId="0" applyFont="1"/>
    <xf numFmtId="0" fontId="6" fillId="0" borderId="0" xfId="0" applyFont="1"/>
    <xf numFmtId="0" fontId="7" fillId="0" borderId="0" xfId="0" applyFont="1"/>
    <xf numFmtId="0" fontId="8" fillId="3" borderId="0" xfId="0" applyFont="1" applyFill="1"/>
    <xf numFmtId="2" fontId="0" fillId="0" borderId="0" xfId="0" applyNumberFormat="1"/>
    <xf numFmtId="3" fontId="0" fillId="0" borderId="0" xfId="0" applyNumberFormat="1"/>
    <xf numFmtId="1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https://www.bing.com/financeapi/forcetrigger?t=bpoxyc&amp;q=XNAS%3aZM&amp;form=skydnc</v>
    <v>Learn more on Bing</v>
  </rv>
  <rv s="1">
    <v>0</v>
    <v>ZOOM VIDEO COMMUNICATIONS, INC. (XNAS:ZM)</v>
    <v>2</v>
    <v>3</v>
    <v>Finance</v>
    <v>4</v>
    <v>en-GB</v>
    <v>bpoxyc</v>
    <v>268435456</v>
    <v>1</v>
    <v>Powered by Refinitiv</v>
    <v>163.47999999999999</v>
    <v>63.55</v>
    <v>-0.25879999999999997</v>
    <v>-2.39</v>
    <v>-3.4206E-2</v>
    <v>USD</v>
    <v>Zoom Video Communications, Inc. is a provider of video communication platform. The Company's platform connects people through video, phone, chat, and webinars, and enables experiences across disparate devices and locations. Its products include Zoom Meetings, Zoom Phone, Zoom Chat, Zoom Rooms, Zoom Hardware-as-a-Service, Zoom Conference Room Connector, Zoom Events, Zoom Webinar, Zoom Developer Platform, Zoom App Marketplace, and Zoom Contact Center. Its customer base spans a range of industry categories, including education, entertainment/media, enterprise infrastructure, finance, government, healthcare, manufacturing, nonprofit/not-for-profit and social impact, retail/consumer products, and software/Internet. The Company’s subsidiaries include Zoom Voice Communications, Inc., ZVC UK LTD, ZVC Australia PTY LTD, ZVC Netherlands B.V., ZVC Japan KK, Zoom Video Communications (Suzhou) Inc., Saasbee Inc. (Hefei) Ltd., ZVC India PVT LTD, Keybase LLC and SaasBee Software (Hangzhou) Co., Ltd.</v>
    <v>8422</v>
    <v>Nasdaq Stock Market</v>
    <v>XNAS</v>
    <v>XNAS</v>
    <v>55 Almaden Boulevard, 6Th Floor, SAN JOSE, CA, 95113 US</v>
    <v>71.37</v>
    <v>Software &amp; IT Services</v>
    <v>Stock</v>
    <v>44945.041627870312</v>
    <v>0</v>
    <v>67.430000000000007</v>
    <v>19725902056</v>
    <v>ZOOM VIDEO COMMUNICATIONS, INC.</v>
    <v>ZOOM VIDEO COMMUNICATIONS, INC.</v>
    <v>71</v>
    <v>29.086200000000002</v>
    <v>69.87</v>
    <v>67.48</v>
    <v>292322200</v>
    <v>ZM</v>
    <v>ZOOM VIDEO COMMUNICATIONS, INC. (XNAS:ZM)</v>
    <v>3040</v>
    <v>3067995</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9FBD-7792-AC4C-AFB9-7D6B3D8BC192}">
  <dimension ref="A3:Q100"/>
  <sheetViews>
    <sheetView showGridLines="0" tabSelected="1" zoomScale="110" zoomScaleNormal="110" workbookViewId="0">
      <pane xSplit="2" topLeftCell="C1" activePane="topRight" state="frozen"/>
      <selection pane="topRight" activeCell="C17" sqref="C17"/>
    </sheetView>
  </sheetViews>
  <sheetFormatPr baseColWidth="10" defaultRowHeight="16" x14ac:dyDescent="0.2"/>
  <cols>
    <col min="1" max="1" width="2.6640625" customWidth="1"/>
    <col min="2" max="2" width="26.5" customWidth="1"/>
    <col min="4" max="4" width="10.83203125" customWidth="1"/>
  </cols>
  <sheetData>
    <row r="3" spans="1:14" x14ac:dyDescent="0.2">
      <c r="C3" t="s">
        <v>0</v>
      </c>
      <c r="D3" s="2" t="e" vm="1">
        <v>#VALUE!</v>
      </c>
      <c r="H3" t="s">
        <v>3</v>
      </c>
      <c r="J3" s="3" cm="1">
        <f t="array" ref="J3">_FV(D3,"Price")</f>
        <v>67.48</v>
      </c>
    </row>
    <row r="4" spans="1:14" x14ac:dyDescent="0.2">
      <c r="C4" t="s">
        <v>1</v>
      </c>
      <c r="D4" s="4">
        <v>44943</v>
      </c>
      <c r="E4" s="1"/>
      <c r="H4" t="s">
        <v>2</v>
      </c>
      <c r="J4" s="3">
        <f ca="1">M100</f>
        <v>63.473594389409783</v>
      </c>
      <c r="L4" t="s">
        <v>4</v>
      </c>
      <c r="N4" s="33">
        <f ca="1">J4/J3-1</f>
        <v>-5.9371748823210169E-2</v>
      </c>
    </row>
    <row r="7" spans="1:14" s="25" customFormat="1" x14ac:dyDescent="0.2">
      <c r="A7" t="s">
        <v>5</v>
      </c>
      <c r="B7" s="7" t="s">
        <v>6</v>
      </c>
      <c r="C7" s="5"/>
      <c r="D7" s="5"/>
      <c r="E7" s="5"/>
      <c r="F7" s="5"/>
      <c r="G7" s="5"/>
      <c r="H7" s="5"/>
      <c r="I7" s="5"/>
      <c r="J7" s="5"/>
      <c r="K7" s="5"/>
      <c r="L7" s="5"/>
      <c r="M7" s="5"/>
    </row>
    <row r="9" spans="1:14" x14ac:dyDescent="0.2">
      <c r="B9" s="6" t="s">
        <v>7</v>
      </c>
      <c r="E9" s="6" t="s">
        <v>11</v>
      </c>
      <c r="F9" s="6"/>
      <c r="G9" s="6"/>
      <c r="H9" s="6"/>
      <c r="I9" s="6" t="s">
        <v>12</v>
      </c>
      <c r="J9" s="6"/>
      <c r="K9" s="6"/>
      <c r="L9" s="6" t="s">
        <v>13</v>
      </c>
    </row>
    <row r="10" spans="1:14" x14ac:dyDescent="0.2">
      <c r="B10" s="6" t="s">
        <v>35</v>
      </c>
      <c r="C10" s="8">
        <v>2</v>
      </c>
      <c r="E10" s="9">
        <v>0.8</v>
      </c>
      <c r="F10" s="10"/>
      <c r="G10" s="10"/>
      <c r="H10" s="10"/>
      <c r="I10" s="9">
        <v>0.15</v>
      </c>
      <c r="J10" s="10"/>
      <c r="K10" s="10"/>
      <c r="L10" s="9">
        <v>1.2</v>
      </c>
    </row>
    <row r="11" spans="1:14" x14ac:dyDescent="0.2">
      <c r="E11" s="10"/>
      <c r="F11" s="10"/>
      <c r="G11" s="10"/>
      <c r="H11" s="10"/>
      <c r="I11" s="10"/>
      <c r="J11" s="10"/>
      <c r="K11" s="10"/>
      <c r="L11" s="10"/>
    </row>
    <row r="12" spans="1:14" x14ac:dyDescent="0.2">
      <c r="E12" s="10"/>
      <c r="F12" s="10"/>
      <c r="G12" s="10"/>
      <c r="H12" s="10"/>
      <c r="I12" s="10"/>
      <c r="J12" s="10"/>
      <c r="K12" s="10"/>
      <c r="L12" s="10"/>
    </row>
    <row r="13" spans="1:14" x14ac:dyDescent="0.2">
      <c r="B13" s="6" t="s">
        <v>8</v>
      </c>
      <c r="C13" s="8">
        <v>2</v>
      </c>
      <c r="E13" s="9">
        <v>0.8</v>
      </c>
      <c r="F13" s="10"/>
      <c r="G13" s="10"/>
      <c r="H13" s="10"/>
      <c r="I13" s="9">
        <v>0.2</v>
      </c>
      <c r="J13" s="10"/>
      <c r="K13" s="10"/>
      <c r="L13" s="9">
        <v>1.2</v>
      </c>
    </row>
    <row r="14" spans="1:14" x14ac:dyDescent="0.2">
      <c r="B14" s="6" t="s">
        <v>9</v>
      </c>
      <c r="C14" s="8">
        <v>1</v>
      </c>
      <c r="E14" s="9">
        <f>I14*1.2</f>
        <v>7.5479321188938298E-2</v>
      </c>
      <c r="F14" s="10"/>
      <c r="G14" s="10"/>
      <c r="H14" s="10"/>
      <c r="I14" s="9">
        <f>ZM_WACC!D23</f>
        <v>6.2899434324115253E-2</v>
      </c>
      <c r="J14" s="10"/>
      <c r="K14" s="10"/>
      <c r="L14" s="9">
        <f>I14*0.8</f>
        <v>5.0319547459292208E-2</v>
      </c>
    </row>
    <row r="15" spans="1:14" x14ac:dyDescent="0.2">
      <c r="B15" s="6" t="s">
        <v>10</v>
      </c>
      <c r="C15" s="8">
        <v>2</v>
      </c>
      <c r="E15" s="9">
        <f>I15*0.8</f>
        <v>2.0000000000000004E-2</v>
      </c>
      <c r="F15" s="10"/>
      <c r="G15" s="10"/>
      <c r="H15" s="10"/>
      <c r="I15" s="9">
        <v>2.5000000000000001E-2</v>
      </c>
      <c r="J15" s="10"/>
      <c r="K15" s="10"/>
      <c r="L15" s="9">
        <f>I15*1.2</f>
        <v>0.03</v>
      </c>
    </row>
    <row r="16" spans="1:14" x14ac:dyDescent="0.2">
      <c r="B16" s="6"/>
    </row>
    <row r="17" spans="1:17" x14ac:dyDescent="0.2">
      <c r="B17" s="6" t="s">
        <v>9</v>
      </c>
      <c r="C17" s="9">
        <f>CHOOSE(C14,E14,I14,L14)</f>
        <v>7.5479321188938298E-2</v>
      </c>
    </row>
    <row r="18" spans="1:17" x14ac:dyDescent="0.2">
      <c r="B18" s="6" t="s">
        <v>10</v>
      </c>
      <c r="C18" s="9">
        <f>CHOOSE(C15,E15,I15,L15)</f>
        <v>2.5000000000000001E-2</v>
      </c>
    </row>
    <row r="20" spans="1:17" s="25" customFormat="1" x14ac:dyDescent="0.2">
      <c r="A20" t="s">
        <v>5</v>
      </c>
      <c r="B20" s="7" t="s">
        <v>14</v>
      </c>
      <c r="C20" s="5">
        <v>2018</v>
      </c>
      <c r="D20" s="5">
        <v>2019</v>
      </c>
      <c r="E20" s="5">
        <v>2020</v>
      </c>
      <c r="F20" s="5">
        <v>2021</v>
      </c>
      <c r="G20" s="5">
        <v>2022</v>
      </c>
      <c r="H20" s="13">
        <v>2023</v>
      </c>
      <c r="I20" s="5">
        <v>2024</v>
      </c>
      <c r="J20" s="5">
        <v>2025</v>
      </c>
      <c r="K20" s="5">
        <v>2026</v>
      </c>
      <c r="L20" s="5">
        <v>2027</v>
      </c>
      <c r="M20" s="5">
        <v>2028</v>
      </c>
    </row>
    <row r="21" spans="1:17" x14ac:dyDescent="0.2">
      <c r="H21" s="17"/>
    </row>
    <row r="22" spans="1:17" x14ac:dyDescent="0.2">
      <c r="B22" s="6" t="str">
        <f>B10</f>
        <v>Revenues</v>
      </c>
      <c r="C22" s="14">
        <v>151.47800000000001</v>
      </c>
      <c r="D22" s="14">
        <v>330.517</v>
      </c>
      <c r="E22" s="14">
        <v>622.65800000000002</v>
      </c>
      <c r="F22" s="14">
        <v>2651.3679999999999</v>
      </c>
      <c r="G22" s="14">
        <v>4099.8639999999996</v>
      </c>
      <c r="H22" s="14">
        <f>(3275.157/3)*4</f>
        <v>4366.8760000000002</v>
      </c>
      <c r="I22" s="21">
        <f ca="1">G22*(1+I23)</f>
        <v>5124.83</v>
      </c>
      <c r="J22" s="14">
        <f t="shared" ref="J22:M22" ca="1" si="0">I22*(1+J23)</f>
        <v>6277.9167500000003</v>
      </c>
      <c r="K22" s="14">
        <f t="shared" ca="1" si="0"/>
        <v>7533.5001000000002</v>
      </c>
      <c r="L22" s="14">
        <f t="shared" ca="1" si="0"/>
        <v>8851.8626175000009</v>
      </c>
      <c r="M22" s="14">
        <f t="shared" ca="1" si="0"/>
        <v>10179.642010125001</v>
      </c>
    </row>
    <row r="23" spans="1:17" x14ac:dyDescent="0.2">
      <c r="B23" s="11" t="s">
        <v>15</v>
      </c>
      <c r="D23" s="15">
        <f t="shared" ref="D23:E23" si="1">D22/C22-1</f>
        <v>1.1819472134567395</v>
      </c>
      <c r="E23" s="15">
        <f t="shared" si="1"/>
        <v>0.88389099501689783</v>
      </c>
      <c r="F23" s="15">
        <f>F22/E22-1</f>
        <v>3.2581449206466466</v>
      </c>
      <c r="G23" s="15">
        <f t="shared" ref="G23:H23" si="2">G22/F22-1</f>
        <v>0.54632023921236117</v>
      </c>
      <c r="H23" s="18">
        <f t="shared" si="2"/>
        <v>6.5127038360297096E-2</v>
      </c>
      <c r="I23" s="15">
        <f ca="1">OFFSET(I23,$C$10,0)</f>
        <v>0.25</v>
      </c>
      <c r="J23" s="15">
        <f t="shared" ref="J23:M23" ca="1" si="3">OFFSET(J23,$C$10,0)</f>
        <v>0.22500000000000001</v>
      </c>
      <c r="K23" s="15">
        <f t="shared" ca="1" si="3"/>
        <v>0.2</v>
      </c>
      <c r="L23" s="15">
        <f t="shared" ca="1" si="3"/>
        <v>0.17499999999999999</v>
      </c>
      <c r="M23" s="15">
        <f t="shared" ca="1" si="3"/>
        <v>0.15</v>
      </c>
    </row>
    <row r="24" spans="1:17" x14ac:dyDescent="0.2">
      <c r="B24" t="s">
        <v>17</v>
      </c>
      <c r="H24" s="17"/>
      <c r="I24" s="9">
        <f>I25*$E$10</f>
        <v>0.2</v>
      </c>
      <c r="J24" s="9">
        <f t="shared" ref="J24:M24" si="4">J25*$E$10</f>
        <v>0.18000000000000002</v>
      </c>
      <c r="K24" s="9">
        <f t="shared" si="4"/>
        <v>0.16000000000000003</v>
      </c>
      <c r="L24" s="9">
        <f t="shared" si="4"/>
        <v>0.13999999999999999</v>
      </c>
      <c r="M24" s="24">
        <f t="shared" si="4"/>
        <v>0.12</v>
      </c>
    </row>
    <row r="25" spans="1:17" x14ac:dyDescent="0.2">
      <c r="B25" t="s">
        <v>18</v>
      </c>
      <c r="H25" s="17"/>
      <c r="I25" s="9">
        <v>0.25</v>
      </c>
      <c r="J25" s="9">
        <f>I25-(I25-$M$25)/($M$20-I20)</f>
        <v>0.22500000000000001</v>
      </c>
      <c r="K25" s="9">
        <f t="shared" ref="K25:L25" si="5">J25-(J25-$M$25)/($M$20-J20)</f>
        <v>0.2</v>
      </c>
      <c r="L25" s="9">
        <f t="shared" si="5"/>
        <v>0.17499999999999999</v>
      </c>
      <c r="M25" s="24">
        <f>I10</f>
        <v>0.15</v>
      </c>
    </row>
    <row r="26" spans="1:17" x14ac:dyDescent="0.2">
      <c r="B26" t="s">
        <v>19</v>
      </c>
      <c r="H26" s="17"/>
      <c r="I26" s="9">
        <f>I25*$L$10</f>
        <v>0.3</v>
      </c>
      <c r="J26" s="9">
        <f t="shared" ref="J26:M26" si="6">J25*$L$10</f>
        <v>0.27</v>
      </c>
      <c r="K26" s="9">
        <f t="shared" si="6"/>
        <v>0.24</v>
      </c>
      <c r="L26" s="9">
        <f t="shared" si="6"/>
        <v>0.21</v>
      </c>
      <c r="M26" s="24">
        <f t="shared" si="6"/>
        <v>0.18</v>
      </c>
    </row>
    <row r="27" spans="1:17" x14ac:dyDescent="0.2">
      <c r="B27" s="11" t="s">
        <v>16</v>
      </c>
      <c r="C27" s="15">
        <f>C22/C31</f>
        <v>1</v>
      </c>
      <c r="D27" s="15">
        <f>D22/D31</f>
        <v>1</v>
      </c>
      <c r="E27" s="15">
        <f>E22/E31</f>
        <v>1</v>
      </c>
      <c r="F27" s="15">
        <f>F22/F31</f>
        <v>1</v>
      </c>
      <c r="G27" s="15">
        <f t="shared" ref="G27:H27" si="7">G22/G31</f>
        <v>1</v>
      </c>
      <c r="H27" s="15">
        <f t="shared" si="7"/>
        <v>1</v>
      </c>
      <c r="I27" s="23">
        <f ca="1">I22/I31</f>
        <v>1</v>
      </c>
      <c r="J27" s="22">
        <f ca="1">J22/J31</f>
        <v>1</v>
      </c>
      <c r="K27" s="22">
        <f ca="1">K22/K31</f>
        <v>1</v>
      </c>
      <c r="L27" s="22">
        <f ca="1">L22/L31</f>
        <v>1</v>
      </c>
      <c r="M27" s="22">
        <f ca="1">M22/M31</f>
        <v>1</v>
      </c>
      <c r="N27" s="15"/>
      <c r="O27" s="15"/>
      <c r="P27" s="15"/>
      <c r="Q27" s="15"/>
    </row>
    <row r="28" spans="1:17" x14ac:dyDescent="0.2">
      <c r="B28" s="6"/>
      <c r="H28" s="17"/>
    </row>
    <row r="29" spans="1:17" ht="17" thickBot="1" x14ac:dyDescent="0.25">
      <c r="H29" s="17"/>
    </row>
    <row r="30" spans="1:17" x14ac:dyDescent="0.2">
      <c r="A30" s="12"/>
      <c r="B30" s="12"/>
      <c r="C30" s="12"/>
      <c r="D30" s="12"/>
      <c r="E30" s="12"/>
      <c r="F30" s="12"/>
      <c r="G30" s="12"/>
      <c r="H30" s="20"/>
      <c r="I30" s="12"/>
      <c r="J30" s="12"/>
      <c r="K30" s="12"/>
      <c r="L30" s="12"/>
      <c r="M30" s="12"/>
    </row>
    <row r="31" spans="1:17" s="6" customFormat="1" x14ac:dyDescent="0.2">
      <c r="B31" s="6" t="s">
        <v>20</v>
      </c>
      <c r="C31" s="16">
        <f>C22</f>
        <v>151.47800000000001</v>
      </c>
      <c r="D31" s="16">
        <f t="shared" ref="D31:H31" si="8">D22</f>
        <v>330.517</v>
      </c>
      <c r="E31" s="16">
        <f t="shared" si="8"/>
        <v>622.65800000000002</v>
      </c>
      <c r="F31" s="16">
        <f t="shared" si="8"/>
        <v>2651.3679999999999</v>
      </c>
      <c r="G31" s="16">
        <f t="shared" si="8"/>
        <v>4099.8639999999996</v>
      </c>
      <c r="H31" s="19">
        <f t="shared" si="8"/>
        <v>4366.8760000000002</v>
      </c>
      <c r="I31" s="16">
        <f t="shared" ref="D31:M31" ca="1" si="9">I22</f>
        <v>5124.83</v>
      </c>
      <c r="J31" s="16">
        <f t="shared" ca="1" si="9"/>
        <v>6277.9167500000003</v>
      </c>
      <c r="K31" s="16">
        <f t="shared" ca="1" si="9"/>
        <v>7533.5001000000002</v>
      </c>
      <c r="L31" s="16">
        <f t="shared" ca="1" si="9"/>
        <v>8851.8626175000009</v>
      </c>
      <c r="M31" s="16">
        <f t="shared" ca="1" si="9"/>
        <v>10179.642010125001</v>
      </c>
    </row>
    <row r="32" spans="1:17" x14ac:dyDescent="0.2">
      <c r="B32" s="11" t="s">
        <v>15</v>
      </c>
      <c r="D32" s="15">
        <f t="shared" ref="D32" si="10">D31/C31-1</f>
        <v>1.1819472134567395</v>
      </c>
      <c r="E32" s="15">
        <f t="shared" ref="E32" si="11">E31/D31-1</f>
        <v>0.88389099501689783</v>
      </c>
      <c r="F32" s="15">
        <f t="shared" ref="F32:G32" si="12">F31/E31-1</f>
        <v>3.2581449206466466</v>
      </c>
      <c r="G32" s="15">
        <f t="shared" si="12"/>
        <v>0.54632023921236117</v>
      </c>
      <c r="H32" s="18">
        <f>H31/F31-1</f>
        <v>0.6470274967488483</v>
      </c>
      <c r="I32" s="15">
        <f t="shared" ref="I32" ca="1" si="13">I31/H31-1</f>
        <v>0.1735689311993287</v>
      </c>
      <c r="J32" s="15">
        <f t="shared" ref="J32" ca="1" si="14">J31/I31-1</f>
        <v>0.22500000000000009</v>
      </c>
      <c r="K32" s="15">
        <f t="shared" ref="K32" ca="1" si="15">K31/J31-1</f>
        <v>0.19999999999999996</v>
      </c>
      <c r="L32" s="15">
        <f t="shared" ref="L32" ca="1" si="16">L31/K31-1</f>
        <v>0.17500000000000004</v>
      </c>
      <c r="M32" s="15">
        <f t="shared" ref="M32" ca="1" si="17">M31/L31-1</f>
        <v>0.14999999999999991</v>
      </c>
    </row>
    <row r="34" spans="1:13" s="25" customFormat="1" x14ac:dyDescent="0.2">
      <c r="A34" t="s">
        <v>5</v>
      </c>
      <c r="B34" s="7" t="s">
        <v>21</v>
      </c>
      <c r="C34" s="5">
        <v>2018</v>
      </c>
      <c r="D34" s="5">
        <v>2019</v>
      </c>
      <c r="E34" s="5">
        <v>2020</v>
      </c>
      <c r="F34" s="5">
        <v>2021</v>
      </c>
      <c r="G34" s="5">
        <v>2022</v>
      </c>
      <c r="H34" s="13">
        <v>2023</v>
      </c>
      <c r="I34" s="5">
        <v>2024</v>
      </c>
      <c r="J34" s="5">
        <v>2025</v>
      </c>
      <c r="K34" s="5">
        <v>2026</v>
      </c>
      <c r="L34" s="5">
        <v>2027</v>
      </c>
      <c r="M34" s="5">
        <v>2028</v>
      </c>
    </row>
    <row r="36" spans="1:13" x14ac:dyDescent="0.2">
      <c r="B36" s="6" t="s">
        <v>22</v>
      </c>
      <c r="C36" s="14">
        <f>C31</f>
        <v>151.47800000000001</v>
      </c>
      <c r="D36" s="14">
        <f t="shared" ref="D36:M36" si="18">D31</f>
        <v>330.517</v>
      </c>
      <c r="E36" s="14">
        <f t="shared" si="18"/>
        <v>622.65800000000002</v>
      </c>
      <c r="F36" s="14">
        <f t="shared" si="18"/>
        <v>2651.3679999999999</v>
      </c>
      <c r="G36" s="14">
        <f t="shared" si="18"/>
        <v>4099.8639999999996</v>
      </c>
      <c r="H36" s="14">
        <f t="shared" si="18"/>
        <v>4366.8760000000002</v>
      </c>
      <c r="I36" s="14">
        <f t="shared" ca="1" si="18"/>
        <v>5124.83</v>
      </c>
      <c r="J36" s="14">
        <f t="shared" ca="1" si="18"/>
        <v>6277.9167500000003</v>
      </c>
      <c r="K36" s="14">
        <f t="shared" ca="1" si="18"/>
        <v>7533.5001000000002</v>
      </c>
      <c r="L36" s="14">
        <f t="shared" ca="1" si="18"/>
        <v>8851.8626175000009</v>
      </c>
      <c r="M36" s="14">
        <f t="shared" ca="1" si="18"/>
        <v>10179.642010125001</v>
      </c>
    </row>
    <row r="37" spans="1:13" x14ac:dyDescent="0.2">
      <c r="B37" s="11" t="s">
        <v>15</v>
      </c>
      <c r="D37" s="15">
        <f>D36/C36-1</f>
        <v>1.1819472134567395</v>
      </c>
      <c r="E37" s="15">
        <f t="shared" ref="E37:M37" si="19">E36/D36-1</f>
        <v>0.88389099501689783</v>
      </c>
      <c r="F37" s="15">
        <f t="shared" si="19"/>
        <v>3.2581449206466466</v>
      </c>
      <c r="G37" s="15">
        <f t="shared" si="19"/>
        <v>0.54632023921236117</v>
      </c>
      <c r="H37" s="15">
        <f>H36/F36-1</f>
        <v>0.6470274967488483</v>
      </c>
      <c r="I37" s="15">
        <f t="shared" ca="1" si="19"/>
        <v>0.1735689311993287</v>
      </c>
      <c r="J37" s="15">
        <f t="shared" ca="1" si="19"/>
        <v>0.22500000000000009</v>
      </c>
      <c r="K37" s="15">
        <f t="shared" ca="1" si="19"/>
        <v>0.19999999999999996</v>
      </c>
      <c r="L37" s="15">
        <f t="shared" ca="1" si="19"/>
        <v>0.17500000000000004</v>
      </c>
      <c r="M37" s="15">
        <f t="shared" ca="1" si="19"/>
        <v>0.14999999999999991</v>
      </c>
    </row>
    <row r="39" spans="1:13" x14ac:dyDescent="0.2">
      <c r="B39" s="6" t="s">
        <v>23</v>
      </c>
      <c r="C39" s="14">
        <v>-4.8330000000000002</v>
      </c>
      <c r="D39" s="14">
        <v>6.1669999999999998</v>
      </c>
      <c r="E39" s="14">
        <v>12.696</v>
      </c>
      <c r="F39" s="14">
        <v>659.84799999999996</v>
      </c>
      <c r="G39" s="14">
        <v>1063.5909999999999</v>
      </c>
      <c r="H39" s="14">
        <f>(375.316/3)*4</f>
        <v>500.42133333333328</v>
      </c>
      <c r="I39" s="14">
        <f ca="1">I36*I40</f>
        <v>1024.9660000000001</v>
      </c>
      <c r="J39" s="14">
        <f t="shared" ref="J39:M39" ca="1" si="20">J36*J40</f>
        <v>1255.5833500000001</v>
      </c>
      <c r="K39" s="14">
        <f t="shared" ca="1" si="20"/>
        <v>1506.7000200000002</v>
      </c>
      <c r="L39" s="14">
        <f t="shared" ca="1" si="20"/>
        <v>1770.3725235000002</v>
      </c>
      <c r="M39" s="14">
        <f t="shared" ca="1" si="20"/>
        <v>2035.9284020250002</v>
      </c>
    </row>
    <row r="40" spans="1:13" x14ac:dyDescent="0.2">
      <c r="B40" s="11" t="s">
        <v>24</v>
      </c>
      <c r="C40" s="15">
        <f t="shared" ref="C40:G40" si="21">C39/C36</f>
        <v>-3.1905623258823061E-2</v>
      </c>
      <c r="D40" s="15">
        <f t="shared" si="21"/>
        <v>1.8658646907723356E-2</v>
      </c>
      <c r="E40" s="15">
        <f t="shared" si="21"/>
        <v>2.0390005428341077E-2</v>
      </c>
      <c r="F40" s="15">
        <f t="shared" si="21"/>
        <v>0.24887077161676538</v>
      </c>
      <c r="G40" s="15">
        <f t="shared" si="21"/>
        <v>0.25942104421024698</v>
      </c>
      <c r="H40" s="15">
        <f>H39/H36</f>
        <v>0.11459481179070193</v>
      </c>
      <c r="I40" s="15">
        <v>0.2</v>
      </c>
      <c r="J40" s="15">
        <v>0.2</v>
      </c>
      <c r="K40" s="15">
        <v>0.2</v>
      </c>
      <c r="L40" s="15">
        <v>0.2</v>
      </c>
      <c r="M40" s="15">
        <v>0.2</v>
      </c>
    </row>
    <row r="42" spans="1:13" x14ac:dyDescent="0.2">
      <c r="B42" s="6" t="s">
        <v>25</v>
      </c>
      <c r="C42" s="14">
        <v>0.30399999999999999</v>
      </c>
      <c r="D42" s="14">
        <v>0.76500000000000001</v>
      </c>
      <c r="E42" s="14">
        <v>1.0569999999999999</v>
      </c>
      <c r="F42" s="14">
        <v>5.718</v>
      </c>
      <c r="G42" s="14">
        <v>-274.00700000000001</v>
      </c>
      <c r="H42" s="14">
        <f>(81.0593/3)*4</f>
        <v>108.07906666666666</v>
      </c>
      <c r="I42" s="14">
        <f ca="1">I39*I43</f>
        <v>225.49252000000004</v>
      </c>
      <c r="J42" s="14">
        <f t="shared" ref="J42:M42" ca="1" si="22">J39*J43</f>
        <v>276.22833700000001</v>
      </c>
      <c r="K42" s="14">
        <f t="shared" ca="1" si="22"/>
        <v>331.47400440000007</v>
      </c>
      <c r="L42" s="14">
        <f t="shared" ca="1" si="22"/>
        <v>389.48195517000005</v>
      </c>
      <c r="M42" s="14">
        <f t="shared" ca="1" si="22"/>
        <v>447.90424844550006</v>
      </c>
    </row>
    <row r="43" spans="1:13" x14ac:dyDescent="0.2">
      <c r="B43" s="11" t="s">
        <v>26</v>
      </c>
      <c r="C43" s="15">
        <f t="shared" ref="C43:E43" si="23">C42/C39</f>
        <v>-6.2900889716532168E-2</v>
      </c>
      <c r="D43" s="15">
        <f t="shared" si="23"/>
        <v>0.1240473487919572</v>
      </c>
      <c r="E43" s="15">
        <f t="shared" si="23"/>
        <v>8.3254568367989917E-2</v>
      </c>
      <c r="F43" s="15">
        <f>F42/F39</f>
        <v>8.6656320849650224E-3</v>
      </c>
      <c r="G43" s="15">
        <f>G42/G39</f>
        <v>-0.25762440637425482</v>
      </c>
      <c r="H43" s="15">
        <f>H42/H39</f>
        <v>0.21597613744151598</v>
      </c>
      <c r="I43" s="15">
        <v>0.22</v>
      </c>
      <c r="J43" s="15">
        <v>0.22</v>
      </c>
      <c r="K43" s="15">
        <v>0.22</v>
      </c>
      <c r="L43" s="15">
        <v>0.22</v>
      </c>
      <c r="M43" s="15">
        <v>0.22</v>
      </c>
    </row>
    <row r="44" spans="1:13" x14ac:dyDescent="0.2">
      <c r="F44" s="15"/>
      <c r="G44" s="15"/>
      <c r="I44" s="15"/>
    </row>
    <row r="45" spans="1:13" s="25" customFormat="1" x14ac:dyDescent="0.2">
      <c r="A45" t="s">
        <v>5</v>
      </c>
      <c r="B45" s="7" t="s">
        <v>27</v>
      </c>
      <c r="C45" s="5">
        <v>2018</v>
      </c>
      <c r="D45" s="5">
        <v>2019</v>
      </c>
      <c r="E45" s="5">
        <v>2020</v>
      </c>
      <c r="F45" s="5">
        <v>2021</v>
      </c>
      <c r="G45" s="5">
        <v>2022</v>
      </c>
      <c r="H45" s="13">
        <v>2023</v>
      </c>
      <c r="I45" s="5">
        <v>2024</v>
      </c>
      <c r="J45" s="5">
        <v>2025</v>
      </c>
      <c r="K45" s="5">
        <v>2026</v>
      </c>
      <c r="L45" s="5">
        <v>2027</v>
      </c>
      <c r="M45" s="5">
        <v>2028</v>
      </c>
    </row>
    <row r="47" spans="1:13" x14ac:dyDescent="0.2">
      <c r="B47" s="6" t="s">
        <v>28</v>
      </c>
      <c r="C47" s="14">
        <v>2.786</v>
      </c>
      <c r="D47" s="14">
        <v>7.008</v>
      </c>
      <c r="E47" s="14">
        <v>16.449000000000002</v>
      </c>
      <c r="F47" s="14">
        <v>28.856999999999999</v>
      </c>
      <c r="G47" s="14">
        <v>48.188000000000002</v>
      </c>
      <c r="H47" s="14">
        <f>(57.921/3)*4</f>
        <v>77.227999999999994</v>
      </c>
      <c r="I47" s="14">
        <f ca="1">I36*I48</f>
        <v>85.5074311348327</v>
      </c>
      <c r="J47" s="14">
        <f t="shared" ref="J47:M47" ca="1" si="24">J36*J48</f>
        <v>89.471708172668656</v>
      </c>
      <c r="K47" s="14">
        <f t="shared" ca="1" si="24"/>
        <v>122.09719142027974</v>
      </c>
      <c r="L47" s="14">
        <f t="shared" ca="1" si="24"/>
        <v>139.10400628997709</v>
      </c>
      <c r="M47" s="14">
        <f t="shared" ca="1" si="24"/>
        <v>156.6772706473696</v>
      </c>
    </row>
    <row r="48" spans="1:13" x14ac:dyDescent="0.2">
      <c r="B48" s="11" t="s">
        <v>31</v>
      </c>
      <c r="C48" s="15">
        <f t="shared" ref="C48:D48" si="25">C47/C36</f>
        <v>1.839210974530955E-2</v>
      </c>
      <c r="D48" s="15">
        <f t="shared" si="25"/>
        <v>2.1203145375275706E-2</v>
      </c>
      <c r="E48" s="15">
        <f>E47/E36</f>
        <v>2.6417391248486331E-2</v>
      </c>
      <c r="F48" s="15">
        <f>F47/F36</f>
        <v>1.0883815449232245E-2</v>
      </c>
      <c r="G48" s="15">
        <f>G47/G36</f>
        <v>1.1753560605912783E-2</v>
      </c>
      <c r="H48" s="15">
        <f>H47/H36</f>
        <v>1.7684953728935741E-2</v>
      </c>
      <c r="I48" s="15">
        <f>AVERAGE(E48:H48)</f>
        <v>1.6684930258141772E-2</v>
      </c>
      <c r="J48" s="15">
        <f>AVERAGE(F48:I48)</f>
        <v>1.4251815010555636E-2</v>
      </c>
      <c r="K48" s="15">
        <f t="shared" ref="K48:M48" si="26">AVERAGE(H48:J48)</f>
        <v>1.6207232999211049E-2</v>
      </c>
      <c r="L48" s="15">
        <f t="shared" si="26"/>
        <v>1.5714659422636151E-2</v>
      </c>
      <c r="M48" s="15">
        <f t="shared" si="26"/>
        <v>1.5391235810800943E-2</v>
      </c>
    </row>
    <row r="49" spans="1:13" x14ac:dyDescent="0.2">
      <c r="B49" t="s">
        <v>32</v>
      </c>
      <c r="C49" s="15">
        <f>C47/C51</f>
        <v>0.28609570753748204</v>
      </c>
      <c r="D49" s="15">
        <f t="shared" ref="D49:M49" si="27">D47/D51</f>
        <v>0.24648283624085537</v>
      </c>
      <c r="E49" s="15">
        <f t="shared" si="27"/>
        <v>0.43191366453103669</v>
      </c>
      <c r="F49" s="15">
        <f t="shared" si="27"/>
        <v>0.36083879357775223</v>
      </c>
      <c r="G49" s="15"/>
      <c r="H49" s="15">
        <f t="shared" si="27"/>
        <v>0.7664752276095701</v>
      </c>
      <c r="I49" s="15">
        <f t="shared" ca="1" si="27"/>
        <v>0.45481823896711437</v>
      </c>
      <c r="J49" s="15">
        <f t="shared" ca="1" si="27"/>
        <v>0.46627676668375623</v>
      </c>
      <c r="K49" s="15">
        <f t="shared" ca="1" si="27"/>
        <v>0.53830878556729189</v>
      </c>
      <c r="L49" s="15">
        <f t="shared" ca="1" si="27"/>
        <v>0.48423491608706454</v>
      </c>
      <c r="M49" s="15">
        <f t="shared" ca="1" si="27"/>
        <v>0.49582301168145176</v>
      </c>
    </row>
    <row r="51" spans="1:13" x14ac:dyDescent="0.2">
      <c r="B51" s="6" t="s">
        <v>29</v>
      </c>
      <c r="C51" s="14">
        <v>9.7379999999999995</v>
      </c>
      <c r="D51" s="14">
        <v>28.431999999999999</v>
      </c>
      <c r="E51" s="14">
        <v>38.084000000000003</v>
      </c>
      <c r="F51" s="14">
        <v>79.971999999999994</v>
      </c>
      <c r="G51" s="14">
        <v>132.59</v>
      </c>
      <c r="H51" s="14">
        <f>(75.568/3)*4</f>
        <v>100.75733333333334</v>
      </c>
      <c r="I51" s="14">
        <f ca="1">I36*I52</f>
        <v>188.00352274574308</v>
      </c>
      <c r="J51" s="14">
        <f t="shared" ref="J51:M51" ca="1" si="28">J36*J52</f>
        <v>191.8854091937873</v>
      </c>
      <c r="K51" s="14">
        <f t="shared" ca="1" si="28"/>
        <v>226.81627105827133</v>
      </c>
      <c r="L51" s="14">
        <f t="shared" ca="1" si="28"/>
        <v>287.26554337309796</v>
      </c>
      <c r="M51" s="14">
        <f t="shared" ca="1" si="28"/>
        <v>315.99435071809262</v>
      </c>
    </row>
    <row r="52" spans="1:13" x14ac:dyDescent="0.2">
      <c r="B52" s="11" t="s">
        <v>31</v>
      </c>
      <c r="C52" s="15">
        <f t="shared" ref="C52:D52" si="29">C51/C36</f>
        <v>6.4286563065263591E-2</v>
      </c>
      <c r="D52" s="15">
        <f t="shared" si="29"/>
        <v>8.6022806693755532E-2</v>
      </c>
      <c r="E52" s="15">
        <f>E51/E36</f>
        <v>6.1163592212739579E-2</v>
      </c>
      <c r="F52" s="15">
        <f>F51/F36</f>
        <v>3.016254250635898E-2</v>
      </c>
      <c r="G52" s="15">
        <f>G51/G36</f>
        <v>3.2340097134929358E-2</v>
      </c>
      <c r="H52" s="15">
        <f>H51/H36</f>
        <v>2.3073092373892306E-2</v>
      </c>
      <c r="I52" s="15">
        <f>AVERAGE(E52:H52)</f>
        <v>3.6684831056980054E-2</v>
      </c>
      <c r="J52" s="15">
        <f>AVERAGE(F52:I52)</f>
        <v>3.0565140768040178E-2</v>
      </c>
      <c r="K52" s="15">
        <f t="shared" ref="K52:M52" si="30">AVERAGE(H52:J52)</f>
        <v>3.0107688066304178E-2</v>
      </c>
      <c r="L52" s="15">
        <f t="shared" si="30"/>
        <v>3.2452553297108139E-2</v>
      </c>
      <c r="M52" s="15">
        <f t="shared" si="30"/>
        <v>3.1041794043817499E-2</v>
      </c>
    </row>
    <row r="54" spans="1:13" x14ac:dyDescent="0.2">
      <c r="B54" s="6" t="s">
        <v>30</v>
      </c>
      <c r="C54" s="14">
        <f>(0.095-16.56-3.443-27.47+1.254+15.011+31.496)</f>
        <v>0.38299999999999557</v>
      </c>
      <c r="D54" s="14">
        <f>(0.037-41.04-7.971-45.769+0.832+27.407+71.511)</f>
        <v>5.0069999999999908</v>
      </c>
      <c r="E54" s="14">
        <f>(-1.068-64.715-24.805-72.714-2.03+51.179+106.286-5.46)</f>
        <v>-13.326999999999991</v>
      </c>
      <c r="F54" s="14">
        <f>(0.927-219.039-68.521-307.068+3.481+251.654+665.724-6.379)</f>
        <v>320.779</v>
      </c>
      <c r="G54" s="14">
        <f>(4.591-159.183-155.934-247.371-2.218+101.369+293.887-17.004)</f>
        <v>-181.86299999999986</v>
      </c>
      <c r="H54" s="14">
        <f>(41.928-238.02-163.721-217.822+24.561+116.391+174.325-17.668)</f>
        <v>-280.02599999999995</v>
      </c>
      <c r="I54" s="14">
        <f ca="1">I36*I55</f>
        <v>358.73810000000003</v>
      </c>
      <c r="J54" s="14">
        <f t="shared" ref="J54:M54" ca="1" si="31">J36*J55</f>
        <v>439.45417250000008</v>
      </c>
      <c r="K54" s="14">
        <f t="shared" ca="1" si="31"/>
        <v>527.34500700000001</v>
      </c>
      <c r="L54" s="14">
        <f t="shared" ca="1" si="31"/>
        <v>619.63038322500017</v>
      </c>
      <c r="M54" s="14">
        <f t="shared" ca="1" si="31"/>
        <v>712.57494070875009</v>
      </c>
    </row>
    <row r="55" spans="1:13" x14ac:dyDescent="0.2">
      <c r="B55" s="11" t="s">
        <v>31</v>
      </c>
      <c r="C55" s="15">
        <f t="shared" ref="C55:D55" si="32">C54/C36</f>
        <v>2.5284199685762657E-3</v>
      </c>
      <c r="D55" s="15">
        <f t="shared" si="32"/>
        <v>1.5148993849030431E-2</v>
      </c>
      <c r="E55" s="15">
        <f>E54/E36</f>
        <v>-2.1403402831088641E-2</v>
      </c>
      <c r="F55" s="15">
        <f>F54/F36</f>
        <v>0.12098622296112799</v>
      </c>
      <c r="G55" s="15">
        <f>G54/G36</f>
        <v>-4.4358300665583023E-2</v>
      </c>
      <c r="H55" s="15">
        <f>H54/H36</f>
        <v>-6.4125017518244148E-2</v>
      </c>
      <c r="I55" s="15">
        <v>7.0000000000000007E-2</v>
      </c>
      <c r="J55" s="15">
        <v>7.0000000000000007E-2</v>
      </c>
      <c r="K55" s="15">
        <v>7.0000000000000007E-2</v>
      </c>
      <c r="L55" s="15">
        <v>7.0000000000000007E-2</v>
      </c>
      <c r="M55" s="15">
        <v>7.0000000000000007E-2</v>
      </c>
    </row>
    <row r="56" spans="1:13" x14ac:dyDescent="0.2">
      <c r="B56" s="11" t="s">
        <v>33</v>
      </c>
      <c r="C56" s="15"/>
      <c r="D56" s="15">
        <f t="shared" ref="D56" si="33">D54/C54-1</f>
        <v>12.073107049608483</v>
      </c>
      <c r="E56" s="15">
        <f>E54/D54-1</f>
        <v>-3.6616736568803705</v>
      </c>
      <c r="F56" s="15">
        <f>F54/E54-1</f>
        <v>-25.069858182636768</v>
      </c>
      <c r="G56" s="15">
        <f>G54/F54-1</f>
        <v>-1.5669417262351959</v>
      </c>
      <c r="H56" s="15">
        <f>H54/F54-1</f>
        <v>-1.8729561473787246</v>
      </c>
      <c r="I56" s="15">
        <f t="shared" ref="I56:M56" ca="1" si="34">I54/H54-1</f>
        <v>-2.2810885417782636</v>
      </c>
      <c r="J56" s="15">
        <f t="shared" ca="1" si="34"/>
        <v>0.22500000000000009</v>
      </c>
      <c r="K56" s="15">
        <f t="shared" ca="1" si="34"/>
        <v>0.19999999999999973</v>
      </c>
      <c r="L56" s="15">
        <f t="shared" ca="1" si="34"/>
        <v>0.17500000000000027</v>
      </c>
      <c r="M56" s="15">
        <f t="shared" ca="1" si="34"/>
        <v>0.14999999999999991</v>
      </c>
    </row>
    <row r="57" spans="1:13" x14ac:dyDescent="0.2">
      <c r="B57" s="11"/>
      <c r="C57" s="15"/>
      <c r="D57" s="15"/>
      <c r="E57" s="15"/>
      <c r="F57" s="15"/>
      <c r="G57" s="15"/>
      <c r="H57" s="15"/>
      <c r="I57" s="15"/>
      <c r="J57" s="15"/>
      <c r="K57" s="15"/>
      <c r="L57" s="15"/>
      <c r="M57" s="15"/>
    </row>
    <row r="58" spans="1:13" x14ac:dyDescent="0.2">
      <c r="H58" s="15"/>
      <c r="I58">
        <v>1</v>
      </c>
      <c r="J58">
        <v>2</v>
      </c>
      <c r="K58">
        <v>3</v>
      </c>
      <c r="L58">
        <v>4</v>
      </c>
      <c r="M58">
        <v>5</v>
      </c>
    </row>
    <row r="59" spans="1:13" s="25" customFormat="1" x14ac:dyDescent="0.2">
      <c r="A59" t="s">
        <v>5</v>
      </c>
      <c r="B59" s="7" t="s">
        <v>34</v>
      </c>
      <c r="C59" s="5">
        <v>2018</v>
      </c>
      <c r="D59" s="5">
        <v>2019</v>
      </c>
      <c r="E59" s="5">
        <v>2020</v>
      </c>
      <c r="F59" s="5">
        <v>2021</v>
      </c>
      <c r="G59" s="5">
        <v>2022</v>
      </c>
      <c r="H59" s="13">
        <v>2023</v>
      </c>
      <c r="I59" s="5">
        <v>2024</v>
      </c>
      <c r="J59" s="5">
        <v>2025</v>
      </c>
      <c r="K59" s="5">
        <v>2026</v>
      </c>
      <c r="L59" s="5">
        <v>2027</v>
      </c>
      <c r="M59" s="5">
        <v>2028</v>
      </c>
    </row>
    <row r="61" spans="1:13" x14ac:dyDescent="0.2">
      <c r="B61" s="6" t="s">
        <v>35</v>
      </c>
      <c r="C61" s="14">
        <f>C36</f>
        <v>151.47800000000001</v>
      </c>
      <c r="D61" s="14">
        <f t="shared" ref="D61:M61" si="35">D36</f>
        <v>330.517</v>
      </c>
      <c r="E61" s="14">
        <f t="shared" si="35"/>
        <v>622.65800000000002</v>
      </c>
      <c r="F61" s="14">
        <f t="shared" si="35"/>
        <v>2651.3679999999999</v>
      </c>
      <c r="G61" s="14">
        <f t="shared" si="35"/>
        <v>4099.8639999999996</v>
      </c>
      <c r="H61" s="14">
        <f t="shared" si="35"/>
        <v>4366.8760000000002</v>
      </c>
      <c r="I61" s="14">
        <f t="shared" ca="1" si="35"/>
        <v>5124.83</v>
      </c>
      <c r="J61" s="14">
        <f t="shared" ca="1" si="35"/>
        <v>6277.9167500000003</v>
      </c>
      <c r="K61" s="14">
        <f t="shared" ca="1" si="35"/>
        <v>7533.5001000000002</v>
      </c>
      <c r="L61" s="14">
        <f t="shared" ca="1" si="35"/>
        <v>8851.8626175000009</v>
      </c>
      <c r="M61" s="14">
        <f t="shared" ca="1" si="35"/>
        <v>10179.642010125001</v>
      </c>
    </row>
    <row r="62" spans="1:13" x14ac:dyDescent="0.2">
      <c r="B62" s="11" t="s">
        <v>15</v>
      </c>
      <c r="D62" s="15">
        <f>D61/C61-1</f>
        <v>1.1819472134567395</v>
      </c>
      <c r="E62" s="15">
        <f t="shared" ref="E62:M62" si="36">E61/D61-1</f>
        <v>0.88389099501689783</v>
      </c>
      <c r="F62" s="15">
        <f t="shared" ref="F62" si="37">F61/E61-1</f>
        <v>3.2581449206466466</v>
      </c>
      <c r="G62" s="15">
        <f t="shared" ref="G62" si="38">G61/F61-1</f>
        <v>0.54632023921236117</v>
      </c>
      <c r="H62" s="15">
        <f t="shared" ref="H62" si="39">H61/G61-1</f>
        <v>6.5127038360297096E-2</v>
      </c>
      <c r="I62" s="15">
        <f t="shared" ca="1" si="36"/>
        <v>0.1735689311993287</v>
      </c>
      <c r="J62" s="15">
        <f t="shared" ca="1" si="36"/>
        <v>0.22500000000000009</v>
      </c>
      <c r="K62" s="15">
        <f t="shared" ca="1" si="36"/>
        <v>0.19999999999999996</v>
      </c>
      <c r="L62" s="15">
        <f t="shared" ca="1" si="36"/>
        <v>0.17500000000000004</v>
      </c>
      <c r="M62" s="15">
        <f t="shared" ca="1" si="36"/>
        <v>0.14999999999999991</v>
      </c>
    </row>
    <row r="64" spans="1:13" x14ac:dyDescent="0.2">
      <c r="B64" s="6" t="s">
        <v>8</v>
      </c>
      <c r="C64" s="14">
        <f>C39</f>
        <v>-4.8330000000000002</v>
      </c>
      <c r="D64" s="14">
        <f t="shared" ref="D64:H64" si="40">D39</f>
        <v>6.1669999999999998</v>
      </c>
      <c r="E64" s="14">
        <f t="shared" si="40"/>
        <v>12.696</v>
      </c>
      <c r="F64" s="14">
        <f t="shared" si="40"/>
        <v>659.84799999999996</v>
      </c>
      <c r="G64" s="14">
        <f t="shared" si="40"/>
        <v>1063.5909999999999</v>
      </c>
      <c r="H64" s="14">
        <f t="shared" si="40"/>
        <v>500.42133333333328</v>
      </c>
      <c r="I64" s="14">
        <f ca="1">I61*I65</f>
        <v>1064.0626919380302</v>
      </c>
      <c r="J64" s="14">
        <f t="shared" ref="J64:M64" ca="1" si="41">J61*J65</f>
        <v>1291.5034357180652</v>
      </c>
      <c r="K64" s="14">
        <f t="shared" ca="1" si="41"/>
        <v>1535.4360885744522</v>
      </c>
      <c r="L64" s="14">
        <f t="shared" ca="1" si="41"/>
        <v>1787.2549637874906</v>
      </c>
      <c r="M64" s="14">
        <f t="shared" ca="1" si="41"/>
        <v>2035.9284020250002</v>
      </c>
    </row>
    <row r="65" spans="1:13" x14ac:dyDescent="0.2">
      <c r="B65" s="11" t="s">
        <v>31</v>
      </c>
      <c r="D65" s="15">
        <f>D64/D61</f>
        <v>1.8658646907723356E-2</v>
      </c>
      <c r="E65" s="15">
        <f t="shared" ref="E65:H65" si="42">E64/E61</f>
        <v>2.0390005428341077E-2</v>
      </c>
      <c r="F65" s="15">
        <f t="shared" si="42"/>
        <v>0.24887077161676538</v>
      </c>
      <c r="G65" s="15">
        <f t="shared" si="42"/>
        <v>0.25942104421024698</v>
      </c>
      <c r="H65" s="15">
        <f t="shared" si="42"/>
        <v>0.11459481179070193</v>
      </c>
      <c r="I65" s="15">
        <f ca="1">OFFSET(I65,$C$13,0)</f>
        <v>0.20762887587257142</v>
      </c>
      <c r="J65" s="15">
        <f t="shared" ref="J65:M65" ca="1" si="43">OFFSET(J65,$C$13,0)</f>
        <v>0.20572165690442856</v>
      </c>
      <c r="K65" s="15">
        <f t="shared" ca="1" si="43"/>
        <v>0.2038144379362857</v>
      </c>
      <c r="L65" s="15">
        <f t="shared" ca="1" si="43"/>
        <v>0.20190721896814284</v>
      </c>
      <c r="M65" s="15">
        <f t="shared" ca="1" si="43"/>
        <v>0.2</v>
      </c>
    </row>
    <row r="66" spans="1:13" x14ac:dyDescent="0.2">
      <c r="I66" s="9">
        <f>I67*$E$10</f>
        <v>0.16610310069805714</v>
      </c>
      <c r="J66" s="9">
        <f t="shared" ref="J66" si="44">J67*$E$10</f>
        <v>0.16457732552354287</v>
      </c>
      <c r="K66" s="9">
        <f t="shared" ref="K66" si="45">K67*$E$10</f>
        <v>0.16305155034902857</v>
      </c>
      <c r="L66" s="9">
        <f t="shared" ref="L66" si="46">L67*$E$10</f>
        <v>0.16152577517451427</v>
      </c>
      <c r="M66" s="24">
        <f t="shared" ref="M66" si="47">M67*$E$10</f>
        <v>0.16000000000000003</v>
      </c>
    </row>
    <row r="67" spans="1:13" x14ac:dyDescent="0.2">
      <c r="I67" s="9">
        <f>AVERAGE(F65:H65)</f>
        <v>0.20762887587257142</v>
      </c>
      <c r="J67" s="9">
        <f>I67-(I67-$M$67)/($M$59-I59)</f>
        <v>0.20572165690442856</v>
      </c>
      <c r="K67" s="9">
        <f t="shared" ref="K67:L67" si="48">J67-(J67-$M$67)/($M$59-J59)</f>
        <v>0.2038144379362857</v>
      </c>
      <c r="L67" s="9">
        <f t="shared" si="48"/>
        <v>0.20190721896814284</v>
      </c>
      <c r="M67" s="24">
        <f>I13</f>
        <v>0.2</v>
      </c>
    </row>
    <row r="68" spans="1:13" x14ac:dyDescent="0.2">
      <c r="I68" s="9">
        <f>I67*$L$10</f>
        <v>0.2491546510470857</v>
      </c>
      <c r="J68" s="9">
        <f t="shared" ref="J68" si="49">J67*$L$10</f>
        <v>0.24686598828531425</v>
      </c>
      <c r="K68" s="9">
        <f t="shared" ref="K68" si="50">K67*$L$10</f>
        <v>0.24457732552354283</v>
      </c>
      <c r="L68" s="9">
        <f t="shared" ref="L68" si="51">L67*$L$10</f>
        <v>0.24228866276177141</v>
      </c>
      <c r="M68" s="24">
        <f t="shared" ref="M68" si="52">M67*$L$10</f>
        <v>0.24</v>
      </c>
    </row>
    <row r="70" spans="1:13" x14ac:dyDescent="0.2">
      <c r="B70" s="6" t="s">
        <v>25</v>
      </c>
      <c r="C70" s="14">
        <f>C42</f>
        <v>0.30399999999999999</v>
      </c>
      <c r="D70" s="14">
        <f>D42</f>
        <v>0.76500000000000001</v>
      </c>
      <c r="E70" s="14">
        <f>E42</f>
        <v>1.0569999999999999</v>
      </c>
      <c r="F70" s="14">
        <f>F42</f>
        <v>5.718</v>
      </c>
      <c r="G70" s="14">
        <f t="shared" ref="G70" si="53">G42</f>
        <v>-274.00700000000001</v>
      </c>
      <c r="H70" s="14">
        <f>H42</f>
        <v>108.07906666666666</v>
      </c>
      <c r="I70" s="14">
        <f ca="1">I64*I71</f>
        <v>212.81253838760605</v>
      </c>
      <c r="J70" s="14">
        <f t="shared" ref="J70:M70" ca="1" si="54">J64*J71</f>
        <v>258.30068714361306</v>
      </c>
      <c r="K70" s="14">
        <f t="shared" ca="1" si="54"/>
        <v>307.08721771489047</v>
      </c>
      <c r="L70" s="14">
        <f t="shared" ca="1" si="54"/>
        <v>357.45099275749817</v>
      </c>
      <c r="M70" s="14">
        <f t="shared" ca="1" si="54"/>
        <v>407.18568040500008</v>
      </c>
    </row>
    <row r="71" spans="1:13" x14ac:dyDescent="0.2">
      <c r="B71" s="11" t="s">
        <v>36</v>
      </c>
      <c r="C71" s="15">
        <f>C70/C64</f>
        <v>-6.2900889716532168E-2</v>
      </c>
      <c r="D71" s="15">
        <f t="shared" ref="D70:M71" si="55">D70/D64</f>
        <v>0.1240473487919572</v>
      </c>
      <c r="E71" s="15">
        <f t="shared" si="55"/>
        <v>8.3254568367989917E-2</v>
      </c>
      <c r="F71" s="15">
        <f t="shared" si="55"/>
        <v>8.6656320849650224E-3</v>
      </c>
      <c r="G71" s="15">
        <f t="shared" si="55"/>
        <v>-0.25762440637425482</v>
      </c>
      <c r="H71" s="15">
        <f t="shared" si="55"/>
        <v>0.21597613744151598</v>
      </c>
      <c r="I71" s="15">
        <v>0.2</v>
      </c>
      <c r="J71" s="15">
        <v>0.2</v>
      </c>
      <c r="K71" s="15">
        <v>0.2</v>
      </c>
      <c r="L71" s="15">
        <v>0.2</v>
      </c>
      <c r="M71" s="15">
        <v>0.2</v>
      </c>
    </row>
    <row r="72" spans="1:13" x14ac:dyDescent="0.2">
      <c r="C72" s="15"/>
    </row>
    <row r="73" spans="1:13" x14ac:dyDescent="0.2">
      <c r="A73" s="26"/>
      <c r="B73" s="26"/>
      <c r="C73" s="26"/>
      <c r="D73" s="26"/>
      <c r="E73" s="26"/>
      <c r="F73" s="26"/>
      <c r="G73" s="26"/>
      <c r="H73" s="26"/>
      <c r="I73" s="26"/>
      <c r="J73" s="26"/>
      <c r="K73" s="26"/>
      <c r="L73" s="26"/>
      <c r="M73" s="26"/>
    </row>
    <row r="74" spans="1:13" x14ac:dyDescent="0.2">
      <c r="B74" s="6" t="s">
        <v>37</v>
      </c>
      <c r="I74" s="16">
        <f ca="1">I64-I70</f>
        <v>851.2501535504241</v>
      </c>
      <c r="J74" s="16">
        <f t="shared" ref="J74:M74" ca="1" si="56">J64-J70</f>
        <v>1033.2027485744522</v>
      </c>
      <c r="K74" s="16">
        <f t="shared" ca="1" si="56"/>
        <v>1228.3488708595619</v>
      </c>
      <c r="L74" s="16">
        <f t="shared" ca="1" si="56"/>
        <v>1429.8039710299925</v>
      </c>
      <c r="M74" s="16">
        <f t="shared" ca="1" si="56"/>
        <v>1628.7427216200001</v>
      </c>
    </row>
    <row r="76" spans="1:13" x14ac:dyDescent="0.2">
      <c r="B76" s="6" t="s">
        <v>28</v>
      </c>
      <c r="C76" s="14">
        <f>C47</f>
        <v>2.786</v>
      </c>
      <c r="D76" s="14">
        <f t="shared" ref="D76:M76" si="57">D47</f>
        <v>7.008</v>
      </c>
      <c r="E76" s="14">
        <f t="shared" si="57"/>
        <v>16.449000000000002</v>
      </c>
      <c r="F76" s="14">
        <f t="shared" si="57"/>
        <v>28.856999999999999</v>
      </c>
      <c r="G76" s="14">
        <f t="shared" si="57"/>
        <v>48.188000000000002</v>
      </c>
      <c r="H76" s="14">
        <f t="shared" si="57"/>
        <v>77.227999999999994</v>
      </c>
      <c r="I76" s="14">
        <f t="shared" ca="1" si="57"/>
        <v>85.5074311348327</v>
      </c>
      <c r="J76" s="14">
        <f t="shared" ca="1" si="57"/>
        <v>89.471708172668656</v>
      </c>
      <c r="K76" s="14">
        <f t="shared" ca="1" si="57"/>
        <v>122.09719142027974</v>
      </c>
      <c r="L76" s="14">
        <f t="shared" ca="1" si="57"/>
        <v>139.10400628997709</v>
      </c>
      <c r="M76" s="14">
        <f t="shared" ca="1" si="57"/>
        <v>156.6772706473696</v>
      </c>
    </row>
    <row r="77" spans="1:13" x14ac:dyDescent="0.2">
      <c r="B77" s="11" t="s">
        <v>31</v>
      </c>
      <c r="C77" s="15">
        <f>C76/C61</f>
        <v>1.839210974530955E-2</v>
      </c>
      <c r="D77" s="15">
        <f t="shared" ref="D77:M77" si="58">D76/D61</f>
        <v>2.1203145375275706E-2</v>
      </c>
      <c r="E77" s="15">
        <f t="shared" si="58"/>
        <v>2.6417391248486331E-2</v>
      </c>
      <c r="F77" s="15">
        <f t="shared" si="58"/>
        <v>1.0883815449232245E-2</v>
      </c>
      <c r="G77" s="15">
        <f t="shared" ref="G77" si="59">G76/G61</f>
        <v>1.1753560605912783E-2</v>
      </c>
      <c r="H77" s="15">
        <f t="shared" si="58"/>
        <v>1.7684953728935741E-2</v>
      </c>
      <c r="I77" s="15">
        <f t="shared" ca="1" si="58"/>
        <v>1.6684930258141772E-2</v>
      </c>
      <c r="J77" s="15">
        <f t="shared" ca="1" si="58"/>
        <v>1.4251815010555636E-2</v>
      </c>
      <c r="K77" s="15">
        <f t="shared" ca="1" si="58"/>
        <v>1.6207232999211049E-2</v>
      </c>
      <c r="L77" s="15">
        <f t="shared" ca="1" si="58"/>
        <v>1.5714659422636151E-2</v>
      </c>
      <c r="M77" s="15">
        <f t="shared" ca="1" si="58"/>
        <v>1.5391235810800942E-2</v>
      </c>
    </row>
    <row r="78" spans="1:13" x14ac:dyDescent="0.2">
      <c r="B78" t="s">
        <v>32</v>
      </c>
      <c r="C78" s="15">
        <f>C76/C80</f>
        <v>0.28609570753748204</v>
      </c>
      <c r="D78" s="15">
        <f t="shared" ref="D78:M78" si="60">D76/D80</f>
        <v>0.24648283624085537</v>
      </c>
      <c r="E78" s="15">
        <f t="shared" si="60"/>
        <v>0.43191366453103669</v>
      </c>
      <c r="F78" s="15">
        <f t="shared" si="60"/>
        <v>0.36083879357775223</v>
      </c>
      <c r="G78" s="15">
        <f t="shared" ref="G78" si="61">G76/G80</f>
        <v>0.36343615657289391</v>
      </c>
      <c r="H78" s="15">
        <f t="shared" si="60"/>
        <v>0.7664752276095701</v>
      </c>
      <c r="I78" s="15">
        <f t="shared" ca="1" si="60"/>
        <v>0.45481823896711437</v>
      </c>
      <c r="J78" s="15">
        <f t="shared" ca="1" si="60"/>
        <v>0.46627676668375623</v>
      </c>
      <c r="K78" s="15">
        <f t="shared" ca="1" si="60"/>
        <v>0.53830878556729189</v>
      </c>
      <c r="L78" s="15">
        <f t="shared" ca="1" si="60"/>
        <v>0.48423491608706454</v>
      </c>
      <c r="M78" s="15">
        <f t="shared" ca="1" si="60"/>
        <v>0.49582301168145176</v>
      </c>
    </row>
    <row r="80" spans="1:13" x14ac:dyDescent="0.2">
      <c r="B80" s="6" t="s">
        <v>29</v>
      </c>
      <c r="C80" s="14">
        <f>C51</f>
        <v>9.7379999999999995</v>
      </c>
      <c r="D80" s="14">
        <f t="shared" ref="D80:M80" si="62">D51</f>
        <v>28.431999999999999</v>
      </c>
      <c r="E80" s="14">
        <f t="shared" si="62"/>
        <v>38.084000000000003</v>
      </c>
      <c r="F80" s="14">
        <f t="shared" si="62"/>
        <v>79.971999999999994</v>
      </c>
      <c r="G80" s="14">
        <f t="shared" si="62"/>
        <v>132.59</v>
      </c>
      <c r="H80" s="14">
        <f t="shared" si="62"/>
        <v>100.75733333333334</v>
      </c>
      <c r="I80" s="14">
        <f t="shared" ca="1" si="62"/>
        <v>188.00352274574308</v>
      </c>
      <c r="J80" s="14">
        <f t="shared" ca="1" si="62"/>
        <v>191.8854091937873</v>
      </c>
      <c r="K80" s="14">
        <f t="shared" ca="1" si="62"/>
        <v>226.81627105827133</v>
      </c>
      <c r="L80" s="14">
        <f t="shared" ca="1" si="62"/>
        <v>287.26554337309796</v>
      </c>
      <c r="M80" s="14">
        <f t="shared" ca="1" si="62"/>
        <v>315.99435071809262</v>
      </c>
    </row>
    <row r="81" spans="1:13" x14ac:dyDescent="0.2">
      <c r="B81" s="11" t="s">
        <v>31</v>
      </c>
      <c r="C81" s="15">
        <f>C80/C61</f>
        <v>6.4286563065263591E-2</v>
      </c>
      <c r="D81" s="15">
        <f t="shared" ref="D81:M81" si="63">D80/D61</f>
        <v>8.6022806693755532E-2</v>
      </c>
      <c r="E81" s="15">
        <f t="shared" si="63"/>
        <v>6.1163592212739579E-2</v>
      </c>
      <c r="F81" s="15">
        <f t="shared" si="63"/>
        <v>3.016254250635898E-2</v>
      </c>
      <c r="G81" s="15">
        <f t="shared" si="63"/>
        <v>3.2340097134929358E-2</v>
      </c>
      <c r="H81" s="15">
        <f t="shared" si="63"/>
        <v>2.3073092373892306E-2</v>
      </c>
      <c r="I81" s="15">
        <f t="shared" ca="1" si="63"/>
        <v>3.6684831056980054E-2</v>
      </c>
      <c r="J81" s="15">
        <f t="shared" ca="1" si="63"/>
        <v>3.0565140768040178E-2</v>
      </c>
      <c r="K81" s="15">
        <f t="shared" ca="1" si="63"/>
        <v>3.0107688066304178E-2</v>
      </c>
      <c r="L81" s="15">
        <f t="shared" ca="1" si="63"/>
        <v>3.2452553297108139E-2</v>
      </c>
      <c r="M81" s="15">
        <f t="shared" ca="1" si="63"/>
        <v>3.1041794043817496E-2</v>
      </c>
    </row>
    <row r="83" spans="1:13" x14ac:dyDescent="0.2">
      <c r="B83" s="6" t="s">
        <v>30</v>
      </c>
      <c r="C83" s="14">
        <f>C54</f>
        <v>0.38299999999999557</v>
      </c>
      <c r="D83" s="14">
        <f t="shared" ref="D83:M83" si="64">D54</f>
        <v>5.0069999999999908</v>
      </c>
      <c r="E83" s="14">
        <f t="shared" si="64"/>
        <v>-13.326999999999991</v>
      </c>
      <c r="F83" s="14">
        <f t="shared" si="64"/>
        <v>320.779</v>
      </c>
      <c r="G83" s="14">
        <f t="shared" ref="G83" si="65">G54</f>
        <v>-181.86299999999986</v>
      </c>
      <c r="H83" s="14">
        <f t="shared" si="64"/>
        <v>-280.02599999999995</v>
      </c>
      <c r="I83" s="14">
        <f t="shared" ca="1" si="64"/>
        <v>358.73810000000003</v>
      </c>
      <c r="J83" s="14">
        <f t="shared" ca="1" si="64"/>
        <v>439.45417250000008</v>
      </c>
      <c r="K83" s="14">
        <f t="shared" ca="1" si="64"/>
        <v>527.34500700000001</v>
      </c>
      <c r="L83" s="14">
        <f t="shared" ca="1" si="64"/>
        <v>619.63038322500017</v>
      </c>
      <c r="M83" s="14">
        <f t="shared" ca="1" si="64"/>
        <v>712.57494070875009</v>
      </c>
    </row>
    <row r="84" spans="1:13" x14ac:dyDescent="0.2">
      <c r="B84" s="11" t="s">
        <v>31</v>
      </c>
      <c r="C84" s="15">
        <f>C83/C61</f>
        <v>2.5284199685762657E-3</v>
      </c>
      <c r="D84" s="15">
        <f t="shared" ref="D84:M84" si="66">D83/D61</f>
        <v>1.5148993849030431E-2</v>
      </c>
      <c r="E84" s="15">
        <f t="shared" si="66"/>
        <v>-2.1403402831088641E-2</v>
      </c>
      <c r="F84" s="15">
        <f t="shared" si="66"/>
        <v>0.12098622296112799</v>
      </c>
      <c r="G84" s="15">
        <f t="shared" ref="G84" si="67">G83/G61</f>
        <v>-4.4358300665583023E-2</v>
      </c>
      <c r="H84" s="15">
        <f t="shared" si="66"/>
        <v>-6.4125017518244148E-2</v>
      </c>
      <c r="I84" s="15">
        <f t="shared" ca="1" si="66"/>
        <v>7.0000000000000007E-2</v>
      </c>
      <c r="J84" s="15">
        <f t="shared" ca="1" si="66"/>
        <v>7.0000000000000007E-2</v>
      </c>
      <c r="K84" s="15">
        <f t="shared" ca="1" si="66"/>
        <v>6.9999999999999993E-2</v>
      </c>
      <c r="L84" s="15">
        <f t="shared" ca="1" si="66"/>
        <v>7.0000000000000007E-2</v>
      </c>
      <c r="M84" s="15">
        <f t="shared" ca="1" si="66"/>
        <v>7.0000000000000007E-2</v>
      </c>
    </row>
    <row r="85" spans="1:13" x14ac:dyDescent="0.2">
      <c r="B85" s="11" t="s">
        <v>33</v>
      </c>
      <c r="D85" s="15">
        <f>D84/C84-1</f>
        <v>4.9914863975547208</v>
      </c>
      <c r="E85" s="15">
        <f t="shared" ref="E85:M85" si="68">E84/D84-1</f>
        <v>-2.4128596951314032</v>
      </c>
      <c r="F85" s="15">
        <f t="shared" si="68"/>
        <v>-6.6526629861581812</v>
      </c>
      <c r="G85" s="15">
        <f t="shared" ref="G85" si="69">G84/F84-1</f>
        <v>-1.3666392716452933</v>
      </c>
      <c r="H85" s="15">
        <f>H84/F84-1</f>
        <v>-1.530019170355017</v>
      </c>
      <c r="I85" s="15">
        <f t="shared" ca="1" si="68"/>
        <v>-2.0916176355052749</v>
      </c>
      <c r="J85" s="15">
        <f t="shared" ref="J85" ca="1" si="70">J84/I84-1</f>
        <v>0</v>
      </c>
      <c r="K85" s="15">
        <f t="shared" ref="K85" ca="1" si="71">K84/J84-1</f>
        <v>0</v>
      </c>
      <c r="L85" s="15">
        <f t="shared" ref="L85" ca="1" si="72">L84/K84-1</f>
        <v>0</v>
      </c>
      <c r="M85" s="15">
        <f t="shared" ref="M85" ca="1" si="73">M84/L84-1</f>
        <v>0</v>
      </c>
    </row>
    <row r="87" spans="1:13" x14ac:dyDescent="0.2">
      <c r="A87" s="26"/>
      <c r="B87" s="26"/>
      <c r="C87" s="26"/>
      <c r="D87" s="26"/>
      <c r="E87" s="26"/>
      <c r="F87" s="26"/>
      <c r="G87" s="26"/>
      <c r="H87" s="26"/>
      <c r="I87" s="26"/>
      <c r="J87" s="26"/>
      <c r="K87" s="26"/>
      <c r="L87" s="26"/>
      <c r="M87" s="26"/>
    </row>
    <row r="88" spans="1:13" x14ac:dyDescent="0.2">
      <c r="B88" s="6" t="s">
        <v>39</v>
      </c>
      <c r="I88" s="16">
        <f ca="1">I74+I76-I80-I83</f>
        <v>390.01596193951366</v>
      </c>
      <c r="J88" s="16">
        <f t="shared" ref="J88:M88" ca="1" si="74">J74+J76-J80-J83</f>
        <v>491.33487505333363</v>
      </c>
      <c r="K88" s="16">
        <f t="shared" ca="1" si="74"/>
        <v>596.28478422157048</v>
      </c>
      <c r="L88" s="16">
        <f t="shared" ca="1" si="74"/>
        <v>662.01205072187156</v>
      </c>
      <c r="M88" s="16">
        <f t="shared" ca="1" si="74"/>
        <v>756.850700840527</v>
      </c>
    </row>
    <row r="89" spans="1:13" x14ac:dyDescent="0.2">
      <c r="B89" s="6" t="s">
        <v>38</v>
      </c>
      <c r="I89" s="14">
        <f ca="1">I88/(1+$C$17)^I58</f>
        <v>362.64385028654249</v>
      </c>
      <c r="J89" s="14">
        <f t="shared" ref="J89:M89" ca="1" si="75">J88/(1+$C$17)^J58</f>
        <v>424.78919629110112</v>
      </c>
      <c r="K89" s="14">
        <f t="shared" ca="1" si="75"/>
        <v>479.34426324733141</v>
      </c>
      <c r="L89" s="14">
        <f t="shared" ca="1" si="75"/>
        <v>494.83184102788471</v>
      </c>
      <c r="M89" s="14">
        <f t="shared" ca="1" si="75"/>
        <v>526.01713976057022</v>
      </c>
    </row>
    <row r="91" spans="1:13" x14ac:dyDescent="0.2">
      <c r="A91" s="26"/>
      <c r="B91" s="26"/>
      <c r="C91" s="26"/>
      <c r="D91" s="26"/>
      <c r="E91" s="26"/>
      <c r="F91" s="26"/>
      <c r="G91" s="26"/>
      <c r="H91" s="26"/>
      <c r="I91" s="26"/>
      <c r="J91" s="26"/>
      <c r="K91" s="26"/>
      <c r="L91" s="26"/>
      <c r="M91" s="26"/>
    </row>
    <row r="92" spans="1:13" x14ac:dyDescent="0.2">
      <c r="B92" s="6" t="s">
        <v>40</v>
      </c>
      <c r="M92" s="14">
        <f ca="1">M88*(1+C17)/(C17-C18)</f>
        <v>16124.964813506876</v>
      </c>
    </row>
    <row r="93" spans="1:13" x14ac:dyDescent="0.2">
      <c r="B93" s="6" t="s">
        <v>41</v>
      </c>
      <c r="M93" s="14">
        <f ca="1">M92/(1+C17)^M58</f>
        <v>11206.976303940735</v>
      </c>
    </row>
    <row r="95" spans="1:13" x14ac:dyDescent="0.2">
      <c r="B95" t="s">
        <v>42</v>
      </c>
      <c r="M95" s="14">
        <f ca="1">SUM(M93,I89:M89)</f>
        <v>13494.602594554164</v>
      </c>
    </row>
    <row r="96" spans="1:13" x14ac:dyDescent="0.2">
      <c r="B96" t="s">
        <v>43</v>
      </c>
      <c r="M96" s="14">
        <v>5160</v>
      </c>
    </row>
    <row r="97" spans="2:13" x14ac:dyDescent="0.2">
      <c r="B97" t="s">
        <v>44</v>
      </c>
      <c r="M97" s="14">
        <f>ZM_WACC!D16</f>
        <v>99.86</v>
      </c>
    </row>
    <row r="98" spans="2:13" x14ac:dyDescent="0.2">
      <c r="B98" t="s">
        <v>45</v>
      </c>
      <c r="M98" s="14">
        <f ca="1">M95+M96-M97</f>
        <v>18554.742594554162</v>
      </c>
    </row>
    <row r="99" spans="2:13" x14ac:dyDescent="0.2">
      <c r="B99" t="s">
        <v>46</v>
      </c>
      <c r="M99" s="14">
        <f>245.652118+46.670111</f>
        <v>292.32222899999999</v>
      </c>
    </row>
    <row r="100" spans="2:13" x14ac:dyDescent="0.2">
      <c r="B100" t="s">
        <v>2</v>
      </c>
      <c r="M100" s="14">
        <f ca="1">M98/M99</f>
        <v>63.473594389409783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9184B-61A0-0642-A96C-6623F06EA2F2}">
  <dimension ref="A1:D23"/>
  <sheetViews>
    <sheetView showGridLines="0" zoomScale="140" zoomScaleNormal="140" workbookViewId="0">
      <selection activeCell="D14" sqref="D14"/>
    </sheetView>
  </sheetViews>
  <sheetFormatPr baseColWidth="10" defaultRowHeight="16" x14ac:dyDescent="0.2"/>
  <cols>
    <col min="4" max="4" width="21.33203125" bestFit="1" customWidth="1"/>
  </cols>
  <sheetData>
    <row r="1" spans="1:4" ht="24" x14ac:dyDescent="0.3">
      <c r="A1" s="27" t="s">
        <v>60</v>
      </c>
    </row>
    <row r="3" spans="1:4" ht="19" x14ac:dyDescent="0.25">
      <c r="A3" s="28" t="s">
        <v>47</v>
      </c>
    </row>
    <row r="4" spans="1:4" ht="19" x14ac:dyDescent="0.25">
      <c r="A4" s="28"/>
    </row>
    <row r="5" spans="1:4" ht="19" x14ac:dyDescent="0.25">
      <c r="A5" s="28" t="s">
        <v>48</v>
      </c>
    </row>
    <row r="7" spans="1:4" ht="19" x14ac:dyDescent="0.25">
      <c r="A7" s="30" t="s">
        <v>9</v>
      </c>
    </row>
    <row r="8" spans="1:4" ht="19" x14ac:dyDescent="0.25">
      <c r="A8" s="29"/>
    </row>
    <row r="9" spans="1:4" ht="19" x14ac:dyDescent="0.25">
      <c r="A9" s="29" t="s">
        <v>49</v>
      </c>
      <c r="D9" s="32">
        <v>20310</v>
      </c>
    </row>
    <row r="10" spans="1:4" ht="19" x14ac:dyDescent="0.25">
      <c r="A10" s="29" t="s">
        <v>50</v>
      </c>
      <c r="D10" s="10">
        <f>D9/D21</f>
        <v>0.99510726678183969</v>
      </c>
    </row>
    <row r="11" spans="1:4" ht="19" x14ac:dyDescent="0.25">
      <c r="A11" s="29" t="s">
        <v>51</v>
      </c>
      <c r="D11" s="10">
        <f>D12+(D13*D14)</f>
        <v>6.3016000000000003E-2</v>
      </c>
    </row>
    <row r="12" spans="1:4" ht="19" x14ac:dyDescent="0.25">
      <c r="A12" s="29" t="s">
        <v>52</v>
      </c>
      <c r="D12" s="10">
        <v>3.44E-2</v>
      </c>
    </row>
    <row r="13" spans="1:4" ht="19" x14ac:dyDescent="0.25">
      <c r="A13" s="29" t="s">
        <v>53</v>
      </c>
      <c r="D13" s="31">
        <v>0.56000000000000005</v>
      </c>
    </row>
    <row r="14" spans="1:4" ht="19" x14ac:dyDescent="0.25">
      <c r="A14" s="29" t="s">
        <v>54</v>
      </c>
      <c r="D14" s="10">
        <v>5.11E-2</v>
      </c>
    </row>
    <row r="15" spans="1:4" ht="19" x14ac:dyDescent="0.25">
      <c r="A15" s="29"/>
    </row>
    <row r="16" spans="1:4" ht="19" x14ac:dyDescent="0.25">
      <c r="A16" s="29" t="s">
        <v>55</v>
      </c>
      <c r="D16" s="32">
        <v>99.86</v>
      </c>
    </row>
    <row r="17" spans="1:4" ht="19" x14ac:dyDescent="0.25">
      <c r="A17" s="29" t="s">
        <v>56</v>
      </c>
      <c r="D17" s="10">
        <f>D16/D9</f>
        <v>4.9167897587395369E-3</v>
      </c>
    </row>
    <row r="18" spans="1:4" ht="19" x14ac:dyDescent="0.25">
      <c r="A18" s="29" t="s">
        <v>57</v>
      </c>
      <c r="D18" s="10">
        <v>0.05</v>
      </c>
    </row>
    <row r="19" spans="1:4" ht="19" x14ac:dyDescent="0.25">
      <c r="A19" s="29" t="s">
        <v>58</v>
      </c>
      <c r="D19" s="15">
        <v>0.22</v>
      </c>
    </row>
    <row r="20" spans="1:4" ht="19" x14ac:dyDescent="0.25">
      <c r="A20" s="29"/>
    </row>
    <row r="21" spans="1:4" ht="19" x14ac:dyDescent="0.25">
      <c r="A21" s="29" t="s">
        <v>59</v>
      </c>
      <c r="D21" s="32">
        <f>D9+D16</f>
        <v>20409.86</v>
      </c>
    </row>
    <row r="22" spans="1:4" ht="19" x14ac:dyDescent="0.25">
      <c r="A22" s="29"/>
    </row>
    <row r="23" spans="1:4" ht="19" x14ac:dyDescent="0.25">
      <c r="A23" s="29" t="s">
        <v>9</v>
      </c>
      <c r="D23" s="10">
        <f>(D10*D11)+(D17*D18*(1-D19))</f>
        <v>6.2899434324115253E-2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ZM_DCF</vt:lpstr>
      <vt:lpstr>ZM_WACC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2023-01-16T08:18:14Z</dcterms:created>
  <dcterms:modified xsi:type="dcterms:W3CDTF">2023-01-19T11:10:20Z</dcterms:modified>
</cp:coreProperties>
</file>