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Tesla/"/>
    </mc:Choice>
  </mc:AlternateContent>
  <xr:revisionPtr revIDLastSave="0" documentId="13_ncr:1_{DF7AAFFE-FE53-4746-848E-25F86934BE9D}" xr6:coauthVersionLast="47" xr6:coauthVersionMax="47" xr10:uidLastSave="{00000000-0000-0000-0000-000000000000}"/>
  <bookViews>
    <workbookView xWindow="49400" yWindow="500" windowWidth="17800" windowHeight="19500" xr2:uid="{78290D48-E418-2747-98B4-276EF5C26EED}"/>
  </bookViews>
  <sheets>
    <sheet name="TSLA_DCF" sheetId="1" r:id="rId1"/>
    <sheet name="TSLA_WAC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0" i="1" l="1"/>
  <c r="E20" i="1"/>
  <c r="C23" i="1"/>
  <c r="D11" i="2"/>
  <c r="Q129" i="1"/>
  <c r="D21" i="2"/>
  <c r="D10" i="2" s="1"/>
  <c r="D17" i="2"/>
  <c r="F114" i="1"/>
  <c r="E114" i="1"/>
  <c r="D114" i="1"/>
  <c r="C114" i="1"/>
  <c r="F110" i="1"/>
  <c r="E110" i="1"/>
  <c r="D110" i="1"/>
  <c r="C110" i="1"/>
  <c r="F104" i="1"/>
  <c r="E104" i="1"/>
  <c r="D104" i="1"/>
  <c r="C104" i="1"/>
  <c r="H102" i="1"/>
  <c r="H100" i="1"/>
  <c r="Q101" i="1"/>
  <c r="Q102" i="1" s="1"/>
  <c r="F98" i="1"/>
  <c r="E98" i="1"/>
  <c r="D98" i="1"/>
  <c r="C98" i="1"/>
  <c r="G89" i="1"/>
  <c r="G117" i="1" s="1"/>
  <c r="G86" i="1"/>
  <c r="G114" i="1" s="1"/>
  <c r="G82" i="1"/>
  <c r="G110" i="1" s="1"/>
  <c r="F89" i="1"/>
  <c r="F84" i="1"/>
  <c r="E84" i="1"/>
  <c r="D84" i="1"/>
  <c r="C84" i="1"/>
  <c r="C89" i="1"/>
  <c r="C117" i="1" s="1"/>
  <c r="D89" i="1"/>
  <c r="D117" i="1" s="1"/>
  <c r="E89" i="1"/>
  <c r="F78" i="1"/>
  <c r="E78" i="1"/>
  <c r="D78" i="1"/>
  <c r="C78" i="1"/>
  <c r="G77" i="1"/>
  <c r="I75" i="1"/>
  <c r="J75" i="1" s="1"/>
  <c r="K75" i="1" s="1"/>
  <c r="L75" i="1" s="1"/>
  <c r="M75" i="1" s="1"/>
  <c r="N75" i="1" s="1"/>
  <c r="O75" i="1" s="1"/>
  <c r="P75" i="1" s="1"/>
  <c r="G74" i="1"/>
  <c r="G98" i="1" s="1"/>
  <c r="Q62" i="1"/>
  <c r="Q63" i="1" s="1"/>
  <c r="Q60" i="1" s="1"/>
  <c r="Q55" i="1"/>
  <c r="Q54" i="1" s="1"/>
  <c r="Q48" i="1"/>
  <c r="Q49" i="1" s="1"/>
  <c r="Q46" i="1" s="1"/>
  <c r="Q41" i="1"/>
  <c r="Q40" i="1" s="1"/>
  <c r="Q34" i="1"/>
  <c r="F60" i="1"/>
  <c r="E60" i="1"/>
  <c r="D60" i="1"/>
  <c r="F53" i="1"/>
  <c r="E53" i="1"/>
  <c r="D53" i="1"/>
  <c r="F46" i="1"/>
  <c r="E46" i="1"/>
  <c r="D46" i="1"/>
  <c r="F39" i="1"/>
  <c r="E39" i="1"/>
  <c r="F32" i="1"/>
  <c r="E32" i="1"/>
  <c r="D32" i="1"/>
  <c r="G59" i="1"/>
  <c r="G60" i="1" s="1"/>
  <c r="G52" i="1"/>
  <c r="G45" i="1"/>
  <c r="G46" i="1" s="1"/>
  <c r="G38" i="1"/>
  <c r="G39" i="1" s="1"/>
  <c r="G31" i="1"/>
  <c r="E66" i="1"/>
  <c r="E71" i="1" s="1"/>
  <c r="D66" i="1"/>
  <c r="D71" i="1" s="1"/>
  <c r="D95" i="1" s="1"/>
  <c r="C66" i="1"/>
  <c r="C50" i="1" s="1"/>
  <c r="F66" i="1"/>
  <c r="B59" i="1"/>
  <c r="B52" i="1"/>
  <c r="B45" i="1"/>
  <c r="B38" i="1"/>
  <c r="B31" i="1"/>
  <c r="I3" i="1" a="1"/>
  <c r="I3" i="1" s="1"/>
  <c r="Q42" i="1" l="1"/>
  <c r="Q39" i="1" s="1"/>
  <c r="Q61" i="1"/>
  <c r="C105" i="1"/>
  <c r="I101" i="1"/>
  <c r="I100" i="1" s="1"/>
  <c r="E105" i="1"/>
  <c r="D83" i="1"/>
  <c r="E57" i="1"/>
  <c r="G78" i="1"/>
  <c r="H78" i="1" s="1"/>
  <c r="I78" i="1" s="1"/>
  <c r="D105" i="1"/>
  <c r="F105" i="1"/>
  <c r="E64" i="1"/>
  <c r="E90" i="1"/>
  <c r="D87" i="1"/>
  <c r="G84" i="1"/>
  <c r="Q100" i="1"/>
  <c r="D115" i="1"/>
  <c r="D118" i="1"/>
  <c r="E75" i="1"/>
  <c r="E99" i="1" s="1"/>
  <c r="E95" i="1"/>
  <c r="E83" i="1"/>
  <c r="E87" i="1"/>
  <c r="D111" i="1"/>
  <c r="G104" i="1"/>
  <c r="G105" i="1" s="1"/>
  <c r="E117" i="1"/>
  <c r="D67" i="1"/>
  <c r="H48" i="1"/>
  <c r="I48" i="1" s="1"/>
  <c r="D90" i="1"/>
  <c r="Q56" i="1"/>
  <c r="Q53" i="1" s="1"/>
  <c r="F117" i="1"/>
  <c r="D43" i="1"/>
  <c r="D23" i="2"/>
  <c r="H19" i="1" s="1"/>
  <c r="D75" i="1"/>
  <c r="D99" i="1" s="1"/>
  <c r="E72" i="1"/>
  <c r="F67" i="1"/>
  <c r="F50" i="1"/>
  <c r="F71" i="1"/>
  <c r="F64" i="1"/>
  <c r="F43" i="1"/>
  <c r="C36" i="1"/>
  <c r="C71" i="1"/>
  <c r="C64" i="1"/>
  <c r="C57" i="1"/>
  <c r="D36" i="1"/>
  <c r="G53" i="1"/>
  <c r="H55" i="1" s="1"/>
  <c r="H41" i="1"/>
  <c r="H62" i="1"/>
  <c r="Q35" i="1"/>
  <c r="Q32" i="1" s="1"/>
  <c r="Q33" i="1"/>
  <c r="Q47" i="1"/>
  <c r="D64" i="1"/>
  <c r="D57" i="1"/>
  <c r="D50" i="1"/>
  <c r="F57" i="1"/>
  <c r="E67" i="1"/>
  <c r="E50" i="1"/>
  <c r="G66" i="1"/>
  <c r="G71" i="1" s="1"/>
  <c r="E36" i="1"/>
  <c r="E43" i="1"/>
  <c r="G32" i="1"/>
  <c r="H34" i="1" s="1"/>
  <c r="F36" i="1"/>
  <c r="C43" i="1"/>
  <c r="K19" i="1" l="1"/>
  <c r="E19" i="1"/>
  <c r="C22" i="1"/>
  <c r="G43" i="1"/>
  <c r="H47" i="1"/>
  <c r="I102" i="1"/>
  <c r="J101" i="1"/>
  <c r="G64" i="1"/>
  <c r="G50" i="1"/>
  <c r="C75" i="1"/>
  <c r="C99" i="1" s="1"/>
  <c r="C87" i="1"/>
  <c r="C83" i="1"/>
  <c r="C95" i="1"/>
  <c r="F83" i="1"/>
  <c r="F87" i="1"/>
  <c r="F95" i="1"/>
  <c r="F118" i="1" s="1"/>
  <c r="H49" i="1"/>
  <c r="H46" i="1" s="1"/>
  <c r="H45" i="1" s="1"/>
  <c r="C90" i="1"/>
  <c r="F90" i="1"/>
  <c r="E115" i="1"/>
  <c r="E96" i="1"/>
  <c r="E111" i="1"/>
  <c r="G83" i="1"/>
  <c r="G87" i="1"/>
  <c r="G90" i="1"/>
  <c r="G95" i="1"/>
  <c r="E118" i="1"/>
  <c r="J78" i="1"/>
  <c r="K78" i="1" s="1"/>
  <c r="L78" i="1" s="1"/>
  <c r="M78" i="1" s="1"/>
  <c r="G57" i="1"/>
  <c r="G72" i="1"/>
  <c r="G75" i="1"/>
  <c r="G99" i="1" s="1"/>
  <c r="H56" i="1"/>
  <c r="H53" i="1" s="1"/>
  <c r="H52" i="1" s="1"/>
  <c r="H54" i="1"/>
  <c r="I55" i="1"/>
  <c r="H63" i="1"/>
  <c r="H60" i="1" s="1"/>
  <c r="H59" i="1" s="1"/>
  <c r="I62" i="1"/>
  <c r="H61" i="1"/>
  <c r="I47" i="1"/>
  <c r="I49" i="1"/>
  <c r="I46" i="1" s="1"/>
  <c r="J48" i="1"/>
  <c r="I34" i="1"/>
  <c r="H33" i="1"/>
  <c r="H35" i="1"/>
  <c r="H32" i="1" s="1"/>
  <c r="H31" i="1" s="1"/>
  <c r="H40" i="1"/>
  <c r="H42" i="1"/>
  <c r="H39" i="1" s="1"/>
  <c r="H38" i="1" s="1"/>
  <c r="I41" i="1"/>
  <c r="F75" i="1"/>
  <c r="F99" i="1" s="1"/>
  <c r="F72" i="1"/>
  <c r="D72" i="1"/>
  <c r="G36" i="1"/>
  <c r="G67" i="1"/>
  <c r="H87" i="1" l="1"/>
  <c r="I87" i="1" s="1"/>
  <c r="J87" i="1" s="1"/>
  <c r="I45" i="1"/>
  <c r="K101" i="1"/>
  <c r="J100" i="1"/>
  <c r="J102" i="1"/>
  <c r="C111" i="1"/>
  <c r="C115" i="1"/>
  <c r="C118" i="1"/>
  <c r="D96" i="1"/>
  <c r="G96" i="1"/>
  <c r="G115" i="1"/>
  <c r="G118" i="1"/>
  <c r="G111" i="1"/>
  <c r="F111" i="1"/>
  <c r="F96" i="1"/>
  <c r="F115" i="1"/>
  <c r="H83" i="1"/>
  <c r="H66" i="1"/>
  <c r="H71" i="1" s="1"/>
  <c r="J55" i="1"/>
  <c r="I56" i="1"/>
  <c r="I53" i="1" s="1"/>
  <c r="I52" i="1" s="1"/>
  <c r="I54" i="1"/>
  <c r="I33" i="1"/>
  <c r="I35" i="1"/>
  <c r="I32" i="1" s="1"/>
  <c r="J34" i="1"/>
  <c r="I42" i="1"/>
  <c r="I39" i="1" s="1"/>
  <c r="I38" i="1" s="1"/>
  <c r="I40" i="1"/>
  <c r="J41" i="1"/>
  <c r="K48" i="1"/>
  <c r="J49" i="1"/>
  <c r="J46" i="1" s="1"/>
  <c r="J47" i="1"/>
  <c r="J62" i="1"/>
  <c r="I63" i="1"/>
  <c r="I60" i="1" s="1"/>
  <c r="I59" i="1" s="1"/>
  <c r="I61" i="1"/>
  <c r="N78" i="1"/>
  <c r="J45" i="1" l="1"/>
  <c r="L101" i="1"/>
  <c r="K102" i="1"/>
  <c r="K100" i="1"/>
  <c r="K87" i="1"/>
  <c r="L87" i="1" s="1"/>
  <c r="M87" i="1" s="1"/>
  <c r="I83" i="1"/>
  <c r="J83" i="1"/>
  <c r="K83" i="1" s="1"/>
  <c r="H89" i="1"/>
  <c r="H117" i="1" s="1"/>
  <c r="H95" i="1"/>
  <c r="H82" i="1"/>
  <c r="H110" i="1" s="1"/>
  <c r="H86" i="1"/>
  <c r="H114" i="1" s="1"/>
  <c r="H74" i="1"/>
  <c r="H77" i="1" s="1"/>
  <c r="H104" i="1" s="1"/>
  <c r="H64" i="1"/>
  <c r="H50" i="1"/>
  <c r="H36" i="1"/>
  <c r="H67" i="1"/>
  <c r="H43" i="1"/>
  <c r="H57" i="1"/>
  <c r="H72" i="1"/>
  <c r="K62" i="1"/>
  <c r="J61" i="1"/>
  <c r="J63" i="1"/>
  <c r="J60" i="1" s="1"/>
  <c r="J59" i="1" s="1"/>
  <c r="K34" i="1"/>
  <c r="J33" i="1"/>
  <c r="J35" i="1"/>
  <c r="J32" i="1" s="1"/>
  <c r="L48" i="1"/>
  <c r="K47" i="1"/>
  <c r="K49" i="1"/>
  <c r="K46" i="1" s="1"/>
  <c r="K41" i="1"/>
  <c r="J42" i="1"/>
  <c r="J39" i="1" s="1"/>
  <c r="J38" i="1" s="1"/>
  <c r="J40" i="1"/>
  <c r="K55" i="1"/>
  <c r="J54" i="1"/>
  <c r="J56" i="1"/>
  <c r="J53" i="1" s="1"/>
  <c r="J52" i="1" s="1"/>
  <c r="O78" i="1"/>
  <c r="P78" i="1" s="1"/>
  <c r="K45" i="1" l="1"/>
  <c r="M101" i="1"/>
  <c r="L102" i="1"/>
  <c r="L100" i="1"/>
  <c r="L83" i="1"/>
  <c r="N87" i="1"/>
  <c r="O87" i="1" s="1"/>
  <c r="H118" i="1"/>
  <c r="H115" i="1"/>
  <c r="H111" i="1"/>
  <c r="H99" i="1" s="1"/>
  <c r="H98" i="1" s="1"/>
  <c r="H96" i="1"/>
  <c r="H84" i="1"/>
  <c r="L62" i="1"/>
  <c r="K61" i="1"/>
  <c r="K63" i="1"/>
  <c r="K60" i="1" s="1"/>
  <c r="K59" i="1" s="1"/>
  <c r="L34" i="1"/>
  <c r="K35" i="1"/>
  <c r="K32" i="1" s="1"/>
  <c r="K33" i="1"/>
  <c r="L55" i="1"/>
  <c r="K54" i="1"/>
  <c r="K56" i="1"/>
  <c r="K53" i="1" s="1"/>
  <c r="K52" i="1" s="1"/>
  <c r="L41" i="1"/>
  <c r="K40" i="1"/>
  <c r="K42" i="1"/>
  <c r="K39" i="1" s="1"/>
  <c r="K38" i="1" s="1"/>
  <c r="M48" i="1"/>
  <c r="L47" i="1"/>
  <c r="L49" i="1"/>
  <c r="L46" i="1" s="1"/>
  <c r="Q78" i="1"/>
  <c r="L45" i="1" l="1"/>
  <c r="N101" i="1"/>
  <c r="M102" i="1"/>
  <c r="M100" i="1"/>
  <c r="P87" i="1"/>
  <c r="Q87" i="1" s="1"/>
  <c r="M83" i="1"/>
  <c r="N83" i="1" s="1"/>
  <c r="H105" i="1"/>
  <c r="H108" i="1"/>
  <c r="H121" i="1" s="1"/>
  <c r="H122" i="1" s="1"/>
  <c r="L56" i="1"/>
  <c r="L53" i="1" s="1"/>
  <c r="L52" i="1" s="1"/>
  <c r="M55" i="1"/>
  <c r="L54" i="1"/>
  <c r="M62" i="1"/>
  <c r="L61" i="1"/>
  <c r="L63" i="1"/>
  <c r="L60" i="1" s="1"/>
  <c r="L59" i="1" s="1"/>
  <c r="L40" i="1"/>
  <c r="L42" i="1"/>
  <c r="L39" i="1" s="1"/>
  <c r="L38" i="1" s="1"/>
  <c r="M41" i="1"/>
  <c r="L35" i="1"/>
  <c r="L33" i="1"/>
  <c r="M34" i="1"/>
  <c r="N48" i="1"/>
  <c r="M47" i="1"/>
  <c r="M49" i="1"/>
  <c r="M46" i="1" s="1"/>
  <c r="M45" i="1" l="1"/>
  <c r="O101" i="1"/>
  <c r="N100" i="1"/>
  <c r="N102" i="1"/>
  <c r="O83" i="1"/>
  <c r="P83" i="1" s="1"/>
  <c r="L32" i="1"/>
  <c r="N34" i="1"/>
  <c r="M33" i="1"/>
  <c r="M35" i="1"/>
  <c r="M32" i="1" s="1"/>
  <c r="M63" i="1"/>
  <c r="M60" i="1" s="1"/>
  <c r="M59" i="1" s="1"/>
  <c r="N62" i="1"/>
  <c r="M61" i="1"/>
  <c r="O48" i="1"/>
  <c r="N49" i="1"/>
  <c r="N46" i="1" s="1"/>
  <c r="N47" i="1"/>
  <c r="N41" i="1"/>
  <c r="M42" i="1"/>
  <c r="M39" i="1" s="1"/>
  <c r="M38" i="1" s="1"/>
  <c r="M40" i="1"/>
  <c r="M54" i="1"/>
  <c r="M56" i="1"/>
  <c r="M53" i="1" s="1"/>
  <c r="M52" i="1" s="1"/>
  <c r="N55" i="1"/>
  <c r="N45" i="1" l="1"/>
  <c r="Q83" i="1"/>
  <c r="P101" i="1"/>
  <c r="O100" i="1"/>
  <c r="O102" i="1"/>
  <c r="N54" i="1"/>
  <c r="N56" i="1"/>
  <c r="N53" i="1" s="1"/>
  <c r="N52" i="1" s="1"/>
  <c r="O55" i="1"/>
  <c r="P48" i="1"/>
  <c r="O47" i="1"/>
  <c r="O49" i="1"/>
  <c r="O46" i="1" s="1"/>
  <c r="O41" i="1"/>
  <c r="N42" i="1"/>
  <c r="N39" i="1" s="1"/>
  <c r="N38" i="1" s="1"/>
  <c r="N40" i="1"/>
  <c r="N61" i="1"/>
  <c r="N63" i="1"/>
  <c r="N60" i="1" s="1"/>
  <c r="N59" i="1" s="1"/>
  <c r="O62" i="1"/>
  <c r="O34" i="1"/>
  <c r="N33" i="1"/>
  <c r="N35" i="1"/>
  <c r="N32" i="1" s="1"/>
  <c r="O45" i="1" l="1"/>
  <c r="P102" i="1"/>
  <c r="P100" i="1"/>
  <c r="O61" i="1"/>
  <c r="O63" i="1"/>
  <c r="O60" i="1" s="1"/>
  <c r="O59" i="1" s="1"/>
  <c r="P62" i="1"/>
  <c r="P41" i="1"/>
  <c r="O40" i="1"/>
  <c r="O42" i="1"/>
  <c r="O39" i="1" s="1"/>
  <c r="O38" i="1" s="1"/>
  <c r="P47" i="1"/>
  <c r="P49" i="1"/>
  <c r="P46" i="1" s="1"/>
  <c r="O56" i="1"/>
  <c r="O53" i="1" s="1"/>
  <c r="O52" i="1" s="1"/>
  <c r="O54" i="1"/>
  <c r="P55" i="1"/>
  <c r="P34" i="1"/>
  <c r="O35" i="1"/>
  <c r="O32" i="1" s="1"/>
  <c r="O33" i="1"/>
  <c r="P45" i="1" l="1"/>
  <c r="Q45" i="1" s="1"/>
  <c r="P54" i="1"/>
  <c r="P56" i="1"/>
  <c r="P53" i="1" s="1"/>
  <c r="P52" i="1" s="1"/>
  <c r="Q52" i="1" s="1"/>
  <c r="P61" i="1"/>
  <c r="P63" i="1"/>
  <c r="P60" i="1" s="1"/>
  <c r="P59" i="1" s="1"/>
  <c r="Q59" i="1" s="1"/>
  <c r="P33" i="1"/>
  <c r="P35" i="1"/>
  <c r="P32" i="1" s="1"/>
  <c r="P40" i="1"/>
  <c r="P42" i="1"/>
  <c r="P39" i="1" s="1"/>
  <c r="P38" i="1" s="1"/>
  <c r="Q38" i="1" s="1"/>
  <c r="I31" i="1" l="1"/>
  <c r="J31" i="1" l="1"/>
  <c r="K31" i="1" s="1"/>
  <c r="I66" i="1"/>
  <c r="I64" i="1" s="1"/>
  <c r="I57" i="1" l="1"/>
  <c r="I71" i="1"/>
  <c r="I50" i="1"/>
  <c r="J66" i="1"/>
  <c r="J64" i="1" s="1"/>
  <c r="I36" i="1"/>
  <c r="I67" i="1"/>
  <c r="I43" i="1"/>
  <c r="K66" i="1"/>
  <c r="K64" i="1" s="1"/>
  <c r="L31" i="1"/>
  <c r="I89" i="1" l="1"/>
  <c r="I117" i="1" s="1"/>
  <c r="I95" i="1"/>
  <c r="I86" i="1"/>
  <c r="I114" i="1" s="1"/>
  <c r="I74" i="1"/>
  <c r="I77" i="1" s="1"/>
  <c r="I104" i="1" s="1"/>
  <c r="I72" i="1"/>
  <c r="K57" i="1"/>
  <c r="J57" i="1"/>
  <c r="K71" i="1"/>
  <c r="K50" i="1"/>
  <c r="J71" i="1"/>
  <c r="J50" i="1"/>
  <c r="J43" i="1"/>
  <c r="J36" i="1"/>
  <c r="J67" i="1"/>
  <c r="K36" i="1"/>
  <c r="M31" i="1"/>
  <c r="L66" i="1"/>
  <c r="L64" i="1" s="1"/>
  <c r="K67" i="1"/>
  <c r="K43" i="1"/>
  <c r="I115" i="1" l="1"/>
  <c r="I118" i="1"/>
  <c r="I96" i="1"/>
  <c r="J89" i="1"/>
  <c r="J117" i="1" s="1"/>
  <c r="J95" i="1"/>
  <c r="K89" i="1"/>
  <c r="K117" i="1" s="1"/>
  <c r="K95" i="1"/>
  <c r="K86" i="1"/>
  <c r="K114" i="1" s="1"/>
  <c r="J86" i="1"/>
  <c r="J114" i="1" s="1"/>
  <c r="J74" i="1"/>
  <c r="J77" i="1" s="1"/>
  <c r="J104" i="1" s="1"/>
  <c r="K74" i="1"/>
  <c r="K77" i="1" s="1"/>
  <c r="K104" i="1" s="1"/>
  <c r="J72" i="1"/>
  <c r="K72" i="1"/>
  <c r="L57" i="1"/>
  <c r="L71" i="1"/>
  <c r="L50" i="1"/>
  <c r="L36" i="1"/>
  <c r="L67" i="1"/>
  <c r="L43" i="1"/>
  <c r="N31" i="1"/>
  <c r="M66" i="1"/>
  <c r="M64" i="1" s="1"/>
  <c r="J115" i="1" l="1"/>
  <c r="J118" i="1"/>
  <c r="K118" i="1"/>
  <c r="K115" i="1"/>
  <c r="J96" i="1"/>
  <c r="K96" i="1"/>
  <c r="L89" i="1"/>
  <c r="L117" i="1" s="1"/>
  <c r="L95" i="1"/>
  <c r="L86" i="1"/>
  <c r="L114" i="1" s="1"/>
  <c r="L74" i="1"/>
  <c r="L77" i="1" s="1"/>
  <c r="L104" i="1" s="1"/>
  <c r="L72" i="1"/>
  <c r="M57" i="1"/>
  <c r="M71" i="1"/>
  <c r="M50" i="1"/>
  <c r="M36" i="1"/>
  <c r="M67" i="1"/>
  <c r="M43" i="1"/>
  <c r="O31" i="1"/>
  <c r="N66" i="1"/>
  <c r="N64" i="1" s="1"/>
  <c r="L118" i="1" l="1"/>
  <c r="L115" i="1"/>
  <c r="L96" i="1"/>
  <c r="M89" i="1"/>
  <c r="M117" i="1" s="1"/>
  <c r="M95" i="1"/>
  <c r="M86" i="1"/>
  <c r="M114" i="1" s="1"/>
  <c r="M74" i="1"/>
  <c r="M77" i="1" s="1"/>
  <c r="M104" i="1" s="1"/>
  <c r="M72" i="1"/>
  <c r="N50" i="1"/>
  <c r="N57" i="1"/>
  <c r="N36" i="1"/>
  <c r="N43" i="1"/>
  <c r="N67" i="1"/>
  <c r="N71" i="1"/>
  <c r="O66" i="1"/>
  <c r="O64" i="1" s="1"/>
  <c r="P31" i="1"/>
  <c r="M118" i="1" l="1"/>
  <c r="M115" i="1"/>
  <c r="M96" i="1"/>
  <c r="N89" i="1"/>
  <c r="N117" i="1" s="1"/>
  <c r="N95" i="1"/>
  <c r="N86" i="1"/>
  <c r="N114" i="1" s="1"/>
  <c r="N74" i="1"/>
  <c r="N77" i="1" s="1"/>
  <c r="N104" i="1" s="1"/>
  <c r="N72" i="1"/>
  <c r="O50" i="1"/>
  <c r="O57" i="1"/>
  <c r="O36" i="1"/>
  <c r="O43" i="1"/>
  <c r="O67" i="1"/>
  <c r="O71" i="1"/>
  <c r="Q31" i="1"/>
  <c r="P66" i="1"/>
  <c r="P64" i="1" s="1"/>
  <c r="N118" i="1" l="1"/>
  <c r="N115" i="1"/>
  <c r="N96" i="1"/>
  <c r="O89" i="1"/>
  <c r="O117" i="1" s="1"/>
  <c r="O95" i="1"/>
  <c r="O86" i="1"/>
  <c r="O114" i="1" s="1"/>
  <c r="O74" i="1"/>
  <c r="O77" i="1" s="1"/>
  <c r="O104" i="1" s="1"/>
  <c r="O72" i="1"/>
  <c r="P50" i="1"/>
  <c r="P57" i="1"/>
  <c r="P36" i="1"/>
  <c r="P43" i="1"/>
  <c r="Q66" i="1"/>
  <c r="Q64" i="1" s="1"/>
  <c r="P67" i="1"/>
  <c r="P71" i="1"/>
  <c r="O118" i="1" l="1"/>
  <c r="O115" i="1"/>
  <c r="O96" i="1"/>
  <c r="P89" i="1"/>
  <c r="P117" i="1" s="1"/>
  <c r="P95" i="1"/>
  <c r="P86" i="1"/>
  <c r="P114" i="1" s="1"/>
  <c r="P74" i="1"/>
  <c r="P77" i="1" s="1"/>
  <c r="P104" i="1" s="1"/>
  <c r="P72" i="1"/>
  <c r="Q36" i="1"/>
  <c r="Q57" i="1"/>
  <c r="Q67" i="1"/>
  <c r="Q50" i="1"/>
  <c r="Q71" i="1"/>
  <c r="Q43" i="1"/>
  <c r="P118" i="1" l="1"/>
  <c r="P115" i="1"/>
  <c r="P96" i="1"/>
  <c r="Q89" i="1"/>
  <c r="Q117" i="1" s="1"/>
  <c r="Q95" i="1"/>
  <c r="Q86" i="1"/>
  <c r="Q114" i="1" s="1"/>
  <c r="Q74" i="1"/>
  <c r="Q77" i="1" s="1"/>
  <c r="Q104" i="1" s="1"/>
  <c r="Q72" i="1"/>
  <c r="M82" i="1"/>
  <c r="J82" i="1"/>
  <c r="N82" i="1"/>
  <c r="I82" i="1"/>
  <c r="Q82" i="1"/>
  <c r="Q110" i="1" s="1"/>
  <c r="K82" i="1"/>
  <c r="O82" i="1"/>
  <c r="L82" i="1"/>
  <c r="P82" i="1"/>
  <c r="Q118" i="1" l="1"/>
  <c r="Q115" i="1"/>
  <c r="Q111" i="1"/>
  <c r="Q99" i="1" s="1"/>
  <c r="Q98" i="1" s="1"/>
  <c r="O84" i="1"/>
  <c r="O110" i="1"/>
  <c r="O111" i="1" s="1"/>
  <c r="O99" i="1" s="1"/>
  <c r="O98" i="1" s="1"/>
  <c r="N84" i="1"/>
  <c r="N110" i="1"/>
  <c r="J84" i="1"/>
  <c r="J110" i="1"/>
  <c r="P84" i="1"/>
  <c r="P110" i="1"/>
  <c r="P111" i="1" s="1"/>
  <c r="P99" i="1" s="1"/>
  <c r="P98" i="1" s="1"/>
  <c r="P108" i="1" s="1"/>
  <c r="M84" i="1"/>
  <c r="M110" i="1"/>
  <c r="K84" i="1"/>
  <c r="K110" i="1"/>
  <c r="L84" i="1"/>
  <c r="L110" i="1"/>
  <c r="I84" i="1"/>
  <c r="I110" i="1"/>
  <c r="Q96" i="1"/>
  <c r="Q84" i="1"/>
  <c r="P105" i="1" l="1"/>
  <c r="O105" i="1"/>
  <c r="O108" i="1"/>
  <c r="O121" i="1" s="1"/>
  <c r="O122" i="1" s="1"/>
  <c r="I111" i="1"/>
  <c r="I99" i="1" s="1"/>
  <c r="I98" i="1" s="1"/>
  <c r="K111" i="1"/>
  <c r="K99" i="1" s="1"/>
  <c r="K98" i="1" s="1"/>
  <c r="N111" i="1"/>
  <c r="N99" i="1" s="1"/>
  <c r="N98" i="1" s="1"/>
  <c r="P121" i="1"/>
  <c r="P122" i="1" s="1"/>
  <c r="L111" i="1"/>
  <c r="L99" i="1" s="1"/>
  <c r="L98" i="1" s="1"/>
  <c r="M111" i="1"/>
  <c r="M99" i="1" s="1"/>
  <c r="M98" i="1" s="1"/>
  <c r="J111" i="1"/>
  <c r="J99" i="1" s="1"/>
  <c r="J98" i="1" s="1"/>
  <c r="Q105" i="1"/>
  <c r="Q108" i="1"/>
  <c r="Q121" i="1" s="1"/>
  <c r="M105" i="1" l="1"/>
  <c r="M108" i="1"/>
  <c r="M121" i="1" s="1"/>
  <c r="M122" i="1" s="1"/>
  <c r="N105" i="1"/>
  <c r="N108" i="1"/>
  <c r="N121" i="1" s="1"/>
  <c r="N122" i="1" s="1"/>
  <c r="I105" i="1"/>
  <c r="I108" i="1"/>
  <c r="I121" i="1" s="1"/>
  <c r="I122" i="1" s="1"/>
  <c r="J108" i="1"/>
  <c r="J121" i="1" s="1"/>
  <c r="J122" i="1" s="1"/>
  <c r="J105" i="1"/>
  <c r="L105" i="1"/>
  <c r="L108" i="1"/>
  <c r="L121" i="1" s="1"/>
  <c r="L122" i="1" s="1"/>
  <c r="K108" i="1"/>
  <c r="K121" i="1" s="1"/>
  <c r="K122" i="1" s="1"/>
  <c r="K105" i="1"/>
  <c r="Q122" i="1"/>
  <c r="Q124" i="1"/>
  <c r="Q125" i="1" s="1"/>
  <c r="Q127" i="1" l="1"/>
  <c r="Q130" i="1" s="1"/>
  <c r="Q132" i="1" s="1"/>
  <c r="I4" i="1" s="1"/>
  <c r="M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<sst xmlns="http://schemas.openxmlformats.org/spreadsheetml/2006/main" count="113" uniqueCount="65">
  <si>
    <t>Ticker</t>
  </si>
  <si>
    <t>Date</t>
  </si>
  <si>
    <t>TSLA</t>
  </si>
  <si>
    <t xml:space="preserve">Current Share Price </t>
  </si>
  <si>
    <t xml:space="preserve">Implied Share Price </t>
  </si>
  <si>
    <t>Upside/Downside</t>
  </si>
  <si>
    <t>X</t>
  </si>
  <si>
    <t xml:space="preserve">Assumptions </t>
  </si>
  <si>
    <t>Income Statement</t>
  </si>
  <si>
    <t xml:space="preserve">Switches </t>
  </si>
  <si>
    <t>Automotive Sales</t>
  </si>
  <si>
    <t xml:space="preserve">Automotive Regulatory Credits </t>
  </si>
  <si>
    <t xml:space="preserve">Services &amp; Other </t>
  </si>
  <si>
    <t>EBIT</t>
  </si>
  <si>
    <t>WACC</t>
  </si>
  <si>
    <t>TGV</t>
  </si>
  <si>
    <t xml:space="preserve">WACC </t>
  </si>
  <si>
    <t xml:space="preserve">Conservative </t>
  </si>
  <si>
    <t>Base</t>
  </si>
  <si>
    <t xml:space="preserve">Optimistic </t>
  </si>
  <si>
    <t xml:space="preserve">% Growth </t>
  </si>
  <si>
    <t xml:space="preserve">  Conservative </t>
  </si>
  <si>
    <t xml:space="preserve">  Base </t>
  </si>
  <si>
    <t xml:space="preserve">  Optimistic </t>
  </si>
  <si>
    <t xml:space="preserve">% of Revenue </t>
  </si>
  <si>
    <t xml:space="preserve">Automotive Leasing </t>
  </si>
  <si>
    <t>Total Revenues</t>
  </si>
  <si>
    <t xml:space="preserve">Energy Generation &amp; Storage Segment </t>
  </si>
  <si>
    <t>Revenue Build</t>
  </si>
  <si>
    <t>Revenue</t>
  </si>
  <si>
    <t>% of Sales</t>
  </si>
  <si>
    <t>Taxes</t>
  </si>
  <si>
    <t>% of EBIT</t>
  </si>
  <si>
    <t xml:space="preserve">Cash Flow Items </t>
  </si>
  <si>
    <t xml:space="preserve">D&amp;A </t>
  </si>
  <si>
    <t xml:space="preserve">Capital Expenditures </t>
  </si>
  <si>
    <t>% of CapEx</t>
  </si>
  <si>
    <t xml:space="preserve">Change in Net Working Capital </t>
  </si>
  <si>
    <t>DCF</t>
  </si>
  <si>
    <t xml:space="preserve">Revenue </t>
  </si>
  <si>
    <t xml:space="preserve">% of Sales </t>
  </si>
  <si>
    <t>EBIAT</t>
  </si>
  <si>
    <t>Unlevered Free Cash Flow</t>
  </si>
  <si>
    <t xml:space="preserve">Present Value of Free Cash Flow </t>
  </si>
  <si>
    <t>WACC = % of equity * cost of equity + % of debt * cost of debt * (1-Tax Rate)</t>
  </si>
  <si>
    <t xml:space="preserve">Cost of equity = Risk Free Rate + Beta * Market Risk Premium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</si>
  <si>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</si>
  <si>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</si>
  <si>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</si>
  <si>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</si>
  <si>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</si>
  <si>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</si>
  <si>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</si>
  <si>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</si>
  <si>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</si>
  <si>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</si>
  <si>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</si>
  <si>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 xml:space="preserve">Enterprise Value </t>
  </si>
  <si>
    <t xml:space="preserve">(+) Cash </t>
  </si>
  <si>
    <t xml:space="preserve">(-) Debt </t>
  </si>
  <si>
    <t xml:space="preserve">Equity Value </t>
  </si>
  <si>
    <t xml:space="preserve">Shares </t>
  </si>
  <si>
    <t xml:space="preserve">Terminal Value </t>
  </si>
  <si>
    <t xml:space="preserve">Present Value of Terminal Value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</si>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</sst>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9" x14ac:knownFonts="1">
    <font>
      <sz val="12"/>
      <color theme="1"/>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i/>
      <sz val="12"/>
      <color rgb="FF000000"/>
      <name val="Calibri"/>
      <family val="2"/>
      <scheme val="minor"/>
    </font>
    <font>
      <b/>
      <sz val="18"/>
      <color theme="1"/>
      <name val="Calibri"/>
      <family val="2"/>
      <scheme val="minor"/>
    </font>
    <font>
      <sz val="14"/>
      <color theme="1"/>
      <name val="Calibri"/>
      <family val="2"/>
      <scheme val="minor"/>
    </font>
    <font>
      <b/>
      <sz val="14"/>
      <color theme="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499984740745262"/>
        <bgColor indexed="64"/>
      </patternFill>
    </fill>
  </fills>
  <borders count="4">
    <border>
      <left/>
      <right/>
      <top/>
      <bottom/>
      <diagonal/>
    </border>
    <border>
      <left style="hair">
        <color auto="1"/>
      </left>
      <right style="hair">
        <color auto="1"/>
      </right>
      <top style="hair">
        <color auto="1"/>
      </top>
      <bottom style="hair">
        <color auto="1"/>
      </bottom>
      <diagonal/>
    </border>
    <border>
      <left style="dotted">
        <color indexed="64"/>
      </left>
      <right style="dotted">
        <color indexed="64"/>
      </right>
      <top style="dotted">
        <color indexed="64"/>
      </top>
      <bottom style="dotted">
        <color indexed="64"/>
      </bottom>
      <diagonal/>
    </border>
    <border>
      <left/>
      <right/>
      <top style="medium">
        <color auto="1"/>
      </top>
      <bottom/>
      <diagonal/>
    </border>
  </borders>
  <cellStyleXfs count="1">
    <xf numFmtId="0" fontId="0" fillId="0" borderId="0"/>
  </cellStyleXfs>
  <cellXfs count="25">
    <xf numFmtId="0" fontId="0" fillId="0" borderId="0" xfId="0"/>
    <xf numFmtId="0" fontId="0" fillId="2" borderId="1" xfId="0" applyFill="1" applyBorder="1"/>
    <xf numFmtId="14" fontId="0" fillId="2" borderId="1" xfId="0" applyNumberFormat="1" applyFill="1" applyBorder="1"/>
    <xf numFmtId="164" fontId="0" fillId="0" borderId="0" xfId="0" applyNumberFormat="1"/>
    <xf numFmtId="164" fontId="0" fillId="2" borderId="1" xfId="0" applyNumberFormat="1" applyFill="1" applyBorder="1"/>
    <xf numFmtId="0" fontId="2" fillId="3" borderId="0" xfId="0" applyFont="1" applyFill="1"/>
    <xf numFmtId="0" fontId="1" fillId="0" borderId="0" xfId="0" applyFont="1"/>
    <xf numFmtId="0" fontId="0" fillId="2" borderId="2" xfId="0" applyFill="1" applyBorder="1"/>
    <xf numFmtId="10" fontId="0" fillId="2" borderId="2" xfId="0" applyNumberFormat="1" applyFill="1" applyBorder="1"/>
    <xf numFmtId="10" fontId="0" fillId="0" borderId="0" xfId="0" applyNumberFormat="1"/>
    <xf numFmtId="0" fontId="3" fillId="0" borderId="0" xfId="0" applyFont="1"/>
    <xf numFmtId="0" fontId="1" fillId="0" borderId="3" xfId="0" applyFont="1" applyBorder="1"/>
    <xf numFmtId="37" fontId="0" fillId="0" borderId="0" xfId="0" applyNumberFormat="1"/>
    <xf numFmtId="37" fontId="1" fillId="0" borderId="3" xfId="0" applyNumberFormat="1" applyFont="1" applyBorder="1"/>
    <xf numFmtId="10" fontId="3" fillId="0" borderId="0" xfId="0" applyNumberFormat="1" applyFont="1"/>
    <xf numFmtId="0" fontId="4" fillId="0" borderId="0" xfId="0" applyFont="1"/>
    <xf numFmtId="37" fontId="1" fillId="0" borderId="0" xfId="0" applyNumberFormat="1" applyFont="1"/>
    <xf numFmtId="0" fontId="5" fillId="0" borderId="0" xfId="0" applyFont="1"/>
    <xf numFmtId="0" fontId="6" fillId="0" borderId="0" xfId="0" applyFont="1"/>
    <xf numFmtId="0" fontId="7" fillId="3" borderId="0" xfId="0" applyFont="1" applyFill="1"/>
    <xf numFmtId="0" fontId="8" fillId="0" borderId="0" xfId="0" applyFont="1"/>
    <xf numFmtId="3" fontId="0" fillId="0" borderId="0" xfId="0" applyNumberFormat="1"/>
    <xf numFmtId="2" fontId="0" fillId="0" borderId="0" xfId="0" applyNumberFormat="1"/>
    <xf numFmtId="9" fontId="0" fillId="0" borderId="0" xfId="0" applyNumberFormat="1"/>
    <xf numFmtId="10"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en-GB</v>
    <v>a24kar</v>
    <v>268435456</v>
    <v>1</v>
    <v>Powered by Refinitiv</v>
    <v>384.28960000000001</v>
    <v>101.81</v>
    <v>2.0386000000000002</v>
    <v>0.54</v>
    <v>3.7530000000000003E-3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146.41</v>
    <v>Automobiles &amp; Auto Parts</v>
    <v>Stock</v>
    <v>44952.041662997653</v>
    <v>0</v>
    <v>138.07</v>
    <v>456074121360</v>
    <v>TESLA, INC.</v>
    <v>TESLA, INC.</v>
    <v>141.905</v>
    <v>44.494100000000003</v>
    <v>143.88999999999999</v>
    <v>144.43</v>
    <v>3157752000</v>
    <v>TSLA</v>
    <v>TESLA, INC. (XNAS:TSLA)</v>
    <v>1180277</v>
    <v>180222602</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3A5C6-E2B5-364E-B3A2-87A4357D6BF6}">
  <dimension ref="A2:S132"/>
  <sheetViews>
    <sheetView showGridLines="0" tabSelected="1" zoomScale="130" zoomScaleNormal="130" workbookViewId="0">
      <pane xSplit="2" topLeftCell="C1" activePane="topRight" state="frozen"/>
      <selection pane="topRight" activeCell="A21" sqref="A21"/>
    </sheetView>
  </sheetViews>
  <sheetFormatPr baseColWidth="10" defaultRowHeight="16" x14ac:dyDescent="0.2"/>
  <cols>
    <col min="1" max="1" width="4.6640625" customWidth="1"/>
    <col min="2" max="2" width="34.5" customWidth="1"/>
    <col min="3" max="3" width="10.83203125" customWidth="1"/>
    <col min="9" max="9" width="11.83203125" bestFit="1" customWidth="1"/>
  </cols>
  <sheetData>
    <row r="2" spans="1:17" x14ac:dyDescent="0.2">
      <c r="I2" s="3"/>
    </row>
    <row r="3" spans="1:17" x14ac:dyDescent="0.2">
      <c r="C3" t="s">
        <v>0</v>
      </c>
      <c r="D3" s="1" t="e" vm="1">
        <v>#VALUE!</v>
      </c>
      <c r="G3" t="s">
        <v>3</v>
      </c>
      <c r="I3" s="4" cm="1">
        <f t="array" ref="I3">_FV(D3,"Price")</f>
        <v>144.43</v>
      </c>
    </row>
    <row r="4" spans="1:17" x14ac:dyDescent="0.2">
      <c r="C4" t="s">
        <v>1</v>
      </c>
      <c r="D4" s="2">
        <v>44944</v>
      </c>
      <c r="G4" t="s">
        <v>4</v>
      </c>
      <c r="I4" s="4">
        <f ca="1">Q132</f>
        <v>218.08463355625304</v>
      </c>
      <c r="K4" t="s">
        <v>5</v>
      </c>
      <c r="M4" s="24">
        <f ca="1">I4/I3-1</f>
        <v>0.50996769062004454</v>
      </c>
    </row>
    <row r="8" spans="1:17" x14ac:dyDescent="0.2">
      <c r="A8" t="s">
        <v>6</v>
      </c>
      <c r="B8" s="5" t="s">
        <v>7</v>
      </c>
      <c r="C8" s="5"/>
      <c r="D8" s="5"/>
      <c r="E8" s="5"/>
      <c r="F8" s="5"/>
      <c r="G8" s="5"/>
      <c r="H8" s="5"/>
      <c r="I8" s="5"/>
      <c r="J8" s="5"/>
      <c r="K8" s="5"/>
      <c r="L8" s="5"/>
      <c r="M8" s="5"/>
      <c r="N8" s="5"/>
      <c r="O8" s="5"/>
      <c r="P8" s="5"/>
      <c r="Q8" s="5"/>
    </row>
    <row r="10" spans="1:17" x14ac:dyDescent="0.2">
      <c r="B10" s="6" t="s">
        <v>9</v>
      </c>
    </row>
    <row r="11" spans="1:17" x14ac:dyDescent="0.2">
      <c r="B11" s="6"/>
      <c r="E11" s="6" t="s">
        <v>17</v>
      </c>
      <c r="F11" s="6"/>
      <c r="G11" s="6"/>
      <c r="H11" s="6" t="s">
        <v>18</v>
      </c>
      <c r="J11" s="6"/>
      <c r="K11" s="6" t="s">
        <v>19</v>
      </c>
    </row>
    <row r="12" spans="1:17" x14ac:dyDescent="0.2">
      <c r="B12" s="6" t="s">
        <v>10</v>
      </c>
      <c r="C12" s="7">
        <v>2</v>
      </c>
      <c r="E12" s="8">
        <v>0.8</v>
      </c>
      <c r="F12" s="9"/>
      <c r="G12" s="9"/>
      <c r="H12" s="8">
        <v>0.15</v>
      </c>
      <c r="J12" s="9"/>
      <c r="K12" s="8">
        <v>1.2</v>
      </c>
    </row>
    <row r="13" spans="1:17" x14ac:dyDescent="0.2">
      <c r="B13" s="6" t="s">
        <v>11</v>
      </c>
      <c r="C13" s="7">
        <v>2</v>
      </c>
      <c r="E13" s="8">
        <v>0.8</v>
      </c>
      <c r="H13" s="8">
        <v>0.01</v>
      </c>
      <c r="K13" s="8">
        <v>1.2</v>
      </c>
    </row>
    <row r="14" spans="1:17" x14ac:dyDescent="0.2">
      <c r="B14" s="6" t="s">
        <v>25</v>
      </c>
      <c r="C14" s="7">
        <v>2</v>
      </c>
      <c r="E14" s="8">
        <v>0.8</v>
      </c>
      <c r="H14" s="8">
        <v>0.15</v>
      </c>
      <c r="K14" s="8">
        <v>1.2</v>
      </c>
    </row>
    <row r="15" spans="1:17" x14ac:dyDescent="0.2">
      <c r="B15" s="6" t="s">
        <v>12</v>
      </c>
      <c r="C15" s="7">
        <v>2</v>
      </c>
      <c r="E15" s="8">
        <v>0.8</v>
      </c>
      <c r="H15" s="8">
        <v>0.15</v>
      </c>
      <c r="K15" s="8">
        <v>1.2</v>
      </c>
    </row>
    <row r="16" spans="1:17" x14ac:dyDescent="0.2">
      <c r="B16" s="6" t="s">
        <v>27</v>
      </c>
      <c r="C16" s="7">
        <v>2</v>
      </c>
      <c r="E16" s="8">
        <v>0.8</v>
      </c>
      <c r="H16" s="8">
        <v>0.15</v>
      </c>
      <c r="K16" s="8">
        <v>1.2</v>
      </c>
    </row>
    <row r="17" spans="1:17" x14ac:dyDescent="0.2">
      <c r="B17" s="6"/>
    </row>
    <row r="18" spans="1:17" x14ac:dyDescent="0.2">
      <c r="B18" s="6" t="s">
        <v>13</v>
      </c>
      <c r="C18" s="7">
        <v>2</v>
      </c>
      <c r="E18" s="8">
        <v>0.8</v>
      </c>
      <c r="H18" s="8">
        <v>0.2</v>
      </c>
      <c r="K18" s="8">
        <v>1.2</v>
      </c>
    </row>
    <row r="19" spans="1:17" x14ac:dyDescent="0.2">
      <c r="B19" s="6" t="s">
        <v>14</v>
      </c>
      <c r="C19" s="7">
        <v>2</v>
      </c>
      <c r="E19" s="8">
        <f>H19/0.8</f>
        <v>0.14857489721827252</v>
      </c>
      <c r="H19" s="8">
        <f>TSLA_WACC!D23</f>
        <v>0.11885991777461802</v>
      </c>
      <c r="K19" s="8">
        <f>H19*0.8</f>
        <v>9.5087934219694414E-2</v>
      </c>
    </row>
    <row r="20" spans="1:17" x14ac:dyDescent="0.2">
      <c r="B20" s="6" t="s">
        <v>15</v>
      </c>
      <c r="C20" s="7">
        <v>2</v>
      </c>
      <c r="E20" s="8">
        <f>H20*0.8</f>
        <v>2.0000000000000004E-2</v>
      </c>
      <c r="H20" s="8">
        <v>2.5000000000000001E-2</v>
      </c>
      <c r="K20" s="8">
        <f>H20*1.2</f>
        <v>0.03</v>
      </c>
    </row>
    <row r="21" spans="1:17" x14ac:dyDescent="0.2">
      <c r="B21" s="6"/>
    </row>
    <row r="22" spans="1:17" x14ac:dyDescent="0.2">
      <c r="B22" s="6" t="s">
        <v>16</v>
      </c>
      <c r="C22" s="8">
        <f>CHOOSE(C19,E19,H19,K19)</f>
        <v>0.11885991777461802</v>
      </c>
      <c r="D22" t="s">
        <v>64</v>
      </c>
    </row>
    <row r="23" spans="1:17" x14ac:dyDescent="0.2">
      <c r="B23" s="6" t="s">
        <v>15</v>
      </c>
      <c r="C23" s="8">
        <f>CHOOSE(C20,E20,H20,K20)</f>
        <v>2.5000000000000001E-2</v>
      </c>
    </row>
    <row r="29" spans="1:17" x14ac:dyDescent="0.2">
      <c r="A29" t="s">
        <v>6</v>
      </c>
      <c r="B29" s="5" t="s">
        <v>28</v>
      </c>
      <c r="C29" s="5">
        <v>2018</v>
      </c>
      <c r="D29" s="5">
        <v>2019</v>
      </c>
      <c r="E29" s="5">
        <v>2020</v>
      </c>
      <c r="F29" s="5">
        <v>2021</v>
      </c>
      <c r="G29" s="5">
        <v>2022</v>
      </c>
      <c r="H29" s="5">
        <v>2023</v>
      </c>
      <c r="I29" s="5">
        <v>2024</v>
      </c>
      <c r="J29" s="5">
        <v>2025</v>
      </c>
      <c r="K29" s="5">
        <v>2026</v>
      </c>
      <c r="L29" s="5">
        <v>2027</v>
      </c>
      <c r="M29" s="5">
        <v>2028</v>
      </c>
      <c r="N29" s="5">
        <v>2029</v>
      </c>
      <c r="O29" s="5">
        <v>2030</v>
      </c>
      <c r="P29" s="5">
        <v>2031</v>
      </c>
      <c r="Q29" s="5">
        <v>2032</v>
      </c>
    </row>
    <row r="31" spans="1:17" x14ac:dyDescent="0.2">
      <c r="B31" s="6" t="str">
        <f>B12</f>
        <v>Automotive Sales</v>
      </c>
      <c r="C31" s="12">
        <v>17632</v>
      </c>
      <c r="D31" s="12">
        <v>19358</v>
      </c>
      <c r="E31" s="12">
        <v>24604</v>
      </c>
      <c r="F31" s="12">
        <v>44125</v>
      </c>
      <c r="G31" s="12">
        <f>(46969/3)*4</f>
        <v>62625.333333333336</v>
      </c>
      <c r="H31" s="12">
        <f ca="1">G31*(1+H32)</f>
        <v>93597.269266740041</v>
      </c>
      <c r="I31" s="12">
        <f t="shared" ref="I31:Q31" ca="1" si="0">H31*(1+I32)</f>
        <v>136303.35030992495</v>
      </c>
      <c r="J31" s="12">
        <f t="shared" ca="1" si="0"/>
        <v>193276.85634127288</v>
      </c>
      <c r="K31" s="12">
        <f t="shared" ca="1" si="0"/>
        <v>266665.2665539821</v>
      </c>
      <c r="L31" s="12">
        <f t="shared" ca="1" si="0"/>
        <v>357710.59872465668</v>
      </c>
      <c r="M31" s="12">
        <f t="shared" ca="1" si="0"/>
        <v>466146.07052006235</v>
      </c>
      <c r="N31" s="12">
        <f t="shared" ca="1" si="0"/>
        <v>589606.28974050237</v>
      </c>
      <c r="O31" s="12">
        <f t="shared" ca="1" si="0"/>
        <v>723192.62933949893</v>
      </c>
      <c r="P31" s="12">
        <f t="shared" ca="1" si="0"/>
        <v>859358.48901171179</v>
      </c>
      <c r="Q31" s="12">
        <f t="shared" ca="1" si="0"/>
        <v>988262.26236346853</v>
      </c>
    </row>
    <row r="32" spans="1:17" s="10" customFormat="1" x14ac:dyDescent="0.2">
      <c r="B32" s="10" t="s">
        <v>20</v>
      </c>
      <c r="D32" s="14">
        <f>D31/C31-1</f>
        <v>9.7890199637023612E-2</v>
      </c>
      <c r="E32" s="14">
        <f t="shared" ref="E32:G32" si="1">E31/D31-1</f>
        <v>0.27099907015187519</v>
      </c>
      <c r="F32" s="14">
        <f t="shared" si="1"/>
        <v>0.79340757600390188</v>
      </c>
      <c r="G32" s="14">
        <f t="shared" si="1"/>
        <v>0.41927101038715775</v>
      </c>
      <c r="H32" s="14">
        <f ca="1">OFFSET(H32,$C$12,0)</f>
        <v>0.49455921884764492</v>
      </c>
      <c r="I32" s="14">
        <f t="shared" ref="I32:Q32" ca="1" si="2">OFFSET(I32,$C$12,0)</f>
        <v>0.45627486119790661</v>
      </c>
      <c r="J32" s="14">
        <f t="shared" ca="1" si="2"/>
        <v>0.4179905035481683</v>
      </c>
      <c r="K32" s="14">
        <f t="shared" ca="1" si="2"/>
        <v>0.37970614589842999</v>
      </c>
      <c r="L32" s="14">
        <f t="shared" ca="1" si="2"/>
        <v>0.34142178824869168</v>
      </c>
      <c r="M32" s="14">
        <f t="shared" ca="1" si="2"/>
        <v>0.30313743059895337</v>
      </c>
      <c r="N32" s="14">
        <f t="shared" ca="1" si="2"/>
        <v>0.26485307294921501</v>
      </c>
      <c r="O32" s="14">
        <f t="shared" ca="1" si="2"/>
        <v>0.22656871529947667</v>
      </c>
      <c r="P32" s="14">
        <f t="shared" ca="1" si="2"/>
        <v>0.18828435764973833</v>
      </c>
      <c r="Q32" s="14">
        <f t="shared" ca="1" si="2"/>
        <v>0.15</v>
      </c>
    </row>
    <row r="33" spans="2:19" x14ac:dyDescent="0.2">
      <c r="B33" t="s">
        <v>21</v>
      </c>
      <c r="H33" s="8">
        <f t="shared" ref="H33:P33" si="3">H34*$E$12</f>
        <v>0.39564737507811598</v>
      </c>
      <c r="I33" s="8">
        <f t="shared" si="3"/>
        <v>0.36501988895832532</v>
      </c>
      <c r="J33" s="8">
        <f t="shared" si="3"/>
        <v>0.33439240283853466</v>
      </c>
      <c r="K33" s="8">
        <f t="shared" si="3"/>
        <v>0.303764916718744</v>
      </c>
      <c r="L33" s="8">
        <f t="shared" si="3"/>
        <v>0.27313743059895335</v>
      </c>
      <c r="M33" s="8">
        <f t="shared" si="3"/>
        <v>0.24250994447916271</v>
      </c>
      <c r="N33" s="8">
        <f t="shared" si="3"/>
        <v>0.21188245835937203</v>
      </c>
      <c r="O33" s="8">
        <f t="shared" si="3"/>
        <v>0.18125497223958134</v>
      </c>
      <c r="P33" s="8">
        <f t="shared" si="3"/>
        <v>0.15062748611979068</v>
      </c>
      <c r="Q33" s="8">
        <f>Q34*$E$12</f>
        <v>0.12</v>
      </c>
    </row>
    <row r="34" spans="2:19" x14ac:dyDescent="0.2">
      <c r="B34" t="s">
        <v>22</v>
      </c>
      <c r="H34" s="8">
        <f>AVERAGE(E32:G32)</f>
        <v>0.49455921884764492</v>
      </c>
      <c r="I34" s="8">
        <f>H34-(H34-$Q$34)/($Q$29-H29)</f>
        <v>0.45627486119790661</v>
      </c>
      <c r="J34" s="8">
        <f t="shared" ref="J34:P34" si="4">I34-(I34-$Q$34)/($Q$29-I29)</f>
        <v>0.4179905035481683</v>
      </c>
      <c r="K34" s="8">
        <f t="shared" si="4"/>
        <v>0.37970614589842999</v>
      </c>
      <c r="L34" s="8">
        <f t="shared" si="4"/>
        <v>0.34142178824869168</v>
      </c>
      <c r="M34" s="8">
        <f t="shared" si="4"/>
        <v>0.30313743059895337</v>
      </c>
      <c r="N34" s="8">
        <f t="shared" si="4"/>
        <v>0.26485307294921501</v>
      </c>
      <c r="O34" s="8">
        <f t="shared" si="4"/>
        <v>0.22656871529947667</v>
      </c>
      <c r="P34" s="8">
        <f t="shared" si="4"/>
        <v>0.18828435764973833</v>
      </c>
      <c r="Q34" s="8">
        <f>H12</f>
        <v>0.15</v>
      </c>
    </row>
    <row r="35" spans="2:19" x14ac:dyDescent="0.2">
      <c r="B35" t="s">
        <v>23</v>
      </c>
      <c r="H35" s="8">
        <f t="shared" ref="H35:P35" si="5">H34*$K$12</f>
        <v>0.59347106261717386</v>
      </c>
      <c r="I35" s="8">
        <f t="shared" si="5"/>
        <v>0.54752983343748796</v>
      </c>
      <c r="J35" s="8">
        <f t="shared" si="5"/>
        <v>0.50158860425780194</v>
      </c>
      <c r="K35" s="8">
        <f t="shared" si="5"/>
        <v>0.45564737507811598</v>
      </c>
      <c r="L35" s="8">
        <f t="shared" si="5"/>
        <v>0.40970614589843002</v>
      </c>
      <c r="M35" s="8">
        <f t="shared" si="5"/>
        <v>0.36376491671874406</v>
      </c>
      <c r="N35" s="8">
        <f t="shared" si="5"/>
        <v>0.31782368753905799</v>
      </c>
      <c r="O35" s="8">
        <f t="shared" si="5"/>
        <v>0.27188245835937197</v>
      </c>
      <c r="P35" s="8">
        <f t="shared" si="5"/>
        <v>0.22594122917968598</v>
      </c>
      <c r="Q35" s="8">
        <f>Q34*$K$12</f>
        <v>0.18</v>
      </c>
    </row>
    <row r="36" spans="2:19" s="10" customFormat="1" x14ac:dyDescent="0.2">
      <c r="B36" s="10" t="s">
        <v>24</v>
      </c>
      <c r="C36" s="14">
        <f t="shared" ref="C36:E36" si="6">C31/C66</f>
        <v>0.82158333721634591</v>
      </c>
      <c r="D36" s="14">
        <f t="shared" si="6"/>
        <v>0.78761494019041423</v>
      </c>
      <c r="E36" s="14">
        <f t="shared" si="6"/>
        <v>0.78018772196854391</v>
      </c>
      <c r="F36" s="14">
        <f>F31/F66</f>
        <v>0.81981680694127046</v>
      </c>
      <c r="G36" s="14">
        <f t="shared" ref="G36:Q36" si="7">G31/G66</f>
        <v>0.82194106117877641</v>
      </c>
      <c r="H36" s="14">
        <f t="shared" ca="1" si="7"/>
        <v>0.83908625620182686</v>
      </c>
      <c r="I36" s="14">
        <f t="shared" ca="1" si="7"/>
        <v>0.85283825982168271</v>
      </c>
      <c r="J36" s="14">
        <f t="shared" ca="1" si="7"/>
        <v>0.86387536715324387</v>
      </c>
      <c r="K36" s="14">
        <f t="shared" ca="1" si="7"/>
        <v>0.87269770062431029</v>
      </c>
      <c r="L36" s="14">
        <f t="shared" ca="1" si="7"/>
        <v>0.87967066624159307</v>
      </c>
      <c r="M36" s="14">
        <f t="shared" ca="1" si="7"/>
        <v>0.88505727967040593</v>
      </c>
      <c r="N36" s="14">
        <f t="shared" ca="1" si="7"/>
        <v>0.88904098571323131</v>
      </c>
      <c r="O36" s="14">
        <f t="shared" ca="1" si="7"/>
        <v>0.89174092380527892</v>
      </c>
      <c r="P36" s="14">
        <f t="shared" ca="1" si="7"/>
        <v>0.89322124559228688</v>
      </c>
      <c r="Q36" s="14">
        <f t="shared" ca="1" si="7"/>
        <v>0.89349556998813551</v>
      </c>
    </row>
    <row r="38" spans="2:19" x14ac:dyDescent="0.2">
      <c r="B38" s="6" t="str">
        <f>B13</f>
        <v xml:space="preserve">Automotive Regulatory Credits </v>
      </c>
      <c r="C38">
        <v>0</v>
      </c>
      <c r="D38" s="12">
        <v>594</v>
      </c>
      <c r="E38" s="12">
        <v>1580</v>
      </c>
      <c r="F38" s="12">
        <v>1465</v>
      </c>
      <c r="G38" s="12">
        <f>(1309/3)*4</f>
        <v>1745.3333333333333</v>
      </c>
      <c r="H38" s="12">
        <f ca="1">G38*(1+H39)</f>
        <v>1848.8045482255918</v>
      </c>
      <c r="I38" s="12">
        <f t="shared" ref="I38:Q38" ca="1" si="8">H38*(1+I39)</f>
        <v>1948.2858458875633</v>
      </c>
      <c r="J38" s="12">
        <f t="shared" ca="1" si="8"/>
        <v>2042.4511558323957</v>
      </c>
      <c r="K38" s="12">
        <f t="shared" ca="1" si="8"/>
        <v>2129.9831240799022</v>
      </c>
      <c r="L38" s="12">
        <f t="shared" ca="1" si="8"/>
        <v>2209.6024855249329</v>
      </c>
      <c r="M38" s="12">
        <f t="shared" ca="1" si="8"/>
        <v>2280.0981347479415</v>
      </c>
      <c r="N38" s="12">
        <f t="shared" ca="1" si="8"/>
        <v>2340.356948657964</v>
      </c>
      <c r="O38" s="12">
        <f t="shared" ca="1" si="8"/>
        <v>2389.3923677517841</v>
      </c>
      <c r="P38" s="12">
        <f t="shared" ca="1" si="8"/>
        <v>2426.3707369148551</v>
      </c>
      <c r="Q38" s="12">
        <f t="shared" ca="1" si="8"/>
        <v>2450.6344442840036</v>
      </c>
    </row>
    <row r="39" spans="2:19" s="10" customFormat="1" x14ac:dyDescent="0.2">
      <c r="B39" s="10" t="s">
        <v>20</v>
      </c>
      <c r="D39" s="14"/>
      <c r="E39" s="14">
        <f t="shared" ref="E39:G39" si="9">E38/D38-1</f>
        <v>1.65993265993266</v>
      </c>
      <c r="F39" s="14">
        <f t="shared" si="9"/>
        <v>-7.2784810126582333E-2</v>
      </c>
      <c r="G39" s="14">
        <f t="shared" si="9"/>
        <v>0.19135381114903294</v>
      </c>
      <c r="H39" s="14">
        <f ca="1">OFFSET(H39,$C$13,0)</f>
        <v>5.9284500511225302E-2</v>
      </c>
      <c r="I39" s="14">
        <f t="shared" ref="I39:Q39" ca="1" si="10">OFFSET(I39,$C$13,0)</f>
        <v>5.3808444898866936E-2</v>
      </c>
      <c r="J39" s="14">
        <f t="shared" ca="1" si="10"/>
        <v>4.833238928650857E-2</v>
      </c>
      <c r="K39" s="14">
        <f t="shared" ca="1" si="10"/>
        <v>4.2856333674150204E-2</v>
      </c>
      <c r="L39" s="14">
        <f t="shared" ca="1" si="10"/>
        <v>3.7380278061791838E-2</v>
      </c>
      <c r="M39" s="14">
        <f t="shared" ca="1" si="10"/>
        <v>3.1904222449433473E-2</v>
      </c>
      <c r="N39" s="14">
        <f t="shared" ca="1" si="10"/>
        <v>2.6428166837075107E-2</v>
      </c>
      <c r="O39" s="14">
        <f t="shared" ca="1" si="10"/>
        <v>2.0952111224716737E-2</v>
      </c>
      <c r="P39" s="14">
        <f t="shared" ca="1" si="10"/>
        <v>1.5476055612358368E-2</v>
      </c>
      <c r="Q39" s="14">
        <f t="shared" ca="1" si="10"/>
        <v>0.01</v>
      </c>
    </row>
    <row r="40" spans="2:19" x14ac:dyDescent="0.2">
      <c r="B40" t="s">
        <v>21</v>
      </c>
      <c r="H40" s="8">
        <f t="shared" ref="H40:P40" si="11">H41*$E$13</f>
        <v>4.7427600408980246E-2</v>
      </c>
      <c r="I40" s="8">
        <f t="shared" si="11"/>
        <v>4.304675591909355E-2</v>
      </c>
      <c r="J40" s="8">
        <f t="shared" si="11"/>
        <v>3.8665911429206862E-2</v>
      </c>
      <c r="K40" s="8">
        <f t="shared" si="11"/>
        <v>3.4285066939320166E-2</v>
      </c>
      <c r="L40" s="8">
        <f t="shared" si="11"/>
        <v>2.9904222449433471E-2</v>
      </c>
      <c r="M40" s="8">
        <f t="shared" si="11"/>
        <v>2.5523377959546779E-2</v>
      </c>
      <c r="N40" s="8">
        <f t="shared" si="11"/>
        <v>2.1142533469660087E-2</v>
      </c>
      <c r="O40" s="8">
        <f t="shared" si="11"/>
        <v>1.6761688979773391E-2</v>
      </c>
      <c r="P40" s="8">
        <f t="shared" si="11"/>
        <v>1.2380844489886696E-2</v>
      </c>
      <c r="Q40" s="8">
        <f>Q41*$E$13</f>
        <v>8.0000000000000002E-3</v>
      </c>
    </row>
    <row r="41" spans="2:19" x14ac:dyDescent="0.2">
      <c r="B41" t="s">
        <v>22</v>
      </c>
      <c r="H41" s="8">
        <f>AVERAGE(F39:G39)</f>
        <v>5.9284500511225302E-2</v>
      </c>
      <c r="I41" s="8">
        <f>H41-(H41-$Q$41)/($Q$29-H29)</f>
        <v>5.3808444898866936E-2</v>
      </c>
      <c r="J41" s="8">
        <f t="shared" ref="J41:P41" si="12">I41-(I41-$Q$41)/($Q$29-I29)</f>
        <v>4.833238928650857E-2</v>
      </c>
      <c r="K41" s="8">
        <f t="shared" si="12"/>
        <v>4.2856333674150204E-2</v>
      </c>
      <c r="L41" s="8">
        <f t="shared" si="12"/>
        <v>3.7380278061791838E-2</v>
      </c>
      <c r="M41" s="8">
        <f t="shared" si="12"/>
        <v>3.1904222449433473E-2</v>
      </c>
      <c r="N41" s="8">
        <f t="shared" si="12"/>
        <v>2.6428166837075107E-2</v>
      </c>
      <c r="O41" s="8">
        <f t="shared" si="12"/>
        <v>2.0952111224716737E-2</v>
      </c>
      <c r="P41" s="8">
        <f t="shared" si="12"/>
        <v>1.5476055612358368E-2</v>
      </c>
      <c r="Q41" s="8">
        <f>H13</f>
        <v>0.01</v>
      </c>
    </row>
    <row r="42" spans="2:19" x14ac:dyDescent="0.2">
      <c r="B42" t="s">
        <v>23</v>
      </c>
      <c r="H42" s="8">
        <f t="shared" ref="H42:P42" si="13">H41*$K$13</f>
        <v>7.1141400613470365E-2</v>
      </c>
      <c r="I42" s="8">
        <f t="shared" si="13"/>
        <v>6.4570133878640315E-2</v>
      </c>
      <c r="J42" s="8">
        <f t="shared" si="13"/>
        <v>5.7998867143810279E-2</v>
      </c>
      <c r="K42" s="8">
        <f t="shared" si="13"/>
        <v>5.1427600408980242E-2</v>
      </c>
      <c r="L42" s="8">
        <f t="shared" si="13"/>
        <v>4.4856333674150206E-2</v>
      </c>
      <c r="M42" s="8">
        <f t="shared" si="13"/>
        <v>3.8285066939320163E-2</v>
      </c>
      <c r="N42" s="8">
        <f t="shared" si="13"/>
        <v>3.1713800204490127E-2</v>
      </c>
      <c r="O42" s="8">
        <f t="shared" si="13"/>
        <v>2.5142533469660083E-2</v>
      </c>
      <c r="P42" s="8">
        <f t="shared" si="13"/>
        <v>1.857126673483004E-2</v>
      </c>
      <c r="Q42" s="8">
        <f>Q41*$K$13</f>
        <v>1.2E-2</v>
      </c>
    </row>
    <row r="43" spans="2:19" s="10" customFormat="1" x14ac:dyDescent="0.2">
      <c r="B43" s="10" t="s">
        <v>24</v>
      </c>
      <c r="C43" s="14">
        <f t="shared" ref="C43:E43" si="14">C38/C66</f>
        <v>0</v>
      </c>
      <c r="D43" s="14">
        <f t="shared" si="14"/>
        <v>2.4167955081780455E-2</v>
      </c>
      <c r="E43" s="14">
        <f t="shared" si="14"/>
        <v>5.0101471334348044E-2</v>
      </c>
      <c r="F43" s="14">
        <f>F38/F66</f>
        <v>2.7218846961336231E-2</v>
      </c>
      <c r="G43" s="14">
        <f t="shared" ref="G43:Q43" si="15">G38/G66</f>
        <v>2.2907041859162817E-2</v>
      </c>
      <c r="H43" s="14">
        <f t="shared" ca="1" si="15"/>
        <v>1.6574270798419343E-2</v>
      </c>
      <c r="I43" s="14">
        <f t="shared" ca="1" si="15"/>
        <v>1.2190255827636665E-2</v>
      </c>
      <c r="J43" s="14">
        <f t="shared" ca="1" si="15"/>
        <v>9.1289938978612109E-3</v>
      </c>
      <c r="K43" s="14">
        <f t="shared" ca="1" si="15"/>
        <v>6.9706542542045877E-3</v>
      </c>
      <c r="L43" s="14">
        <f t="shared" ca="1" si="15"/>
        <v>5.4337850136415844E-3</v>
      </c>
      <c r="M43" s="14">
        <f t="shared" ca="1" si="15"/>
        <v>4.3291525557002993E-3</v>
      </c>
      <c r="N43" s="14">
        <f t="shared" ca="1" si="15"/>
        <v>3.5289196956691778E-3</v>
      </c>
      <c r="O43" s="14">
        <f t="shared" ca="1" si="15"/>
        <v>2.9462675239075261E-3</v>
      </c>
      <c r="P43" s="14">
        <f t="shared" ca="1" si="15"/>
        <v>2.521981128490633E-3</v>
      </c>
      <c r="Q43" s="14">
        <f t="shared" ca="1" si="15"/>
        <v>2.2156375923851465E-3</v>
      </c>
    </row>
    <row r="45" spans="2:19" x14ac:dyDescent="0.2">
      <c r="B45" s="6" t="str">
        <f>B14</f>
        <v xml:space="preserve">Automotive Leasing </v>
      </c>
      <c r="C45">
        <v>883</v>
      </c>
      <c r="D45" s="12">
        <v>869</v>
      </c>
      <c r="E45" s="12">
        <v>1052</v>
      </c>
      <c r="F45" s="12">
        <v>1642</v>
      </c>
      <c r="G45" s="12">
        <f>(1877/3)*4</f>
        <v>2502.6666666666665</v>
      </c>
      <c r="H45" s="12">
        <f t="shared" ref="H45:Q45" ca="1" si="16">G45*(1+H46)</f>
        <v>3303.3484892515039</v>
      </c>
      <c r="I45" s="12">
        <f t="shared" ca="1" si="16"/>
        <v>4297.8221944068546</v>
      </c>
      <c r="J45" s="12">
        <f t="shared" ca="1" si="16"/>
        <v>5510.5340421205556</v>
      </c>
      <c r="K45" s="12">
        <f t="shared" ca="1" si="16"/>
        <v>6961.3895775406163</v>
      </c>
      <c r="L45" s="12">
        <f t="shared" ca="1" si="16"/>
        <v>8662.7975451740986</v>
      </c>
      <c r="M45" s="12">
        <f t="shared" ca="1" si="16"/>
        <v>10616.475803960529</v>
      </c>
      <c r="N45" s="12">
        <f t="shared" ca="1" si="16"/>
        <v>12810.304950172105</v>
      </c>
      <c r="O45" s="12">
        <f t="shared" ca="1" si="16"/>
        <v>15215.600456245849</v>
      </c>
      <c r="P45" s="12">
        <f t="shared" ca="1" si="16"/>
        <v>17785.230450706295</v>
      </c>
      <c r="Q45" s="12">
        <f t="shared" ca="1" si="16"/>
        <v>20453.015018312239</v>
      </c>
    </row>
    <row r="46" spans="2:19" s="10" customFormat="1" x14ac:dyDescent="0.2">
      <c r="B46" s="10" t="s">
        <v>20</v>
      </c>
      <c r="D46" s="14">
        <f>D45/C45-1</f>
        <v>-1.5855039637599044E-2</v>
      </c>
      <c r="E46" s="14">
        <f t="shared" ref="E46:G46" si="17">E45/D45-1</f>
        <v>0.21058688147295745</v>
      </c>
      <c r="F46" s="14">
        <f t="shared" si="17"/>
        <v>0.56083650190114076</v>
      </c>
      <c r="G46" s="14">
        <f t="shared" si="17"/>
        <v>0.52415753146569211</v>
      </c>
      <c r="H46" s="14">
        <f ca="1">OFFSET(H46,$C$14,0)</f>
        <v>0.31993146880054779</v>
      </c>
      <c r="I46" s="14">
        <f t="shared" ref="I46:Q46" ca="1" si="18">OFFSET(I46,$C$14,0)</f>
        <v>0.30105019448937581</v>
      </c>
      <c r="J46" s="14">
        <f t="shared" ca="1" si="18"/>
        <v>0.28216892017820383</v>
      </c>
      <c r="K46" s="14">
        <f t="shared" ca="1" si="18"/>
        <v>0.26328764586703185</v>
      </c>
      <c r="L46" s="14">
        <f t="shared" ca="1" si="18"/>
        <v>0.24440637155585987</v>
      </c>
      <c r="M46" s="14">
        <f t="shared" ca="1" si="18"/>
        <v>0.22552509724468789</v>
      </c>
      <c r="N46" s="14">
        <f t="shared" ca="1" si="18"/>
        <v>0.20664382293351591</v>
      </c>
      <c r="O46" s="14">
        <f t="shared" ca="1" si="18"/>
        <v>0.18776254862234393</v>
      </c>
      <c r="P46" s="14">
        <f t="shared" ca="1" si="18"/>
        <v>0.16888127431117195</v>
      </c>
      <c r="Q46" s="14">
        <f t="shared" ca="1" si="18"/>
        <v>0.15</v>
      </c>
      <c r="R46" s="14"/>
      <c r="S46" s="14"/>
    </row>
    <row r="47" spans="2:19" x14ac:dyDescent="0.2">
      <c r="B47" t="s">
        <v>21</v>
      </c>
      <c r="H47" s="8">
        <f t="shared" ref="H47:P47" si="19">H48*$E$14</f>
        <v>0.25594517504043823</v>
      </c>
      <c r="I47" s="8">
        <f t="shared" si="19"/>
        <v>0.24084015559150065</v>
      </c>
      <c r="J47" s="8">
        <f t="shared" si="19"/>
        <v>0.22573513614256308</v>
      </c>
      <c r="K47" s="8">
        <f t="shared" si="19"/>
        <v>0.2106301166936255</v>
      </c>
      <c r="L47" s="8">
        <f t="shared" si="19"/>
        <v>0.19552509724468792</v>
      </c>
      <c r="M47" s="8">
        <f t="shared" si="19"/>
        <v>0.18042007779575031</v>
      </c>
      <c r="N47" s="8">
        <f t="shared" si="19"/>
        <v>0.16531505834681273</v>
      </c>
      <c r="O47" s="8">
        <f t="shared" si="19"/>
        <v>0.15021003889787515</v>
      </c>
      <c r="P47" s="8">
        <f t="shared" si="19"/>
        <v>0.13510501944893757</v>
      </c>
      <c r="Q47" s="8">
        <f>Q48*$E$14</f>
        <v>0.12</v>
      </c>
    </row>
    <row r="48" spans="2:19" x14ac:dyDescent="0.2">
      <c r="B48" t="s">
        <v>22</v>
      </c>
      <c r="H48" s="8">
        <f>AVERAGE(D46:G46)</f>
        <v>0.31993146880054779</v>
      </c>
      <c r="I48" s="8">
        <f>H48-(H48-$Q$48)/($Q$29-H29)</f>
        <v>0.30105019448937581</v>
      </c>
      <c r="J48" s="8">
        <f t="shared" ref="J48:P48" si="20">I48-(I48-$Q$48)/($Q$29-I29)</f>
        <v>0.28216892017820383</v>
      </c>
      <c r="K48" s="8">
        <f t="shared" si="20"/>
        <v>0.26328764586703185</v>
      </c>
      <c r="L48" s="8">
        <f t="shared" si="20"/>
        <v>0.24440637155585987</v>
      </c>
      <c r="M48" s="8">
        <f t="shared" si="20"/>
        <v>0.22552509724468789</v>
      </c>
      <c r="N48" s="8">
        <f t="shared" si="20"/>
        <v>0.20664382293351591</v>
      </c>
      <c r="O48" s="8">
        <f t="shared" si="20"/>
        <v>0.18776254862234393</v>
      </c>
      <c r="P48" s="8">
        <f t="shared" si="20"/>
        <v>0.16888127431117195</v>
      </c>
      <c r="Q48" s="8">
        <f>H14</f>
        <v>0.15</v>
      </c>
    </row>
    <row r="49" spans="2:17" x14ac:dyDescent="0.2">
      <c r="B49" t="s">
        <v>23</v>
      </c>
      <c r="H49" s="8">
        <f t="shared" ref="H49:P49" si="21">H48*$K$14</f>
        <v>0.38391776256065735</v>
      </c>
      <c r="I49" s="8">
        <f t="shared" si="21"/>
        <v>0.36126023338725094</v>
      </c>
      <c r="J49" s="8">
        <f t="shared" si="21"/>
        <v>0.33860270421384459</v>
      </c>
      <c r="K49" s="8">
        <f t="shared" si="21"/>
        <v>0.31594517504043823</v>
      </c>
      <c r="L49" s="8">
        <f t="shared" si="21"/>
        <v>0.29328764586703182</v>
      </c>
      <c r="M49" s="8">
        <f t="shared" si="21"/>
        <v>0.27063011669362547</v>
      </c>
      <c r="N49" s="8">
        <f t="shared" si="21"/>
        <v>0.24797258752021908</v>
      </c>
      <c r="O49" s="8">
        <f t="shared" si="21"/>
        <v>0.2253150583468127</v>
      </c>
      <c r="P49" s="8">
        <f t="shared" si="21"/>
        <v>0.20265752917340632</v>
      </c>
      <c r="Q49" s="8">
        <f>Q48*$K$14</f>
        <v>0.18</v>
      </c>
    </row>
    <row r="50" spans="2:17" x14ac:dyDescent="0.2">
      <c r="B50" s="10" t="s">
        <v>24</v>
      </c>
      <c r="C50" s="14">
        <f>C45/C66</f>
        <v>4.1144401472438377E-2</v>
      </c>
      <c r="D50" s="14">
        <f t="shared" ref="D50:Q50" si="22">D45/D66</f>
        <v>3.5356823175197331E-2</v>
      </c>
      <c r="E50" s="14">
        <f t="shared" si="22"/>
        <v>3.3358701166920343E-2</v>
      </c>
      <c r="F50" s="14">
        <f t="shared" si="22"/>
        <v>3.0507403897961839E-2</v>
      </c>
      <c r="G50" s="14">
        <f t="shared" si="22"/>
        <v>3.2846843063138738E-2</v>
      </c>
      <c r="H50" s="14">
        <f t="shared" ca="1" si="22"/>
        <v>2.9614051120196164E-2</v>
      </c>
      <c r="I50" s="14">
        <f t="shared" ca="1" si="22"/>
        <v>2.689110130430928E-2</v>
      </c>
      <c r="J50" s="14">
        <f t="shared" ca="1" si="22"/>
        <v>2.4630029217992781E-2</v>
      </c>
      <c r="K50" s="14">
        <f t="shared" ca="1" si="22"/>
        <v>2.2782077156043534E-2</v>
      </c>
      <c r="L50" s="14">
        <f t="shared" ca="1" si="22"/>
        <v>2.1303279565236064E-2</v>
      </c>
      <c r="M50" s="14">
        <f t="shared" ca="1" si="22"/>
        <v>2.0157177736706014E-2</v>
      </c>
      <c r="N50" s="14">
        <f t="shared" ca="1" si="22"/>
        <v>1.9316086579063758E-2</v>
      </c>
      <c r="O50" s="14">
        <f t="shared" ca="1" si="22"/>
        <v>1.8761769764574159E-2</v>
      </c>
      <c r="P50" s="14">
        <f t="shared" ca="1" si="22"/>
        <v>1.8486051978837487E-2</v>
      </c>
      <c r="Q50" s="14">
        <f t="shared" ca="1" si="22"/>
        <v>1.8491729379667064E-2</v>
      </c>
    </row>
    <row r="52" spans="2:17" x14ac:dyDescent="0.2">
      <c r="B52" s="6" t="str">
        <f>B15</f>
        <v xml:space="preserve">Services &amp; Other </v>
      </c>
      <c r="C52" s="12">
        <v>1391</v>
      </c>
      <c r="D52" s="12">
        <v>2226</v>
      </c>
      <c r="E52" s="12">
        <v>2306</v>
      </c>
      <c r="F52" s="12">
        <v>3802</v>
      </c>
      <c r="G52" s="12">
        <f>(4390/3)*4</f>
        <v>5853.333333333333</v>
      </c>
      <c r="H52" s="12">
        <f t="shared" ref="H52" ca="1" si="23">G52*(1+H53)</f>
        <v>8241.9262997864626</v>
      </c>
      <c r="I52" s="12">
        <f t="shared" ref="I52" ca="1" si="24">H52*(1+I53)</f>
        <v>11368.905586209632</v>
      </c>
      <c r="J52" s="12">
        <f t="shared" ref="J52" ca="1" si="25">I52*(1+J53)</f>
        <v>15356.255883206866</v>
      </c>
      <c r="K52" s="12">
        <f t="shared" ref="K52" ca="1" si="26">J52*(1+K53)</f>
        <v>20301.7275376955</v>
      </c>
      <c r="L52" s="12">
        <f t="shared" ref="L52" ca="1" si="27">K52*(1+L53)</f>
        <v>26257.735228077487</v>
      </c>
      <c r="M52" s="12">
        <f t="shared" ref="M52" ca="1" si="28">L52*(1+M53)</f>
        <v>33208.145713543658</v>
      </c>
      <c r="N52" s="12">
        <f t="shared" ref="N52" ca="1" si="29">M52*(1+N53)</f>
        <v>41046.086895394663</v>
      </c>
      <c r="O52" s="12">
        <f t="shared" ref="O52" ca="1" si="30">N52*(1+O53)</f>
        <v>49556.983610972165</v>
      </c>
      <c r="P52" s="12">
        <f t="shared" ref="P52" ca="1" si="31">O52*(1+P53)</f>
        <v>58411.571981801128</v>
      </c>
      <c r="Q52" s="12">
        <f t="shared" ref="Q52" ca="1" si="32">P52*(1+Q53)</f>
        <v>67173.307779071285</v>
      </c>
    </row>
    <row r="53" spans="2:17" s="10" customFormat="1" x14ac:dyDescent="0.2">
      <c r="B53" s="10" t="s">
        <v>20</v>
      </c>
      <c r="D53" s="14">
        <f>D52/C52-1</f>
        <v>0.60028756290438534</v>
      </c>
      <c r="E53" s="14">
        <f t="shared" ref="E53:G53" si="33">E52/D52-1</f>
        <v>3.5938903863432126E-2</v>
      </c>
      <c r="F53" s="14">
        <f t="shared" si="33"/>
        <v>0.64874241110147435</v>
      </c>
      <c r="G53" s="14">
        <f t="shared" si="33"/>
        <v>0.53954059267052412</v>
      </c>
      <c r="H53" s="14">
        <f ca="1">OFFSET(H53,$C$15,0)</f>
        <v>0.40807396921181022</v>
      </c>
      <c r="I53" s="14">
        <f t="shared" ref="I53:Q53" ca="1" si="34">OFFSET(I53,$C$15,0)</f>
        <v>0.3793990837438313</v>
      </c>
      <c r="J53" s="14">
        <f t="shared" ca="1" si="34"/>
        <v>0.35072419827585238</v>
      </c>
      <c r="K53" s="14">
        <f t="shared" ca="1" si="34"/>
        <v>0.32204931280787347</v>
      </c>
      <c r="L53" s="14">
        <f t="shared" ca="1" si="34"/>
        <v>0.29337442733989455</v>
      </c>
      <c r="M53" s="14">
        <f t="shared" ca="1" si="34"/>
        <v>0.26469954187191563</v>
      </c>
      <c r="N53" s="14">
        <f t="shared" ca="1" si="34"/>
        <v>0.23602465640393672</v>
      </c>
      <c r="O53" s="14">
        <f t="shared" ca="1" si="34"/>
        <v>0.2073497709359578</v>
      </c>
      <c r="P53" s="14">
        <f t="shared" ca="1" si="34"/>
        <v>0.17867488546797888</v>
      </c>
      <c r="Q53" s="14">
        <f t="shared" ca="1" si="34"/>
        <v>0.15</v>
      </c>
    </row>
    <row r="54" spans="2:17" x14ac:dyDescent="0.2">
      <c r="B54" t="s">
        <v>21</v>
      </c>
      <c r="H54" s="8">
        <f t="shared" ref="H54:P54" si="35">H55*$E$15</f>
        <v>0.32645917536944818</v>
      </c>
      <c r="I54" s="8">
        <f t="shared" si="35"/>
        <v>0.30351926699506504</v>
      </c>
      <c r="J54" s="8">
        <f t="shared" si="35"/>
        <v>0.2805793586206819</v>
      </c>
      <c r="K54" s="8">
        <f t="shared" si="35"/>
        <v>0.25763945024629881</v>
      </c>
      <c r="L54" s="8">
        <f t="shared" si="35"/>
        <v>0.23469954187191566</v>
      </c>
      <c r="M54" s="8">
        <f t="shared" si="35"/>
        <v>0.21175963349753252</v>
      </c>
      <c r="N54" s="8">
        <f t="shared" si="35"/>
        <v>0.18881972512314937</v>
      </c>
      <c r="O54" s="8">
        <f t="shared" si="35"/>
        <v>0.16587981674876626</v>
      </c>
      <c r="P54" s="8">
        <f t="shared" si="35"/>
        <v>0.14293990837438311</v>
      </c>
      <c r="Q54" s="8">
        <f>Q55*$E$15</f>
        <v>0.12</v>
      </c>
    </row>
    <row r="55" spans="2:17" x14ac:dyDescent="0.2">
      <c r="B55" t="s">
        <v>22</v>
      </c>
      <c r="H55" s="8">
        <f>AVERAGE(E53:G53)</f>
        <v>0.40807396921181022</v>
      </c>
      <c r="I55" s="8">
        <f>H55-(H55-$Q$55)/($Q$29-H29)</f>
        <v>0.3793990837438313</v>
      </c>
      <c r="J55" s="8">
        <f t="shared" ref="J55:P55" si="36">I55-(I55-$Q$55)/($Q$29-I29)</f>
        <v>0.35072419827585238</v>
      </c>
      <c r="K55" s="8">
        <f t="shared" si="36"/>
        <v>0.32204931280787347</v>
      </c>
      <c r="L55" s="8">
        <f t="shared" si="36"/>
        <v>0.29337442733989455</v>
      </c>
      <c r="M55" s="8">
        <f t="shared" si="36"/>
        <v>0.26469954187191563</v>
      </c>
      <c r="N55" s="8">
        <f t="shared" si="36"/>
        <v>0.23602465640393672</v>
      </c>
      <c r="O55" s="8">
        <f t="shared" si="36"/>
        <v>0.2073497709359578</v>
      </c>
      <c r="P55" s="8">
        <f t="shared" si="36"/>
        <v>0.17867488546797888</v>
      </c>
      <c r="Q55" s="8">
        <f>H15</f>
        <v>0.15</v>
      </c>
    </row>
    <row r="56" spans="2:17" x14ac:dyDescent="0.2">
      <c r="B56" t="s">
        <v>23</v>
      </c>
      <c r="H56" s="8">
        <f t="shared" ref="H56:P56" si="37">H55*$K$15</f>
        <v>0.48968876305417225</v>
      </c>
      <c r="I56" s="8">
        <f t="shared" si="37"/>
        <v>0.45527890049259756</v>
      </c>
      <c r="J56" s="8">
        <f t="shared" si="37"/>
        <v>0.42086903793102287</v>
      </c>
      <c r="K56" s="8">
        <f t="shared" si="37"/>
        <v>0.38645917536944813</v>
      </c>
      <c r="L56" s="8">
        <f t="shared" si="37"/>
        <v>0.35204931280787344</v>
      </c>
      <c r="M56" s="8">
        <f t="shared" si="37"/>
        <v>0.31763945024629875</v>
      </c>
      <c r="N56" s="8">
        <f t="shared" si="37"/>
        <v>0.28322958768472406</v>
      </c>
      <c r="O56" s="8">
        <f t="shared" si="37"/>
        <v>0.24881972512314934</v>
      </c>
      <c r="P56" s="8">
        <f t="shared" si="37"/>
        <v>0.21440986256157465</v>
      </c>
      <c r="Q56" s="8">
        <f>Q55*$K$15</f>
        <v>0.18</v>
      </c>
    </row>
    <row r="57" spans="2:17" x14ac:dyDescent="0.2">
      <c r="B57" s="10" t="s">
        <v>24</v>
      </c>
      <c r="C57" s="14">
        <f>C52/C66</f>
        <v>6.4815246260658876E-2</v>
      </c>
      <c r="D57" s="14">
        <f t="shared" ref="D57:Q57" si="38">D52/D66</f>
        <v>9.0568801367076249E-2</v>
      </c>
      <c r="E57" s="14">
        <f t="shared" si="38"/>
        <v>7.3122780314561139E-2</v>
      </c>
      <c r="F57" s="14">
        <f t="shared" si="38"/>
        <v>7.0638946175426862E-2</v>
      </c>
      <c r="G57" s="14">
        <f t="shared" si="38"/>
        <v>7.6823463530729386E-2</v>
      </c>
      <c r="H57" s="14">
        <f t="shared" ca="1" si="38"/>
        <v>7.3887701392979635E-2</v>
      </c>
      <c r="I57" s="14">
        <f t="shared" ca="1" si="38"/>
        <v>7.1134257772635434E-2</v>
      </c>
      <c r="J57" s="14">
        <f t="shared" ca="1" si="38"/>
        <v>6.8636728888950047E-2</v>
      </c>
      <c r="K57" s="14">
        <f t="shared" ca="1" si="38"/>
        <v>6.6440114866858857E-2</v>
      </c>
      <c r="L57" s="14">
        <f t="shared" ca="1" si="38"/>
        <v>6.4572197537422688E-2</v>
      </c>
      <c r="M57" s="14">
        <f t="shared" ca="1" si="38"/>
        <v>6.3051290071665309E-2</v>
      </c>
      <c r="N57" s="14">
        <f t="shared" ca="1" si="38"/>
        <v>6.1891560840053678E-2</v>
      </c>
      <c r="O57" s="14">
        <f t="shared" ca="1" si="38"/>
        <v>6.1106804125772816E-2</v>
      </c>
      <c r="P57" s="14">
        <f t="shared" ca="1" si="38"/>
        <v>6.0713261985216593E-2</v>
      </c>
      <c r="Q57" s="14">
        <f t="shared" ca="1" si="38"/>
        <v>6.0731908125796284E-2</v>
      </c>
    </row>
    <row r="59" spans="2:17" x14ac:dyDescent="0.2">
      <c r="B59" s="6" t="str">
        <f>B16</f>
        <v xml:space="preserve">Energy Generation &amp; Storage Segment </v>
      </c>
      <c r="C59" s="12">
        <v>1555</v>
      </c>
      <c r="D59" s="12">
        <v>1531</v>
      </c>
      <c r="E59" s="12">
        <v>1994</v>
      </c>
      <c r="F59" s="12">
        <v>2789</v>
      </c>
      <c r="G59" s="12">
        <f>(2599/3)*4</f>
        <v>3465.3333333333335</v>
      </c>
      <c r="H59" s="12">
        <f t="shared" ref="H59" ca="1" si="39">G59*(1+H60)</f>
        <v>4555.3113191532575</v>
      </c>
      <c r="I59" s="12">
        <f t="shared" ref="I59" ca="1" si="40">H59*(1+I60)</f>
        <v>5904.848425577612</v>
      </c>
      <c r="J59" s="12">
        <f t="shared" ref="J59" ca="1" si="41">I59*(1+J60)</f>
        <v>7546.2413965155283</v>
      </c>
      <c r="K59" s="12">
        <f t="shared" ref="K59" ca="1" si="42">J59*(1+K60)</f>
        <v>9505.9384216866147</v>
      </c>
      <c r="L59" s="12">
        <f t="shared" ref="L59" ca="1" si="43">K59*(1+L60)</f>
        <v>11800.765446098625</v>
      </c>
      <c r="M59" s="12">
        <f t="shared" ref="M59" ca="1" si="44">L59*(1+M60)</f>
        <v>14433.845079377388</v>
      </c>
      <c r="N59" s="12">
        <f t="shared" ref="N59" ca="1" si="45">M59*(1+N60)</f>
        <v>17390.559078201677</v>
      </c>
      <c r="O59" s="12">
        <f t="shared" ref="O59" ca="1" si="46">N59*(1+O60)</f>
        <v>20635.01019320187</v>
      </c>
      <c r="P59" s="12">
        <f t="shared" ref="P59" ca="1" si="47">O59*(1+P60)</f>
        <v>24107.510296933127</v>
      </c>
      <c r="Q59" s="12">
        <f t="shared" ref="Q59" ca="1" si="48">P59*(1+Q60)</f>
        <v>27723.636841473093</v>
      </c>
    </row>
    <row r="60" spans="2:17" s="10" customFormat="1" x14ac:dyDescent="0.2">
      <c r="B60" s="10" t="s">
        <v>20</v>
      </c>
      <c r="D60" s="14">
        <f t="shared" ref="D60:G60" si="49">D59/C59-1</f>
        <v>-1.5434083601286175E-2</v>
      </c>
      <c r="E60" s="14">
        <f t="shared" si="49"/>
        <v>0.30241672109732209</v>
      </c>
      <c r="F60" s="14">
        <f t="shared" si="49"/>
        <v>0.3986960882647943</v>
      </c>
      <c r="G60" s="14">
        <f t="shared" si="49"/>
        <v>0.24250029879287682</v>
      </c>
      <c r="H60" s="14">
        <f ca="1">OFFSET(H60,$C$16,0)</f>
        <v>0.31453770271833109</v>
      </c>
      <c r="I60" s="14">
        <f t="shared" ref="I60:Q60" ca="1" si="50">OFFSET(I60,$C$16,0)</f>
        <v>0.29625573574962766</v>
      </c>
      <c r="J60" s="14">
        <f t="shared" ca="1" si="50"/>
        <v>0.27797376878092422</v>
      </c>
      <c r="K60" s="14">
        <f t="shared" ca="1" si="50"/>
        <v>0.25969180181222074</v>
      </c>
      <c r="L60" s="14">
        <f t="shared" ca="1" si="50"/>
        <v>0.24140983484351727</v>
      </c>
      <c r="M60" s="14">
        <f t="shared" ca="1" si="50"/>
        <v>0.22312786787481381</v>
      </c>
      <c r="N60" s="14">
        <f t="shared" ca="1" si="50"/>
        <v>0.20484590090611035</v>
      </c>
      <c r="O60" s="14">
        <f t="shared" ca="1" si="50"/>
        <v>0.18656393393740689</v>
      </c>
      <c r="P60" s="14">
        <f t="shared" ca="1" si="50"/>
        <v>0.16828196696870346</v>
      </c>
      <c r="Q60" s="14">
        <f t="shared" ca="1" si="50"/>
        <v>0.15</v>
      </c>
    </row>
    <row r="61" spans="2:17" x14ac:dyDescent="0.2">
      <c r="B61" t="s">
        <v>21</v>
      </c>
      <c r="H61" s="8">
        <f t="shared" ref="H61:P61" si="51">H62*$E$16</f>
        <v>0.25163016217466488</v>
      </c>
      <c r="I61" s="8">
        <f t="shared" si="51"/>
        <v>0.23700458859970214</v>
      </c>
      <c r="J61" s="8">
        <f t="shared" si="51"/>
        <v>0.22237901502473939</v>
      </c>
      <c r="K61" s="8">
        <f t="shared" si="51"/>
        <v>0.20775344144977659</v>
      </c>
      <c r="L61" s="8">
        <f t="shared" si="51"/>
        <v>0.19312786787481384</v>
      </c>
      <c r="M61" s="8">
        <f t="shared" si="51"/>
        <v>0.17850229429985107</v>
      </c>
      <c r="N61" s="8">
        <f t="shared" si="51"/>
        <v>0.16387672072488829</v>
      </c>
      <c r="O61" s="8">
        <f t="shared" si="51"/>
        <v>0.14925114714992552</v>
      </c>
      <c r="P61" s="8">
        <f t="shared" si="51"/>
        <v>0.13462557357496277</v>
      </c>
      <c r="Q61" s="8">
        <f>Q62*$E$16</f>
        <v>0.12</v>
      </c>
    </row>
    <row r="62" spans="2:17" x14ac:dyDescent="0.2">
      <c r="B62" t="s">
        <v>22</v>
      </c>
      <c r="H62" s="8">
        <f>AVERAGE(E60:G60)</f>
        <v>0.31453770271833109</v>
      </c>
      <c r="I62" s="8">
        <f>H62-(H62-$Q$62)/($Q$29-H29)</f>
        <v>0.29625573574962766</v>
      </c>
      <c r="J62" s="8">
        <f t="shared" ref="J62:P62" si="52">I62-(I62-$Q$62)/($Q$29-I29)</f>
        <v>0.27797376878092422</v>
      </c>
      <c r="K62" s="8">
        <f t="shared" si="52"/>
        <v>0.25969180181222074</v>
      </c>
      <c r="L62" s="8">
        <f t="shared" si="52"/>
        <v>0.24140983484351727</v>
      </c>
      <c r="M62" s="8">
        <f t="shared" si="52"/>
        <v>0.22312786787481381</v>
      </c>
      <c r="N62" s="8">
        <f t="shared" si="52"/>
        <v>0.20484590090611035</v>
      </c>
      <c r="O62" s="8">
        <f t="shared" si="52"/>
        <v>0.18656393393740689</v>
      </c>
      <c r="P62" s="8">
        <f t="shared" si="52"/>
        <v>0.16828196696870346</v>
      </c>
      <c r="Q62" s="8">
        <f>H16</f>
        <v>0.15</v>
      </c>
    </row>
    <row r="63" spans="2:17" x14ac:dyDescent="0.2">
      <c r="B63" t="s">
        <v>23</v>
      </c>
      <c r="H63" s="8">
        <f t="shared" ref="H63:P63" si="53">H62*$K$16</f>
        <v>0.3774452432619973</v>
      </c>
      <c r="I63" s="8">
        <f t="shared" si="53"/>
        <v>0.35550688289955318</v>
      </c>
      <c r="J63" s="8">
        <f t="shared" si="53"/>
        <v>0.33356852253710906</v>
      </c>
      <c r="K63" s="8">
        <f t="shared" si="53"/>
        <v>0.31163016217466488</v>
      </c>
      <c r="L63" s="8">
        <f t="shared" si="53"/>
        <v>0.28969180181222071</v>
      </c>
      <c r="M63" s="8">
        <f t="shared" si="53"/>
        <v>0.26775344144977659</v>
      </c>
      <c r="N63" s="8">
        <f t="shared" si="53"/>
        <v>0.24581508108733241</v>
      </c>
      <c r="O63" s="8">
        <f t="shared" si="53"/>
        <v>0.22387672072488826</v>
      </c>
      <c r="P63" s="8">
        <f t="shared" si="53"/>
        <v>0.20193836036244414</v>
      </c>
      <c r="Q63" s="8">
        <f>Q62*$K$16</f>
        <v>0.18</v>
      </c>
    </row>
    <row r="64" spans="2:17" x14ac:dyDescent="0.2">
      <c r="B64" s="10" t="s">
        <v>24</v>
      </c>
      <c r="C64" s="14">
        <f>C59/C66</f>
        <v>7.2457015050556822E-2</v>
      </c>
      <c r="D64" s="14">
        <f t="shared" ref="D64:Q64" si="54">D59/D66</f>
        <v>6.2291480185531774E-2</v>
      </c>
      <c r="E64" s="14">
        <f t="shared" si="54"/>
        <v>6.3229325215626589E-2</v>
      </c>
      <c r="F64" s="14">
        <f t="shared" si="54"/>
        <v>5.1817996024004609E-2</v>
      </c>
      <c r="G64" s="14">
        <f t="shared" si="54"/>
        <v>4.5481590368192638E-2</v>
      </c>
      <c r="H64" s="14">
        <f t="shared" ca="1" si="54"/>
        <v>4.083772048657805E-2</v>
      </c>
      <c r="I64" s="14">
        <f t="shared" ca="1" si="54"/>
        <v>3.6946125273736023E-2</v>
      </c>
      <c r="J64" s="14">
        <f t="shared" ca="1" si="54"/>
        <v>3.3728880841951962E-2</v>
      </c>
      <c r="K64" s="14">
        <f t="shared" ca="1" si="54"/>
        <v>3.1109453098582828E-2</v>
      </c>
      <c r="L64" s="14">
        <f t="shared" ca="1" si="54"/>
        <v>2.9020071642106501E-2</v>
      </c>
      <c r="M64" s="14">
        <f t="shared" ca="1" si="54"/>
        <v>2.7405099965522536E-2</v>
      </c>
      <c r="N64" s="14">
        <f t="shared" ca="1" si="54"/>
        <v>2.6222447171981945E-2</v>
      </c>
      <c r="O64" s="14">
        <f t="shared" ca="1" si="54"/>
        <v>2.5444234780466618E-2</v>
      </c>
      <c r="P64" s="14">
        <f t="shared" ca="1" si="54"/>
        <v>2.5057459315168323E-2</v>
      </c>
      <c r="Q64" s="14">
        <f t="shared" ca="1" si="54"/>
        <v>2.506515491401581E-2</v>
      </c>
    </row>
    <row r="65" spans="1:17" ht="17" thickBot="1" x14ac:dyDescent="0.25"/>
    <row r="66" spans="1:17" s="6" customFormat="1" x14ac:dyDescent="0.2">
      <c r="A66" s="11"/>
      <c r="B66" s="11" t="s">
        <v>26</v>
      </c>
      <c r="C66" s="13">
        <f t="shared" ref="C66:E66" si="55">SUM(C31,C38,C45,C52,C59)</f>
        <v>21461</v>
      </c>
      <c r="D66" s="13">
        <f t="shared" si="55"/>
        <v>24578</v>
      </c>
      <c r="E66" s="13">
        <f t="shared" si="55"/>
        <v>31536</v>
      </c>
      <c r="F66" s="13">
        <f>SUM(F31,F38,F45,F52,F59)</f>
        <v>53823</v>
      </c>
      <c r="G66" s="13">
        <f t="shared" ref="G66:Q66" si="56">SUM(G31,G38,G45,G52,G59)</f>
        <v>76192</v>
      </c>
      <c r="H66" s="13">
        <f t="shared" ca="1" si="56"/>
        <v>111546.65992315685</v>
      </c>
      <c r="I66" s="13">
        <f t="shared" ca="1" si="56"/>
        <v>159823.2123620066</v>
      </c>
      <c r="J66" s="13">
        <f t="shared" ca="1" si="56"/>
        <v>223732.33881894825</v>
      </c>
      <c r="K66" s="13">
        <f t="shared" ca="1" si="56"/>
        <v>305564.30521498469</v>
      </c>
      <c r="L66" s="13">
        <f t="shared" ca="1" si="56"/>
        <v>406641.49942953186</v>
      </c>
      <c r="M66" s="13">
        <f t="shared" ca="1" si="56"/>
        <v>526684.6352516918</v>
      </c>
      <c r="N66" s="13">
        <f t="shared" ca="1" si="56"/>
        <v>663193.59761292883</v>
      </c>
      <c r="O66" s="13">
        <f t="shared" ca="1" si="56"/>
        <v>810989.61596767057</v>
      </c>
      <c r="P66" s="13">
        <f t="shared" ca="1" si="56"/>
        <v>962089.17247806722</v>
      </c>
      <c r="Q66" s="13">
        <f t="shared" ca="1" si="56"/>
        <v>1106062.8564466094</v>
      </c>
    </row>
    <row r="67" spans="1:17" s="10" customFormat="1" x14ac:dyDescent="0.2">
      <c r="B67" s="10" t="s">
        <v>20</v>
      </c>
      <c r="D67" s="14">
        <f>D66/C66-1</f>
        <v>0.14524020315921904</v>
      </c>
      <c r="E67" s="14">
        <f t="shared" ref="E67:Q67" si="57">E66/D66-1</f>
        <v>0.28309870615998056</v>
      </c>
      <c r="F67" s="14">
        <f t="shared" si="57"/>
        <v>0.70671613394216126</v>
      </c>
      <c r="G67" s="14">
        <f t="shared" si="57"/>
        <v>0.41560299500213671</v>
      </c>
      <c r="H67" s="14">
        <f t="shared" ca="1" si="57"/>
        <v>0.4640206310788122</v>
      </c>
      <c r="I67" s="14">
        <f t="shared" ca="1" si="57"/>
        <v>0.4327924518054318</v>
      </c>
      <c r="J67" s="14">
        <f t="shared" ca="1" si="57"/>
        <v>0.3998738700870601</v>
      </c>
      <c r="K67" s="14">
        <f t="shared" ca="1" si="57"/>
        <v>0.36575832902840943</v>
      </c>
      <c r="L67" s="14">
        <f t="shared" ca="1" si="57"/>
        <v>0.33078861794224523</v>
      </c>
      <c r="M67" s="14">
        <f t="shared" ca="1" si="57"/>
        <v>0.2952063082360401</v>
      </c>
      <c r="N67" s="14">
        <f t="shared" ca="1" si="57"/>
        <v>0.25918538955669779</v>
      </c>
      <c r="O67" s="14">
        <f t="shared" ca="1" si="57"/>
        <v>0.22285501381001338</v>
      </c>
      <c r="P67" s="14">
        <f t="shared" ca="1" si="57"/>
        <v>0.18631503232024138</v>
      </c>
      <c r="Q67" s="14">
        <f t="shared" ca="1" si="57"/>
        <v>0.1496469226420114</v>
      </c>
    </row>
    <row r="69" spans="1:17" x14ac:dyDescent="0.2">
      <c r="A69" t="s">
        <v>6</v>
      </c>
      <c r="B69" s="5" t="s">
        <v>8</v>
      </c>
      <c r="C69" s="5">
        <v>2018</v>
      </c>
      <c r="D69" s="5">
        <v>2019</v>
      </c>
      <c r="E69" s="5">
        <v>2020</v>
      </c>
      <c r="F69" s="5">
        <v>2021</v>
      </c>
      <c r="G69" s="5">
        <v>2022</v>
      </c>
      <c r="H69" s="5">
        <v>2023</v>
      </c>
      <c r="I69" s="5">
        <v>2024</v>
      </c>
      <c r="J69" s="5">
        <v>2025</v>
      </c>
      <c r="K69" s="5">
        <v>2026</v>
      </c>
      <c r="L69" s="5">
        <v>2027</v>
      </c>
      <c r="M69" s="5">
        <v>2028</v>
      </c>
      <c r="N69" s="5">
        <v>2029</v>
      </c>
      <c r="O69" s="5">
        <v>2030</v>
      </c>
      <c r="P69" s="5">
        <v>2031</v>
      </c>
      <c r="Q69" s="5">
        <v>2032</v>
      </c>
    </row>
    <row r="71" spans="1:17" x14ac:dyDescent="0.2">
      <c r="B71" s="6" t="s">
        <v>29</v>
      </c>
      <c r="C71" s="12">
        <f>C66</f>
        <v>21461</v>
      </c>
      <c r="D71" s="12">
        <f t="shared" ref="D71:Q71" si="58">D66</f>
        <v>24578</v>
      </c>
      <c r="E71" s="12">
        <f t="shared" si="58"/>
        <v>31536</v>
      </c>
      <c r="F71" s="12">
        <f t="shared" si="58"/>
        <v>53823</v>
      </c>
      <c r="G71" s="12">
        <f t="shared" si="58"/>
        <v>76192</v>
      </c>
      <c r="H71" s="12">
        <f t="shared" ca="1" si="58"/>
        <v>111546.65992315685</v>
      </c>
      <c r="I71" s="12">
        <f t="shared" ca="1" si="58"/>
        <v>159823.2123620066</v>
      </c>
      <c r="J71" s="12">
        <f t="shared" ca="1" si="58"/>
        <v>223732.33881894825</v>
      </c>
      <c r="K71" s="12">
        <f t="shared" ca="1" si="58"/>
        <v>305564.30521498469</v>
      </c>
      <c r="L71" s="12">
        <f t="shared" ca="1" si="58"/>
        <v>406641.49942953186</v>
      </c>
      <c r="M71" s="12">
        <f t="shared" ca="1" si="58"/>
        <v>526684.6352516918</v>
      </c>
      <c r="N71" s="12">
        <f t="shared" ca="1" si="58"/>
        <v>663193.59761292883</v>
      </c>
      <c r="O71" s="12">
        <f t="shared" ca="1" si="58"/>
        <v>810989.61596767057</v>
      </c>
      <c r="P71" s="12">
        <f t="shared" ca="1" si="58"/>
        <v>962089.17247806722</v>
      </c>
      <c r="Q71" s="12">
        <f t="shared" ca="1" si="58"/>
        <v>1106062.8564466094</v>
      </c>
    </row>
    <row r="72" spans="1:17" x14ac:dyDescent="0.2">
      <c r="B72" s="10" t="s">
        <v>20</v>
      </c>
      <c r="D72" s="14">
        <f>D71/C71-1</f>
        <v>0.14524020315921904</v>
      </c>
      <c r="E72" s="14">
        <f t="shared" ref="E72:Q72" si="59">E71/D71-1</f>
        <v>0.28309870615998056</v>
      </c>
      <c r="F72" s="14">
        <f t="shared" si="59"/>
        <v>0.70671613394216126</v>
      </c>
      <c r="G72" s="14">
        <f t="shared" si="59"/>
        <v>0.41560299500213671</v>
      </c>
      <c r="H72" s="14">
        <f t="shared" ca="1" si="59"/>
        <v>0.4640206310788122</v>
      </c>
      <c r="I72" s="14">
        <f t="shared" ca="1" si="59"/>
        <v>0.4327924518054318</v>
      </c>
      <c r="J72" s="14">
        <f t="shared" ca="1" si="59"/>
        <v>0.3998738700870601</v>
      </c>
      <c r="K72" s="14">
        <f t="shared" ca="1" si="59"/>
        <v>0.36575832902840943</v>
      </c>
      <c r="L72" s="14">
        <f t="shared" ca="1" si="59"/>
        <v>0.33078861794224523</v>
      </c>
      <c r="M72" s="14">
        <f t="shared" ca="1" si="59"/>
        <v>0.2952063082360401</v>
      </c>
      <c r="N72" s="14">
        <f t="shared" ca="1" si="59"/>
        <v>0.25918538955669779</v>
      </c>
      <c r="O72" s="14">
        <f t="shared" ca="1" si="59"/>
        <v>0.22285501381001338</v>
      </c>
      <c r="P72" s="14">
        <f t="shared" ca="1" si="59"/>
        <v>0.18631503232024138</v>
      </c>
      <c r="Q72" s="14">
        <f t="shared" ca="1" si="59"/>
        <v>0.1496469226420114</v>
      </c>
    </row>
    <row r="74" spans="1:17" x14ac:dyDescent="0.2">
      <c r="B74" s="6" t="s">
        <v>13</v>
      </c>
      <c r="C74" s="12">
        <v>-388</v>
      </c>
      <c r="D74" s="12">
        <v>-69</v>
      </c>
      <c r="E74" s="12">
        <v>1994</v>
      </c>
      <c r="F74" s="12">
        <v>6523</v>
      </c>
      <c r="G74" s="12">
        <f>(9755/3)*4</f>
        <v>13006.666666666666</v>
      </c>
      <c r="H74" s="12">
        <f ca="1">H71*H75</f>
        <v>22309.331984631372</v>
      </c>
      <c r="I74" s="12">
        <f t="shared" ref="I74:Q74" ca="1" si="60">I71*I75</f>
        <v>39920.409170441162</v>
      </c>
      <c r="J74" s="12">
        <f t="shared" ca="1" si="60"/>
        <v>55932.889637714019</v>
      </c>
      <c r="K74" s="12">
        <f t="shared" ca="1" si="60"/>
        <v>76391.075385979988</v>
      </c>
      <c r="L74" s="12">
        <f t="shared" ca="1" si="60"/>
        <v>101660.37485377661</v>
      </c>
      <c r="M74" s="12">
        <f t="shared" ca="1" si="60"/>
        <v>131671.15881291145</v>
      </c>
      <c r="N74" s="12">
        <f t="shared" ca="1" si="60"/>
        <v>165798.39940323218</v>
      </c>
      <c r="O74" s="12">
        <f t="shared" ca="1" si="60"/>
        <v>202747.40399191764</v>
      </c>
      <c r="P74" s="12">
        <f t="shared" ca="1" si="60"/>
        <v>240522.29311951681</v>
      </c>
      <c r="Q74" s="12">
        <f t="shared" ca="1" si="60"/>
        <v>276515.71411165234</v>
      </c>
    </row>
    <row r="75" spans="1:17" x14ac:dyDescent="0.2">
      <c r="B75" s="10" t="s">
        <v>30</v>
      </c>
      <c r="C75" s="14">
        <f>C74/C71</f>
        <v>-1.8079306649270769E-2</v>
      </c>
      <c r="D75" s="14">
        <f t="shared" ref="D75:G75" si="61">D74/D71</f>
        <v>-2.8073887216209618E-3</v>
      </c>
      <c r="E75" s="14">
        <f t="shared" si="61"/>
        <v>6.3229325215626589E-2</v>
      </c>
      <c r="F75" s="14">
        <f t="shared" si="61"/>
        <v>0.12119354179440016</v>
      </c>
      <c r="G75" s="14">
        <f t="shared" si="61"/>
        <v>0.17070908581828362</v>
      </c>
      <c r="H75" s="14">
        <v>0.2</v>
      </c>
      <c r="I75" s="14">
        <f>H75-(H75-$Q$75)/($Q$69/H69)</f>
        <v>0.2497785433070866</v>
      </c>
      <c r="J75" s="14">
        <f t="shared" ref="J75:P75" si="62">I75-(I75-$Q$75)/($Q$69/I69)</f>
        <v>0.24999912812325625</v>
      </c>
      <c r="K75" s="14">
        <f t="shared" si="62"/>
        <v>0.24999999699648759</v>
      </c>
      <c r="L75" s="14">
        <f t="shared" si="62"/>
        <v>0.24999999999113137</v>
      </c>
      <c r="M75" s="14">
        <f t="shared" si="62"/>
        <v>0.24999999999997818</v>
      </c>
      <c r="N75" s="14">
        <f t="shared" si="62"/>
        <v>0.24999999999999994</v>
      </c>
      <c r="O75" s="14">
        <f t="shared" si="62"/>
        <v>0.25</v>
      </c>
      <c r="P75" s="14">
        <f t="shared" si="62"/>
        <v>0.25</v>
      </c>
      <c r="Q75" s="14">
        <v>0.25</v>
      </c>
    </row>
    <row r="76" spans="1:17" x14ac:dyDescent="0.2">
      <c r="C76" s="14"/>
    </row>
    <row r="77" spans="1:17" x14ac:dyDescent="0.2">
      <c r="B77" s="6" t="s">
        <v>31</v>
      </c>
      <c r="C77">
        <v>58</v>
      </c>
      <c r="D77">
        <v>110</v>
      </c>
      <c r="E77">
        <v>292</v>
      </c>
      <c r="F77">
        <v>699</v>
      </c>
      <c r="G77" s="12">
        <f>(856/3)*4</f>
        <v>1141.3333333333333</v>
      </c>
      <c r="H77" s="12">
        <f ca="1">H74*H78</f>
        <v>2538.4187973910998</v>
      </c>
      <c r="I77" s="12">
        <f t="shared" ref="I77:Q77" ca="1" si="63">I74*I78</f>
        <v>4107.7033633440487</v>
      </c>
      <c r="J77" s="12">
        <f t="shared" ca="1" si="63"/>
        <v>5675.88361045286</v>
      </c>
      <c r="K77" s="12">
        <f t="shared" ca="1" si="63"/>
        <v>8101.4473175804924</v>
      </c>
      <c r="L77" s="12">
        <f t="shared" ca="1" si="63"/>
        <v>10519.350493743317</v>
      </c>
      <c r="M77" s="12">
        <f t="shared" ca="1" si="63"/>
        <v>13650.10209941193</v>
      </c>
      <c r="N77" s="12">
        <f t="shared" ca="1" si="63"/>
        <v>17309.122127954652</v>
      </c>
      <c r="O77" s="12">
        <f t="shared" ca="1" si="63"/>
        <v>21054.787905392033</v>
      </c>
      <c r="P77" s="12">
        <f t="shared" ca="1" si="63"/>
        <v>25007.433025065213</v>
      </c>
      <c r="Q77" s="12">
        <f t="shared" ca="1" si="63"/>
        <v>28777.66939150359</v>
      </c>
    </row>
    <row r="78" spans="1:17" x14ac:dyDescent="0.2">
      <c r="B78" s="10" t="s">
        <v>32</v>
      </c>
      <c r="C78" s="14">
        <f>C77/C74</f>
        <v>-0.14948453608247422</v>
      </c>
      <c r="D78" s="14">
        <f t="shared" ref="D78:G78" si="64">D77/D74</f>
        <v>-1.5942028985507246</v>
      </c>
      <c r="E78" s="14">
        <f t="shared" si="64"/>
        <v>0.14643931795386159</v>
      </c>
      <c r="F78" s="14">
        <f t="shared" si="64"/>
        <v>0.10715928253870918</v>
      </c>
      <c r="G78" s="14">
        <f t="shared" si="64"/>
        <v>8.7749871860584319E-2</v>
      </c>
      <c r="H78" s="14">
        <f>AVERAGE(E78:G78)</f>
        <v>0.11378282411771835</v>
      </c>
      <c r="I78" s="14">
        <f t="shared" ref="I78:Q78" si="65">AVERAGE(F78:H78)</f>
        <v>0.10289732617233728</v>
      </c>
      <c r="J78" s="14">
        <f t="shared" si="65"/>
        <v>0.10147667405021332</v>
      </c>
      <c r="K78" s="14">
        <f t="shared" si="65"/>
        <v>0.10605227478008965</v>
      </c>
      <c r="L78" s="14">
        <f t="shared" si="65"/>
        <v>0.10347542500088008</v>
      </c>
      <c r="M78" s="14">
        <f t="shared" si="65"/>
        <v>0.10366812461039436</v>
      </c>
      <c r="N78" s="14">
        <f t="shared" si="65"/>
        <v>0.10439860813045471</v>
      </c>
      <c r="O78" s="14">
        <f t="shared" si="65"/>
        <v>0.10384738591390973</v>
      </c>
      <c r="P78" s="14">
        <f t="shared" si="65"/>
        <v>0.1039713728849196</v>
      </c>
      <c r="Q78" s="14">
        <f t="shared" si="65"/>
        <v>0.10407245564309468</v>
      </c>
    </row>
    <row r="80" spans="1:17" x14ac:dyDescent="0.2">
      <c r="A80" t="s">
        <v>6</v>
      </c>
      <c r="B80" s="5" t="s">
        <v>33</v>
      </c>
      <c r="C80" s="5">
        <v>2018</v>
      </c>
      <c r="D80" s="5">
        <v>2019</v>
      </c>
      <c r="E80" s="5">
        <v>2020</v>
      </c>
      <c r="F80" s="5">
        <v>2021</v>
      </c>
      <c r="G80" s="5">
        <v>2022</v>
      </c>
      <c r="H80" s="5">
        <v>2023</v>
      </c>
      <c r="I80" s="5">
        <v>2024</v>
      </c>
      <c r="J80" s="5">
        <v>2025</v>
      </c>
      <c r="K80" s="5">
        <v>2026</v>
      </c>
      <c r="L80" s="5">
        <v>2027</v>
      </c>
      <c r="M80" s="5">
        <v>2028</v>
      </c>
      <c r="N80" s="5">
        <v>2029</v>
      </c>
      <c r="O80" s="5">
        <v>2030</v>
      </c>
      <c r="P80" s="5">
        <v>2031</v>
      </c>
      <c r="Q80" s="5">
        <v>2032</v>
      </c>
    </row>
    <row r="82" spans="1:17" x14ac:dyDescent="0.2">
      <c r="B82" s="6" t="s">
        <v>34</v>
      </c>
      <c r="C82" s="12">
        <v>1901</v>
      </c>
      <c r="D82" s="12">
        <v>2154</v>
      </c>
      <c r="E82" s="12">
        <v>2322</v>
      </c>
      <c r="F82" s="12">
        <v>2911</v>
      </c>
      <c r="G82" s="12">
        <f>(2758/3)*4</f>
        <v>3677.3333333333335</v>
      </c>
      <c r="H82" s="12">
        <f ca="1">H71*H83</f>
        <v>6543.2845603471924</v>
      </c>
      <c r="I82" s="12">
        <f t="shared" ref="I82:Q82" ca="1" si="66">I71*I83</f>
        <v>8577.6232975055464</v>
      </c>
      <c r="J82" s="12">
        <f t="shared" ca="1" si="66"/>
        <v>11976.62327343813</v>
      </c>
      <c r="K82" s="12">
        <f t="shared" ca="1" si="66"/>
        <v>16893.641907152651</v>
      </c>
      <c r="L82" s="12">
        <f t="shared" ca="1" si="66"/>
        <v>22024.676692734654</v>
      </c>
      <c r="M82" s="12">
        <f t="shared" ca="1" si="66"/>
        <v>28613.042686905224</v>
      </c>
      <c r="N82" s="12">
        <f t="shared" ca="1" si="66"/>
        <v>36205.020889521758</v>
      </c>
      <c r="O82" s="12">
        <f t="shared" ca="1" si="66"/>
        <v>44085.675372928636</v>
      </c>
      <c r="P82" s="12">
        <f t="shared" ca="1" si="66"/>
        <v>52362.981927067325</v>
      </c>
      <c r="Q82" s="12">
        <f t="shared" ca="1" si="66"/>
        <v>60235.669890154531</v>
      </c>
    </row>
    <row r="83" spans="1:17" x14ac:dyDescent="0.2">
      <c r="B83" s="10" t="s">
        <v>30</v>
      </c>
      <c r="C83" s="14">
        <f>C82/C71</f>
        <v>8.8579283351195193E-2</v>
      </c>
      <c r="D83" s="14">
        <f t="shared" ref="D83:G83" si="67">D82/D71</f>
        <v>8.7639352266254369E-2</v>
      </c>
      <c r="E83" s="14">
        <f t="shared" si="67"/>
        <v>7.3630136986301373E-2</v>
      </c>
      <c r="F83" s="14">
        <f t="shared" si="67"/>
        <v>5.4084684985972541E-2</v>
      </c>
      <c r="G83" s="14">
        <f t="shared" si="67"/>
        <v>4.8264034719305619E-2</v>
      </c>
      <c r="H83" s="14">
        <f>AVERAGE(E83:G83)</f>
        <v>5.8659618897193178E-2</v>
      </c>
      <c r="I83" s="14">
        <f t="shared" ref="I83:Q83" si="68">AVERAGE(F83:H83)</f>
        <v>5.3669446200823777E-2</v>
      </c>
      <c r="J83" s="14">
        <f t="shared" si="68"/>
        <v>5.353103327244086E-2</v>
      </c>
      <c r="K83" s="14">
        <f t="shared" si="68"/>
        <v>5.5286699456819272E-2</v>
      </c>
      <c r="L83" s="14">
        <f t="shared" si="68"/>
        <v>5.4162392976694639E-2</v>
      </c>
      <c r="M83" s="14">
        <f t="shared" si="68"/>
        <v>5.4326708568651592E-2</v>
      </c>
      <c r="N83" s="14">
        <f t="shared" si="68"/>
        <v>5.4591933667388508E-2</v>
      </c>
      <c r="O83" s="14">
        <f t="shared" si="68"/>
        <v>5.436034507091158E-2</v>
      </c>
      <c r="P83" s="14">
        <f t="shared" si="68"/>
        <v>5.4426329102317227E-2</v>
      </c>
      <c r="Q83" s="14">
        <f t="shared" si="68"/>
        <v>5.4459535946872438E-2</v>
      </c>
    </row>
    <row r="84" spans="1:17" x14ac:dyDescent="0.2">
      <c r="B84" s="10" t="s">
        <v>36</v>
      </c>
      <c r="C84" s="14">
        <f>C82/C86</f>
        <v>0.90480723465016655</v>
      </c>
      <c r="D84" s="14">
        <f t="shared" ref="D84:Q84" si="69">D82/D86</f>
        <v>1.6232102486812359</v>
      </c>
      <c r="E84" s="14">
        <f t="shared" si="69"/>
        <v>0.73550839404497936</v>
      </c>
      <c r="F84" s="14">
        <f t="shared" si="69"/>
        <v>0.44908978710274605</v>
      </c>
      <c r="G84" s="14">
        <f t="shared" si="69"/>
        <v>0.52037735849056599</v>
      </c>
      <c r="H84" s="14">
        <f t="shared" ca="1" si="69"/>
        <v>0.5617163775576296</v>
      </c>
      <c r="I84" s="14">
        <f t="shared" ca="1" si="69"/>
        <v>0.50693855655992315</v>
      </c>
      <c r="J84" s="14">
        <f t="shared" ca="1" si="69"/>
        <v>0.52992782179753029</v>
      </c>
      <c r="K84" s="14">
        <f t="shared" ca="1" si="69"/>
        <v>0.53277313495171452</v>
      </c>
      <c r="L84" s="14">
        <f t="shared" ca="1" si="69"/>
        <v>0.52304368694541881</v>
      </c>
      <c r="M84" s="14">
        <f t="shared" ca="1" si="69"/>
        <v>0.52857345269119649</v>
      </c>
      <c r="N84" s="14">
        <f t="shared" ca="1" si="69"/>
        <v>0.52813226954224635</v>
      </c>
      <c r="O84" s="14">
        <f t="shared" ca="1" si="69"/>
        <v>0.52657724963856034</v>
      </c>
      <c r="P84" s="14">
        <f t="shared" ca="1" si="69"/>
        <v>0.5277599611430831</v>
      </c>
      <c r="Q84" s="14">
        <f t="shared" ca="1" si="69"/>
        <v>0.52749001312565313</v>
      </c>
    </row>
    <row r="86" spans="1:17" x14ac:dyDescent="0.2">
      <c r="B86" s="6" t="s">
        <v>35</v>
      </c>
      <c r="C86" s="12">
        <v>2101</v>
      </c>
      <c r="D86" s="12">
        <v>1327</v>
      </c>
      <c r="E86" s="12">
        <v>3157</v>
      </c>
      <c r="F86" s="12">
        <v>6482</v>
      </c>
      <c r="G86" s="12">
        <f>(5300/3)*4</f>
        <v>7066.666666666667</v>
      </c>
      <c r="H86" s="12">
        <f ca="1">H71*H87</f>
        <v>11648.733812600791</v>
      </c>
      <c r="I86" s="12">
        <f t="shared" ref="I86:Q86" ca="1" si="70">I71*I87</f>
        <v>16920.439738719342</v>
      </c>
      <c r="J86" s="12">
        <f t="shared" ca="1" si="70"/>
        <v>22600.480255618742</v>
      </c>
      <c r="K86" s="12">
        <f t="shared" ca="1" si="70"/>
        <v>31708.884699457922</v>
      </c>
      <c r="L86" s="12">
        <f t="shared" ca="1" si="70"/>
        <v>42108.675130674113</v>
      </c>
      <c r="M86" s="12">
        <f t="shared" ca="1" si="70"/>
        <v>54132.576165571365</v>
      </c>
      <c r="N86" s="12">
        <f t="shared" ca="1" si="70"/>
        <v>68552.94208949231</v>
      </c>
      <c r="O86" s="12">
        <f t="shared" ca="1" si="70"/>
        <v>83721.192670569784</v>
      </c>
      <c r="P86" s="12">
        <f t="shared" ca="1" si="70"/>
        <v>99217.420384929486</v>
      </c>
      <c r="Q86" s="12">
        <f t="shared" ca="1" si="70"/>
        <v>114193.00534853127</v>
      </c>
    </row>
    <row r="87" spans="1:17" x14ac:dyDescent="0.2">
      <c r="B87" s="15" t="s">
        <v>30</v>
      </c>
      <c r="C87" s="14">
        <f>C86/C71</f>
        <v>9.7898513582778068E-2</v>
      </c>
      <c r="D87" s="14">
        <f t="shared" ref="D87:G87" si="71">D86/D71</f>
        <v>5.3991374399869806E-2</v>
      </c>
      <c r="E87" s="14">
        <f t="shared" si="71"/>
        <v>0.1001078132927448</v>
      </c>
      <c r="F87" s="14">
        <f t="shared" si="71"/>
        <v>0.12043178566783717</v>
      </c>
      <c r="G87" s="14">
        <f t="shared" si="71"/>
        <v>9.2748145037099258E-2</v>
      </c>
      <c r="H87" s="14">
        <f>AVERAGE(E87:G87)</f>
        <v>0.10442924799922708</v>
      </c>
      <c r="I87" s="14">
        <f t="shared" ref="I87:Q87" si="72">AVERAGE(F87:H87)</f>
        <v>0.10586972623472117</v>
      </c>
      <c r="J87" s="14">
        <f t="shared" si="72"/>
        <v>0.1010157064236825</v>
      </c>
      <c r="K87" s="14">
        <f t="shared" si="72"/>
        <v>0.10377156021921025</v>
      </c>
      <c r="L87" s="14">
        <f t="shared" si="72"/>
        <v>0.10355233095920464</v>
      </c>
      <c r="M87" s="14">
        <f t="shared" si="72"/>
        <v>0.1027798658673658</v>
      </c>
      <c r="N87" s="14">
        <f t="shared" si="72"/>
        <v>0.10336791901526023</v>
      </c>
      <c r="O87" s="14">
        <f t="shared" si="72"/>
        <v>0.10323337194727689</v>
      </c>
      <c r="P87" s="14">
        <f t="shared" si="72"/>
        <v>0.10312705227663431</v>
      </c>
      <c r="Q87" s="14">
        <f t="shared" si="72"/>
        <v>0.1032427810797238</v>
      </c>
    </row>
    <row r="89" spans="1:17" x14ac:dyDescent="0.2">
      <c r="B89" s="6" t="s">
        <v>37</v>
      </c>
      <c r="C89">
        <f>-497-1023-215-82-207+1797+406-96-25</f>
        <v>58</v>
      </c>
      <c r="D89" s="12">
        <f>-367-429-764-288+115+646+801-58-5</f>
        <v>-349</v>
      </c>
      <c r="E89">
        <f>(-652-422-1072-251-344+2102+321+7+495)</f>
        <v>184</v>
      </c>
      <c r="F89">
        <f>-130-1709-2114-271-1291+4578+793+186+476</f>
        <v>518</v>
      </c>
      <c r="G89" s="12">
        <f>-426-4492-1136-865-1580+4659+856+251+1016</f>
        <v>-1717</v>
      </c>
      <c r="H89" s="12">
        <f ca="1">H71*H90</f>
        <v>557.73329961578429</v>
      </c>
      <c r="I89" s="12">
        <f t="shared" ref="I89:Q89" ca="1" si="73">I71*I90</f>
        <v>799.11606181003299</v>
      </c>
      <c r="J89" s="12">
        <f t="shared" ca="1" si="73"/>
        <v>1118.6616940947413</v>
      </c>
      <c r="K89" s="12">
        <f t="shared" ca="1" si="73"/>
        <v>-1527.8215260749234</v>
      </c>
      <c r="L89" s="12">
        <f t="shared" ca="1" si="73"/>
        <v>2033.2074971476593</v>
      </c>
      <c r="M89" s="12">
        <f t="shared" ca="1" si="73"/>
        <v>2633.4231762584591</v>
      </c>
      <c r="N89" s="12">
        <f t="shared" ca="1" si="73"/>
        <v>-3315.967988064644</v>
      </c>
      <c r="O89" s="12">
        <f t="shared" ca="1" si="73"/>
        <v>4054.9480798383529</v>
      </c>
      <c r="P89" s="12">
        <f t="shared" ca="1" si="73"/>
        <v>4810.4458623903365</v>
      </c>
      <c r="Q89" s="12">
        <f t="shared" ca="1" si="73"/>
        <v>5530.3142822330474</v>
      </c>
    </row>
    <row r="90" spans="1:17" x14ac:dyDescent="0.2">
      <c r="B90" s="15" t="s">
        <v>30</v>
      </c>
      <c r="C90" s="14">
        <f>C89/C71</f>
        <v>2.7025767671590329E-3</v>
      </c>
      <c r="D90" s="14">
        <f t="shared" ref="D90:G90" si="74">D89/D71</f>
        <v>-1.4199690780372691E-2</v>
      </c>
      <c r="E90" s="14">
        <f t="shared" si="74"/>
        <v>5.8346017250126836E-3</v>
      </c>
      <c r="F90" s="14">
        <f t="shared" si="74"/>
        <v>9.6241383795031867E-3</v>
      </c>
      <c r="G90" s="14">
        <f t="shared" si="74"/>
        <v>-2.2535174296514068E-2</v>
      </c>
      <c r="H90" s="14">
        <v>5.0000000000000001E-3</v>
      </c>
      <c r="I90" s="14">
        <v>5.0000000000000001E-3</v>
      </c>
      <c r="J90" s="14">
        <v>5.0000000000000001E-3</v>
      </c>
      <c r="K90" s="14">
        <v>-5.0000000000000001E-3</v>
      </c>
      <c r="L90" s="14">
        <v>5.0000000000000001E-3</v>
      </c>
      <c r="M90" s="14">
        <v>5.0000000000000001E-3</v>
      </c>
      <c r="N90" s="14">
        <v>-5.0000000000000001E-3</v>
      </c>
      <c r="O90" s="14">
        <v>5.0000000000000001E-3</v>
      </c>
      <c r="P90" s="14">
        <v>5.0000000000000001E-3</v>
      </c>
      <c r="Q90" s="14">
        <v>5.0000000000000001E-3</v>
      </c>
    </row>
    <row r="92" spans="1:17" x14ac:dyDescent="0.2">
      <c r="H92">
        <v>1</v>
      </c>
      <c r="I92">
        <v>2</v>
      </c>
      <c r="J92">
        <v>3</v>
      </c>
      <c r="K92">
        <v>4</v>
      </c>
      <c r="L92">
        <v>5</v>
      </c>
      <c r="M92">
        <v>6</v>
      </c>
      <c r="N92">
        <v>7</v>
      </c>
      <c r="O92">
        <v>8</v>
      </c>
      <c r="P92">
        <v>9</v>
      </c>
      <c r="Q92">
        <v>10</v>
      </c>
    </row>
    <row r="93" spans="1:17" x14ac:dyDescent="0.2">
      <c r="A93" t="s">
        <v>6</v>
      </c>
      <c r="B93" s="5" t="s">
        <v>38</v>
      </c>
      <c r="C93" s="5">
        <v>2018</v>
      </c>
      <c r="D93" s="5">
        <v>2019</v>
      </c>
      <c r="E93" s="5">
        <v>2020</v>
      </c>
      <c r="F93" s="5">
        <v>2021</v>
      </c>
      <c r="G93" s="5">
        <v>2022</v>
      </c>
      <c r="H93" s="5">
        <v>2023</v>
      </c>
      <c r="I93" s="5">
        <v>2024</v>
      </c>
      <c r="J93" s="5">
        <v>2025</v>
      </c>
      <c r="K93" s="5">
        <v>2026</v>
      </c>
      <c r="L93" s="5">
        <v>2027</v>
      </c>
      <c r="M93" s="5">
        <v>2028</v>
      </c>
      <c r="N93" s="5">
        <v>2029</v>
      </c>
      <c r="O93" s="5">
        <v>2030</v>
      </c>
      <c r="P93" s="5">
        <v>2031</v>
      </c>
      <c r="Q93" s="5">
        <v>2032</v>
      </c>
    </row>
    <row r="95" spans="1:17" x14ac:dyDescent="0.2">
      <c r="B95" s="6" t="s">
        <v>39</v>
      </c>
      <c r="C95" s="12">
        <f>C71</f>
        <v>21461</v>
      </c>
      <c r="D95" s="12">
        <f t="shared" ref="D95:Q95" si="75">D71</f>
        <v>24578</v>
      </c>
      <c r="E95" s="12">
        <f t="shared" si="75"/>
        <v>31536</v>
      </c>
      <c r="F95" s="12">
        <f t="shared" si="75"/>
        <v>53823</v>
      </c>
      <c r="G95" s="12">
        <f t="shared" si="75"/>
        <v>76192</v>
      </c>
      <c r="H95" s="12">
        <f t="shared" ca="1" si="75"/>
        <v>111546.65992315685</v>
      </c>
      <c r="I95" s="12">
        <f t="shared" ca="1" si="75"/>
        <v>159823.2123620066</v>
      </c>
      <c r="J95" s="12">
        <f t="shared" ca="1" si="75"/>
        <v>223732.33881894825</v>
      </c>
      <c r="K95" s="12">
        <f t="shared" ca="1" si="75"/>
        <v>305564.30521498469</v>
      </c>
      <c r="L95" s="12">
        <f t="shared" ca="1" si="75"/>
        <v>406641.49942953186</v>
      </c>
      <c r="M95" s="12">
        <f t="shared" ca="1" si="75"/>
        <v>526684.6352516918</v>
      </c>
      <c r="N95" s="12">
        <f t="shared" ca="1" si="75"/>
        <v>663193.59761292883</v>
      </c>
      <c r="O95" s="12">
        <f t="shared" ca="1" si="75"/>
        <v>810989.61596767057</v>
      </c>
      <c r="P95" s="12">
        <f t="shared" ca="1" si="75"/>
        <v>962089.17247806722</v>
      </c>
      <c r="Q95" s="12">
        <f t="shared" ca="1" si="75"/>
        <v>1106062.8564466094</v>
      </c>
    </row>
    <row r="96" spans="1:17" x14ac:dyDescent="0.2">
      <c r="B96" s="10" t="s">
        <v>20</v>
      </c>
      <c r="D96" s="14">
        <f>D95/C95-1</f>
        <v>0.14524020315921904</v>
      </c>
      <c r="E96" s="14">
        <f t="shared" ref="E96:Q96" si="76">E95/D95-1</f>
        <v>0.28309870615998056</v>
      </c>
      <c r="F96" s="14">
        <f t="shared" si="76"/>
        <v>0.70671613394216126</v>
      </c>
      <c r="G96" s="14">
        <f t="shared" si="76"/>
        <v>0.41560299500213671</v>
      </c>
      <c r="H96" s="14">
        <f t="shared" ca="1" si="76"/>
        <v>0.4640206310788122</v>
      </c>
      <c r="I96" s="14">
        <f t="shared" ca="1" si="76"/>
        <v>0.4327924518054318</v>
      </c>
      <c r="J96" s="14">
        <f t="shared" ca="1" si="76"/>
        <v>0.3998738700870601</v>
      </c>
      <c r="K96" s="14">
        <f t="shared" ca="1" si="76"/>
        <v>0.36575832902840943</v>
      </c>
      <c r="L96" s="14">
        <f t="shared" ca="1" si="76"/>
        <v>0.33078861794224523</v>
      </c>
      <c r="M96" s="14">
        <f t="shared" ca="1" si="76"/>
        <v>0.2952063082360401</v>
      </c>
      <c r="N96" s="14">
        <f t="shared" ca="1" si="76"/>
        <v>0.25918538955669779</v>
      </c>
      <c r="O96" s="14">
        <f t="shared" ca="1" si="76"/>
        <v>0.22285501381001338</v>
      </c>
      <c r="P96" s="14">
        <f t="shared" ca="1" si="76"/>
        <v>0.18631503232024138</v>
      </c>
      <c r="Q96" s="14">
        <f t="shared" ca="1" si="76"/>
        <v>0.1496469226420114</v>
      </c>
    </row>
    <row r="98" spans="1:17" x14ac:dyDescent="0.2">
      <c r="B98" s="6" t="s">
        <v>13</v>
      </c>
      <c r="C98" s="12">
        <f>C74</f>
        <v>-388</v>
      </c>
      <c r="D98" s="12">
        <f t="shared" ref="D98:G98" si="77">D74</f>
        <v>-69</v>
      </c>
      <c r="E98" s="12">
        <f t="shared" si="77"/>
        <v>1994</v>
      </c>
      <c r="F98" s="12">
        <f t="shared" si="77"/>
        <v>6523</v>
      </c>
      <c r="G98" s="12">
        <f t="shared" si="77"/>
        <v>13006.666666666666</v>
      </c>
      <c r="H98" s="12">
        <f ca="1">H95*H99</f>
        <v>20078.398786168233</v>
      </c>
      <c r="I98" s="12">
        <f t="shared" ref="I98:Q98" ca="1" si="78">I95*I99</f>
        <v>29123.340919298982</v>
      </c>
      <c r="J98" s="12">
        <f t="shared" ca="1" si="78"/>
        <v>41266.186937717124</v>
      </c>
      <c r="K98" s="12">
        <f t="shared" ca="1" si="78"/>
        <v>57038.670306797147</v>
      </c>
      <c r="L98" s="12">
        <f t="shared" ca="1" si="78"/>
        <v>76810.061003356022</v>
      </c>
      <c r="M98" s="12">
        <f t="shared" ca="1" si="78"/>
        <v>100655.28584810111</v>
      </c>
      <c r="N98" s="12">
        <f t="shared" ca="1" si="78"/>
        <v>128217.42887183292</v>
      </c>
      <c r="O98" s="12">
        <f t="shared" ca="1" si="78"/>
        <v>158593.52490034446</v>
      </c>
      <c r="P98" s="12">
        <f t="shared" ca="1" si="78"/>
        <v>190279.85855677328</v>
      </c>
      <c r="Q98" s="12">
        <f t="shared" ca="1" si="78"/>
        <v>221212.57128932187</v>
      </c>
    </row>
    <row r="99" spans="1:17" x14ac:dyDescent="0.2">
      <c r="B99" s="10" t="s">
        <v>40</v>
      </c>
      <c r="C99" s="14">
        <f>C75</f>
        <v>-1.8079306649270769E-2</v>
      </c>
      <c r="D99" s="14">
        <f t="shared" ref="D99:G99" si="79">D75</f>
        <v>-2.8073887216209618E-3</v>
      </c>
      <c r="E99" s="14">
        <f t="shared" si="79"/>
        <v>6.3229325215626589E-2</v>
      </c>
      <c r="F99" s="14">
        <f t="shared" si="79"/>
        <v>0.12119354179440016</v>
      </c>
      <c r="G99" s="14">
        <f t="shared" si="79"/>
        <v>0.17070908581828362</v>
      </c>
      <c r="H99" s="14">
        <f ca="1">OFFSET(H99,$C$18,0)</f>
        <v>0.18</v>
      </c>
      <c r="I99" s="14">
        <f t="shared" ref="I99:Q99" ca="1" si="80">OFFSET(I99,$C$18,0)</f>
        <v>0.18222222222222223</v>
      </c>
      <c r="J99" s="14">
        <f t="shared" ca="1" si="80"/>
        <v>0.18444444444444447</v>
      </c>
      <c r="K99" s="14">
        <f t="shared" ca="1" si="80"/>
        <v>0.18666666666666668</v>
      </c>
      <c r="L99" s="14">
        <f t="shared" ca="1" si="80"/>
        <v>0.18888888888888888</v>
      </c>
      <c r="M99" s="14">
        <f t="shared" ca="1" si="80"/>
        <v>0.19111111111111112</v>
      </c>
      <c r="N99" s="14">
        <f t="shared" ca="1" si="80"/>
        <v>0.19333333333333336</v>
      </c>
      <c r="O99" s="14">
        <f t="shared" ca="1" si="80"/>
        <v>0.19555555555555557</v>
      </c>
      <c r="P99" s="14">
        <f t="shared" ca="1" si="80"/>
        <v>0.19777777777777777</v>
      </c>
      <c r="Q99" s="14">
        <f t="shared" ca="1" si="80"/>
        <v>0.2</v>
      </c>
    </row>
    <row r="100" spans="1:17" x14ac:dyDescent="0.2">
      <c r="B100" t="s">
        <v>21</v>
      </c>
      <c r="H100" s="8">
        <f t="shared" ref="H100:P100" si="81">H101*$E$18</f>
        <v>0.14399999999999999</v>
      </c>
      <c r="I100" s="8">
        <f t="shared" si="81"/>
        <v>0.14577777777777778</v>
      </c>
      <c r="J100" s="8">
        <f t="shared" si="81"/>
        <v>0.14755555555555558</v>
      </c>
      <c r="K100" s="8">
        <f t="shared" si="81"/>
        <v>0.14933333333333335</v>
      </c>
      <c r="L100" s="8">
        <f t="shared" si="81"/>
        <v>0.15111111111111111</v>
      </c>
      <c r="M100" s="8">
        <f t="shared" si="81"/>
        <v>0.15288888888888891</v>
      </c>
      <c r="N100" s="8">
        <f t="shared" si="81"/>
        <v>0.1546666666666667</v>
      </c>
      <c r="O100" s="8">
        <f t="shared" si="81"/>
        <v>0.15644444444444447</v>
      </c>
      <c r="P100" s="8">
        <f t="shared" si="81"/>
        <v>0.15822222222222224</v>
      </c>
      <c r="Q100" s="8">
        <f>Q101*$E$18</f>
        <v>0.16000000000000003</v>
      </c>
    </row>
    <row r="101" spans="1:17" x14ac:dyDescent="0.2">
      <c r="B101" t="s">
        <v>22</v>
      </c>
      <c r="H101" s="8">
        <v>0.18</v>
      </c>
      <c r="I101" s="8">
        <f>H101-(H101-$Q$101)/($Q$93-H93)</f>
        <v>0.18222222222222223</v>
      </c>
      <c r="J101" s="8">
        <f t="shared" ref="J101:P101" si="82">I101-(I101-$Q$101)/($Q$93-I93)</f>
        <v>0.18444444444444447</v>
      </c>
      <c r="K101" s="8">
        <f t="shared" si="82"/>
        <v>0.18666666666666668</v>
      </c>
      <c r="L101" s="8">
        <f t="shared" si="82"/>
        <v>0.18888888888888888</v>
      </c>
      <c r="M101" s="8">
        <f t="shared" si="82"/>
        <v>0.19111111111111112</v>
      </c>
      <c r="N101" s="8">
        <f t="shared" si="82"/>
        <v>0.19333333333333336</v>
      </c>
      <c r="O101" s="8">
        <f t="shared" si="82"/>
        <v>0.19555555555555557</v>
      </c>
      <c r="P101" s="8">
        <f t="shared" si="82"/>
        <v>0.19777777777777777</v>
      </c>
      <c r="Q101" s="8">
        <f>H18</f>
        <v>0.2</v>
      </c>
    </row>
    <row r="102" spans="1:17" x14ac:dyDescent="0.2">
      <c r="B102" t="s">
        <v>23</v>
      </c>
      <c r="H102" s="8">
        <f t="shared" ref="H102:P102" si="83">H101*$K$18</f>
        <v>0.216</v>
      </c>
      <c r="I102" s="8">
        <f t="shared" si="83"/>
        <v>0.21866666666666668</v>
      </c>
      <c r="J102" s="8">
        <f t="shared" si="83"/>
        <v>0.22133333333333335</v>
      </c>
      <c r="K102" s="8">
        <f t="shared" si="83"/>
        <v>0.224</v>
      </c>
      <c r="L102" s="8">
        <f t="shared" si="83"/>
        <v>0.22666666666666666</v>
      </c>
      <c r="M102" s="8">
        <f t="shared" si="83"/>
        <v>0.22933333333333333</v>
      </c>
      <c r="N102" s="8">
        <f t="shared" si="83"/>
        <v>0.23200000000000001</v>
      </c>
      <c r="O102" s="8">
        <f t="shared" si="83"/>
        <v>0.23466666666666666</v>
      </c>
      <c r="P102" s="8">
        <f t="shared" si="83"/>
        <v>0.23733333333333331</v>
      </c>
      <c r="Q102" s="8">
        <f>Q101*$K$18</f>
        <v>0.24</v>
      </c>
    </row>
    <row r="104" spans="1:17" x14ac:dyDescent="0.2">
      <c r="B104" s="6" t="s">
        <v>31</v>
      </c>
      <c r="C104" s="12">
        <f>C77</f>
        <v>58</v>
      </c>
      <c r="D104" s="12">
        <f t="shared" ref="D104:Q104" si="84">D77</f>
        <v>110</v>
      </c>
      <c r="E104" s="12">
        <f t="shared" si="84"/>
        <v>292</v>
      </c>
      <c r="F104" s="12">
        <f t="shared" si="84"/>
        <v>699</v>
      </c>
      <c r="G104" s="12">
        <f t="shared" si="84"/>
        <v>1141.3333333333333</v>
      </c>
      <c r="H104" s="12">
        <f t="shared" ca="1" si="84"/>
        <v>2538.4187973910998</v>
      </c>
      <c r="I104" s="12">
        <f t="shared" ca="1" si="84"/>
        <v>4107.7033633440487</v>
      </c>
      <c r="J104" s="12">
        <f t="shared" ca="1" si="84"/>
        <v>5675.88361045286</v>
      </c>
      <c r="K104" s="12">
        <f t="shared" ca="1" si="84"/>
        <v>8101.4473175804924</v>
      </c>
      <c r="L104" s="12">
        <f t="shared" ca="1" si="84"/>
        <v>10519.350493743317</v>
      </c>
      <c r="M104" s="12">
        <f t="shared" ca="1" si="84"/>
        <v>13650.10209941193</v>
      </c>
      <c r="N104" s="12">
        <f t="shared" ca="1" si="84"/>
        <v>17309.122127954652</v>
      </c>
      <c r="O104" s="12">
        <f t="shared" ca="1" si="84"/>
        <v>21054.787905392033</v>
      </c>
      <c r="P104" s="12">
        <f t="shared" ca="1" si="84"/>
        <v>25007.433025065213</v>
      </c>
      <c r="Q104" s="12">
        <f t="shared" ca="1" si="84"/>
        <v>28777.66939150359</v>
      </c>
    </row>
    <row r="105" spans="1:17" x14ac:dyDescent="0.2">
      <c r="B105" s="10" t="s">
        <v>32</v>
      </c>
      <c r="C105" s="14">
        <f>C104/C98</f>
        <v>-0.14948453608247422</v>
      </c>
      <c r="D105" s="14">
        <f t="shared" ref="D105:Q105" si="85">D104/D98</f>
        <v>-1.5942028985507246</v>
      </c>
      <c r="E105" s="14">
        <f t="shared" si="85"/>
        <v>0.14643931795386159</v>
      </c>
      <c r="F105" s="14">
        <f t="shared" si="85"/>
        <v>0.10715928253870918</v>
      </c>
      <c r="G105" s="14">
        <f t="shared" si="85"/>
        <v>8.7749871860584319E-2</v>
      </c>
      <c r="H105" s="14">
        <f t="shared" ca="1" si="85"/>
        <v>0.12642536013079819</v>
      </c>
      <c r="I105" s="14">
        <f t="shared" ca="1" si="85"/>
        <v>0.14104505986200308</v>
      </c>
      <c r="J105" s="14">
        <f t="shared" ca="1" si="85"/>
        <v>0.13754320502205464</v>
      </c>
      <c r="K105" s="14">
        <f t="shared" ca="1" si="85"/>
        <v>0.1420342948740701</v>
      </c>
      <c r="L105" s="14">
        <f t="shared" ca="1" si="85"/>
        <v>0.13695276837865941</v>
      </c>
      <c r="M105" s="14">
        <f t="shared" ca="1" si="85"/>
        <v>0.13561237231009704</v>
      </c>
      <c r="N105" s="14">
        <f t="shared" ca="1" si="85"/>
        <v>0.13499820016869141</v>
      </c>
      <c r="O105" s="14">
        <f t="shared" ca="1" si="85"/>
        <v>0.13275944221948688</v>
      </c>
      <c r="P105" s="14">
        <f t="shared" ca="1" si="85"/>
        <v>0.13142448819722985</v>
      </c>
      <c r="Q105" s="14">
        <f t="shared" ca="1" si="85"/>
        <v>0.13009056955386836</v>
      </c>
    </row>
    <row r="106" spans="1:17" ht="17" thickBot="1" x14ac:dyDescent="0.25"/>
    <row r="107" spans="1:17" x14ac:dyDescent="0.2">
      <c r="A107" s="11"/>
      <c r="B107" s="11"/>
      <c r="C107" s="13"/>
      <c r="D107" s="13"/>
      <c r="E107" s="13"/>
      <c r="F107" s="13"/>
      <c r="G107" s="13"/>
      <c r="H107" s="13"/>
      <c r="I107" s="13"/>
      <c r="J107" s="13"/>
      <c r="K107" s="13"/>
      <c r="L107" s="13"/>
      <c r="M107" s="13"/>
      <c r="N107" s="13"/>
      <c r="O107" s="13"/>
      <c r="P107" s="13"/>
      <c r="Q107" s="13"/>
    </row>
    <row r="108" spans="1:17" x14ac:dyDescent="0.2">
      <c r="B108" s="6" t="s">
        <v>41</v>
      </c>
      <c r="H108" s="16">
        <f ca="1">H98-H104</f>
        <v>17539.979988777133</v>
      </c>
      <c r="I108" s="16">
        <f t="shared" ref="I108:Q108" ca="1" si="86">I98-I104</f>
        <v>25015.637555954934</v>
      </c>
      <c r="J108" s="16">
        <f t="shared" ca="1" si="86"/>
        <v>35590.303327264264</v>
      </c>
      <c r="K108" s="16">
        <f t="shared" ca="1" si="86"/>
        <v>48937.222989216651</v>
      </c>
      <c r="L108" s="16">
        <f t="shared" ca="1" si="86"/>
        <v>66290.710509612705</v>
      </c>
      <c r="M108" s="16">
        <f t="shared" ca="1" si="86"/>
        <v>87005.183748689175</v>
      </c>
      <c r="N108" s="16">
        <f t="shared" ca="1" si="86"/>
        <v>110908.30674387826</v>
      </c>
      <c r="O108" s="16">
        <f t="shared" ca="1" si="86"/>
        <v>137538.73699495243</v>
      </c>
      <c r="P108" s="16">
        <f t="shared" ca="1" si="86"/>
        <v>165272.42553170805</v>
      </c>
      <c r="Q108" s="16">
        <f t="shared" ca="1" si="86"/>
        <v>192434.90189781829</v>
      </c>
    </row>
    <row r="110" spans="1:17" x14ac:dyDescent="0.2">
      <c r="B110" s="6" t="s">
        <v>34</v>
      </c>
      <c r="C110" s="12">
        <f>C82</f>
        <v>1901</v>
      </c>
      <c r="D110" s="12">
        <f t="shared" ref="D110:Q110" si="87">D82</f>
        <v>2154</v>
      </c>
      <c r="E110" s="12">
        <f t="shared" si="87"/>
        <v>2322</v>
      </c>
      <c r="F110" s="12">
        <f t="shared" si="87"/>
        <v>2911</v>
      </c>
      <c r="G110" s="12">
        <f t="shared" si="87"/>
        <v>3677.3333333333335</v>
      </c>
      <c r="H110" s="12">
        <f t="shared" ca="1" si="87"/>
        <v>6543.2845603471924</v>
      </c>
      <c r="I110" s="12">
        <f t="shared" ca="1" si="87"/>
        <v>8577.6232975055464</v>
      </c>
      <c r="J110" s="12">
        <f t="shared" ca="1" si="87"/>
        <v>11976.62327343813</v>
      </c>
      <c r="K110" s="12">
        <f t="shared" ca="1" si="87"/>
        <v>16893.641907152651</v>
      </c>
      <c r="L110" s="12">
        <f t="shared" ca="1" si="87"/>
        <v>22024.676692734654</v>
      </c>
      <c r="M110" s="12">
        <f t="shared" ca="1" si="87"/>
        <v>28613.042686905224</v>
      </c>
      <c r="N110" s="12">
        <f t="shared" ca="1" si="87"/>
        <v>36205.020889521758</v>
      </c>
      <c r="O110" s="12">
        <f t="shared" ca="1" si="87"/>
        <v>44085.675372928636</v>
      </c>
      <c r="P110" s="12">
        <f t="shared" ca="1" si="87"/>
        <v>52362.981927067325</v>
      </c>
      <c r="Q110" s="12">
        <f t="shared" ca="1" si="87"/>
        <v>60235.669890154531</v>
      </c>
    </row>
    <row r="111" spans="1:17" x14ac:dyDescent="0.2">
      <c r="B111" s="10" t="s">
        <v>30</v>
      </c>
      <c r="C111" s="14">
        <f>C110/C95</f>
        <v>8.8579283351195193E-2</v>
      </c>
      <c r="D111" s="14">
        <f t="shared" ref="D111:Q111" si="88">D110/D95</f>
        <v>8.7639352266254369E-2</v>
      </c>
      <c r="E111" s="14">
        <f t="shared" si="88"/>
        <v>7.3630136986301373E-2</v>
      </c>
      <c r="F111" s="14">
        <f t="shared" si="88"/>
        <v>5.4084684985972541E-2</v>
      </c>
      <c r="G111" s="14">
        <f t="shared" si="88"/>
        <v>4.8264034719305619E-2</v>
      </c>
      <c r="H111" s="14">
        <f t="shared" ca="1" si="88"/>
        <v>5.8659618897193178E-2</v>
      </c>
      <c r="I111" s="14">
        <f t="shared" ca="1" si="88"/>
        <v>5.3669446200823777E-2</v>
      </c>
      <c r="J111" s="14">
        <f t="shared" ca="1" si="88"/>
        <v>5.353103327244086E-2</v>
      </c>
      <c r="K111" s="14">
        <f t="shared" ca="1" si="88"/>
        <v>5.5286699456819265E-2</v>
      </c>
      <c r="L111" s="14">
        <f t="shared" ca="1" si="88"/>
        <v>5.4162392976694639E-2</v>
      </c>
      <c r="M111" s="14">
        <f t="shared" ca="1" si="88"/>
        <v>5.4326708568651592E-2</v>
      </c>
      <c r="N111" s="14">
        <f t="shared" ca="1" si="88"/>
        <v>5.4591933667388508E-2</v>
      </c>
      <c r="O111" s="14">
        <f t="shared" ca="1" si="88"/>
        <v>5.436034507091158E-2</v>
      </c>
      <c r="P111" s="14">
        <f t="shared" ca="1" si="88"/>
        <v>5.4426329102317227E-2</v>
      </c>
      <c r="Q111" s="14">
        <f t="shared" ca="1" si="88"/>
        <v>5.4459535946872438E-2</v>
      </c>
    </row>
    <row r="112" spans="1:17" x14ac:dyDescent="0.2">
      <c r="B112" s="10" t="s">
        <v>36</v>
      </c>
    </row>
    <row r="114" spans="1:17" x14ac:dyDescent="0.2">
      <c r="B114" s="6" t="s">
        <v>35</v>
      </c>
      <c r="C114" s="12">
        <f>C86</f>
        <v>2101</v>
      </c>
      <c r="D114" s="12">
        <f t="shared" ref="D114:Q114" si="89">D86</f>
        <v>1327</v>
      </c>
      <c r="E114" s="12">
        <f t="shared" si="89"/>
        <v>3157</v>
      </c>
      <c r="F114" s="12">
        <f t="shared" si="89"/>
        <v>6482</v>
      </c>
      <c r="G114" s="12">
        <f t="shared" si="89"/>
        <v>7066.666666666667</v>
      </c>
      <c r="H114" s="12">
        <f t="shared" ca="1" si="89"/>
        <v>11648.733812600791</v>
      </c>
      <c r="I114" s="12">
        <f t="shared" ca="1" si="89"/>
        <v>16920.439738719342</v>
      </c>
      <c r="J114" s="12">
        <f t="shared" ca="1" si="89"/>
        <v>22600.480255618742</v>
      </c>
      <c r="K114" s="12">
        <f t="shared" ca="1" si="89"/>
        <v>31708.884699457922</v>
      </c>
      <c r="L114" s="12">
        <f t="shared" ca="1" si="89"/>
        <v>42108.675130674113</v>
      </c>
      <c r="M114" s="12">
        <f t="shared" ca="1" si="89"/>
        <v>54132.576165571365</v>
      </c>
      <c r="N114" s="12">
        <f t="shared" ca="1" si="89"/>
        <v>68552.94208949231</v>
      </c>
      <c r="O114" s="12">
        <f t="shared" ca="1" si="89"/>
        <v>83721.192670569784</v>
      </c>
      <c r="P114" s="12">
        <f t="shared" ca="1" si="89"/>
        <v>99217.420384929486</v>
      </c>
      <c r="Q114" s="12">
        <f t="shared" ca="1" si="89"/>
        <v>114193.00534853127</v>
      </c>
    </row>
    <row r="115" spans="1:17" x14ac:dyDescent="0.2">
      <c r="B115" s="15" t="s">
        <v>30</v>
      </c>
      <c r="C115" s="14">
        <f>C114/C95</f>
        <v>9.7898513582778068E-2</v>
      </c>
      <c r="D115" s="14">
        <f t="shared" ref="D115:Q115" si="90">D114/D95</f>
        <v>5.3991374399869806E-2</v>
      </c>
      <c r="E115" s="14">
        <f t="shared" si="90"/>
        <v>0.1001078132927448</v>
      </c>
      <c r="F115" s="14">
        <f t="shared" si="90"/>
        <v>0.12043178566783717</v>
      </c>
      <c r="G115" s="14">
        <f t="shared" si="90"/>
        <v>9.2748145037099258E-2</v>
      </c>
      <c r="H115" s="14">
        <f t="shared" ca="1" si="90"/>
        <v>0.10442924799922708</v>
      </c>
      <c r="I115" s="14">
        <f t="shared" ca="1" si="90"/>
        <v>0.10586972623472117</v>
      </c>
      <c r="J115" s="14">
        <f t="shared" ca="1" si="90"/>
        <v>0.1010157064236825</v>
      </c>
      <c r="K115" s="14">
        <f t="shared" ca="1" si="90"/>
        <v>0.10377156021921025</v>
      </c>
      <c r="L115" s="14">
        <f t="shared" ca="1" si="90"/>
        <v>0.10355233095920466</v>
      </c>
      <c r="M115" s="14">
        <f t="shared" ca="1" si="90"/>
        <v>0.1027798658673658</v>
      </c>
      <c r="N115" s="14">
        <f t="shared" ca="1" si="90"/>
        <v>0.10336791901526023</v>
      </c>
      <c r="O115" s="14">
        <f t="shared" ca="1" si="90"/>
        <v>0.1032333719472769</v>
      </c>
      <c r="P115" s="14">
        <f t="shared" ca="1" si="90"/>
        <v>0.10312705227663431</v>
      </c>
      <c r="Q115" s="14">
        <f t="shared" ca="1" si="90"/>
        <v>0.1032427810797238</v>
      </c>
    </row>
    <row r="117" spans="1:17" x14ac:dyDescent="0.2">
      <c r="B117" s="6" t="s">
        <v>37</v>
      </c>
      <c r="C117" s="12">
        <f>C89</f>
        <v>58</v>
      </c>
      <c r="D117" s="12">
        <f t="shared" ref="D117:Q117" si="91">D89</f>
        <v>-349</v>
      </c>
      <c r="E117" s="12">
        <f t="shared" si="91"/>
        <v>184</v>
      </c>
      <c r="F117" s="12">
        <f t="shared" si="91"/>
        <v>518</v>
      </c>
      <c r="G117" s="12">
        <f t="shared" si="91"/>
        <v>-1717</v>
      </c>
      <c r="H117" s="12">
        <f t="shared" ca="1" si="91"/>
        <v>557.73329961578429</v>
      </c>
      <c r="I117" s="12">
        <f t="shared" ca="1" si="91"/>
        <v>799.11606181003299</v>
      </c>
      <c r="J117" s="12">
        <f t="shared" ca="1" si="91"/>
        <v>1118.6616940947413</v>
      </c>
      <c r="K117" s="12">
        <f t="shared" ca="1" si="91"/>
        <v>-1527.8215260749234</v>
      </c>
      <c r="L117" s="12">
        <f t="shared" ca="1" si="91"/>
        <v>2033.2074971476593</v>
      </c>
      <c r="M117" s="12">
        <f t="shared" ca="1" si="91"/>
        <v>2633.4231762584591</v>
      </c>
      <c r="N117" s="12">
        <f t="shared" ca="1" si="91"/>
        <v>-3315.967988064644</v>
      </c>
      <c r="O117" s="12">
        <f t="shared" ca="1" si="91"/>
        <v>4054.9480798383529</v>
      </c>
      <c r="P117" s="12">
        <f t="shared" ca="1" si="91"/>
        <v>4810.4458623903365</v>
      </c>
      <c r="Q117" s="12">
        <f t="shared" ca="1" si="91"/>
        <v>5530.3142822330474</v>
      </c>
    </row>
    <row r="118" spans="1:17" x14ac:dyDescent="0.2">
      <c r="B118" s="15" t="s">
        <v>30</v>
      </c>
      <c r="C118" s="14">
        <f>C117/C95</f>
        <v>2.7025767671590329E-3</v>
      </c>
      <c r="D118" s="14">
        <f t="shared" ref="D118:Q118" si="92">D117/D95</f>
        <v>-1.4199690780372691E-2</v>
      </c>
      <c r="E118" s="14">
        <f t="shared" si="92"/>
        <v>5.8346017250126836E-3</v>
      </c>
      <c r="F118" s="14">
        <f t="shared" si="92"/>
        <v>9.6241383795031867E-3</v>
      </c>
      <c r="G118" s="14">
        <f t="shared" si="92"/>
        <v>-2.2535174296514068E-2</v>
      </c>
      <c r="H118" s="14">
        <f t="shared" ca="1" si="92"/>
        <v>5.0000000000000001E-3</v>
      </c>
      <c r="I118" s="14">
        <f t="shared" ca="1" si="92"/>
        <v>5.0000000000000001E-3</v>
      </c>
      <c r="J118" s="14">
        <f t="shared" ca="1" si="92"/>
        <v>5.0000000000000001E-3</v>
      </c>
      <c r="K118" s="14">
        <f t="shared" ca="1" si="92"/>
        <v>-5.0000000000000001E-3</v>
      </c>
      <c r="L118" s="14">
        <f t="shared" ca="1" si="92"/>
        <v>5.0000000000000001E-3</v>
      </c>
      <c r="M118" s="14">
        <f t="shared" ca="1" si="92"/>
        <v>5.0000000000000001E-3</v>
      </c>
      <c r="N118" s="14">
        <f t="shared" ca="1" si="92"/>
        <v>-5.0000000000000001E-3</v>
      </c>
      <c r="O118" s="14">
        <f t="shared" ca="1" si="92"/>
        <v>5.0000000000000001E-3</v>
      </c>
      <c r="P118" s="14">
        <f t="shared" ca="1" si="92"/>
        <v>5.0000000000000001E-3</v>
      </c>
      <c r="Q118" s="14">
        <f t="shared" ca="1" si="92"/>
        <v>5.0000000000000001E-3</v>
      </c>
    </row>
    <row r="119" spans="1:17" ht="17" thickBot="1" x14ac:dyDescent="0.25"/>
    <row r="120" spans="1:17" x14ac:dyDescent="0.2">
      <c r="A120" s="11"/>
      <c r="B120" s="11"/>
      <c r="C120" s="13"/>
      <c r="D120" s="13"/>
      <c r="E120" s="13"/>
      <c r="F120" s="13"/>
      <c r="G120" s="13"/>
      <c r="H120" s="13"/>
      <c r="I120" s="13"/>
      <c r="J120" s="13"/>
      <c r="K120" s="13"/>
      <c r="L120" s="13"/>
      <c r="M120" s="13"/>
      <c r="N120" s="13"/>
      <c r="O120" s="13"/>
      <c r="P120" s="13"/>
      <c r="Q120" s="13"/>
    </row>
    <row r="121" spans="1:17" x14ac:dyDescent="0.2">
      <c r="B121" s="6" t="s">
        <v>42</v>
      </c>
      <c r="H121" s="16">
        <f ca="1">H108+H110-H114-H117</f>
        <v>11876.797436907749</v>
      </c>
      <c r="I121" s="16">
        <f t="shared" ref="I121:Q121" ca="1" si="93">I108+I110-I114-I117</f>
        <v>15873.705052931105</v>
      </c>
      <c r="J121" s="16">
        <f t="shared" ca="1" si="93"/>
        <v>23847.784650988913</v>
      </c>
      <c r="K121" s="16">
        <f t="shared" ca="1" si="93"/>
        <v>35649.801722986296</v>
      </c>
      <c r="L121" s="16">
        <f t="shared" ca="1" si="93"/>
        <v>44173.504574525592</v>
      </c>
      <c r="M121" s="16">
        <f t="shared" ca="1" si="93"/>
        <v>58852.227093764581</v>
      </c>
      <c r="N121" s="16">
        <f t="shared" ca="1" si="93"/>
        <v>81876.353531972345</v>
      </c>
      <c r="O121" s="16">
        <f t="shared" ca="1" si="93"/>
        <v>93848.271617472928</v>
      </c>
      <c r="P121" s="16">
        <f t="shared" ca="1" si="93"/>
        <v>113607.54121145557</v>
      </c>
      <c r="Q121" s="16">
        <f t="shared" ca="1" si="93"/>
        <v>132947.25215720851</v>
      </c>
    </row>
    <row r="122" spans="1:17" x14ac:dyDescent="0.2">
      <c r="B122" s="6" t="s">
        <v>43</v>
      </c>
      <c r="H122" s="12">
        <f t="shared" ref="H122:P122" ca="1" si="94">H121/(1+$C$22)^H92</f>
        <v>10615.088849129903</v>
      </c>
      <c r="I122" s="12">
        <f t="shared" ca="1" si="94"/>
        <v>12680.222515191625</v>
      </c>
      <c r="J122" s="12">
        <f t="shared" ca="1" si="94"/>
        <v>17026.324006004936</v>
      </c>
      <c r="K122" s="12">
        <f t="shared" ca="1" si="94"/>
        <v>22748.578043370846</v>
      </c>
      <c r="L122" s="12">
        <f t="shared" ca="1" si="94"/>
        <v>25193.196648520348</v>
      </c>
      <c r="M122" s="12">
        <f t="shared" ca="1" si="94"/>
        <v>29999.126324513556</v>
      </c>
      <c r="N122" s="12">
        <f t="shared" ca="1" si="94"/>
        <v>37301.687666197155</v>
      </c>
      <c r="O122" s="12">
        <f t="shared" ca="1" si="94"/>
        <v>38213.828624576076</v>
      </c>
      <c r="P122" s="12">
        <f t="shared" ca="1" si="94"/>
        <v>41345.259071233049</v>
      </c>
      <c r="Q122" s="12">
        <f ca="1">Q121/(1+$C$22)^Q92</f>
        <v>43243.636351843459</v>
      </c>
    </row>
    <row r="123" spans="1:17" x14ac:dyDescent="0.2">
      <c r="B123" s="6"/>
      <c r="H123" s="12"/>
      <c r="I123" s="12"/>
      <c r="J123" s="12"/>
      <c r="K123" s="12"/>
      <c r="L123" s="12"/>
      <c r="M123" s="12"/>
      <c r="N123" s="12"/>
      <c r="O123" s="12"/>
      <c r="P123" s="12"/>
      <c r="Q123" s="12"/>
    </row>
    <row r="124" spans="1:17" x14ac:dyDescent="0.2">
      <c r="B124" s="6" t="s">
        <v>62</v>
      </c>
      <c r="Q124" s="16">
        <f ca="1">Q121*(1+C22)/(C22-C23)</f>
        <v>1584801.6399733212</v>
      </c>
    </row>
    <row r="125" spans="1:17" x14ac:dyDescent="0.2">
      <c r="B125" s="6" t="s">
        <v>63</v>
      </c>
      <c r="Q125" s="16">
        <f ca="1">Q124/(1+C22)^Q92</f>
        <v>515487.04239311762</v>
      </c>
    </row>
    <row r="126" spans="1:17" x14ac:dyDescent="0.2">
      <c r="B126" s="6"/>
    </row>
    <row r="127" spans="1:17" x14ac:dyDescent="0.2">
      <c r="B127" s="6" t="s">
        <v>57</v>
      </c>
      <c r="Q127" s="12">
        <f ca="1">SUM(Q125,H122:Q122)</f>
        <v>793853.99049369874</v>
      </c>
    </row>
    <row r="128" spans="1:17" x14ac:dyDescent="0.2">
      <c r="B128" s="6" t="s">
        <v>58</v>
      </c>
      <c r="Q128" s="12">
        <v>21110</v>
      </c>
    </row>
    <row r="129" spans="2:17" x14ac:dyDescent="0.2">
      <c r="B129" s="6" t="s">
        <v>59</v>
      </c>
      <c r="Q129" s="12">
        <f>TSLA_WACC!D16</f>
        <v>5870</v>
      </c>
    </row>
    <row r="130" spans="2:17" x14ac:dyDescent="0.2">
      <c r="B130" s="6" t="s">
        <v>60</v>
      </c>
      <c r="Q130" s="12">
        <f ca="1">Q127+Q128-Q129</f>
        <v>809093.99049369874</v>
      </c>
    </row>
    <row r="131" spans="2:17" x14ac:dyDescent="0.2">
      <c r="B131" s="6" t="s">
        <v>61</v>
      </c>
      <c r="Q131" s="12">
        <v>3710</v>
      </c>
    </row>
    <row r="132" spans="2:17" x14ac:dyDescent="0.2">
      <c r="B132" s="6" t="s">
        <v>4</v>
      </c>
      <c r="Q132" s="12">
        <f ca="1">Q130/Q131</f>
        <v>218.08463355625304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8C2A-ACBB-9045-A63E-3AD36584A9E9}">
  <dimension ref="A1:D23"/>
  <sheetViews>
    <sheetView showGridLines="0" zoomScale="140" zoomScaleNormal="140" workbookViewId="0">
      <selection sqref="A1:D24"/>
    </sheetView>
  </sheetViews>
  <sheetFormatPr baseColWidth="10" defaultRowHeight="16" x14ac:dyDescent="0.2"/>
  <sheetData>
    <row r="1" spans="1:4" ht="24" x14ac:dyDescent="0.3">
      <c r="A1" s="17" t="s">
        <v>2</v>
      </c>
    </row>
    <row r="3" spans="1:4" ht="19" x14ac:dyDescent="0.25">
      <c r="A3" s="18" t="s">
        <v>44</v>
      </c>
    </row>
    <row r="4" spans="1:4" ht="19" x14ac:dyDescent="0.25">
      <c r="A4" s="18"/>
    </row>
    <row r="5" spans="1:4" ht="19" x14ac:dyDescent="0.25">
      <c r="A5" s="18" t="s">
        <v>45</v>
      </c>
    </row>
    <row r="7" spans="1:4" ht="19" x14ac:dyDescent="0.25">
      <c r="A7" s="19" t="s">
        <v>14</v>
      </c>
    </row>
    <row r="8" spans="1:4" ht="19" x14ac:dyDescent="0.25">
      <c r="A8" s="20"/>
    </row>
    <row r="9" spans="1:4" ht="19" x14ac:dyDescent="0.25">
      <c r="A9" s="20" t="s">
        <v>46</v>
      </c>
      <c r="D9" s="21">
        <v>406655</v>
      </c>
    </row>
    <row r="10" spans="1:4" ht="19" x14ac:dyDescent="0.25">
      <c r="A10" s="20" t="s">
        <v>47</v>
      </c>
      <c r="D10" s="9">
        <f>D9/D21</f>
        <v>0.98577055936003877</v>
      </c>
    </row>
    <row r="11" spans="1:4" ht="19" x14ac:dyDescent="0.25">
      <c r="A11" s="20" t="s">
        <v>48</v>
      </c>
      <c r="D11" s="9">
        <f>D12+D13*D14</f>
        <v>0.12024799999999999</v>
      </c>
    </row>
    <row r="12" spans="1:4" ht="19" x14ac:dyDescent="0.25">
      <c r="A12" s="20" t="s">
        <v>49</v>
      </c>
      <c r="D12" s="9">
        <v>3.44E-2</v>
      </c>
    </row>
    <row r="13" spans="1:4" ht="19" x14ac:dyDescent="0.25">
      <c r="A13" s="20" t="s">
        <v>50</v>
      </c>
      <c r="D13" s="22">
        <v>1.68</v>
      </c>
    </row>
    <row r="14" spans="1:4" ht="19" x14ac:dyDescent="0.25">
      <c r="A14" s="20" t="s">
        <v>51</v>
      </c>
      <c r="D14" s="9">
        <v>5.11E-2</v>
      </c>
    </row>
    <row r="15" spans="1:4" ht="19" x14ac:dyDescent="0.25">
      <c r="A15" s="20"/>
    </row>
    <row r="16" spans="1:4" ht="19" x14ac:dyDescent="0.25">
      <c r="A16" s="20" t="s">
        <v>52</v>
      </c>
      <c r="D16" s="21">
        <v>5870</v>
      </c>
    </row>
    <row r="17" spans="1:4" ht="19" x14ac:dyDescent="0.25">
      <c r="A17" s="20" t="s">
        <v>53</v>
      </c>
      <c r="D17" s="9">
        <f>D16/D9</f>
        <v>1.4434840343780354E-2</v>
      </c>
    </row>
    <row r="18" spans="1:4" ht="19" x14ac:dyDescent="0.25">
      <c r="A18" s="20" t="s">
        <v>54</v>
      </c>
      <c r="D18" s="9">
        <v>2.5000000000000001E-2</v>
      </c>
    </row>
    <row r="19" spans="1:4" ht="19" x14ac:dyDescent="0.25">
      <c r="A19" s="20" t="s">
        <v>55</v>
      </c>
      <c r="D19" s="23">
        <v>0.105</v>
      </c>
    </row>
    <row r="20" spans="1:4" ht="19" x14ac:dyDescent="0.25">
      <c r="A20" s="20"/>
    </row>
    <row r="21" spans="1:4" ht="19" x14ac:dyDescent="0.25">
      <c r="A21" s="20" t="s">
        <v>56</v>
      </c>
      <c r="D21" s="21">
        <f>D9+D16</f>
        <v>412525</v>
      </c>
    </row>
    <row r="22" spans="1:4" ht="19" x14ac:dyDescent="0.25">
      <c r="A22" s="20"/>
    </row>
    <row r="23" spans="1:4" ht="19" x14ac:dyDescent="0.25">
      <c r="A23" s="20" t="s">
        <v>14</v>
      </c>
      <c r="D23" s="9">
        <f>(D10*D11)+(D17*D18*(1-D19))</f>
        <v>0.11885991777461802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TSLA_DCF</vt:lpstr>
      <vt:lpstr>TSLA_WACC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2023-01-18T12:47:24Z</dcterms:created>
  <dcterms:modified xsi:type="dcterms:W3CDTF">2023-01-26T09:57:28Z</dcterms:modified>
</cp:coreProperties>
</file>