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date1904="1"/>
  <mc:AlternateContent xmlns:mc="http://schemas.openxmlformats.org/markup-compatibility/2006">
    <mc:Choice Requires="x15">
      <x15ac:absPath xmlns:x15ac="http://schemas.microsoft.com/office/spreadsheetml/2010/11/ac" url="/Users/shalilgunputh/Library/Mobile Documents/com~apple~Numbers/Documents/"/>
    </mc:Choice>
  </mc:AlternateContent>
  <bookViews>
    <workbookView xWindow="29300" yWindow="500" windowWidth="35120" windowHeight="17500" activeTab="1"/>
  </bookViews>
  <sheets>
    <sheet name="Export Summary" sheetId="1" r:id="rId1"/>
    <sheet name="DCF - Apple DCF Valuation" sheetId="2" r:id="rId2"/>
    <sheet name="WACC - WACC" sheetId="3" r:id="rId3"/>
  </sheets>
  <calcPr calcId="150001" calcMode="autoNoTable"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6" i="3" l="1"/>
  <c r="B5" i="3"/>
  <c r="B6" i="3"/>
  <c r="B12" i="3"/>
  <c r="B18" i="3"/>
  <c r="L147" i="2"/>
  <c r="L172" i="2"/>
  <c r="L124" i="2"/>
  <c r="M124" i="2"/>
  <c r="L150" i="2"/>
  <c r="L178" i="2"/>
  <c r="L181" i="2"/>
  <c r="L155" i="2"/>
  <c r="L183" i="2"/>
  <c r="L159" i="2"/>
  <c r="L186" i="2"/>
  <c r="K98" i="2"/>
  <c r="K97" i="2"/>
  <c r="L98" i="2"/>
  <c r="L97" i="2"/>
  <c r="J103" i="2"/>
  <c r="K104" i="2"/>
  <c r="K103" i="2"/>
  <c r="L104" i="2"/>
  <c r="L103" i="2"/>
  <c r="L110" i="2"/>
  <c r="J79" i="2"/>
  <c r="J86" i="2"/>
  <c r="K87" i="2"/>
  <c r="K86" i="2"/>
  <c r="L87" i="2"/>
  <c r="L86" i="2"/>
  <c r="K80" i="2"/>
  <c r="K79" i="2"/>
  <c r="L80" i="2"/>
  <c r="L79" i="2"/>
  <c r="L93" i="2"/>
  <c r="J68" i="2"/>
  <c r="K69" i="2"/>
  <c r="K68" i="2"/>
  <c r="L69" i="2"/>
  <c r="L68" i="2"/>
  <c r="K62" i="2"/>
  <c r="K61" i="2"/>
  <c r="L62" i="2"/>
  <c r="L61" i="2"/>
  <c r="L75" i="2"/>
  <c r="J50" i="2"/>
  <c r="K51" i="2"/>
  <c r="K50" i="2"/>
  <c r="L51" i="2"/>
  <c r="L50" i="2"/>
  <c r="K44" i="2"/>
  <c r="L45" i="2"/>
  <c r="L44" i="2"/>
  <c r="L57" i="2"/>
  <c r="K29" i="2"/>
  <c r="K28" i="2"/>
  <c r="L29" i="2"/>
  <c r="L28" i="2"/>
  <c r="J34" i="2"/>
  <c r="K35" i="2"/>
  <c r="K34" i="2"/>
  <c r="L35" i="2"/>
  <c r="L34" i="2"/>
  <c r="L40" i="2"/>
  <c r="L113" i="2"/>
  <c r="L118" i="2"/>
  <c r="O100" i="2"/>
  <c r="M100" i="2"/>
  <c r="M98" i="2"/>
  <c r="M97" i="2"/>
  <c r="O106" i="2"/>
  <c r="M106" i="2"/>
  <c r="M104" i="2"/>
  <c r="M103" i="2"/>
  <c r="M110" i="2"/>
  <c r="M89" i="2"/>
  <c r="M87" i="2"/>
  <c r="M86" i="2"/>
  <c r="O82" i="2"/>
  <c r="M82" i="2"/>
  <c r="M80" i="2"/>
  <c r="M79" i="2"/>
  <c r="M93" i="2"/>
  <c r="O71" i="2"/>
  <c r="M71" i="2"/>
  <c r="M69" i="2"/>
  <c r="M68" i="2"/>
  <c r="O64" i="2"/>
  <c r="M64" i="2"/>
  <c r="M62" i="2"/>
  <c r="M61" i="2"/>
  <c r="M75" i="2"/>
  <c r="O53" i="2"/>
  <c r="M53" i="2"/>
  <c r="M51" i="2"/>
  <c r="M50" i="2"/>
  <c r="O47" i="2"/>
  <c r="M47" i="2"/>
  <c r="M45" i="2"/>
  <c r="M44" i="2"/>
  <c r="M57" i="2"/>
  <c r="E29" i="2"/>
  <c r="F29" i="2"/>
  <c r="G29" i="2"/>
  <c r="H29" i="2"/>
  <c r="I29" i="2"/>
  <c r="J29" i="2"/>
  <c r="G8" i="2"/>
  <c r="O31" i="2"/>
  <c r="M31" i="2"/>
  <c r="M29" i="2"/>
  <c r="M28" i="2"/>
  <c r="O37" i="2"/>
  <c r="M37" i="2"/>
  <c r="M35" i="2"/>
  <c r="M34" i="2"/>
  <c r="M40" i="2"/>
  <c r="M113" i="2"/>
  <c r="M118" i="2"/>
  <c r="L144" i="2"/>
  <c r="L169" i="2"/>
  <c r="J162" i="2"/>
  <c r="J189" i="2"/>
  <c r="J113" i="2"/>
  <c r="J118" i="2"/>
  <c r="K110" i="2"/>
  <c r="K93" i="2"/>
  <c r="K75" i="2"/>
  <c r="K57" i="2"/>
  <c r="K40" i="2"/>
  <c r="K113" i="2"/>
  <c r="K118" i="2"/>
  <c r="J144" i="2"/>
  <c r="J169" i="2"/>
  <c r="J190" i="2"/>
  <c r="I162" i="2"/>
  <c r="I189" i="2"/>
  <c r="I113" i="2"/>
  <c r="I118" i="2"/>
  <c r="I144" i="2"/>
  <c r="I169" i="2"/>
  <c r="I190" i="2"/>
  <c r="H162" i="2"/>
  <c r="H189" i="2"/>
  <c r="H113" i="2"/>
  <c r="H118" i="2"/>
  <c r="H144" i="2"/>
  <c r="H169" i="2"/>
  <c r="H190" i="2"/>
  <c r="K190" i="2"/>
  <c r="L190" i="2"/>
  <c r="L189" i="2"/>
  <c r="L192" i="2"/>
  <c r="G20" i="2"/>
  <c r="C23" i="2"/>
  <c r="L193" i="2"/>
  <c r="M147" i="2"/>
  <c r="M172" i="2"/>
  <c r="N124" i="2"/>
  <c r="M150" i="2"/>
  <c r="M178" i="2"/>
  <c r="M181" i="2"/>
  <c r="M155" i="2"/>
  <c r="M183" i="2"/>
  <c r="M159" i="2"/>
  <c r="M186" i="2"/>
  <c r="N100" i="2"/>
  <c r="N98" i="2"/>
  <c r="N97" i="2"/>
  <c r="N106" i="2"/>
  <c r="N104" i="2"/>
  <c r="N103" i="2"/>
  <c r="N110" i="2"/>
  <c r="N89" i="2"/>
  <c r="N87" i="2"/>
  <c r="N86" i="2"/>
  <c r="N82" i="2"/>
  <c r="N80" i="2"/>
  <c r="N79" i="2"/>
  <c r="N93" i="2"/>
  <c r="N71" i="2"/>
  <c r="N69" i="2"/>
  <c r="N68" i="2"/>
  <c r="N64" i="2"/>
  <c r="N62" i="2"/>
  <c r="N61" i="2"/>
  <c r="N75" i="2"/>
  <c r="N53" i="2"/>
  <c r="N51" i="2"/>
  <c r="N50" i="2"/>
  <c r="N47" i="2"/>
  <c r="N45" i="2"/>
  <c r="N44" i="2"/>
  <c r="N57" i="2"/>
  <c r="N31" i="2"/>
  <c r="N29" i="2"/>
  <c r="N28" i="2"/>
  <c r="N37" i="2"/>
  <c r="N35" i="2"/>
  <c r="N34" i="2"/>
  <c r="N40" i="2"/>
  <c r="N113" i="2"/>
  <c r="N118" i="2"/>
  <c r="M144" i="2"/>
  <c r="M169" i="2"/>
  <c r="M190" i="2"/>
  <c r="M189" i="2"/>
  <c r="M192" i="2"/>
  <c r="M193" i="2"/>
  <c r="N147" i="2"/>
  <c r="N172" i="2"/>
  <c r="O124" i="2"/>
  <c r="N150" i="2"/>
  <c r="N178" i="2"/>
  <c r="N181" i="2"/>
  <c r="N155" i="2"/>
  <c r="N183" i="2"/>
  <c r="N159" i="2"/>
  <c r="N186" i="2"/>
  <c r="O98" i="2"/>
  <c r="O97" i="2"/>
  <c r="O104" i="2"/>
  <c r="O103" i="2"/>
  <c r="O110" i="2"/>
  <c r="O87" i="2"/>
  <c r="O86" i="2"/>
  <c r="O80" i="2"/>
  <c r="O79" i="2"/>
  <c r="O93" i="2"/>
  <c r="O69" i="2"/>
  <c r="O68" i="2"/>
  <c r="O62" i="2"/>
  <c r="O61" i="2"/>
  <c r="O75" i="2"/>
  <c r="O51" i="2"/>
  <c r="O50" i="2"/>
  <c r="O45" i="2"/>
  <c r="O44" i="2"/>
  <c r="O57" i="2"/>
  <c r="O29" i="2"/>
  <c r="O28" i="2"/>
  <c r="O35" i="2"/>
  <c r="O34" i="2"/>
  <c r="O40" i="2"/>
  <c r="O113" i="2"/>
  <c r="O118" i="2"/>
  <c r="N144" i="2"/>
  <c r="N169" i="2"/>
  <c r="N190" i="2"/>
  <c r="N189" i="2"/>
  <c r="N192" i="2"/>
  <c r="N193" i="2"/>
  <c r="O119" i="2"/>
  <c r="O144" i="2"/>
  <c r="O122" i="2"/>
  <c r="O147" i="2"/>
  <c r="O172" i="2"/>
  <c r="N151" i="2"/>
  <c r="O150" i="2"/>
  <c r="O178" i="2"/>
  <c r="O181" i="2"/>
  <c r="N156" i="2"/>
  <c r="O155" i="2"/>
  <c r="O183" i="2"/>
  <c r="N160" i="2"/>
  <c r="O159" i="2"/>
  <c r="O186" i="2"/>
  <c r="O169" i="2"/>
  <c r="O190" i="2"/>
  <c r="O189" i="2"/>
  <c r="O192" i="2"/>
  <c r="O193" i="2"/>
  <c r="K147" i="2"/>
  <c r="K172" i="2"/>
  <c r="K124" i="2"/>
  <c r="K150" i="2"/>
  <c r="K178" i="2"/>
  <c r="K181" i="2"/>
  <c r="K155" i="2"/>
  <c r="K183" i="2"/>
  <c r="K159" i="2"/>
  <c r="K186" i="2"/>
  <c r="K144" i="2"/>
  <c r="K169" i="2"/>
  <c r="K189" i="2"/>
  <c r="K192" i="2"/>
  <c r="K193" i="2"/>
  <c r="C24" i="2"/>
  <c r="O195" i="2"/>
  <c r="O196" i="2"/>
  <c r="O198" i="2"/>
  <c r="O200" i="2"/>
  <c r="O201" i="2"/>
  <c r="O203" i="2"/>
  <c r="G162" i="2"/>
  <c r="G189" i="2"/>
  <c r="G113" i="2"/>
  <c r="G118" i="2"/>
  <c r="G144" i="2"/>
  <c r="G169" i="2"/>
  <c r="G190" i="2"/>
  <c r="F162" i="2"/>
  <c r="F189" i="2"/>
  <c r="F113" i="2"/>
  <c r="F118" i="2"/>
  <c r="F144" i="2"/>
  <c r="F169" i="2"/>
  <c r="F190" i="2"/>
  <c r="E162" i="2"/>
  <c r="E189" i="2"/>
  <c r="E113" i="2"/>
  <c r="E118" i="2"/>
  <c r="E144" i="2"/>
  <c r="E169" i="2"/>
  <c r="E190" i="2"/>
  <c r="D162" i="2"/>
  <c r="D189" i="2"/>
  <c r="D113" i="2"/>
  <c r="D118" i="2"/>
  <c r="D144" i="2"/>
  <c r="D169" i="2"/>
  <c r="D190" i="2"/>
  <c r="O187" i="2"/>
  <c r="N187" i="2"/>
  <c r="M187" i="2"/>
  <c r="L187" i="2"/>
  <c r="K187" i="2"/>
  <c r="J159" i="2"/>
  <c r="J186" i="2"/>
  <c r="J187" i="2"/>
  <c r="I159" i="2"/>
  <c r="I186" i="2"/>
  <c r="I187" i="2"/>
  <c r="H159" i="2"/>
  <c r="H186" i="2"/>
  <c r="H187" i="2"/>
  <c r="G159" i="2"/>
  <c r="G186" i="2"/>
  <c r="G187" i="2"/>
  <c r="F159" i="2"/>
  <c r="F186" i="2"/>
  <c r="F187" i="2"/>
  <c r="E159" i="2"/>
  <c r="E186" i="2"/>
  <c r="E187" i="2"/>
  <c r="D159" i="2"/>
  <c r="D186" i="2"/>
  <c r="D187" i="2"/>
  <c r="O184" i="2"/>
  <c r="N184" i="2"/>
  <c r="M184" i="2"/>
  <c r="L184" i="2"/>
  <c r="K184" i="2"/>
  <c r="J155" i="2"/>
  <c r="J183" i="2"/>
  <c r="J184" i="2"/>
  <c r="I155" i="2"/>
  <c r="I183" i="2"/>
  <c r="I184" i="2"/>
  <c r="H155" i="2"/>
  <c r="H183" i="2"/>
  <c r="H184" i="2"/>
  <c r="G155" i="2"/>
  <c r="G183" i="2"/>
  <c r="G184" i="2"/>
  <c r="F155" i="2"/>
  <c r="F183" i="2"/>
  <c r="F184" i="2"/>
  <c r="E155" i="2"/>
  <c r="E183" i="2"/>
  <c r="E184" i="2"/>
  <c r="D155" i="2"/>
  <c r="D183" i="2"/>
  <c r="D184" i="2"/>
  <c r="O179" i="2"/>
  <c r="N179" i="2"/>
  <c r="M179" i="2"/>
  <c r="L179" i="2"/>
  <c r="K179" i="2"/>
  <c r="J124" i="2"/>
  <c r="J150" i="2"/>
  <c r="J178" i="2"/>
  <c r="J147" i="2"/>
  <c r="J172" i="2"/>
  <c r="J179" i="2"/>
  <c r="I124" i="2"/>
  <c r="I150" i="2"/>
  <c r="I178" i="2"/>
  <c r="I147" i="2"/>
  <c r="I172" i="2"/>
  <c r="I179" i="2"/>
  <c r="H124" i="2"/>
  <c r="H150" i="2"/>
  <c r="H178" i="2"/>
  <c r="H147" i="2"/>
  <c r="H172" i="2"/>
  <c r="H179" i="2"/>
  <c r="G124" i="2"/>
  <c r="G150" i="2"/>
  <c r="G178" i="2"/>
  <c r="G147" i="2"/>
  <c r="G172" i="2"/>
  <c r="G179" i="2"/>
  <c r="F124" i="2"/>
  <c r="F150" i="2"/>
  <c r="F178" i="2"/>
  <c r="F147" i="2"/>
  <c r="F172" i="2"/>
  <c r="F179" i="2"/>
  <c r="E150" i="2"/>
  <c r="E178" i="2"/>
  <c r="E147" i="2"/>
  <c r="E172" i="2"/>
  <c r="E179" i="2"/>
  <c r="D150" i="2"/>
  <c r="D178" i="2"/>
  <c r="D147" i="2"/>
  <c r="D172" i="2"/>
  <c r="D179" i="2"/>
  <c r="O175" i="2"/>
  <c r="O176" i="2"/>
  <c r="N176" i="2"/>
  <c r="M148" i="2"/>
  <c r="M175" i="2"/>
  <c r="M176" i="2"/>
  <c r="L148" i="2"/>
  <c r="L175" i="2"/>
  <c r="L176" i="2"/>
  <c r="K176" i="2"/>
  <c r="O174" i="2"/>
  <c r="N174" i="2"/>
  <c r="M174" i="2"/>
  <c r="L174" i="2"/>
  <c r="K174" i="2"/>
  <c r="O173" i="2"/>
  <c r="N173" i="2"/>
  <c r="M173" i="2"/>
  <c r="L173" i="2"/>
  <c r="K173" i="2"/>
  <c r="J173" i="2"/>
  <c r="I173" i="2"/>
  <c r="H173" i="2"/>
  <c r="G173" i="2"/>
  <c r="F173" i="2"/>
  <c r="E173" i="2"/>
  <c r="B173" i="2"/>
  <c r="B172" i="2"/>
  <c r="O170" i="2"/>
  <c r="N170" i="2"/>
  <c r="M170" i="2"/>
  <c r="L170" i="2"/>
  <c r="K170" i="2"/>
  <c r="J170" i="2"/>
  <c r="I170" i="2"/>
  <c r="H170" i="2"/>
  <c r="G170" i="2"/>
  <c r="F170" i="2"/>
  <c r="E170" i="2"/>
  <c r="J164" i="2"/>
  <c r="I164" i="2"/>
  <c r="H164" i="2"/>
  <c r="G164" i="2"/>
  <c r="F164" i="2"/>
  <c r="E164" i="2"/>
  <c r="J163" i="2"/>
  <c r="I163" i="2"/>
  <c r="H163" i="2"/>
  <c r="G163" i="2"/>
  <c r="F163" i="2"/>
  <c r="E163" i="2"/>
  <c r="D163" i="2"/>
  <c r="O160" i="2"/>
  <c r="M160" i="2"/>
  <c r="L160" i="2"/>
  <c r="K160" i="2"/>
  <c r="J160" i="2"/>
  <c r="I160" i="2"/>
  <c r="H160" i="2"/>
  <c r="G160" i="2"/>
  <c r="F160" i="2"/>
  <c r="E160" i="2"/>
  <c r="D160" i="2"/>
  <c r="O157" i="2"/>
  <c r="N157" i="2"/>
  <c r="M157" i="2"/>
  <c r="L157" i="2"/>
  <c r="K157" i="2"/>
  <c r="J157" i="2"/>
  <c r="I157" i="2"/>
  <c r="H157" i="2"/>
  <c r="G157" i="2"/>
  <c r="F157" i="2"/>
  <c r="E157" i="2"/>
  <c r="D157" i="2"/>
  <c r="O156" i="2"/>
  <c r="M156" i="2"/>
  <c r="L156" i="2"/>
  <c r="K156" i="2"/>
  <c r="J156" i="2"/>
  <c r="I156" i="2"/>
  <c r="H156" i="2"/>
  <c r="G156" i="2"/>
  <c r="F156" i="2"/>
  <c r="E156" i="2"/>
  <c r="D156" i="2"/>
  <c r="O151" i="2"/>
  <c r="M151" i="2"/>
  <c r="L151" i="2"/>
  <c r="K151" i="2"/>
  <c r="J151" i="2"/>
  <c r="I151" i="2"/>
  <c r="H151" i="2"/>
  <c r="G151" i="2"/>
  <c r="F151" i="2"/>
  <c r="E151" i="2"/>
  <c r="D151" i="2"/>
  <c r="O148" i="2"/>
  <c r="N148" i="2"/>
  <c r="K148" i="2"/>
  <c r="J148" i="2"/>
  <c r="I148" i="2"/>
  <c r="H148" i="2"/>
  <c r="G148" i="2"/>
  <c r="F148" i="2"/>
  <c r="E148" i="2"/>
  <c r="D148" i="2"/>
  <c r="O145" i="2"/>
  <c r="N145" i="2"/>
  <c r="M145" i="2"/>
  <c r="L145" i="2"/>
  <c r="K145" i="2"/>
  <c r="J145" i="2"/>
  <c r="I145" i="2"/>
  <c r="H145" i="2"/>
  <c r="G145" i="2"/>
  <c r="F145" i="2"/>
  <c r="E145" i="2"/>
  <c r="O139" i="2"/>
  <c r="N139" i="2"/>
  <c r="M139" i="2"/>
  <c r="L139" i="2"/>
  <c r="K139" i="2"/>
  <c r="J139" i="2"/>
  <c r="I139" i="2"/>
  <c r="H139" i="2"/>
  <c r="G139" i="2"/>
  <c r="F139" i="2"/>
  <c r="E139" i="2"/>
  <c r="O138" i="2"/>
  <c r="N138" i="2"/>
  <c r="M138" i="2"/>
  <c r="L138" i="2"/>
  <c r="K138" i="2"/>
  <c r="J138" i="2"/>
  <c r="I138" i="2"/>
  <c r="H138" i="2"/>
  <c r="G138" i="2"/>
  <c r="F138" i="2"/>
  <c r="E138" i="2"/>
  <c r="D138" i="2"/>
  <c r="O135" i="2"/>
  <c r="N135" i="2"/>
  <c r="M135" i="2"/>
  <c r="L135" i="2"/>
  <c r="K135" i="2"/>
  <c r="J135" i="2"/>
  <c r="I135" i="2"/>
  <c r="H135" i="2"/>
  <c r="G135" i="2"/>
  <c r="F135" i="2"/>
  <c r="E135" i="2"/>
  <c r="D135" i="2"/>
  <c r="O132" i="2"/>
  <c r="N132" i="2"/>
  <c r="M132" i="2"/>
  <c r="L132" i="2"/>
  <c r="K132" i="2"/>
  <c r="J132" i="2"/>
  <c r="I132" i="2"/>
  <c r="H132" i="2"/>
  <c r="G132" i="2"/>
  <c r="F132" i="2"/>
  <c r="E132" i="2"/>
  <c r="D132" i="2"/>
  <c r="O131" i="2"/>
  <c r="N131" i="2"/>
  <c r="M131" i="2"/>
  <c r="L131" i="2"/>
  <c r="K131" i="2"/>
  <c r="J131" i="2"/>
  <c r="I131" i="2"/>
  <c r="H131" i="2"/>
  <c r="G131" i="2"/>
  <c r="F131" i="2"/>
  <c r="E131" i="2"/>
  <c r="D131" i="2"/>
  <c r="E125" i="2"/>
  <c r="D125" i="2"/>
  <c r="N122" i="2"/>
  <c r="M122" i="2"/>
  <c r="L122" i="2"/>
  <c r="K122" i="2"/>
  <c r="J122" i="2"/>
  <c r="I122" i="2"/>
  <c r="H122" i="2"/>
  <c r="G122" i="2"/>
  <c r="F122" i="2"/>
  <c r="E122" i="2"/>
  <c r="D122" i="2"/>
  <c r="N119" i="2"/>
  <c r="M119" i="2"/>
  <c r="L119" i="2"/>
  <c r="K119" i="2"/>
  <c r="J119" i="2"/>
  <c r="I119" i="2"/>
  <c r="H119" i="2"/>
  <c r="G119" i="2"/>
  <c r="F119" i="2"/>
  <c r="E119" i="2"/>
  <c r="O114" i="2"/>
  <c r="N114" i="2"/>
  <c r="M114" i="2"/>
  <c r="L114" i="2"/>
  <c r="K114" i="2"/>
  <c r="J114" i="2"/>
  <c r="I114" i="2"/>
  <c r="H114" i="2"/>
  <c r="G114" i="2"/>
  <c r="F114" i="2"/>
  <c r="E114" i="2"/>
  <c r="O111" i="2"/>
  <c r="N111" i="2"/>
  <c r="M111" i="2"/>
  <c r="L111" i="2"/>
  <c r="K111" i="2"/>
  <c r="J111" i="2"/>
  <c r="I111" i="2"/>
  <c r="H111" i="2"/>
  <c r="G111" i="2"/>
  <c r="F111" i="2"/>
  <c r="E111" i="2"/>
  <c r="O107" i="2"/>
  <c r="N107" i="2"/>
  <c r="M107" i="2"/>
  <c r="L107" i="2"/>
  <c r="K107" i="2"/>
  <c r="O105" i="2"/>
  <c r="N105" i="2"/>
  <c r="M105" i="2"/>
  <c r="L105" i="2"/>
  <c r="K105" i="2"/>
  <c r="I103" i="2"/>
  <c r="J104" i="2"/>
  <c r="H103" i="2"/>
  <c r="I104" i="2"/>
  <c r="G103" i="2"/>
  <c r="H104" i="2"/>
  <c r="F103" i="2"/>
  <c r="G104" i="2"/>
  <c r="E103" i="2"/>
  <c r="F104" i="2"/>
  <c r="D103" i="2"/>
  <c r="E104" i="2"/>
  <c r="O101" i="2"/>
  <c r="N101" i="2"/>
  <c r="M101" i="2"/>
  <c r="L101" i="2"/>
  <c r="K101" i="2"/>
  <c r="O99" i="2"/>
  <c r="N99" i="2"/>
  <c r="M99" i="2"/>
  <c r="L99" i="2"/>
  <c r="K99" i="2"/>
  <c r="J98" i="2"/>
  <c r="I98" i="2"/>
  <c r="H98" i="2"/>
  <c r="G98" i="2"/>
  <c r="F98" i="2"/>
  <c r="E98" i="2"/>
  <c r="O94" i="2"/>
  <c r="N94" i="2"/>
  <c r="M94" i="2"/>
  <c r="L94" i="2"/>
  <c r="K94" i="2"/>
  <c r="J94" i="2"/>
  <c r="I94" i="2"/>
  <c r="H94" i="2"/>
  <c r="G94" i="2"/>
  <c r="F94" i="2"/>
  <c r="E94" i="2"/>
  <c r="O90" i="2"/>
  <c r="N90" i="2"/>
  <c r="M90" i="2"/>
  <c r="L90" i="2"/>
  <c r="K90" i="2"/>
  <c r="O88" i="2"/>
  <c r="N88" i="2"/>
  <c r="M88" i="2"/>
  <c r="L88" i="2"/>
  <c r="K88" i="2"/>
  <c r="I79" i="2"/>
  <c r="I86" i="2"/>
  <c r="J87" i="2"/>
  <c r="H79" i="2"/>
  <c r="H86" i="2"/>
  <c r="I87" i="2"/>
  <c r="G79" i="2"/>
  <c r="G86" i="2"/>
  <c r="H87" i="2"/>
  <c r="F79" i="2"/>
  <c r="F86" i="2"/>
  <c r="G87" i="2"/>
  <c r="E79" i="2"/>
  <c r="E86" i="2"/>
  <c r="F87" i="2"/>
  <c r="D79" i="2"/>
  <c r="D86" i="2"/>
  <c r="E87" i="2"/>
  <c r="O83" i="2"/>
  <c r="N83" i="2"/>
  <c r="M83" i="2"/>
  <c r="O81" i="2"/>
  <c r="N81" i="2"/>
  <c r="M81" i="2"/>
  <c r="J80" i="2"/>
  <c r="I80" i="2"/>
  <c r="H80" i="2"/>
  <c r="G80" i="2"/>
  <c r="F80" i="2"/>
  <c r="E80" i="2"/>
  <c r="O76" i="2"/>
  <c r="N76" i="2"/>
  <c r="M76" i="2"/>
  <c r="L76" i="2"/>
  <c r="K76" i="2"/>
  <c r="J76" i="2"/>
  <c r="I76" i="2"/>
  <c r="H76" i="2"/>
  <c r="G76" i="2"/>
  <c r="F76" i="2"/>
  <c r="E76" i="2"/>
  <c r="O72" i="2"/>
  <c r="N72" i="2"/>
  <c r="M72" i="2"/>
  <c r="L72" i="2"/>
  <c r="K72" i="2"/>
  <c r="O70" i="2"/>
  <c r="N70" i="2"/>
  <c r="M70" i="2"/>
  <c r="L70" i="2"/>
  <c r="K70" i="2"/>
  <c r="I68" i="2"/>
  <c r="J69" i="2"/>
  <c r="H68" i="2"/>
  <c r="I69" i="2"/>
  <c r="G68" i="2"/>
  <c r="H69" i="2"/>
  <c r="F68" i="2"/>
  <c r="G69" i="2"/>
  <c r="E68" i="2"/>
  <c r="F69" i="2"/>
  <c r="D68" i="2"/>
  <c r="E69" i="2"/>
  <c r="O65" i="2"/>
  <c r="N65" i="2"/>
  <c r="M65" i="2"/>
  <c r="L65" i="2"/>
  <c r="K65" i="2"/>
  <c r="O63" i="2"/>
  <c r="N63" i="2"/>
  <c r="M63" i="2"/>
  <c r="L63" i="2"/>
  <c r="K63" i="2"/>
  <c r="J62" i="2"/>
  <c r="I62" i="2"/>
  <c r="H62" i="2"/>
  <c r="G62" i="2"/>
  <c r="F62" i="2"/>
  <c r="E62" i="2"/>
  <c r="O58" i="2"/>
  <c r="N58" i="2"/>
  <c r="M58" i="2"/>
  <c r="L58" i="2"/>
  <c r="K58" i="2"/>
  <c r="J58" i="2"/>
  <c r="I58" i="2"/>
  <c r="H58" i="2"/>
  <c r="G58" i="2"/>
  <c r="F58" i="2"/>
  <c r="E58" i="2"/>
  <c r="O54" i="2"/>
  <c r="N54" i="2"/>
  <c r="M54" i="2"/>
  <c r="O52" i="2"/>
  <c r="N52" i="2"/>
  <c r="M52" i="2"/>
  <c r="I50" i="2"/>
  <c r="J51" i="2"/>
  <c r="H50" i="2"/>
  <c r="I51" i="2"/>
  <c r="G50" i="2"/>
  <c r="H51" i="2"/>
  <c r="F50" i="2"/>
  <c r="G51" i="2"/>
  <c r="E50" i="2"/>
  <c r="F51" i="2"/>
  <c r="D50" i="2"/>
  <c r="E51" i="2"/>
  <c r="O48" i="2"/>
  <c r="N48" i="2"/>
  <c r="M48" i="2"/>
  <c r="O46" i="2"/>
  <c r="N46" i="2"/>
  <c r="M46" i="2"/>
  <c r="J45" i="2"/>
  <c r="I45" i="2"/>
  <c r="H45" i="2"/>
  <c r="G45" i="2"/>
  <c r="F45" i="2"/>
  <c r="E45" i="2"/>
  <c r="O41" i="2"/>
  <c r="N41" i="2"/>
  <c r="M41" i="2"/>
  <c r="L41" i="2"/>
  <c r="K41" i="2"/>
  <c r="J41" i="2"/>
  <c r="I41" i="2"/>
  <c r="H41" i="2"/>
  <c r="G41" i="2"/>
  <c r="F41" i="2"/>
  <c r="E41" i="2"/>
  <c r="O38" i="2"/>
  <c r="N38" i="2"/>
  <c r="M38" i="2"/>
  <c r="L38" i="2"/>
  <c r="K38" i="2"/>
  <c r="O36" i="2"/>
  <c r="N36" i="2"/>
  <c r="M36" i="2"/>
  <c r="L36" i="2"/>
  <c r="K36" i="2"/>
  <c r="I34" i="2"/>
  <c r="J35" i="2"/>
  <c r="H34" i="2"/>
  <c r="I35" i="2"/>
  <c r="G34" i="2"/>
  <c r="H35" i="2"/>
  <c r="F34" i="2"/>
  <c r="G35" i="2"/>
  <c r="E34" i="2"/>
  <c r="F35" i="2"/>
  <c r="D34" i="2"/>
  <c r="E35" i="2"/>
  <c r="O32" i="2"/>
  <c r="N32" i="2"/>
  <c r="M32" i="2"/>
  <c r="O30" i="2"/>
  <c r="N30" i="2"/>
  <c r="M30" i="2"/>
  <c r="I21" i="2"/>
  <c r="E21" i="2"/>
  <c r="I20" i="2"/>
  <c r="E20" i="2"/>
  <c r="F3" i="2"/>
  <c r="I4" i="2"/>
</calcChain>
</file>

<file path=xl/sharedStrings.xml><?xml version="1.0" encoding="utf-8"?>
<sst xmlns="http://schemas.openxmlformats.org/spreadsheetml/2006/main" count="176" uniqueCount="82">
  <si>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</si>
  <si>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</si>
  <si>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</si>
  <si>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</si>
  <si>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DCF</t>
  </si>
  <si>
    <t>Apple DCF Valuation</t>
  </si>
  <si>
    <t>DCF - Apple DCF Valuation</t>
  </si>
  <si>
    <t xml:space="preserve">Ticker </t>
  </si>
  <si>
    <t>AAPL</t>
  </si>
  <si>
    <t xml:space="preserve">Implied Share Price </t>
  </si>
  <si>
    <t xml:space="preserve">Date </t>
  </si>
  <si>
    <t>Current Share Price</t>
  </si>
  <si>
    <t>Upside (Downside)</t>
  </si>
  <si>
    <t>Assumptions</t>
  </si>
  <si>
    <t>Switches</t>
  </si>
  <si>
    <t>Conservative</t>
  </si>
  <si>
    <t>Base</t>
  </si>
  <si>
    <t>Optimistic</t>
  </si>
  <si>
    <t>iPhone - Units</t>
  </si>
  <si>
    <t xml:space="preserve">iPhone - ASP </t>
  </si>
  <si>
    <t xml:space="preserve">iPad - Units </t>
  </si>
  <si>
    <t xml:space="preserve">iPad - ASP </t>
  </si>
  <si>
    <t>Mac- Units</t>
  </si>
  <si>
    <t xml:space="preserve">Mac - ASP </t>
  </si>
  <si>
    <t>Apple Watch - Units</t>
  </si>
  <si>
    <t xml:space="preserve">Apple Watch - ASP </t>
  </si>
  <si>
    <t>Services- Units</t>
  </si>
  <si>
    <t>Services- ASP</t>
  </si>
  <si>
    <t>EBIT</t>
  </si>
  <si>
    <t>Step</t>
  </si>
  <si>
    <t>WACC</t>
  </si>
  <si>
    <t>TGV</t>
  </si>
  <si>
    <t>Revenue Build (FYE)</t>
  </si>
  <si>
    <t>iPhone</t>
  </si>
  <si>
    <t xml:space="preserve">   Units</t>
  </si>
  <si>
    <t xml:space="preserve">% growth </t>
  </si>
  <si>
    <t xml:space="preserve">   Conservative </t>
  </si>
  <si>
    <t xml:space="preserve">   Base</t>
  </si>
  <si>
    <t xml:space="preserve">   Optimistic</t>
  </si>
  <si>
    <t>Average Selling Price</t>
  </si>
  <si>
    <t>Revenue</t>
  </si>
  <si>
    <t>iPad</t>
  </si>
  <si>
    <t>Mac</t>
  </si>
  <si>
    <t>Wearable, Home &amp; Accessories</t>
  </si>
  <si>
    <t>Services</t>
  </si>
  <si>
    <t>Total Revenue</t>
  </si>
  <si>
    <t>Income Statement (FYE)</t>
  </si>
  <si>
    <t>% of sales</t>
  </si>
  <si>
    <t>Taxes</t>
  </si>
  <si>
    <t>% of EBIT</t>
  </si>
  <si>
    <t>Cash Flow Items (FYE)</t>
  </si>
  <si>
    <t>D&amp;A</t>
  </si>
  <si>
    <t>% of CapEx</t>
  </si>
  <si>
    <t>Capital Expenditures</t>
  </si>
  <si>
    <t xml:space="preserve">Change in Net Working Capital </t>
  </si>
  <si>
    <t>% change in sales</t>
  </si>
  <si>
    <t>Income Statement (CYE)</t>
  </si>
  <si>
    <t>Cash Flow Items (CYE)</t>
  </si>
  <si>
    <t>DCF (CYE)</t>
  </si>
  <si>
    <t xml:space="preserve">   Optimistic </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</si>
  <si>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</si>
  <si>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</si>
  <si>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</si>
  <si>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</si>
  <si>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</si>
  <si>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</si>
  <si>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</si>
  <si>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</si>
  <si>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</si>
  <si>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</si>
  <si>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WACC - WACC</t>
  </si>
  <si>
    <t xml:space="preserve">Market Cap </t>
  </si>
  <si>
    <t xml:space="preserve">% of Equity </t>
  </si>
  <si>
    <t>Cost of Equity</t>
  </si>
  <si>
    <t>Risk Free Rate</t>
  </si>
  <si>
    <t>Beta</t>
  </si>
  <si>
    <t>Market Risk Premium</t>
  </si>
  <si>
    <t>Debt</t>
  </si>
  <si>
    <t>% of Debt</t>
  </si>
  <si>
    <t>Cost of Debt</t>
  </si>
  <si>
    <t>Tax Rate</t>
  </si>
  <si>
    <t xml:space="preserve">Total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</si>
</sst>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409]#,##0.00_);\([$$-409]#,##0.00\)"/>
    <numFmt numFmtId="165" formatCode="[$$-409]0.00"/>
    <numFmt numFmtId="166" formatCode="#,##0%_);\(#,##0%\)"/>
    <numFmt numFmtId="167" formatCode="#,##0.0%_);\(#,##0.0%\)"/>
    <numFmt numFmtId="168" formatCode="0.0%_);\(0.0%\)"/>
    <numFmt numFmtId="169" formatCode="0%_);\(0%\)"/>
    <numFmt numFmtId="170" formatCode="#,##0%"/>
    <numFmt numFmtId="171" formatCode="0.0%"/>
    <numFmt numFmtId="172" formatCode="#,##0.0%"/>
    <numFmt numFmtId="173" formatCode="0_);\(0\)"/>
    <numFmt numFmtId="174" formatCode="#,##0.0_);\(#,##0.0\)"/>
    <numFmt numFmtId="175" formatCode="#,##0.0#_);\(#,##0.0#\)"/>
    <numFmt numFmtId="176" formatCode="#,##0.00%"/>
  </numFmts>
  <fonts count="24" x14ac:knownFonts="1">
    <font>
      <sz val="10"/>
      <color indexed="8"/>
      <name val="Helvetica Neue"/>
    </font>
    <font>
      <sz val="12"/>
      <color indexed="8"/>
      <name val="Helvetica Neue"/>
    </font>
    <font>
      <sz val="14"/>
      <color indexed="8"/>
      <name val="Helvetica Neue"/>
    </font>
    <font>
      <u/>
      <sz val="12"/>
      <color indexed="11"/>
      <name val="Helvetica Neue"/>
    </font>
    <font>
      <b/>
      <sz val="13"/>
      <color indexed="8"/>
      <name val="Calibri"/>
    </font>
    <font>
      <b/>
      <sz val="11"/>
      <color indexed="8"/>
      <name val="Calibri"/>
    </font>
    <font>
      <sz val="11"/>
      <color indexed="8"/>
      <name val="Calibri"/>
    </font>
    <font>
      <b/>
      <sz val="11"/>
      <color indexed="15"/>
      <name val="Calibri"/>
    </font>
    <font>
      <sz val="11"/>
      <color indexed="15"/>
      <name val="Calibri"/>
    </font>
    <font>
      <b/>
      <u/>
      <sz val="11"/>
      <color indexed="8"/>
      <name val="Calibri"/>
    </font>
    <font>
      <sz val="11"/>
      <color indexed="17"/>
      <name val="Calibri"/>
    </font>
    <font>
      <b/>
      <i/>
      <sz val="11"/>
      <color indexed="8"/>
      <name val="Calibri"/>
    </font>
    <font>
      <i/>
      <sz val="11"/>
      <color indexed="8"/>
      <name val="Calibri"/>
    </font>
    <font>
      <i/>
      <sz val="12"/>
      <color indexed="18"/>
      <name val="Calibri"/>
    </font>
    <font>
      <i/>
      <sz val="12"/>
      <color indexed="8"/>
      <name val="Calibri"/>
    </font>
    <font>
      <i/>
      <sz val="12"/>
      <color indexed="17"/>
      <name val="Calibri"/>
    </font>
    <font>
      <b/>
      <sz val="10"/>
      <color indexed="8"/>
      <name val="Helvetica Neue"/>
    </font>
    <font>
      <i/>
      <sz val="12"/>
      <color indexed="19"/>
      <name val="Calibri"/>
    </font>
    <font>
      <sz val="11"/>
      <color indexed="18"/>
      <name val="Calibri"/>
    </font>
    <font>
      <b/>
      <sz val="12"/>
      <color indexed="8"/>
      <name val="Calibri"/>
    </font>
    <font>
      <b/>
      <i/>
      <sz val="12"/>
      <color indexed="8"/>
      <name val="Calibri"/>
    </font>
    <font>
      <b/>
      <sz val="14"/>
      <color indexed="8"/>
      <name val="Calibri"/>
    </font>
    <font>
      <b/>
      <sz val="12"/>
      <color indexed="15"/>
      <name val="Calibri"/>
    </font>
    <font>
      <sz val="12"/>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5">
    <border>
      <left/>
      <right/>
      <top/>
      <bottom/>
      <diagonal/>
    </border>
    <border>
      <left/>
      <right/>
      <top/>
      <bottom/>
      <diagonal/>
    </border>
    <border>
      <left/>
      <right/>
      <top/>
      <bottom/>
      <diagonal/>
    </border>
    <border>
      <left/>
      <right/>
      <top/>
      <bottom style="dotted">
        <color indexed="12"/>
      </bottom>
      <diagonal/>
    </border>
    <border>
      <left/>
      <right/>
      <top/>
      <bottom/>
      <diagonal/>
    </border>
    <border>
      <left/>
      <right/>
      <top/>
      <bottom style="dotted">
        <color indexed="12"/>
      </bottom>
      <diagonal/>
    </border>
    <border>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dotted">
        <color indexed="12"/>
      </right>
      <top/>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style="hair">
        <color indexed="12"/>
      </top>
      <bottom style="dotted">
        <color indexed="12"/>
      </bottom>
      <diagonal/>
    </border>
    <border>
      <left/>
      <right/>
      <top style="dotted">
        <color indexed="12"/>
      </top>
      <bottom/>
      <diagonal/>
    </border>
    <border>
      <left/>
      <right/>
      <top style="hair">
        <color indexed="12"/>
      </top>
      <bottom/>
      <diagonal/>
    </border>
    <border>
      <left/>
      <right/>
      <top/>
      <bottom/>
      <diagonal/>
    </border>
    <border>
      <left style="dotted">
        <color indexed="12"/>
      </left>
      <right style="dotted">
        <color indexed="12"/>
      </right>
      <top/>
      <bottom/>
      <diagonal/>
    </border>
    <border>
      <left/>
      <right/>
      <top style="dotted">
        <color indexed="12"/>
      </top>
      <bottom style="dotted">
        <color indexed="12"/>
      </bottom>
      <diagonal/>
    </border>
    <border>
      <left/>
      <right/>
      <top style="dotted">
        <color indexed="12"/>
      </top>
      <bottom style="dotted">
        <color indexed="12"/>
      </bottom>
      <diagonal/>
    </border>
    <border>
      <left/>
      <right/>
      <top style="dotted">
        <color indexed="12"/>
      </top>
      <bottom/>
      <diagonal/>
    </border>
    <border>
      <left/>
      <right/>
      <top/>
      <bottom style="thin">
        <color indexed="12"/>
      </bottom>
      <diagonal/>
    </border>
    <border>
      <left/>
      <right/>
      <top/>
      <bottom style="thin">
        <color indexed="12"/>
      </bottom>
      <diagonal/>
    </border>
    <border>
      <left/>
      <right/>
      <top/>
      <bottom style="thin">
        <color indexed="12"/>
      </bottom>
      <diagonal/>
    </border>
    <border>
      <left/>
      <right/>
      <top style="dotted">
        <color indexed="12"/>
      </top>
      <bottom style="thin">
        <color indexed="12"/>
      </bottom>
      <diagonal/>
    </border>
    <border>
      <left/>
      <right/>
      <top style="thin">
        <color indexed="12"/>
      </top>
      <bottom/>
      <diagonal/>
    </border>
    <border>
      <left/>
      <right/>
      <top style="thin">
        <color indexed="12"/>
      </top>
      <bottom/>
      <diagonal/>
    </border>
    <border>
      <left/>
      <right/>
      <top style="thin">
        <color indexed="12"/>
      </top>
      <bottom/>
      <diagonal/>
    </border>
    <border>
      <left style="dotted">
        <color indexed="12"/>
      </left>
      <right style="dotted">
        <color indexed="12"/>
      </right>
      <top style="dotted">
        <color indexed="12"/>
      </top>
      <bottom style="dotted">
        <color indexed="8"/>
      </bottom>
      <diagonal/>
    </border>
    <border>
      <left style="dotted">
        <color indexed="12"/>
      </left>
      <right style="dotted">
        <color indexed="8"/>
      </right>
      <top style="dotted">
        <color indexed="12"/>
      </top>
      <bottom style="dotted">
        <color indexed="12"/>
      </bottom>
      <diagonal/>
    </border>
    <border>
      <left style="dotted">
        <color indexed="8"/>
      </left>
      <right style="dotted">
        <color indexed="12"/>
      </right>
      <top style="dotted">
        <color indexed="8"/>
      </top>
      <bottom style="dotted">
        <color indexed="8"/>
      </bottom>
      <diagonal/>
    </border>
    <border>
      <left style="dotted">
        <color indexed="12"/>
      </left>
      <right style="dotted">
        <color indexed="12"/>
      </right>
      <top style="dotted">
        <color indexed="8"/>
      </top>
      <bottom style="dotted">
        <color indexed="8"/>
      </bottom>
      <diagonal/>
    </border>
    <border>
      <left style="dotted">
        <color indexed="12"/>
      </left>
      <right style="dotted">
        <color indexed="8"/>
      </right>
      <top style="dotted">
        <color indexed="8"/>
      </top>
      <bottom style="dotted">
        <color indexed="8"/>
      </bottom>
      <diagonal/>
    </border>
    <border>
      <left style="dotted">
        <color indexed="12"/>
      </left>
      <right style="dotted">
        <color indexed="12"/>
      </right>
      <top style="dotted">
        <color indexed="8"/>
      </top>
      <bottom style="dotted">
        <color indexed="12"/>
      </bottom>
      <diagonal/>
    </border>
    <border>
      <left/>
      <right/>
      <top style="thin">
        <color indexed="12"/>
      </top>
      <bottom style="thin">
        <color indexed="12"/>
      </bottom>
      <diagonal/>
    </border>
    <border>
      <left/>
      <right/>
      <top style="thin">
        <color indexed="12"/>
      </top>
      <bottom style="thin">
        <color indexed="12"/>
      </bottom>
      <diagonal/>
    </border>
    <border>
      <left/>
      <right/>
      <top style="thin">
        <color indexed="12"/>
      </top>
      <bottom style="thin">
        <color indexed="12"/>
      </bottom>
      <diagonal/>
    </border>
    <border>
      <left/>
      <right/>
      <top/>
      <bottom/>
      <diagonal/>
    </border>
    <border>
      <left/>
      <right/>
      <top/>
      <bottom/>
      <diagonal/>
    </border>
    <border>
      <left/>
      <right/>
      <top/>
      <bottom/>
      <diagonal/>
    </border>
    <border>
      <left/>
      <right/>
      <top/>
      <bottom/>
      <diagonal/>
    </border>
    <border>
      <left/>
      <right/>
      <top/>
      <bottom/>
      <diagonal/>
    </border>
    <border>
      <left style="dotted">
        <color indexed="12"/>
      </left>
      <right/>
      <top/>
      <bottom/>
      <diagonal/>
    </border>
    <border>
      <left/>
      <right/>
      <top/>
      <bottom/>
      <diagonal/>
    </border>
    <border>
      <left/>
      <right/>
      <top/>
      <bottom style="hair">
        <color indexed="12"/>
      </bottom>
      <diagonal/>
    </border>
    <border>
      <left/>
      <right style="hair">
        <color indexed="12"/>
      </right>
      <top/>
      <bottom/>
      <diagonal/>
    </border>
    <border>
      <left style="hair">
        <color indexed="12"/>
      </left>
      <right style="hair">
        <color indexed="12"/>
      </right>
      <top style="hair">
        <color indexed="12"/>
      </top>
      <bottom style="hair">
        <color indexed="12"/>
      </bottom>
      <diagonal/>
    </border>
  </borders>
  <cellStyleXfs count="1">
    <xf numFmtId="0" fontId="0" fillId="0" borderId="0" applyNumberFormat="0" applyFill="0" applyBorder="0" applyProtection="0">
      <alignment vertical="top" wrapText="1"/>
    </xf>
  </cellStyleXfs>
  <cellXfs count="205">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0" borderId="3" xfId="0" applyFont="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49" fontId="5" fillId="0" borderId="6" xfId="0" applyNumberFormat="1" applyFont="1" applyBorder="1" applyAlignment="1">
      <alignment vertical="top" wrapText="1"/>
    </xf>
    <xf numFmtId="49" fontId="6" fillId="4" borderId="7" xfId="0" applyNumberFormat="1" applyFont="1" applyFill="1" applyBorder="1" applyAlignment="1">
      <alignment horizontal="right" vertical="top" wrapText="1"/>
    </xf>
    <xf numFmtId="0" fontId="6" fillId="0" borderId="8" xfId="0" applyFont="1" applyBorder="1" applyAlignment="1">
      <alignment vertical="top" wrapText="1"/>
    </xf>
    <xf numFmtId="49" fontId="6" fillId="0" borderId="9" xfId="0" applyNumberFormat="1" applyFont="1" applyBorder="1" applyAlignment="1">
      <alignment vertical="top" wrapText="1"/>
    </xf>
    <xf numFmtId="164" fontId="6" fillId="4" borderId="10" xfId="0" applyNumberFormat="1" applyFont="1" applyFill="1" applyBorder="1" applyAlignment="1">
      <alignment horizontal="right" vertical="top" wrapText="1"/>
    </xf>
    <xf numFmtId="14" fontId="6" fillId="5" borderId="11" xfId="0" applyNumberFormat="1" applyFont="1" applyFill="1" applyBorder="1" applyAlignment="1">
      <alignment horizontal="right" vertical="top" wrapText="1"/>
    </xf>
    <xf numFmtId="165" fontId="6" fillId="4" borderId="7" xfId="0" applyNumberFormat="1" applyFont="1" applyFill="1" applyBorder="1" applyAlignment="1">
      <alignment horizontal="right" vertical="top" wrapText="1"/>
    </xf>
    <xf numFmtId="166" fontId="6" fillId="4" borderId="7" xfId="0" applyNumberFormat="1" applyFont="1" applyFill="1" applyBorder="1" applyAlignment="1">
      <alignment horizontal="right" vertical="top" wrapText="1"/>
    </xf>
    <xf numFmtId="0" fontId="6" fillId="0" borderId="12" xfId="0" applyFont="1" applyBorder="1" applyAlignment="1">
      <alignment vertical="top" wrapText="1"/>
    </xf>
    <xf numFmtId="0" fontId="6" fillId="0" borderId="13" xfId="0" applyFont="1" applyBorder="1" applyAlignment="1">
      <alignment vertical="top" wrapText="1"/>
    </xf>
    <xf numFmtId="0" fontId="7" fillId="0" borderId="2" xfId="0" applyFont="1" applyBorder="1" applyAlignment="1">
      <alignment vertical="top" wrapText="1"/>
    </xf>
    <xf numFmtId="49" fontId="7" fillId="6" borderId="2" xfId="0" applyNumberFormat="1" applyFont="1" applyFill="1" applyBorder="1" applyAlignment="1">
      <alignment vertical="top" wrapText="1"/>
    </xf>
    <xf numFmtId="0" fontId="8" fillId="6" borderId="14" xfId="0" applyFont="1" applyFill="1" applyBorder="1" applyAlignment="1">
      <alignment vertical="top" wrapText="1"/>
    </xf>
    <xf numFmtId="0" fontId="8" fillId="6" borderId="4" xfId="0" applyFont="1" applyFill="1" applyBorder="1" applyAlignment="1">
      <alignment vertical="top" wrapText="1"/>
    </xf>
    <xf numFmtId="49" fontId="9" fillId="0" borderId="2" xfId="0" applyNumberFormat="1" applyFont="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vertical="top" wrapText="1"/>
    </xf>
    <xf numFmtId="49" fontId="5" fillId="0" borderId="5" xfId="0" applyNumberFormat="1" applyFont="1" applyBorder="1" applyAlignment="1">
      <alignment vertical="top" wrapText="1"/>
    </xf>
    <xf numFmtId="0" fontId="0" fillId="0" borderId="4" xfId="0" applyFont="1" applyBorder="1" applyAlignment="1">
      <alignment vertical="top" wrapText="1"/>
    </xf>
    <xf numFmtId="49" fontId="5" fillId="0" borderId="6" xfId="0" applyNumberFormat="1" applyFont="1" applyBorder="1" applyAlignment="1">
      <alignment vertical="top"/>
    </xf>
    <xf numFmtId="0" fontId="6" fillId="4" borderId="10" xfId="0" applyNumberFormat="1" applyFont="1" applyFill="1" applyBorder="1" applyAlignment="1">
      <alignment horizontal="center" vertical="top" wrapText="1"/>
    </xf>
    <xf numFmtId="0" fontId="6" fillId="0" borderId="15" xfId="0" applyFont="1" applyBorder="1" applyAlignment="1">
      <alignment vertical="top" wrapText="1"/>
    </xf>
    <xf numFmtId="166" fontId="6" fillId="4" borderId="10" xfId="0" applyNumberFormat="1" applyFont="1" applyFill="1" applyBorder="1" applyAlignment="1">
      <alignment horizontal="center" vertical="top" wrapText="1"/>
    </xf>
    <xf numFmtId="167" fontId="6" fillId="4" borderId="10" xfId="0" applyNumberFormat="1" applyFont="1" applyFill="1" applyBorder="1" applyAlignment="1">
      <alignment horizontal="center" vertical="top" wrapText="1"/>
    </xf>
    <xf numFmtId="0" fontId="0" fillId="0" borderId="15" xfId="0" applyFont="1" applyBorder="1" applyAlignment="1">
      <alignment vertical="top" wrapText="1"/>
    </xf>
    <xf numFmtId="168" fontId="6" fillId="4" borderId="10" xfId="0" applyNumberFormat="1" applyFont="1" applyFill="1" applyBorder="1" applyAlignment="1">
      <alignment horizontal="center" vertical="top" wrapText="1"/>
    </xf>
    <xf numFmtId="169" fontId="6" fillId="4" borderId="10" xfId="0" applyNumberFormat="1" applyFont="1" applyFill="1" applyBorder="1" applyAlignment="1">
      <alignment horizontal="center" vertical="top" wrapText="1"/>
    </xf>
    <xf numFmtId="0" fontId="6" fillId="0" borderId="16" xfId="0" applyFont="1" applyBorder="1" applyAlignment="1">
      <alignment vertical="top" wrapText="1"/>
    </xf>
    <xf numFmtId="0" fontId="6" fillId="0" borderId="17" xfId="0" applyFont="1" applyBorder="1" applyAlignment="1">
      <alignment vertical="top" wrapText="1"/>
    </xf>
    <xf numFmtId="9" fontId="6" fillId="4" borderId="10" xfId="0" applyNumberFormat="1" applyFont="1" applyFill="1" applyBorder="1" applyAlignment="1">
      <alignment horizontal="center" vertical="top" wrapText="1"/>
    </xf>
    <xf numFmtId="170" fontId="6" fillId="4" borderId="10" xfId="0" applyNumberFormat="1" applyFont="1" applyFill="1" applyBorder="1" applyAlignment="1">
      <alignment horizontal="center" vertical="top" wrapText="1"/>
    </xf>
    <xf numFmtId="49" fontId="6" fillId="0" borderId="5" xfId="0" applyNumberFormat="1" applyFont="1" applyBorder="1" applyAlignment="1">
      <alignment vertical="top" wrapText="1"/>
    </xf>
    <xf numFmtId="171" fontId="6" fillId="4" borderId="10" xfId="0" applyNumberFormat="1" applyFont="1" applyFill="1" applyBorder="1" applyAlignment="1">
      <alignment horizontal="center" vertical="top" wrapText="1"/>
    </xf>
    <xf numFmtId="172" fontId="6" fillId="4" borderId="10" xfId="0" applyNumberFormat="1" applyFont="1" applyFill="1" applyBorder="1" applyAlignment="1">
      <alignment horizontal="center" vertical="top" wrapText="1"/>
    </xf>
    <xf numFmtId="0" fontId="6" fillId="0" borderId="18" xfId="0" applyFont="1" applyBorder="1" applyAlignment="1">
      <alignment vertical="top" wrapText="1"/>
    </xf>
    <xf numFmtId="49" fontId="7" fillId="6" borderId="2" xfId="0" applyNumberFormat="1" applyFont="1" applyFill="1" applyBorder="1" applyAlignment="1">
      <alignment horizontal="left" vertical="top"/>
    </xf>
    <xf numFmtId="0" fontId="6" fillId="6" borderId="14" xfId="0" applyFont="1" applyFill="1" applyBorder="1" applyAlignment="1">
      <alignment vertical="top" wrapText="1"/>
    </xf>
    <xf numFmtId="0" fontId="8" fillId="6" borderId="4" xfId="0" applyNumberFormat="1" applyFont="1" applyFill="1" applyBorder="1" applyAlignment="1">
      <alignment vertical="top" wrapText="1"/>
    </xf>
    <xf numFmtId="0" fontId="6" fillId="0" borderId="14" xfId="0" applyFont="1" applyBorder="1" applyAlignment="1">
      <alignment vertical="top" wrapText="1"/>
    </xf>
    <xf numFmtId="49" fontId="5" fillId="0" borderId="2" xfId="0" applyNumberFormat="1" applyFont="1" applyBorder="1" applyAlignment="1">
      <alignment horizontal="left" vertical="top" wrapText="1"/>
    </xf>
    <xf numFmtId="3" fontId="10" fillId="0" borderId="4" xfId="0" applyNumberFormat="1" applyFont="1" applyBorder="1" applyAlignment="1">
      <alignment vertical="top" wrapText="1"/>
    </xf>
    <xf numFmtId="3" fontId="0" fillId="0" borderId="4" xfId="0" applyNumberFormat="1" applyFont="1" applyBorder="1" applyAlignment="1">
      <alignment vertical="top" wrapText="1"/>
    </xf>
    <xf numFmtId="0" fontId="11" fillId="0" borderId="2" xfId="0" applyFont="1" applyBorder="1" applyAlignment="1">
      <alignment vertical="top" wrapText="1"/>
    </xf>
    <xf numFmtId="49" fontId="11" fillId="0" borderId="2" xfId="0" applyNumberFormat="1" applyFont="1" applyBorder="1" applyAlignment="1">
      <alignment horizontal="left" vertical="top" wrapText="1"/>
    </xf>
    <xf numFmtId="0" fontId="12" fillId="0" borderId="14" xfId="0" applyFont="1" applyBorder="1" applyAlignment="1">
      <alignment vertical="top" wrapText="1"/>
    </xf>
    <xf numFmtId="3" fontId="12" fillId="0" borderId="4" xfId="0" applyNumberFormat="1" applyFont="1" applyBorder="1" applyAlignment="1">
      <alignment vertical="top" wrapText="1"/>
    </xf>
    <xf numFmtId="167" fontId="12" fillId="0" borderId="4" xfId="0" applyNumberFormat="1" applyFont="1" applyBorder="1" applyAlignment="1">
      <alignment vertical="top" wrapText="1"/>
    </xf>
    <xf numFmtId="166" fontId="12" fillId="0" borderId="5" xfId="0" applyNumberFormat="1" applyFont="1" applyBorder="1" applyAlignment="1">
      <alignment vertical="top" wrapText="1"/>
    </xf>
    <xf numFmtId="167" fontId="12" fillId="0" borderId="5" xfId="0" applyNumberFormat="1" applyFont="1" applyBorder="1" applyAlignment="1">
      <alignment vertical="top" wrapText="1"/>
    </xf>
    <xf numFmtId="3" fontId="6" fillId="0" borderId="4" xfId="0" applyNumberFormat="1" applyFont="1" applyBorder="1" applyAlignment="1">
      <alignment vertical="top" wrapText="1"/>
    </xf>
    <xf numFmtId="3" fontId="6" fillId="0" borderId="9" xfId="0" applyNumberFormat="1" applyFont="1" applyBorder="1" applyAlignment="1">
      <alignment vertical="top" wrapText="1"/>
    </xf>
    <xf numFmtId="169" fontId="13" fillId="5" borderId="10" xfId="0" applyNumberFormat="1" applyFont="1" applyFill="1" applyBorder="1" applyAlignment="1">
      <alignment horizontal="right" vertical="top" wrapText="1"/>
    </xf>
    <xf numFmtId="168" fontId="14" fillId="5" borderId="10" xfId="0" applyNumberFormat="1" applyFont="1" applyFill="1" applyBorder="1" applyAlignment="1">
      <alignment horizontal="right" vertical="top" wrapText="1"/>
    </xf>
    <xf numFmtId="169" fontId="15" fillId="5" borderId="10" xfId="0" applyNumberFormat="1" applyFont="1" applyFill="1" applyBorder="1" applyAlignment="1">
      <alignment horizontal="right" vertical="top" wrapText="1"/>
    </xf>
    <xf numFmtId="0" fontId="5" fillId="0" borderId="2" xfId="0" applyFont="1" applyBorder="1" applyAlignment="1">
      <alignment horizontal="left" vertical="top" wrapText="1"/>
    </xf>
    <xf numFmtId="49" fontId="5" fillId="0" borderId="2" xfId="0" applyNumberFormat="1" applyFont="1" applyBorder="1" applyAlignment="1">
      <alignment horizontal="left" vertical="top"/>
    </xf>
    <xf numFmtId="169" fontId="14" fillId="5" borderId="10" xfId="0" applyNumberFormat="1" applyFont="1" applyFill="1" applyBorder="1" applyAlignment="1">
      <alignment horizontal="right" vertical="top" wrapText="1"/>
    </xf>
    <xf numFmtId="0" fontId="16" fillId="0" borderId="2" xfId="0" applyFont="1" applyBorder="1" applyAlignment="1">
      <alignment vertical="top" wrapText="1"/>
    </xf>
    <xf numFmtId="0" fontId="16" fillId="0" borderId="19" xfId="0" applyFont="1" applyBorder="1" applyAlignment="1">
      <alignment vertical="top" wrapText="1"/>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49" fontId="5" fillId="0" borderId="23" xfId="0" applyNumberFormat="1" applyFont="1" applyBorder="1" applyAlignment="1">
      <alignment horizontal="left" vertical="top" wrapText="1"/>
    </xf>
    <xf numFmtId="0" fontId="6" fillId="0" borderId="24" xfId="0" applyFont="1" applyBorder="1" applyAlignment="1">
      <alignment vertical="top" wrapText="1"/>
    </xf>
    <xf numFmtId="3" fontId="10" fillId="0" borderId="25" xfId="0" applyNumberFormat="1" applyFont="1" applyBorder="1" applyAlignment="1">
      <alignment vertical="top" wrapText="1"/>
    </xf>
    <xf numFmtId="37" fontId="6" fillId="0" borderId="25" xfId="0" applyNumberFormat="1" applyFont="1" applyBorder="1" applyAlignment="1">
      <alignment vertical="top" wrapText="1"/>
    </xf>
    <xf numFmtId="49" fontId="11" fillId="0" borderId="19" xfId="0" applyNumberFormat="1" applyFont="1" applyBorder="1" applyAlignment="1">
      <alignment horizontal="left" vertical="top" wrapText="1"/>
    </xf>
    <xf numFmtId="0" fontId="12" fillId="0" borderId="20" xfId="0" applyFont="1" applyBorder="1" applyAlignment="1">
      <alignment vertical="top" wrapText="1"/>
    </xf>
    <xf numFmtId="166" fontId="12" fillId="0" borderId="21" xfId="0" applyNumberFormat="1" applyFont="1" applyBorder="1" applyAlignment="1">
      <alignment vertical="top" wrapText="1"/>
    </xf>
    <xf numFmtId="0" fontId="5" fillId="0" borderId="23" xfId="0" applyFont="1" applyBorder="1" applyAlignment="1">
      <alignment horizontal="left" vertical="top" wrapText="1"/>
    </xf>
    <xf numFmtId="3" fontId="6" fillId="0" borderId="25" xfId="0" applyNumberFormat="1" applyFont="1" applyBorder="1" applyAlignment="1">
      <alignment vertical="top" wrapText="1"/>
    </xf>
    <xf numFmtId="0" fontId="6" fillId="0" borderId="25" xfId="0" applyFont="1" applyBorder="1" applyAlignment="1">
      <alignment vertical="top" wrapText="1"/>
    </xf>
    <xf numFmtId="166" fontId="17" fillId="5" borderId="10" xfId="0" applyNumberFormat="1" applyFont="1" applyFill="1" applyBorder="1" applyAlignment="1">
      <alignment horizontal="right" vertical="top" wrapText="1"/>
    </xf>
    <xf numFmtId="166" fontId="14" fillId="5" borderId="10" xfId="0" applyNumberFormat="1" applyFont="1" applyFill="1" applyBorder="1" applyAlignment="1">
      <alignment horizontal="right" vertical="top" wrapText="1"/>
    </xf>
    <xf numFmtId="166" fontId="14" fillId="5" borderId="26" xfId="0" applyNumberFormat="1" applyFont="1" applyFill="1" applyBorder="1" applyAlignment="1">
      <alignment horizontal="right" vertical="top" wrapText="1"/>
    </xf>
    <xf numFmtId="166" fontId="15" fillId="5" borderId="10" xfId="0" applyNumberFormat="1" applyFont="1" applyFill="1" applyBorder="1" applyAlignment="1">
      <alignment horizontal="right" vertical="top" wrapText="1"/>
    </xf>
    <xf numFmtId="166" fontId="15" fillId="5" borderId="27" xfId="0" applyNumberFormat="1" applyFont="1" applyFill="1" applyBorder="1" applyAlignment="1">
      <alignment horizontal="right" vertical="top" wrapText="1"/>
    </xf>
    <xf numFmtId="166" fontId="14" fillId="5" borderId="28" xfId="0" applyNumberFormat="1" applyFont="1" applyFill="1" applyBorder="1" applyAlignment="1">
      <alignment horizontal="right" vertical="top" wrapText="1"/>
    </xf>
    <xf numFmtId="166" fontId="14" fillId="5" borderId="29" xfId="0" applyNumberFormat="1" applyFont="1" applyFill="1" applyBorder="1" applyAlignment="1">
      <alignment horizontal="right" vertical="top" wrapText="1"/>
    </xf>
    <xf numFmtId="166" fontId="14" fillId="5" borderId="30" xfId="0" applyNumberFormat="1" applyFont="1" applyFill="1" applyBorder="1" applyAlignment="1">
      <alignment horizontal="right" vertical="top" wrapText="1"/>
    </xf>
    <xf numFmtId="166" fontId="14" fillId="5" borderId="31" xfId="0" applyNumberFormat="1" applyFont="1" applyFill="1" applyBorder="1" applyAlignment="1">
      <alignment horizontal="right" vertical="top" wrapText="1"/>
    </xf>
    <xf numFmtId="37" fontId="6" fillId="0" borderId="4" xfId="0" applyNumberFormat="1" applyFont="1" applyBorder="1" applyAlignment="1">
      <alignment vertical="top" wrapText="1"/>
    </xf>
    <xf numFmtId="166" fontId="11" fillId="0" borderId="2" xfId="0" applyNumberFormat="1" applyFont="1" applyBorder="1" applyAlignment="1">
      <alignment vertical="top" wrapText="1"/>
    </xf>
    <xf numFmtId="166" fontId="12" fillId="0" borderId="14" xfId="0" applyNumberFormat="1" applyFont="1" applyBorder="1" applyAlignment="1">
      <alignment vertical="top" wrapText="1"/>
    </xf>
    <xf numFmtId="166" fontId="12" fillId="0" borderId="4" xfId="0" applyNumberFormat="1" applyFont="1" applyBorder="1" applyAlignment="1">
      <alignment vertical="top" wrapText="1"/>
    </xf>
    <xf numFmtId="169" fontId="17" fillId="5" borderId="10" xfId="0" applyNumberFormat="1" applyFont="1" applyFill="1" applyBorder="1" applyAlignment="1">
      <alignment horizontal="right" vertical="top" wrapText="1"/>
    </xf>
    <xf numFmtId="0" fontId="0" fillId="0" borderId="14" xfId="0" applyFont="1" applyBorder="1" applyAlignment="1">
      <alignment vertical="top" wrapText="1"/>
    </xf>
    <xf numFmtId="0" fontId="0" fillId="0" borderId="18" xfId="0" applyFont="1" applyBorder="1" applyAlignment="1">
      <alignment vertical="top" wrapText="1"/>
    </xf>
    <xf numFmtId="0" fontId="5" fillId="0" borderId="19" xfId="0" applyFont="1" applyBorder="1" applyAlignment="1">
      <alignment horizontal="left" vertical="top" wrapText="1"/>
    </xf>
    <xf numFmtId="0" fontId="6" fillId="0" borderId="20" xfId="0" applyFont="1" applyBorder="1" applyAlignment="1">
      <alignment vertical="top" wrapText="1"/>
    </xf>
    <xf numFmtId="3" fontId="6" fillId="0" borderId="21" xfId="0" applyNumberFormat="1" applyFont="1" applyBorder="1" applyAlignment="1">
      <alignment vertical="top" wrapText="1"/>
    </xf>
    <xf numFmtId="0" fontId="6" fillId="0" borderId="21" xfId="0" applyFont="1" applyBorder="1" applyAlignment="1">
      <alignment vertical="top" wrapText="1"/>
    </xf>
    <xf numFmtId="0" fontId="6" fillId="0" borderId="9" xfId="0" applyFont="1" applyBorder="1" applyAlignment="1">
      <alignment vertical="top" wrapText="1"/>
    </xf>
    <xf numFmtId="37" fontId="5" fillId="0" borderId="2" xfId="0" applyNumberFormat="1" applyFont="1" applyBorder="1" applyAlignment="1">
      <alignment vertical="top" wrapText="1"/>
    </xf>
    <xf numFmtId="37" fontId="6" fillId="0" borderId="14" xfId="0" applyNumberFormat="1" applyFont="1" applyBorder="1" applyAlignment="1">
      <alignment vertical="top" wrapText="1"/>
    </xf>
    <xf numFmtId="170" fontId="11" fillId="0" borderId="2" xfId="0" applyNumberFormat="1" applyFont="1" applyBorder="1" applyAlignment="1">
      <alignment vertical="top" wrapText="1"/>
    </xf>
    <xf numFmtId="170" fontId="12" fillId="0" borderId="14" xfId="0" applyNumberFormat="1" applyFont="1" applyBorder="1" applyAlignment="1">
      <alignment vertical="top" wrapText="1"/>
    </xf>
    <xf numFmtId="170" fontId="12" fillId="0" borderId="4" xfId="0" applyNumberFormat="1" applyFont="1" applyBorder="1" applyAlignment="1">
      <alignment vertical="top" wrapText="1"/>
    </xf>
    <xf numFmtId="49" fontId="9" fillId="0" borderId="2" xfId="0" applyNumberFormat="1" applyFont="1" applyBorder="1" applyAlignment="1">
      <alignment vertical="top"/>
    </xf>
    <xf numFmtId="37" fontId="10" fillId="0" borderId="4" xfId="0" applyNumberFormat="1" applyFont="1" applyBorder="1" applyAlignment="1">
      <alignment vertical="top" wrapText="1"/>
    </xf>
    <xf numFmtId="9" fontId="12" fillId="0" borderId="14" xfId="0" applyNumberFormat="1" applyFont="1" applyBorder="1" applyAlignment="1">
      <alignment vertical="top" wrapText="1"/>
    </xf>
    <xf numFmtId="0" fontId="12" fillId="0" borderId="21" xfId="0" applyFont="1" applyBorder="1" applyAlignment="1">
      <alignment vertical="top" wrapText="1"/>
    </xf>
    <xf numFmtId="170" fontId="12" fillId="0" borderId="21" xfId="0" applyNumberFormat="1" applyFont="1" applyBorder="1" applyAlignment="1">
      <alignment vertical="top" wrapText="1"/>
    </xf>
    <xf numFmtId="0" fontId="10" fillId="0" borderId="4" xfId="0" applyNumberFormat="1" applyFont="1" applyBorder="1" applyAlignment="1">
      <alignment vertical="top" wrapText="1"/>
    </xf>
    <xf numFmtId="37" fontId="10" fillId="0" borderId="25" xfId="0" applyNumberFormat="1" applyFont="1" applyBorder="1" applyAlignment="1">
      <alignment vertical="top" wrapText="1"/>
    </xf>
    <xf numFmtId="0" fontId="5" fillId="0" borderId="19" xfId="0" applyFont="1" applyBorder="1" applyAlignment="1">
      <alignment vertical="top" wrapText="1"/>
    </xf>
    <xf numFmtId="0" fontId="5" fillId="0" borderId="32" xfId="0" applyFont="1" applyBorder="1" applyAlignment="1">
      <alignment horizontal="left" vertical="top" wrapText="1"/>
    </xf>
    <xf numFmtId="0" fontId="6" fillId="0" borderId="33" xfId="0" applyFont="1" applyBorder="1" applyAlignment="1">
      <alignment vertical="top" wrapText="1"/>
    </xf>
    <xf numFmtId="0" fontId="6" fillId="0" borderId="34" xfId="0" applyFont="1" applyBorder="1" applyAlignment="1">
      <alignment vertical="top" wrapText="1"/>
    </xf>
    <xf numFmtId="0" fontId="5" fillId="0" borderId="23" xfId="0" applyFont="1" applyBorder="1" applyAlignment="1">
      <alignment vertical="top" wrapText="1"/>
    </xf>
    <xf numFmtId="0" fontId="5" fillId="0" borderId="24" xfId="0" applyFont="1" applyBorder="1" applyAlignment="1">
      <alignment vertical="top" wrapText="1"/>
    </xf>
    <xf numFmtId="3" fontId="5" fillId="0" borderId="25" xfId="0" applyNumberFormat="1" applyFont="1" applyBorder="1" applyAlignment="1">
      <alignment vertical="top" wrapText="1"/>
    </xf>
    <xf numFmtId="37" fontId="5" fillId="0" borderId="25" xfId="0" applyNumberFormat="1" applyFont="1" applyBorder="1" applyAlignment="1">
      <alignment vertical="top" wrapText="1"/>
    </xf>
    <xf numFmtId="49" fontId="7" fillId="6" borderId="2" xfId="0" applyNumberFormat="1" applyFont="1" applyFill="1" applyBorder="1" applyAlignment="1">
      <alignment vertical="top"/>
    </xf>
    <xf numFmtId="0" fontId="5" fillId="0" borderId="35" xfId="0" applyFont="1" applyBorder="1" applyAlignment="1">
      <alignment vertical="top" wrapText="1"/>
    </xf>
    <xf numFmtId="0" fontId="6" fillId="0" borderId="36" xfId="0" applyFont="1" applyBorder="1" applyAlignment="1">
      <alignment vertical="top" wrapText="1"/>
    </xf>
    <xf numFmtId="49" fontId="5" fillId="0" borderId="37" xfId="0" applyNumberFormat="1" applyFont="1" applyBorder="1" applyAlignment="1">
      <alignment horizontal="left" vertical="top" wrapText="1"/>
    </xf>
    <xf numFmtId="0" fontId="6" fillId="0" borderId="1" xfId="0" applyFont="1" applyBorder="1" applyAlignment="1">
      <alignment vertical="top" wrapText="1"/>
    </xf>
    <xf numFmtId="3" fontId="18" fillId="0" borderId="14" xfId="0" applyNumberFormat="1" applyFont="1" applyBorder="1" applyAlignment="1">
      <alignment vertical="top" wrapText="1"/>
    </xf>
    <xf numFmtId="3" fontId="18" fillId="0" borderId="4" xfId="0" applyNumberFormat="1" applyFont="1" applyBorder="1" applyAlignment="1">
      <alignment vertical="top" wrapText="1"/>
    </xf>
    <xf numFmtId="37" fontId="18" fillId="0" borderId="4" xfId="0" applyNumberFormat="1" applyFont="1" applyBorder="1" applyAlignment="1">
      <alignment vertical="top" wrapText="1"/>
    </xf>
    <xf numFmtId="49" fontId="11" fillId="0" borderId="37" xfId="0" applyNumberFormat="1" applyFont="1" applyBorder="1" applyAlignment="1">
      <alignment horizontal="left" vertical="top" wrapText="1"/>
    </xf>
    <xf numFmtId="0" fontId="6" fillId="0" borderId="2" xfId="0" applyFont="1" applyBorder="1" applyAlignment="1">
      <alignment vertical="top" wrapText="1"/>
    </xf>
    <xf numFmtId="166" fontId="6" fillId="0" borderId="4" xfId="0" applyNumberFormat="1" applyFont="1" applyBorder="1" applyAlignment="1">
      <alignment vertical="top" wrapText="1"/>
    </xf>
    <xf numFmtId="0" fontId="5" fillId="0" borderId="37" xfId="0" applyFont="1" applyBorder="1" applyAlignment="1">
      <alignment vertical="top" wrapText="1"/>
    </xf>
    <xf numFmtId="0" fontId="6" fillId="0" borderId="35" xfId="0" applyFont="1" applyBorder="1" applyAlignment="1">
      <alignment vertical="top" wrapText="1"/>
    </xf>
    <xf numFmtId="49" fontId="5" fillId="0" borderId="37" xfId="0" applyNumberFormat="1" applyFont="1" applyBorder="1" applyAlignment="1">
      <alignment vertical="top" wrapText="1"/>
    </xf>
    <xf numFmtId="0" fontId="6" fillId="0" borderId="37" xfId="0" applyFont="1" applyBorder="1" applyAlignment="1">
      <alignment vertical="top" wrapText="1"/>
    </xf>
    <xf numFmtId="37" fontId="10" fillId="0" borderId="14" xfId="0" applyNumberFormat="1" applyFont="1" applyBorder="1" applyAlignment="1">
      <alignment vertical="top" wrapText="1"/>
    </xf>
    <xf numFmtId="49" fontId="5" fillId="0" borderId="1" xfId="0" applyNumberFormat="1" applyFont="1" applyBorder="1" applyAlignment="1">
      <alignment vertical="top" wrapText="1"/>
    </xf>
    <xf numFmtId="0" fontId="6" fillId="0" borderId="38" xfId="0" applyFont="1" applyBorder="1" applyAlignment="1">
      <alignment vertical="top" wrapText="1"/>
    </xf>
    <xf numFmtId="49" fontId="5" fillId="0" borderId="2" xfId="0" applyNumberFormat="1" applyFont="1" applyBorder="1" applyAlignment="1">
      <alignment vertical="top" wrapText="1"/>
    </xf>
    <xf numFmtId="166" fontId="10" fillId="0" borderId="4" xfId="0" applyNumberFormat="1" applyFont="1" applyBorder="1" applyAlignment="1">
      <alignment vertical="top" wrapText="1"/>
    </xf>
    <xf numFmtId="49" fontId="5" fillId="0" borderId="35" xfId="0" applyNumberFormat="1" applyFont="1" applyBorder="1" applyAlignment="1">
      <alignment vertical="top" wrapText="1"/>
    </xf>
    <xf numFmtId="49" fontId="11" fillId="0" borderId="1" xfId="0" applyNumberFormat="1" applyFont="1" applyBorder="1" applyAlignment="1">
      <alignment vertical="top" wrapText="1"/>
    </xf>
    <xf numFmtId="49" fontId="11" fillId="0" borderId="2" xfId="0" applyNumberFormat="1" applyFont="1" applyBorder="1" applyAlignment="1">
      <alignment vertical="top" wrapText="1"/>
    </xf>
    <xf numFmtId="49" fontId="19" fillId="0" borderId="2" xfId="0" applyNumberFormat="1" applyFont="1" applyBorder="1" applyAlignment="1">
      <alignment vertical="top"/>
    </xf>
    <xf numFmtId="49" fontId="20" fillId="0" borderId="2" xfId="0" applyNumberFormat="1" applyFont="1" applyBorder="1" applyAlignment="1">
      <alignment vertical="top"/>
    </xf>
    <xf numFmtId="0" fontId="20" fillId="0" borderId="2" xfId="0" applyFont="1" applyBorder="1" applyAlignment="1">
      <alignment vertical="top"/>
    </xf>
    <xf numFmtId="0" fontId="10" fillId="0" borderId="4" xfId="0" applyFont="1" applyBorder="1" applyAlignment="1">
      <alignment vertical="top" wrapText="1"/>
    </xf>
    <xf numFmtId="0" fontId="12" fillId="0" borderId="4" xfId="0" applyFont="1" applyBorder="1" applyAlignment="1">
      <alignment vertical="top" wrapText="1"/>
    </xf>
    <xf numFmtId="0" fontId="6" fillId="0" borderId="39" xfId="0" applyFont="1" applyBorder="1" applyAlignment="1">
      <alignment vertical="top" wrapText="1"/>
    </xf>
    <xf numFmtId="169" fontId="5" fillId="0" borderId="2" xfId="0" applyNumberFormat="1" applyFont="1" applyBorder="1" applyAlignment="1">
      <alignment vertical="top" wrapText="1"/>
    </xf>
    <xf numFmtId="169" fontId="6" fillId="0" borderId="6" xfId="0" applyNumberFormat="1" applyFont="1" applyBorder="1" applyAlignment="1">
      <alignment vertical="top" wrapText="1"/>
    </xf>
    <xf numFmtId="169" fontId="6" fillId="0" borderId="40" xfId="0" applyNumberFormat="1" applyFont="1" applyBorder="1" applyAlignment="1">
      <alignment horizontal="center" vertical="top" wrapText="1"/>
    </xf>
    <xf numFmtId="169" fontId="6" fillId="0" borderId="37" xfId="0" applyNumberFormat="1" applyFont="1" applyBorder="1" applyAlignment="1">
      <alignment horizontal="center" vertical="top" wrapText="1"/>
    </xf>
    <xf numFmtId="0" fontId="8" fillId="6" borderId="18" xfId="0" applyNumberFormat="1" applyFont="1" applyFill="1" applyBorder="1" applyAlignment="1">
      <alignment vertical="top" wrapText="1"/>
    </xf>
    <xf numFmtId="0" fontId="8" fillId="6" borderId="41" xfId="0" applyNumberFormat="1" applyFont="1" applyFill="1" applyBorder="1" applyAlignment="1">
      <alignment vertical="top" wrapText="1"/>
    </xf>
    <xf numFmtId="0" fontId="12" fillId="0" borderId="2" xfId="0" applyFont="1" applyBorder="1" applyAlignment="1">
      <alignment vertical="top" wrapText="1"/>
    </xf>
    <xf numFmtId="0" fontId="12" fillId="0" borderId="38" xfId="0" applyFont="1" applyBorder="1" applyAlignment="1">
      <alignment vertical="top" wrapText="1"/>
    </xf>
    <xf numFmtId="173" fontId="5" fillId="0" borderId="2" xfId="0" applyNumberFormat="1" applyFont="1" applyBorder="1" applyAlignment="1">
      <alignment vertical="top" wrapText="1"/>
    </xf>
    <xf numFmtId="173" fontId="6" fillId="0" borderId="14" xfId="0" applyNumberFormat="1" applyFont="1" applyBorder="1" applyAlignment="1">
      <alignment vertical="top" wrapText="1"/>
    </xf>
    <xf numFmtId="174" fontId="6" fillId="0" borderId="4" xfId="0" applyNumberFormat="1" applyFont="1" applyBorder="1" applyAlignment="1">
      <alignment vertical="top" wrapText="1"/>
    </xf>
    <xf numFmtId="175" fontId="6" fillId="0" borderId="4" xfId="0" applyNumberFormat="1" applyFont="1" applyBorder="1" applyAlignment="1">
      <alignment vertical="top" wrapText="1"/>
    </xf>
    <xf numFmtId="0" fontId="0" fillId="0" borderId="4" xfId="0" applyNumberFormat="1" applyFont="1" applyBorder="1" applyAlignment="1">
      <alignment vertical="top" wrapText="1"/>
    </xf>
    <xf numFmtId="166" fontId="6" fillId="0" borderId="9" xfId="0" applyNumberFormat="1" applyFont="1" applyBorder="1" applyAlignment="1">
      <alignment vertical="top" wrapText="1"/>
    </xf>
    <xf numFmtId="166" fontId="6" fillId="0" borderId="18" xfId="0" applyNumberFormat="1" applyFont="1" applyBorder="1" applyAlignment="1">
      <alignment vertical="top" wrapText="1"/>
    </xf>
    <xf numFmtId="0" fontId="20" fillId="0" borderId="19" xfId="0" applyFont="1" applyBorder="1" applyAlignment="1">
      <alignment vertical="top"/>
    </xf>
    <xf numFmtId="166" fontId="6" fillId="0" borderId="21" xfId="0" applyNumberFormat="1" applyFont="1" applyBorder="1" applyAlignment="1">
      <alignment vertical="top" wrapText="1"/>
    </xf>
    <xf numFmtId="49" fontId="19" fillId="0" borderId="23" xfId="0" applyNumberFormat="1" applyFont="1" applyBorder="1" applyAlignment="1">
      <alignment vertical="top"/>
    </xf>
    <xf numFmtId="0" fontId="5" fillId="0" borderId="25" xfId="0" applyFont="1" applyBorder="1" applyAlignment="1">
      <alignment vertical="top" wrapText="1"/>
    </xf>
    <xf numFmtId="166" fontId="5" fillId="0" borderId="25" xfId="0" applyNumberFormat="1" applyFont="1" applyBorder="1" applyAlignment="1">
      <alignment vertical="top" wrapText="1"/>
    </xf>
    <xf numFmtId="37" fontId="18" fillId="0" borderId="42" xfId="0" applyNumberFormat="1" applyFont="1" applyBorder="1" applyAlignment="1">
      <alignment vertical="top" wrapText="1"/>
    </xf>
    <xf numFmtId="166" fontId="12" fillId="0" borderId="43" xfId="0" applyNumberFormat="1" applyFont="1" applyBorder="1" applyAlignment="1">
      <alignment vertical="top" wrapText="1"/>
    </xf>
    <xf numFmtId="166" fontId="12" fillId="5" borderId="44" xfId="0" applyNumberFormat="1" applyFont="1" applyFill="1" applyBorder="1" applyAlignment="1">
      <alignment vertical="top" wrapText="1"/>
    </xf>
    <xf numFmtId="166" fontId="6" fillId="0" borderId="13" xfId="0" applyNumberFormat="1" applyFont="1" applyBorder="1" applyAlignment="1">
      <alignment vertical="top" wrapText="1"/>
    </xf>
    <xf numFmtId="0" fontId="18" fillId="0" borderId="4" xfId="0" applyNumberFormat="1" applyFont="1" applyBorder="1" applyAlignment="1">
      <alignment vertical="top" wrapText="1"/>
    </xf>
    <xf numFmtId="175" fontId="18" fillId="0" borderId="4" xfId="0" applyNumberFormat="1" applyFont="1" applyBorder="1" applyAlignment="1">
      <alignment vertical="top" wrapText="1"/>
    </xf>
    <xf numFmtId="0" fontId="19" fillId="0" borderId="19" xfId="0" applyFont="1" applyBorder="1" applyAlignment="1">
      <alignment vertical="top"/>
    </xf>
    <xf numFmtId="166" fontId="6" fillId="0" borderId="25" xfId="0" applyNumberFormat="1" applyFont="1" applyBorder="1" applyAlignment="1">
      <alignment vertical="top" wrapText="1"/>
    </xf>
    <xf numFmtId="49" fontId="19" fillId="0" borderId="19" xfId="0" applyNumberFormat="1" applyFont="1" applyBorder="1" applyAlignment="1">
      <alignment vertical="top"/>
    </xf>
    <xf numFmtId="37" fontId="6" fillId="0" borderId="21" xfId="0" applyNumberFormat="1" applyFont="1" applyBorder="1" applyAlignment="1">
      <alignment vertical="top" wrapText="1"/>
    </xf>
    <xf numFmtId="0" fontId="19" fillId="0" borderId="23" xfId="0" applyFont="1" applyBorder="1" applyAlignment="1">
      <alignment vertical="top"/>
    </xf>
    <xf numFmtId="14" fontId="19" fillId="0" borderId="2" xfId="0" applyNumberFormat="1" applyFont="1" applyBorder="1" applyAlignment="1">
      <alignment vertical="top"/>
    </xf>
    <xf numFmtId="164" fontId="5" fillId="0" borderId="4" xfId="0" applyNumberFormat="1" applyFont="1" applyBorder="1" applyAlignment="1">
      <alignment vertical="top" wrapText="1"/>
    </xf>
    <xf numFmtId="0" fontId="19" fillId="0" borderId="2" xfId="0" applyFont="1" applyBorder="1" applyAlignment="1">
      <alignment vertical="top"/>
    </xf>
    <xf numFmtId="0" fontId="0" fillId="0" borderId="0" xfId="0" applyNumberFormat="1" applyFont="1" applyAlignment="1">
      <alignment vertical="top" wrapText="1"/>
    </xf>
    <xf numFmtId="49" fontId="22" fillId="6" borderId="4" xfId="0" applyNumberFormat="1" applyFont="1" applyFill="1" applyBorder="1" applyAlignment="1">
      <alignment vertical="top" wrapText="1"/>
    </xf>
    <xf numFmtId="49" fontId="23" fillId="0" borderId="4" xfId="0" applyNumberFormat="1" applyFont="1" applyBorder="1" applyAlignment="1">
      <alignment vertical="top" wrapText="1"/>
    </xf>
    <xf numFmtId="49" fontId="0" fillId="0" borderId="4" xfId="0" applyNumberFormat="1" applyFont="1" applyBorder="1" applyAlignment="1">
      <alignment vertical="top" wrapText="1"/>
    </xf>
    <xf numFmtId="3" fontId="23" fillId="0" borderId="4" xfId="0" applyNumberFormat="1" applyFont="1" applyBorder="1" applyAlignment="1">
      <alignment vertical="top" wrapText="1"/>
    </xf>
    <xf numFmtId="176" fontId="23" fillId="0" borderId="4" xfId="0" applyNumberFormat="1" applyFont="1" applyBorder="1" applyAlignment="1">
      <alignment vertical="top" wrapText="1"/>
    </xf>
    <xf numFmtId="10" fontId="23" fillId="0" borderId="5" xfId="0" applyNumberFormat="1" applyFont="1" applyBorder="1" applyAlignment="1">
      <alignment vertical="top" wrapText="1"/>
    </xf>
    <xf numFmtId="49" fontId="23" fillId="0" borderId="9" xfId="0" applyNumberFormat="1" applyFont="1" applyBorder="1" applyAlignment="1">
      <alignment vertical="top" wrapText="1"/>
    </xf>
    <xf numFmtId="10" fontId="14" fillId="5" borderId="10" xfId="0" applyNumberFormat="1" applyFont="1" applyFill="1" applyBorder="1" applyAlignment="1">
      <alignment horizontal="right" vertical="top" wrapText="1"/>
    </xf>
    <xf numFmtId="49" fontId="0" fillId="0" borderId="8" xfId="0" applyNumberFormat="1" applyFont="1" applyBorder="1" applyAlignment="1">
      <alignment vertical="top" wrapText="1"/>
    </xf>
    <xf numFmtId="2" fontId="14" fillId="5" borderId="10" xfId="0" applyNumberFormat="1" applyFont="1" applyFill="1" applyBorder="1" applyAlignment="1">
      <alignment horizontal="right" vertical="top" wrapText="1"/>
    </xf>
    <xf numFmtId="49" fontId="23" fillId="0" borderId="18" xfId="0" applyNumberFormat="1" applyFont="1" applyBorder="1" applyAlignment="1">
      <alignment vertical="top" wrapText="1"/>
    </xf>
    <xf numFmtId="176" fontId="23" fillId="0" borderId="5" xfId="0" applyNumberFormat="1" applyFont="1" applyBorder="1" applyAlignment="1">
      <alignment vertical="top" wrapText="1"/>
    </xf>
    <xf numFmtId="10" fontId="23" fillId="0" borderId="4" xfId="0" applyNumberFormat="1"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4" fillId="0" borderId="0" xfId="0" applyFont="1" applyAlignment="1">
      <alignment horizontal="left" vertical="center"/>
    </xf>
    <xf numFmtId="0" fontId="21" fillId="0" borderId="0" xfId="0" applyFont="1" applyAlignment="1">
      <alignment horizontal="left" vertical="center"/>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98185E"/>
      <rgbColor rgb="FFB41700"/>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showGridLines="0" workbookViewId="0"/>
  </sheetViews>
  <sheetFormatPr baseColWidth="10" defaultColWidth="10" defaultRowHeight="13" customHeight="1" x14ac:dyDescent="0.15"/>
  <cols>
    <col min="1" max="1" width="2" customWidth="1"/>
    <col min="2" max="4" width="33.6640625" customWidth="1"/>
  </cols>
  <sheetData>
    <row r="3" spans="2:4" ht="0" hidden="1" customHeight="1" x14ac:dyDescent="0.15">
      <c r="B3" s="201" t="s">
        <v>0</v>
      </c>
      <c r="C3" s="202"/>
      <c r="D3" s="202"/>
    </row>
    <row r="7" spans="2:4" ht="18" x14ac:dyDescent="0.15">
      <c r="B7" s="1" t="s">
        <v>1</v>
      </c>
      <c r="C7" s="1" t="s">
        <v>2</v>
      </c>
      <c r="D7" s="1" t="s">
        <v>3</v>
      </c>
    </row>
    <row r="9" spans="2:4" ht="16" x14ac:dyDescent="0.15">
      <c r="B9" s="2" t="s">
        <v>4</v>
      </c>
      <c r="C9" s="2"/>
      <c r="D9" s="2"/>
    </row>
    <row r="10" spans="2:4" ht="16" x14ac:dyDescent="0.15">
      <c r="B10" s="3"/>
      <c r="C10" s="3" t="s">
        <v>5</v>
      </c>
      <c r="D10" s="4" t="s">
        <v>6</v>
      </c>
    </row>
    <row r="11" spans="2:4" ht="16" x14ac:dyDescent="0.15">
      <c r="B11" s="2" t="s">
        <v>30</v>
      </c>
      <c r="C11" s="2"/>
      <c r="D11" s="2"/>
    </row>
    <row r="12" spans="2:4" ht="16" x14ac:dyDescent="0.15">
      <c r="B12" s="3"/>
      <c r="C12" s="3" t="s">
        <v>30</v>
      </c>
      <c r="D12" s="4" t="s">
        <v>70</v>
      </c>
    </row>
  </sheetData>
  <mergeCells count="1">
    <mergeCell ref="B3:D3"/>
  </mergeCells>
  <hyperlinks>
    <hyperlink ref="D10" location="'DCF - Apple DCF Valuation'!R2C1" display="DCF - Apple DCF Valuation"/>
    <hyperlink ref="D12" location="'WACC - WACC'!R2C1" display="WACC - WA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204"/>
  <sheetViews>
    <sheetView showGridLines="0" tabSelected="1" workbookViewId="0">
      <pane xSplit="2" topLeftCell="C1" activePane="topRight" state="frozen"/>
      <selection pane="topRight" sqref="A1:O1"/>
    </sheetView>
  </sheetViews>
  <sheetFormatPr baseColWidth="10" defaultColWidth="16.33203125" defaultRowHeight="20" customHeight="1" x14ac:dyDescent="0.15"/>
  <cols>
    <col min="1" max="1" width="2.5" style="5" customWidth="1"/>
    <col min="2" max="2" width="29.6640625" style="5" customWidth="1"/>
    <col min="3" max="15" width="16.33203125" style="5" customWidth="1"/>
    <col min="16" max="256" width="16.33203125" customWidth="1"/>
  </cols>
  <sheetData>
    <row r="1" spans="1:15" ht="29" customHeight="1" x14ac:dyDescent="0.15">
      <c r="A1" s="203" t="s">
        <v>5</v>
      </c>
      <c r="B1" s="203"/>
      <c r="C1" s="203"/>
      <c r="D1" s="203"/>
      <c r="E1" s="203"/>
      <c r="F1" s="203"/>
      <c r="G1" s="203"/>
      <c r="H1" s="203"/>
      <c r="I1" s="203"/>
      <c r="J1" s="203"/>
      <c r="K1" s="203"/>
      <c r="L1" s="203"/>
      <c r="M1" s="203"/>
      <c r="N1" s="203"/>
      <c r="O1" s="203"/>
    </row>
    <row r="2" spans="1:15" ht="21.5" customHeight="1" x14ac:dyDescent="0.15">
      <c r="A2" s="6"/>
      <c r="B2" s="7"/>
      <c r="C2" s="8"/>
      <c r="D2" s="9"/>
      <c r="E2" s="9"/>
      <c r="F2" s="10"/>
      <c r="G2" s="9"/>
      <c r="H2" s="9"/>
      <c r="I2" s="9"/>
      <c r="J2" s="9"/>
      <c r="K2" s="9"/>
      <c r="L2" s="9"/>
      <c r="M2" s="9"/>
      <c r="N2" s="9"/>
      <c r="O2" s="9"/>
    </row>
    <row r="3" spans="1:15" ht="22" customHeight="1" x14ac:dyDescent="0.15">
      <c r="A3" s="7"/>
      <c r="B3" s="11" t="s">
        <v>7</v>
      </c>
      <c r="C3" s="12" t="s">
        <v>8</v>
      </c>
      <c r="D3" s="13"/>
      <c r="E3" s="14" t="s">
        <v>9</v>
      </c>
      <c r="F3" s="15">
        <f ca="1">O203</f>
        <v>137.76729841843937</v>
      </c>
      <c r="G3" s="13"/>
      <c r="H3" s="9"/>
      <c r="I3" s="10"/>
      <c r="J3" s="9"/>
      <c r="K3" s="9"/>
      <c r="L3" s="9"/>
      <c r="M3" s="9"/>
      <c r="N3" s="9"/>
      <c r="O3" s="9"/>
    </row>
    <row r="4" spans="1:15" ht="22" customHeight="1" x14ac:dyDescent="0.15">
      <c r="A4" s="7"/>
      <c r="B4" s="11" t="s">
        <v>10</v>
      </c>
      <c r="C4" s="16">
        <v>43343</v>
      </c>
      <c r="D4" s="13"/>
      <c r="E4" s="14" t="s">
        <v>11</v>
      </c>
      <c r="F4" s="17">
        <v>155.81</v>
      </c>
      <c r="G4" s="13"/>
      <c r="H4" s="14" t="s">
        <v>12</v>
      </c>
      <c r="I4" s="18">
        <f ca="1">F3/F4-1</f>
        <v>-0.11579938117938926</v>
      </c>
      <c r="J4" s="13"/>
      <c r="K4" s="9"/>
      <c r="L4" s="9"/>
      <c r="M4" s="9"/>
      <c r="N4" s="9"/>
      <c r="O4" s="9"/>
    </row>
    <row r="5" spans="1:15" ht="21.5" customHeight="1" x14ac:dyDescent="0.15">
      <c r="A5" s="7"/>
      <c r="B5" s="7"/>
      <c r="C5" s="19"/>
      <c r="D5" s="9"/>
      <c r="E5" s="9"/>
      <c r="F5" s="20"/>
      <c r="G5" s="9"/>
      <c r="H5" s="9"/>
      <c r="I5" s="20"/>
      <c r="J5" s="9"/>
      <c r="K5" s="9"/>
      <c r="L5" s="9"/>
      <c r="M5" s="9"/>
      <c r="N5" s="9"/>
      <c r="O5" s="9"/>
    </row>
    <row r="6" spans="1:15" ht="21" customHeight="1" x14ac:dyDescent="0.15">
      <c r="A6" s="21"/>
      <c r="B6" s="22" t="s">
        <v>13</v>
      </c>
      <c r="C6" s="23"/>
      <c r="D6" s="24"/>
      <c r="E6" s="24"/>
      <c r="F6" s="24"/>
      <c r="G6" s="24"/>
      <c r="H6" s="24"/>
      <c r="I6" s="24"/>
      <c r="J6" s="24"/>
      <c r="K6" s="24"/>
      <c r="L6" s="24"/>
      <c r="M6" s="24"/>
      <c r="N6" s="24"/>
      <c r="O6" s="24"/>
    </row>
    <row r="7" spans="1:15" ht="21.5" customHeight="1" x14ac:dyDescent="0.15">
      <c r="A7" s="7"/>
      <c r="B7" s="25" t="s">
        <v>14</v>
      </c>
      <c r="C7" s="26"/>
      <c r="D7" s="27"/>
      <c r="E7" s="28" t="s">
        <v>15</v>
      </c>
      <c r="F7" s="27"/>
      <c r="G7" s="28" t="s">
        <v>16</v>
      </c>
      <c r="H7" s="29"/>
      <c r="I7" s="28" t="s">
        <v>17</v>
      </c>
      <c r="J7" s="29"/>
      <c r="K7" s="29"/>
      <c r="L7" s="27"/>
      <c r="M7" s="27"/>
      <c r="N7" s="27"/>
      <c r="O7" s="27"/>
    </row>
    <row r="8" spans="1:15" ht="22" customHeight="1" x14ac:dyDescent="0.15">
      <c r="A8" s="7"/>
      <c r="B8" s="30" t="s">
        <v>18</v>
      </c>
      <c r="C8" s="31">
        <v>2</v>
      </c>
      <c r="D8" s="32"/>
      <c r="E8" s="33">
        <v>0.8</v>
      </c>
      <c r="F8" s="32"/>
      <c r="G8" s="34">
        <f ca="1">AVERAGE(E29:L29)</f>
        <v>1.4312030711769948E-2</v>
      </c>
      <c r="H8" s="35"/>
      <c r="I8" s="36">
        <v>1.2</v>
      </c>
      <c r="J8" s="13"/>
      <c r="K8" s="29"/>
      <c r="L8" s="9"/>
      <c r="M8" s="9"/>
      <c r="N8" s="9"/>
      <c r="O8" s="9"/>
    </row>
    <row r="9" spans="1:15" ht="22" customHeight="1" x14ac:dyDescent="0.15">
      <c r="A9" s="7"/>
      <c r="B9" s="30" t="s">
        <v>19</v>
      </c>
      <c r="C9" s="31">
        <v>2</v>
      </c>
      <c r="D9" s="32"/>
      <c r="E9" s="33">
        <v>0.85</v>
      </c>
      <c r="F9" s="32"/>
      <c r="G9" s="36">
        <v>0.03</v>
      </c>
      <c r="H9" s="35"/>
      <c r="I9" s="37">
        <v>1.1499999999999999</v>
      </c>
      <c r="J9" s="13"/>
      <c r="K9" s="29"/>
      <c r="L9" s="9"/>
      <c r="M9" s="9"/>
      <c r="N9" s="9"/>
      <c r="O9" s="9"/>
    </row>
    <row r="10" spans="1:15" ht="22" customHeight="1" x14ac:dyDescent="0.15">
      <c r="A10" s="7"/>
      <c r="B10" s="30" t="s">
        <v>20</v>
      </c>
      <c r="C10" s="31">
        <v>2</v>
      </c>
      <c r="D10" s="32"/>
      <c r="E10" s="33">
        <v>1.2</v>
      </c>
      <c r="F10" s="32"/>
      <c r="G10" s="36">
        <v>-0.03</v>
      </c>
      <c r="H10" s="35"/>
      <c r="I10" s="36">
        <v>0.8</v>
      </c>
      <c r="J10" s="13"/>
      <c r="K10" s="29"/>
      <c r="L10" s="9"/>
      <c r="M10" s="9"/>
      <c r="N10" s="9"/>
      <c r="O10" s="9"/>
    </row>
    <row r="11" spans="1:15" ht="22" customHeight="1" x14ac:dyDescent="0.15">
      <c r="A11" s="7"/>
      <c r="B11" s="30" t="s">
        <v>21</v>
      </c>
      <c r="C11" s="31">
        <v>2</v>
      </c>
      <c r="D11" s="32"/>
      <c r="E11" s="33">
        <v>0.9</v>
      </c>
      <c r="F11" s="32"/>
      <c r="G11" s="36">
        <v>0.05</v>
      </c>
      <c r="H11" s="35"/>
      <c r="I11" s="36">
        <v>1.1000000000000001</v>
      </c>
      <c r="J11" s="13"/>
      <c r="K11" s="29"/>
      <c r="L11" s="9"/>
      <c r="M11" s="9"/>
      <c r="N11" s="9"/>
      <c r="O11" s="9"/>
    </row>
    <row r="12" spans="1:15" ht="22" customHeight="1" x14ac:dyDescent="0.15">
      <c r="A12" s="7"/>
      <c r="B12" s="30" t="s">
        <v>22</v>
      </c>
      <c r="C12" s="31">
        <v>2</v>
      </c>
      <c r="D12" s="32"/>
      <c r="E12" s="33">
        <v>0.9</v>
      </c>
      <c r="F12" s="32"/>
      <c r="G12" s="36">
        <v>0.05</v>
      </c>
      <c r="H12" s="35"/>
      <c r="I12" s="36">
        <v>1.1000000000000001</v>
      </c>
      <c r="J12" s="13"/>
      <c r="K12" s="29"/>
      <c r="L12" s="9"/>
      <c r="M12" s="9"/>
      <c r="N12" s="9"/>
      <c r="O12" s="9"/>
    </row>
    <row r="13" spans="1:15" ht="22" customHeight="1" x14ac:dyDescent="0.15">
      <c r="A13" s="7"/>
      <c r="B13" s="30" t="s">
        <v>23</v>
      </c>
      <c r="C13" s="31">
        <v>2</v>
      </c>
      <c r="D13" s="32"/>
      <c r="E13" s="33">
        <v>1.1000000000000001</v>
      </c>
      <c r="F13" s="32"/>
      <c r="G13" s="36">
        <v>0.02</v>
      </c>
      <c r="H13" s="35"/>
      <c r="I13" s="36">
        <v>0.9</v>
      </c>
      <c r="J13" s="13"/>
      <c r="K13" s="29"/>
      <c r="L13" s="9"/>
      <c r="M13" s="9"/>
      <c r="N13" s="9"/>
      <c r="O13" s="9"/>
    </row>
    <row r="14" spans="1:15" ht="22" customHeight="1" x14ac:dyDescent="0.15">
      <c r="A14" s="7"/>
      <c r="B14" s="30" t="s">
        <v>24</v>
      </c>
      <c r="C14" s="31">
        <v>2</v>
      </c>
      <c r="D14" s="32"/>
      <c r="E14" s="33">
        <v>0.8</v>
      </c>
      <c r="F14" s="32"/>
      <c r="G14" s="36">
        <v>0.12</v>
      </c>
      <c r="H14" s="35"/>
      <c r="I14" s="36">
        <v>1.2</v>
      </c>
      <c r="J14" s="13"/>
      <c r="K14" s="29"/>
      <c r="L14" s="9"/>
      <c r="M14" s="9"/>
      <c r="N14" s="9"/>
      <c r="O14" s="9"/>
    </row>
    <row r="15" spans="1:15" ht="22" customHeight="1" x14ac:dyDescent="0.15">
      <c r="A15" s="7"/>
      <c r="B15" s="30" t="s">
        <v>25</v>
      </c>
      <c r="C15" s="31">
        <v>2</v>
      </c>
      <c r="D15" s="32"/>
      <c r="E15" s="33">
        <v>0.9</v>
      </c>
      <c r="F15" s="32"/>
      <c r="G15" s="36">
        <v>0.05</v>
      </c>
      <c r="H15" s="35"/>
      <c r="I15" s="36">
        <v>1.1000000000000001</v>
      </c>
      <c r="J15" s="13"/>
      <c r="K15" s="29"/>
      <c r="L15" s="9"/>
      <c r="M15" s="9"/>
      <c r="N15" s="9"/>
      <c r="O15" s="9"/>
    </row>
    <row r="16" spans="1:15" ht="22" customHeight="1" x14ac:dyDescent="0.15">
      <c r="A16" s="7"/>
      <c r="B16" s="30" t="s">
        <v>26</v>
      </c>
      <c r="C16" s="31">
        <v>2</v>
      </c>
      <c r="D16" s="32"/>
      <c r="E16" s="33">
        <v>0.9</v>
      </c>
      <c r="F16" s="32"/>
      <c r="G16" s="36">
        <v>0.125</v>
      </c>
      <c r="H16" s="35"/>
      <c r="I16" s="36">
        <v>1.1000000000000001</v>
      </c>
      <c r="J16" s="13"/>
      <c r="K16" s="29"/>
      <c r="L16" s="9"/>
      <c r="M16" s="9"/>
      <c r="N16" s="9"/>
      <c r="O16" s="9"/>
    </row>
    <row r="17" spans="1:15" ht="22" customHeight="1" x14ac:dyDescent="0.15">
      <c r="A17" s="7"/>
      <c r="B17" s="30" t="s">
        <v>27</v>
      </c>
      <c r="C17" s="31">
        <v>2</v>
      </c>
      <c r="D17" s="32"/>
      <c r="E17" s="33">
        <v>1.1000000000000001</v>
      </c>
      <c r="F17" s="32"/>
      <c r="G17" s="36">
        <v>-0.02</v>
      </c>
      <c r="H17" s="35"/>
      <c r="I17" s="36">
        <v>0.9</v>
      </c>
      <c r="J17" s="13"/>
      <c r="K17" s="29"/>
      <c r="L17" s="9"/>
      <c r="M17" s="9"/>
      <c r="N17" s="9"/>
      <c r="O17" s="9"/>
    </row>
    <row r="18" spans="1:15" ht="22" customHeight="1" x14ac:dyDescent="0.15">
      <c r="A18" s="7"/>
      <c r="B18" s="7"/>
      <c r="C18" s="38"/>
      <c r="D18" s="9"/>
      <c r="E18" s="39"/>
      <c r="F18" s="9"/>
      <c r="G18" s="39"/>
      <c r="H18" s="9"/>
      <c r="I18" s="39"/>
      <c r="J18" s="9"/>
      <c r="K18" s="29"/>
      <c r="L18" s="29"/>
      <c r="M18" s="29"/>
      <c r="N18" s="29"/>
      <c r="O18" s="29"/>
    </row>
    <row r="19" spans="1:15" ht="22" customHeight="1" x14ac:dyDescent="0.15">
      <c r="A19" s="7"/>
      <c r="B19" s="11" t="s">
        <v>28</v>
      </c>
      <c r="C19" s="31">
        <v>2</v>
      </c>
      <c r="D19" s="32"/>
      <c r="E19" s="40">
        <v>0.9</v>
      </c>
      <c r="F19" s="32"/>
      <c r="G19" s="41">
        <v>0.28000000000000003</v>
      </c>
      <c r="H19" s="32"/>
      <c r="I19" s="40">
        <v>1.1000000000000001</v>
      </c>
      <c r="J19" s="13"/>
      <c r="K19" s="42" t="s">
        <v>29</v>
      </c>
      <c r="L19" s="9"/>
      <c r="M19" s="9"/>
      <c r="N19" s="9"/>
      <c r="O19" s="9"/>
    </row>
    <row r="20" spans="1:15" ht="22" customHeight="1" x14ac:dyDescent="0.15">
      <c r="A20" s="7"/>
      <c r="B20" s="11" t="s">
        <v>30</v>
      </c>
      <c r="C20" s="31">
        <v>2</v>
      </c>
      <c r="D20" s="32"/>
      <c r="E20" s="36">
        <f>G20+K20</f>
        <v>9.1778558624299428E-2</v>
      </c>
      <c r="F20" s="32"/>
      <c r="G20" s="41">
        <f>'WACC - WACC'!B18</f>
        <v>8.6778558624299423E-2</v>
      </c>
      <c r="H20" s="32"/>
      <c r="I20" s="34">
        <f>G20-(K20)</f>
        <v>8.1778558624299419E-2</v>
      </c>
      <c r="J20" s="32"/>
      <c r="K20" s="43">
        <v>5.0000000000000001E-3</v>
      </c>
      <c r="L20" s="13"/>
      <c r="M20" s="9"/>
      <c r="N20" s="9"/>
      <c r="O20" s="9"/>
    </row>
    <row r="21" spans="1:15" ht="22" customHeight="1" x14ac:dyDescent="0.15">
      <c r="A21" s="7"/>
      <c r="B21" s="11" t="s">
        <v>31</v>
      </c>
      <c r="C21" s="31">
        <v>2</v>
      </c>
      <c r="D21" s="32"/>
      <c r="E21" s="36">
        <f>G21-K21</f>
        <v>0.02</v>
      </c>
      <c r="F21" s="32"/>
      <c r="G21" s="44">
        <v>2.5000000000000001E-2</v>
      </c>
      <c r="H21" s="32"/>
      <c r="I21" s="34">
        <f>G21+K21</f>
        <v>3.0000000000000002E-2</v>
      </c>
      <c r="J21" s="32"/>
      <c r="K21" s="43">
        <v>5.0000000000000001E-3</v>
      </c>
      <c r="L21" s="13"/>
      <c r="M21" s="9"/>
      <c r="N21" s="9"/>
      <c r="O21" s="9"/>
    </row>
    <row r="22" spans="1:15" ht="22" customHeight="1" x14ac:dyDescent="0.15">
      <c r="A22" s="7"/>
      <c r="B22" s="7"/>
      <c r="C22" s="38"/>
      <c r="D22" s="9"/>
      <c r="E22" s="45"/>
      <c r="F22" s="9"/>
      <c r="G22" s="45"/>
      <c r="H22" s="9"/>
      <c r="I22" s="45"/>
      <c r="J22" s="9"/>
      <c r="K22" s="45"/>
      <c r="L22" s="9"/>
      <c r="M22" s="9"/>
      <c r="N22" s="9"/>
      <c r="O22" s="9"/>
    </row>
    <row r="23" spans="1:15" ht="22" customHeight="1" x14ac:dyDescent="0.15">
      <c r="A23" s="7"/>
      <c r="B23" s="11" t="s">
        <v>30</v>
      </c>
      <c r="C23" s="41">
        <f>CHOOSE(C20,E20,G20,I20)</f>
        <v>8.6778558624299423E-2</v>
      </c>
      <c r="D23" s="13"/>
      <c r="E23" s="9"/>
      <c r="F23" s="9"/>
      <c r="G23" s="9"/>
      <c r="H23" s="9"/>
      <c r="I23" s="9"/>
      <c r="J23" s="9"/>
      <c r="K23" s="9"/>
      <c r="L23" s="9"/>
      <c r="M23" s="9"/>
      <c r="N23" s="9"/>
      <c r="O23" s="9"/>
    </row>
    <row r="24" spans="1:15" ht="22" customHeight="1" x14ac:dyDescent="0.15">
      <c r="A24" s="7"/>
      <c r="B24" s="11" t="s">
        <v>31</v>
      </c>
      <c r="C24" s="44">
        <f>CHOOSE(C21,E21,G21,I21)</f>
        <v>2.5000000000000001E-2</v>
      </c>
      <c r="D24" s="13"/>
      <c r="E24" s="9"/>
      <c r="F24" s="9"/>
      <c r="G24" s="9"/>
      <c r="H24" s="9"/>
      <c r="I24" s="9"/>
      <c r="J24" s="9"/>
      <c r="K24" s="9"/>
      <c r="L24" s="9"/>
      <c r="M24" s="9"/>
      <c r="N24" s="9"/>
      <c r="O24" s="9"/>
    </row>
    <row r="25" spans="1:15" ht="21.5" customHeight="1" x14ac:dyDescent="0.15">
      <c r="A25" s="7"/>
      <c r="B25" s="7"/>
      <c r="C25" s="19"/>
      <c r="D25" s="9"/>
      <c r="E25" s="9"/>
      <c r="F25" s="9"/>
      <c r="G25" s="9"/>
      <c r="H25" s="9"/>
      <c r="I25" s="9"/>
      <c r="J25" s="9"/>
      <c r="K25" s="9"/>
      <c r="L25" s="9"/>
      <c r="M25" s="9"/>
      <c r="N25" s="9"/>
      <c r="O25" s="9"/>
    </row>
    <row r="26" spans="1:15" ht="21" customHeight="1" x14ac:dyDescent="0.15">
      <c r="A26" s="7"/>
      <c r="B26" s="46" t="s">
        <v>32</v>
      </c>
      <c r="C26" s="47"/>
      <c r="D26" s="48">
        <v>2015</v>
      </c>
      <c r="E26" s="48">
        <v>2016</v>
      </c>
      <c r="F26" s="48">
        <v>2017</v>
      </c>
      <c r="G26" s="48">
        <v>2018</v>
      </c>
      <c r="H26" s="48">
        <v>2019</v>
      </c>
      <c r="I26" s="48">
        <v>2020</v>
      </c>
      <c r="J26" s="48">
        <v>2021</v>
      </c>
      <c r="K26" s="48">
        <v>2022</v>
      </c>
      <c r="L26" s="48">
        <v>2023</v>
      </c>
      <c r="M26" s="48">
        <v>2024</v>
      </c>
      <c r="N26" s="48">
        <v>2025</v>
      </c>
      <c r="O26" s="48">
        <v>2026</v>
      </c>
    </row>
    <row r="27" spans="1:15" ht="21" customHeight="1" x14ac:dyDescent="0.15">
      <c r="A27" s="7"/>
      <c r="B27" s="25" t="s">
        <v>33</v>
      </c>
      <c r="C27" s="49"/>
      <c r="D27" s="9"/>
      <c r="E27" s="9"/>
      <c r="F27" s="9"/>
      <c r="G27" s="9"/>
      <c r="H27" s="9"/>
      <c r="I27" s="9"/>
      <c r="J27" s="9"/>
      <c r="K27" s="9"/>
      <c r="L27" s="9"/>
      <c r="M27" s="9"/>
      <c r="N27" s="9"/>
      <c r="O27" s="9"/>
    </row>
    <row r="28" spans="1:15" ht="21" customHeight="1" x14ac:dyDescent="0.15">
      <c r="A28" s="7"/>
      <c r="B28" s="50" t="s">
        <v>34</v>
      </c>
      <c r="C28" s="49"/>
      <c r="D28" s="51">
        <v>231.21799999999999</v>
      </c>
      <c r="E28" s="51">
        <v>211.88399999999999</v>
      </c>
      <c r="F28" s="51">
        <v>216.756</v>
      </c>
      <c r="G28" s="51">
        <v>217.7</v>
      </c>
      <c r="H28" s="51">
        <v>187.2</v>
      </c>
      <c r="I28" s="51">
        <v>196.9</v>
      </c>
      <c r="J28" s="51">
        <v>242</v>
      </c>
      <c r="K28" s="52">
        <f ca="1">J28*(1+K29)</f>
        <v>246.84</v>
      </c>
      <c r="L28" s="52">
        <f ca="1">K28*(1+L29)</f>
        <v>249.30840000000001</v>
      </c>
      <c r="M28" s="52">
        <f ca="1">L28*(1+M29)</f>
        <v>252.15982582583405</v>
      </c>
      <c r="N28" s="52">
        <f ca="1">M28*(1+N29)</f>
        <v>255.40630469291611</v>
      </c>
      <c r="O28" s="52">
        <f ca="1">N28*(1+O29)</f>
        <v>259.06168756966076</v>
      </c>
    </row>
    <row r="29" spans="1:15" ht="21.5" customHeight="1" x14ac:dyDescent="0.15">
      <c r="A29" s="53"/>
      <c r="B29" s="54" t="s">
        <v>35</v>
      </c>
      <c r="C29" s="55"/>
      <c r="D29" s="56"/>
      <c r="E29" s="57">
        <f t="shared" ref="E29:J29" si="0">E28/D28-1</f>
        <v>-8.361805741767514E-2</v>
      </c>
      <c r="F29" s="57">
        <f t="shared" si="0"/>
        <v>2.2993713541371807E-2</v>
      </c>
      <c r="G29" s="57">
        <f t="shared" si="0"/>
        <v>4.3551274243849303E-3</v>
      </c>
      <c r="H29" s="57">
        <f t="shared" si="0"/>
        <v>-0.14010105649977034</v>
      </c>
      <c r="I29" s="57">
        <f t="shared" si="0"/>
        <v>5.1816239316239354E-2</v>
      </c>
      <c r="J29" s="57">
        <f t="shared" si="0"/>
        <v>0.22905027932960897</v>
      </c>
      <c r="K29" s="58">
        <f ca="1">OFFSET(K29,$C$8,0)</f>
        <v>0.02</v>
      </c>
      <c r="L29" s="58">
        <f ca="1">OFFSET(L29,$C$8,0)</f>
        <v>0.01</v>
      </c>
      <c r="M29" s="59">
        <f ca="1">OFFSET(M29,$C$8,0)</f>
        <v>1.1437343570589982E-2</v>
      </c>
      <c r="N29" s="59">
        <f ca="1">OFFSET(N29,$C$8,0)</f>
        <v>1.2874687141179966E-2</v>
      </c>
      <c r="O29" s="59">
        <f ca="1">OFFSET(O29,$C$8,0)</f>
        <v>1.4312030711769948E-2</v>
      </c>
    </row>
    <row r="30" spans="1:15" ht="23" customHeight="1" x14ac:dyDescent="0.15">
      <c r="A30" s="7"/>
      <c r="B30" s="50" t="s">
        <v>36</v>
      </c>
      <c r="C30" s="49"/>
      <c r="D30" s="60"/>
      <c r="E30" s="60"/>
      <c r="F30" s="60"/>
      <c r="G30" s="60"/>
      <c r="H30" s="60"/>
      <c r="I30" s="60"/>
      <c r="J30" s="61"/>
      <c r="K30" s="62">
        <v>0.02</v>
      </c>
      <c r="L30" s="62">
        <v>0.01</v>
      </c>
      <c r="M30" s="63">
        <f ca="1">M31*E8</f>
        <v>9.1498748564719859E-3</v>
      </c>
      <c r="N30" s="63">
        <f ca="1">N31*E8</f>
        <v>1.0299749712943973E-2</v>
      </c>
      <c r="O30" s="63">
        <f ca="1">O31*E8</f>
        <v>1.1449624569415959E-2</v>
      </c>
    </row>
    <row r="31" spans="1:15" ht="23" customHeight="1" x14ac:dyDescent="0.15">
      <c r="A31" s="7"/>
      <c r="B31" s="50" t="s">
        <v>37</v>
      </c>
      <c r="C31" s="49"/>
      <c r="D31" s="60"/>
      <c r="E31" s="60"/>
      <c r="F31" s="60"/>
      <c r="G31" s="60"/>
      <c r="H31" s="60"/>
      <c r="I31" s="60"/>
      <c r="J31" s="61"/>
      <c r="K31" s="64">
        <v>0.02</v>
      </c>
      <c r="L31" s="64">
        <v>0.01</v>
      </c>
      <c r="M31" s="63">
        <f ca="1">L31-(L31-$O$31)/($O$26-L26)</f>
        <v>1.1437343570589982E-2</v>
      </c>
      <c r="N31" s="63">
        <f ca="1">M31-(M31-$O$31)/($O$26-M26)</f>
        <v>1.2874687141179966E-2</v>
      </c>
      <c r="O31" s="63">
        <f ca="1">G8</f>
        <v>1.4312030711769948E-2</v>
      </c>
    </row>
    <row r="32" spans="1:15" ht="23" customHeight="1" x14ac:dyDescent="0.15">
      <c r="A32" s="7"/>
      <c r="B32" s="50" t="s">
        <v>38</v>
      </c>
      <c r="C32" s="49"/>
      <c r="D32" s="60"/>
      <c r="E32" s="60"/>
      <c r="F32" s="60"/>
      <c r="G32" s="60"/>
      <c r="H32" s="60"/>
      <c r="I32" s="60"/>
      <c r="J32" s="61"/>
      <c r="K32" s="62">
        <v>0.02</v>
      </c>
      <c r="L32" s="62">
        <v>0.01</v>
      </c>
      <c r="M32" s="63">
        <f ca="1">M31*I8</f>
        <v>1.3724812284707979E-2</v>
      </c>
      <c r="N32" s="63">
        <f ca="1">N31*I8</f>
        <v>1.5449624569415959E-2</v>
      </c>
      <c r="O32" s="63">
        <f ca="1">O31*I8</f>
        <v>1.7174436854123936E-2</v>
      </c>
    </row>
    <row r="33" spans="1:15" ht="21.5" customHeight="1" x14ac:dyDescent="0.15">
      <c r="A33" s="7"/>
      <c r="B33" s="65"/>
      <c r="C33" s="49"/>
      <c r="D33" s="60"/>
      <c r="E33" s="60"/>
      <c r="F33" s="60"/>
      <c r="G33" s="60"/>
      <c r="H33" s="60"/>
      <c r="I33" s="60"/>
      <c r="J33" s="60"/>
      <c r="K33" s="45"/>
      <c r="L33" s="45"/>
      <c r="M33" s="45"/>
      <c r="N33" s="45"/>
      <c r="O33" s="45"/>
    </row>
    <row r="34" spans="1:15" ht="21" customHeight="1" x14ac:dyDescent="0.15">
      <c r="A34" s="7"/>
      <c r="B34" s="66" t="s">
        <v>39</v>
      </c>
      <c r="C34" s="49"/>
      <c r="D34" s="60">
        <f t="shared" ref="D34:J34" si="1">D40/D28</f>
        <v>670.54035585464806</v>
      </c>
      <c r="E34" s="60">
        <f t="shared" si="1"/>
        <v>645.16433520228054</v>
      </c>
      <c r="F34" s="60">
        <f t="shared" si="1"/>
        <v>642.82880289357615</v>
      </c>
      <c r="G34" s="60">
        <f t="shared" si="1"/>
        <v>757.40927882406982</v>
      </c>
      <c r="H34" s="60">
        <f t="shared" si="1"/>
        <v>760.58226495726501</v>
      </c>
      <c r="I34" s="60">
        <f t="shared" si="1"/>
        <v>699.75114271203654</v>
      </c>
      <c r="J34" s="60">
        <f t="shared" si="1"/>
        <v>793.27685950413218</v>
      </c>
      <c r="K34" s="60">
        <f ca="1">J34*(1+K35)</f>
        <v>825.00793388429747</v>
      </c>
      <c r="L34" s="60">
        <f ca="1">K34*(1+L35)</f>
        <v>825.00793388429747</v>
      </c>
      <c r="M34" s="60">
        <f ca="1">L34*(1+M35)</f>
        <v>833.25801322314044</v>
      </c>
      <c r="N34" s="60">
        <f ca="1">M34*(1+N35)</f>
        <v>849.92317348760321</v>
      </c>
      <c r="O34" s="60">
        <f ca="1">N34*(1+O35)</f>
        <v>875.42086869223135</v>
      </c>
    </row>
    <row r="35" spans="1:15" ht="21.5" customHeight="1" x14ac:dyDescent="0.15">
      <c r="A35" s="53"/>
      <c r="B35" s="54" t="s">
        <v>35</v>
      </c>
      <c r="C35" s="55"/>
      <c r="D35" s="56"/>
      <c r="E35" s="57">
        <f t="shared" ref="E35:J35" si="2">E34/D34-1</f>
        <v>-3.7844136345864032E-2</v>
      </c>
      <c r="F35" s="57">
        <f t="shared" si="2"/>
        <v>-3.6200579933981514E-3</v>
      </c>
      <c r="G35" s="57">
        <f t="shared" si="2"/>
        <v>0.17824415367626756</v>
      </c>
      <c r="H35" s="57">
        <f t="shared" si="2"/>
        <v>4.1892622943853208E-3</v>
      </c>
      <c r="I35" s="57">
        <f t="shared" si="2"/>
        <v>-7.9979674846410442E-2</v>
      </c>
      <c r="J35" s="57">
        <f t="shared" si="2"/>
        <v>0.13365568283263762</v>
      </c>
      <c r="K35" s="59">
        <f ca="1">OFFSET(K35,$C$9,0)</f>
        <v>0.04</v>
      </c>
      <c r="L35" s="59">
        <f ca="1">OFFSET(L35,$C$9,0)</f>
        <v>0</v>
      </c>
      <c r="M35" s="59">
        <f ca="1">OFFSET(M35,$C$9,0)</f>
        <v>0.01</v>
      </c>
      <c r="N35" s="59">
        <f ca="1">OFFSET(N35,$C$9,0)</f>
        <v>1.9999999999999997E-2</v>
      </c>
      <c r="O35" s="59">
        <f ca="1">OFFSET(O35,$C$9,0)</f>
        <v>0.03</v>
      </c>
    </row>
    <row r="36" spans="1:15" ht="23" customHeight="1" x14ac:dyDescent="0.15">
      <c r="A36" s="7"/>
      <c r="B36" s="50" t="s">
        <v>36</v>
      </c>
      <c r="C36" s="49"/>
      <c r="D36" s="60"/>
      <c r="E36" s="60"/>
      <c r="F36" s="60"/>
      <c r="G36" s="60"/>
      <c r="H36" s="60"/>
      <c r="I36" s="60"/>
      <c r="J36" s="61"/>
      <c r="K36" s="62">
        <f>K37</f>
        <v>0.04</v>
      </c>
      <c r="L36" s="62">
        <f>L37</f>
        <v>0</v>
      </c>
      <c r="M36" s="67">
        <f>M37*$E$9</f>
        <v>8.5000000000000006E-3</v>
      </c>
      <c r="N36" s="67">
        <f>N37*$E$9</f>
        <v>1.6999999999999998E-2</v>
      </c>
      <c r="O36" s="67">
        <f>O37*$E$9</f>
        <v>2.5499999999999998E-2</v>
      </c>
    </row>
    <row r="37" spans="1:15" ht="23" customHeight="1" x14ac:dyDescent="0.15">
      <c r="A37" s="7"/>
      <c r="B37" s="50" t="s">
        <v>37</v>
      </c>
      <c r="C37" s="49"/>
      <c r="D37" s="60"/>
      <c r="E37" s="60"/>
      <c r="F37" s="60"/>
      <c r="G37" s="60"/>
      <c r="H37" s="60"/>
      <c r="I37" s="60"/>
      <c r="J37" s="61"/>
      <c r="K37" s="64">
        <v>0.04</v>
      </c>
      <c r="L37" s="64">
        <v>0</v>
      </c>
      <c r="M37" s="67">
        <f>L37-(L37-$O$37)/($O$26-L26)</f>
        <v>0.01</v>
      </c>
      <c r="N37" s="67">
        <f>M37-(M37-$O$37)/($O$26-M26)</f>
        <v>1.9999999999999997E-2</v>
      </c>
      <c r="O37" s="67">
        <f>G9</f>
        <v>0.03</v>
      </c>
    </row>
    <row r="38" spans="1:15" ht="23" customHeight="1" x14ac:dyDescent="0.15">
      <c r="A38" s="7"/>
      <c r="B38" s="50" t="s">
        <v>38</v>
      </c>
      <c r="C38" s="49"/>
      <c r="D38" s="60"/>
      <c r="E38" s="60"/>
      <c r="F38" s="60"/>
      <c r="G38" s="60"/>
      <c r="H38" s="60"/>
      <c r="I38" s="60"/>
      <c r="J38" s="61"/>
      <c r="K38" s="62">
        <f>K37</f>
        <v>0.04</v>
      </c>
      <c r="L38" s="62">
        <f>L37</f>
        <v>0</v>
      </c>
      <c r="M38" s="67">
        <f>M37*$I$9</f>
        <v>1.15E-2</v>
      </c>
      <c r="N38" s="67">
        <f>N37*$I$9</f>
        <v>2.2999999999999996E-2</v>
      </c>
      <c r="O38" s="67">
        <f>O37*$I$9</f>
        <v>3.4499999999999996E-2</v>
      </c>
    </row>
    <row r="39" spans="1:15" ht="20.75" customHeight="1" x14ac:dyDescent="0.15">
      <c r="A39" s="68"/>
      <c r="B39" s="69"/>
      <c r="C39" s="70"/>
      <c r="D39" s="71"/>
      <c r="E39" s="71"/>
      <c r="F39" s="71"/>
      <c r="G39" s="71"/>
      <c r="H39" s="71"/>
      <c r="I39" s="71"/>
      <c r="J39" s="71"/>
      <c r="K39" s="72"/>
      <c r="L39" s="72"/>
      <c r="M39" s="72"/>
      <c r="N39" s="72"/>
      <c r="O39" s="72"/>
    </row>
    <row r="40" spans="1:15" ht="21.5" customHeight="1" x14ac:dyDescent="0.15">
      <c r="A40" s="7"/>
      <c r="B40" s="73" t="s">
        <v>40</v>
      </c>
      <c r="C40" s="74"/>
      <c r="D40" s="75">
        <v>155041</v>
      </c>
      <c r="E40" s="75">
        <v>136700</v>
      </c>
      <c r="F40" s="75">
        <v>139337</v>
      </c>
      <c r="G40" s="75">
        <v>164888</v>
      </c>
      <c r="H40" s="75">
        <v>142381</v>
      </c>
      <c r="I40" s="75">
        <v>137781</v>
      </c>
      <c r="J40" s="75">
        <v>191973</v>
      </c>
      <c r="K40" s="76">
        <f ca="1">K28*K34</f>
        <v>203644.9584</v>
      </c>
      <c r="L40" s="76">
        <f ca="1">L28*L34</f>
        <v>205681.40798399999</v>
      </c>
      <c r="M40" s="76">
        <f ca="1">M28*M34</f>
        <v>210114.1954823276</v>
      </c>
      <c r="N40" s="76">
        <f ca="1">N28*N34</f>
        <v>217075.73701334497</v>
      </c>
      <c r="O40" s="76">
        <f ca="1">O28*O34</f>
        <v>226788.00757710787</v>
      </c>
    </row>
    <row r="41" spans="1:15" ht="21.5" customHeight="1" x14ac:dyDescent="0.15">
      <c r="A41" s="53"/>
      <c r="B41" s="77" t="s">
        <v>35</v>
      </c>
      <c r="C41" s="78"/>
      <c r="D41" s="79"/>
      <c r="E41" s="79">
        <f t="shared" ref="E41:O41" si="3">E40/D40-1</f>
        <v>-0.11829774059764842</v>
      </c>
      <c r="F41" s="79">
        <f t="shared" si="3"/>
        <v>1.929041697147027E-2</v>
      </c>
      <c r="G41" s="79">
        <f t="shared" si="3"/>
        <v>0.18337555710256437</v>
      </c>
      <c r="H41" s="79">
        <f t="shared" si="3"/>
        <v>-0.13649871427878313</v>
      </c>
      <c r="I41" s="79">
        <f t="shared" si="3"/>
        <v>-3.2307681502447672E-2</v>
      </c>
      <c r="J41" s="79">
        <f t="shared" si="3"/>
        <v>0.39331983364905176</v>
      </c>
      <c r="K41" s="79">
        <f t="shared" ca="1" si="3"/>
        <v>6.0799999999999965E-2</v>
      </c>
      <c r="L41" s="79">
        <f t="shared" ca="1" si="3"/>
        <v>1.0000000000000009E-2</v>
      </c>
      <c r="M41" s="79">
        <f t="shared" ca="1" si="3"/>
        <v>2.1551717006295767E-2</v>
      </c>
      <c r="N41" s="79">
        <f t="shared" ca="1" si="3"/>
        <v>3.3132180884003493E-2</v>
      </c>
      <c r="O41" s="79">
        <f t="shared" ca="1" si="3"/>
        <v>4.4741391633122962E-2</v>
      </c>
    </row>
    <row r="42" spans="1:15" ht="21.5" customHeight="1" x14ac:dyDescent="0.15">
      <c r="A42" s="7"/>
      <c r="B42" s="80"/>
      <c r="C42" s="74"/>
      <c r="D42" s="81"/>
      <c r="E42" s="81"/>
      <c r="F42" s="81"/>
      <c r="G42" s="81"/>
      <c r="H42" s="81"/>
      <c r="I42" s="81"/>
      <c r="J42" s="81"/>
      <c r="K42" s="82"/>
      <c r="L42" s="82"/>
      <c r="M42" s="82"/>
      <c r="N42" s="82"/>
      <c r="O42" s="82"/>
    </row>
    <row r="43" spans="1:15" ht="21" customHeight="1" x14ac:dyDescent="0.15">
      <c r="A43" s="7"/>
      <c r="B43" s="25" t="s">
        <v>41</v>
      </c>
      <c r="C43" s="49"/>
      <c r="D43" s="60"/>
      <c r="E43" s="60"/>
      <c r="F43" s="60"/>
      <c r="G43" s="60"/>
      <c r="H43" s="60"/>
      <c r="I43" s="60"/>
      <c r="J43" s="60"/>
      <c r="K43" s="9"/>
      <c r="L43" s="9"/>
      <c r="M43" s="9"/>
      <c r="N43" s="9"/>
      <c r="O43" s="9"/>
    </row>
    <row r="44" spans="1:15" ht="21" customHeight="1" x14ac:dyDescent="0.15">
      <c r="A44" s="7"/>
      <c r="B44" s="50" t="s">
        <v>34</v>
      </c>
      <c r="C44" s="49"/>
      <c r="D44" s="51">
        <v>54.856000000000002</v>
      </c>
      <c r="E44" s="51">
        <v>45.59</v>
      </c>
      <c r="F44" s="51">
        <v>43.7</v>
      </c>
      <c r="G44" s="51">
        <v>43.5</v>
      </c>
      <c r="H44" s="51">
        <v>45.2</v>
      </c>
      <c r="I44" s="51">
        <v>71.099999999999994</v>
      </c>
      <c r="J44" s="51">
        <v>57.8</v>
      </c>
      <c r="K44" s="60">
        <f>J44*(1+K45)</f>
        <v>60.112000000000002</v>
      </c>
      <c r="L44" s="60">
        <f ca="1">K44*(1+L45)</f>
        <v>60.112000000000002</v>
      </c>
      <c r="M44" s="60">
        <f ca="1">L44*(1+M45)</f>
        <v>59.210320000000003</v>
      </c>
      <c r="N44" s="60">
        <f ca="1">M44*(1+N45)</f>
        <v>57.434010399999998</v>
      </c>
      <c r="O44" s="60">
        <f ca="1">N44*(1+O45)</f>
        <v>55.710990087999996</v>
      </c>
    </row>
    <row r="45" spans="1:15" ht="21.5" customHeight="1" x14ac:dyDescent="0.15">
      <c r="A45" s="53"/>
      <c r="B45" s="54" t="s">
        <v>35</v>
      </c>
      <c r="C45" s="55"/>
      <c r="D45" s="56"/>
      <c r="E45" s="57">
        <f t="shared" ref="E45:J45" si="4">E44/D44-1</f>
        <v>-0.16891497739536232</v>
      </c>
      <c r="F45" s="57">
        <f t="shared" si="4"/>
        <v>-4.1456459749945163E-2</v>
      </c>
      <c r="G45" s="57">
        <f t="shared" si="4"/>
        <v>-4.5766590389016981E-3</v>
      </c>
      <c r="H45" s="57">
        <f t="shared" si="4"/>
        <v>3.9080459770115095E-2</v>
      </c>
      <c r="I45" s="57">
        <f t="shared" si="4"/>
        <v>0.57300884955752185</v>
      </c>
      <c r="J45" s="57">
        <f t="shared" si="4"/>
        <v>-0.18706047819971872</v>
      </c>
      <c r="K45" s="59">
        <v>0.04</v>
      </c>
      <c r="L45" s="59">
        <f ca="1">OFFSET(L45,$C$10,0)</f>
        <v>0</v>
      </c>
      <c r="M45" s="59">
        <f ca="1">OFFSET(M45,$C$10,0)</f>
        <v>-1.4999999999999999E-2</v>
      </c>
      <c r="N45" s="59">
        <f ca="1">OFFSET(N45,$C$10,0)</f>
        <v>-0.03</v>
      </c>
      <c r="O45" s="59">
        <f ca="1">OFFSET(O45,$C$10,0)</f>
        <v>-0.03</v>
      </c>
    </row>
    <row r="46" spans="1:15" ht="23" customHeight="1" x14ac:dyDescent="0.15">
      <c r="A46" s="7"/>
      <c r="B46" s="50" t="s">
        <v>36</v>
      </c>
      <c r="C46" s="49"/>
      <c r="D46" s="60"/>
      <c r="E46" s="60"/>
      <c r="F46" s="60"/>
      <c r="G46" s="60"/>
      <c r="H46" s="60"/>
      <c r="I46" s="60"/>
      <c r="J46" s="61"/>
      <c r="K46" s="83">
        <v>-0.06</v>
      </c>
      <c r="L46" s="84">
        <v>0</v>
      </c>
      <c r="M46" s="85">
        <f>M47*$E$10</f>
        <v>-1.7999999999999999E-2</v>
      </c>
      <c r="N46" s="85">
        <f>N47*$E$10</f>
        <v>-3.5999999999999997E-2</v>
      </c>
      <c r="O46" s="85">
        <f>O47*$E$10</f>
        <v>-3.5999999999999997E-2</v>
      </c>
    </row>
    <row r="47" spans="1:15" ht="23" customHeight="1" x14ac:dyDescent="0.15">
      <c r="A47" s="7"/>
      <c r="B47" s="50" t="s">
        <v>37</v>
      </c>
      <c r="C47" s="49"/>
      <c r="D47" s="60"/>
      <c r="E47" s="60"/>
      <c r="F47" s="60"/>
      <c r="G47" s="60"/>
      <c r="H47" s="60"/>
      <c r="I47" s="60"/>
      <c r="J47" s="61"/>
      <c r="K47" s="86">
        <v>-0.06</v>
      </c>
      <c r="L47" s="87">
        <v>0</v>
      </c>
      <c r="M47" s="88">
        <f>L47-(L47-$O$47)/($O$26-M26)</f>
        <v>-1.4999999999999999E-2</v>
      </c>
      <c r="N47" s="89">
        <f>M47-(M47-$O$47)/($O$26-N26)</f>
        <v>-0.03</v>
      </c>
      <c r="O47" s="90">
        <f>G10</f>
        <v>-0.03</v>
      </c>
    </row>
    <row r="48" spans="1:15" ht="23" customHeight="1" x14ac:dyDescent="0.15">
      <c r="A48" s="7"/>
      <c r="B48" s="50" t="s">
        <v>38</v>
      </c>
      <c r="C48" s="49"/>
      <c r="D48" s="60"/>
      <c r="E48" s="60"/>
      <c r="F48" s="60"/>
      <c r="G48" s="60"/>
      <c r="H48" s="60"/>
      <c r="I48" s="60"/>
      <c r="J48" s="61"/>
      <c r="K48" s="83">
        <v>-0.06</v>
      </c>
      <c r="L48" s="84">
        <v>0</v>
      </c>
      <c r="M48" s="91">
        <f>M47*$I$10</f>
        <v>-1.2E-2</v>
      </c>
      <c r="N48" s="91">
        <f>N47*$I$10</f>
        <v>-2.4E-2</v>
      </c>
      <c r="O48" s="91">
        <f>O47*$I$10</f>
        <v>-2.4E-2</v>
      </c>
    </row>
    <row r="49" spans="1:15" ht="21.5" customHeight="1" x14ac:dyDescent="0.15">
      <c r="A49" s="7"/>
      <c r="B49" s="65"/>
      <c r="C49" s="49"/>
      <c r="D49" s="60"/>
      <c r="E49" s="60"/>
      <c r="F49" s="60"/>
      <c r="G49" s="60"/>
      <c r="H49" s="60"/>
      <c r="I49" s="60"/>
      <c r="J49" s="60"/>
      <c r="K49" s="45"/>
      <c r="L49" s="45"/>
      <c r="M49" s="45"/>
      <c r="N49" s="45"/>
      <c r="O49" s="45"/>
    </row>
    <row r="50" spans="1:15" ht="21" customHeight="1" x14ac:dyDescent="0.15">
      <c r="A50" s="7"/>
      <c r="B50" s="66" t="s">
        <v>39</v>
      </c>
      <c r="C50" s="49"/>
      <c r="D50" s="92">
        <f t="shared" ref="D50:J50" si="5">D57/D44</f>
        <v>423.41767536823681</v>
      </c>
      <c r="E50" s="92">
        <f t="shared" si="5"/>
        <v>452.46764641368719</v>
      </c>
      <c r="F50" s="92">
        <f t="shared" si="5"/>
        <v>439.86270022883292</v>
      </c>
      <c r="G50" s="92">
        <f t="shared" si="5"/>
        <v>422.5287356321839</v>
      </c>
      <c r="H50" s="92">
        <f t="shared" si="5"/>
        <v>470.7964601769911</v>
      </c>
      <c r="I50" s="92">
        <f t="shared" si="5"/>
        <v>333.6708860759494</v>
      </c>
      <c r="J50" s="92">
        <f t="shared" si="5"/>
        <v>551.24567474048445</v>
      </c>
      <c r="K50" s="92">
        <f ca="1">J50*(1+K51)</f>
        <v>578.80795847750869</v>
      </c>
      <c r="L50" s="92">
        <f ca="1">K50*(1+L51)</f>
        <v>584.59603806228381</v>
      </c>
      <c r="M50" s="92">
        <f ca="1">L50*(1+M51)</f>
        <v>598.23661228373714</v>
      </c>
      <c r="N50" s="92">
        <f ca="1">M50*(1+N51)</f>
        <v>620.17195473414085</v>
      </c>
      <c r="O50" s="92">
        <f ca="1">N50*(1+O51)</f>
        <v>651.18055247084794</v>
      </c>
    </row>
    <row r="51" spans="1:15" ht="21.5" customHeight="1" x14ac:dyDescent="0.15">
      <c r="A51" s="93"/>
      <c r="B51" s="54" t="s">
        <v>35</v>
      </c>
      <c r="C51" s="94"/>
      <c r="D51" s="95"/>
      <c r="E51" s="95">
        <f t="shared" ref="E51:J51" si="6">E50/D50-1</f>
        <v>6.8608309797616007E-2</v>
      </c>
      <c r="F51" s="95">
        <f t="shared" si="6"/>
        <v>-2.7858226515779849E-2</v>
      </c>
      <c r="G51" s="95">
        <f t="shared" si="6"/>
        <v>-3.9407671047422821E-2</v>
      </c>
      <c r="H51" s="95">
        <f t="shared" si="6"/>
        <v>0.11423536548961444</v>
      </c>
      <c r="I51" s="95">
        <f t="shared" si="6"/>
        <v>-0.29126296754544578</v>
      </c>
      <c r="J51" s="95">
        <f t="shared" si="6"/>
        <v>0.6520640479703439</v>
      </c>
      <c r="K51" s="58">
        <f ca="1">OFFSET(K51,$C$11,0)</f>
        <v>0.05</v>
      </c>
      <c r="L51" s="58">
        <f ca="1">OFFSET(L51,$C$11,0)</f>
        <v>0.01</v>
      </c>
      <c r="M51" s="58">
        <f ca="1">OFFSET(M51,$C$11,0)</f>
        <v>2.3333333333333334E-2</v>
      </c>
      <c r="N51" s="58">
        <f ca="1">OFFSET(N51,$C$11,0)</f>
        <v>3.6666666666666667E-2</v>
      </c>
      <c r="O51" s="58">
        <f ca="1">OFFSET(O51,$C$11,0)</f>
        <v>0.05</v>
      </c>
    </row>
    <row r="52" spans="1:15" ht="23" customHeight="1" x14ac:dyDescent="0.15">
      <c r="A52" s="7"/>
      <c r="B52" s="50" t="s">
        <v>36</v>
      </c>
      <c r="C52" s="49"/>
      <c r="D52" s="60"/>
      <c r="E52" s="60"/>
      <c r="F52" s="60"/>
      <c r="G52" s="60"/>
      <c r="H52" s="60"/>
      <c r="I52" s="60"/>
      <c r="J52" s="61"/>
      <c r="K52" s="96">
        <v>0.05</v>
      </c>
      <c r="L52" s="67">
        <v>0.01</v>
      </c>
      <c r="M52" s="67">
        <f>M53*$E$11</f>
        <v>2.1000000000000001E-2</v>
      </c>
      <c r="N52" s="67">
        <f>N53*$E$11</f>
        <v>3.3000000000000002E-2</v>
      </c>
      <c r="O52" s="67">
        <f>O53*$E$11</f>
        <v>4.5000000000000005E-2</v>
      </c>
    </row>
    <row r="53" spans="1:15" ht="23" customHeight="1" x14ac:dyDescent="0.15">
      <c r="A53" s="7"/>
      <c r="B53" s="50" t="s">
        <v>37</v>
      </c>
      <c r="C53" s="49"/>
      <c r="D53" s="60"/>
      <c r="E53" s="60"/>
      <c r="F53" s="60"/>
      <c r="G53" s="60"/>
      <c r="H53" s="60"/>
      <c r="I53" s="60"/>
      <c r="J53" s="61"/>
      <c r="K53" s="64">
        <v>0.05</v>
      </c>
      <c r="L53" s="64">
        <v>0.01</v>
      </c>
      <c r="M53" s="67">
        <f>L53-(L53-$O$53)/($O$26-L26)</f>
        <v>2.3333333333333334E-2</v>
      </c>
      <c r="N53" s="67">
        <f>M53-(M53-$O$53)/($O$26-M26)</f>
        <v>3.6666666666666667E-2</v>
      </c>
      <c r="O53" s="67">
        <f>G11</f>
        <v>0.05</v>
      </c>
    </row>
    <row r="54" spans="1:15" ht="23" customHeight="1" x14ac:dyDescent="0.15">
      <c r="A54" s="7"/>
      <c r="B54" s="50" t="s">
        <v>38</v>
      </c>
      <c r="C54" s="49"/>
      <c r="D54" s="60"/>
      <c r="E54" s="60"/>
      <c r="F54" s="60"/>
      <c r="G54" s="60"/>
      <c r="H54" s="60"/>
      <c r="I54" s="60"/>
      <c r="J54" s="61"/>
      <c r="K54" s="96">
        <v>0.05</v>
      </c>
      <c r="L54" s="67">
        <v>0.01</v>
      </c>
      <c r="M54" s="67">
        <f>M53*$I$11</f>
        <v>2.5666666666666671E-2</v>
      </c>
      <c r="N54" s="67">
        <f>N53*$I$11</f>
        <v>4.0333333333333339E-2</v>
      </c>
      <c r="O54" s="67">
        <f>O53*$I$11</f>
        <v>5.5000000000000007E-2</v>
      </c>
    </row>
    <row r="55" spans="1:15" ht="20.25" customHeight="1" x14ac:dyDescent="0.15">
      <c r="A55" s="68"/>
      <c r="B55" s="68"/>
      <c r="C55" s="97"/>
      <c r="D55" s="29"/>
      <c r="E55" s="29"/>
      <c r="F55" s="29"/>
      <c r="G55" s="29"/>
      <c r="H55" s="29"/>
      <c r="I55" s="29"/>
      <c r="J55" s="29"/>
      <c r="K55" s="98"/>
      <c r="L55" s="98"/>
      <c r="M55" s="98"/>
      <c r="N55" s="98"/>
      <c r="O55" s="98"/>
    </row>
    <row r="56" spans="1:15" ht="21.5" customHeight="1" x14ac:dyDescent="0.15">
      <c r="A56" s="7"/>
      <c r="B56" s="99"/>
      <c r="C56" s="100"/>
      <c r="D56" s="101"/>
      <c r="E56" s="101"/>
      <c r="F56" s="101"/>
      <c r="G56" s="101"/>
      <c r="H56" s="101"/>
      <c r="I56" s="101"/>
      <c r="J56" s="101"/>
      <c r="K56" s="102"/>
      <c r="L56" s="102"/>
      <c r="M56" s="102"/>
      <c r="N56" s="102"/>
      <c r="O56" s="102"/>
    </row>
    <row r="57" spans="1:15" ht="21.5" customHeight="1" x14ac:dyDescent="0.15">
      <c r="A57" s="7"/>
      <c r="B57" s="73" t="s">
        <v>40</v>
      </c>
      <c r="C57" s="74"/>
      <c r="D57" s="75">
        <v>23227</v>
      </c>
      <c r="E57" s="75">
        <v>20628</v>
      </c>
      <c r="F57" s="75">
        <v>19222</v>
      </c>
      <c r="G57" s="75">
        <v>18380</v>
      </c>
      <c r="H57" s="75">
        <v>21280</v>
      </c>
      <c r="I57" s="75">
        <v>23724</v>
      </c>
      <c r="J57" s="75">
        <v>31862</v>
      </c>
      <c r="K57" s="76">
        <f ca="1">K50*K44</f>
        <v>34793.304000000004</v>
      </c>
      <c r="L57" s="76">
        <f ca="1">L50*L44</f>
        <v>35141.237040000007</v>
      </c>
      <c r="M57" s="76">
        <f ca="1">M50*M44</f>
        <v>35421.781249036008</v>
      </c>
      <c r="N57" s="76">
        <f ca="1">N50*N44</f>
        <v>35618.96249798897</v>
      </c>
      <c r="O57" s="76">
        <f ca="1">O50*O44</f>
        <v>36277.913304201771</v>
      </c>
    </row>
    <row r="58" spans="1:15" ht="21.5" customHeight="1" x14ac:dyDescent="0.15">
      <c r="A58" s="53"/>
      <c r="B58" s="77" t="s">
        <v>35</v>
      </c>
      <c r="C58" s="78"/>
      <c r="D58" s="79"/>
      <c r="E58" s="79">
        <f t="shared" ref="E58:O58" si="7">E57/D57-1</f>
        <v>-0.11189563869634478</v>
      </c>
      <c r="F58" s="79">
        <f t="shared" si="7"/>
        <v>-6.8159782819468662E-2</v>
      </c>
      <c r="G58" s="79">
        <f t="shared" si="7"/>
        <v>-4.3803974612423247E-2</v>
      </c>
      <c r="H58" s="79">
        <f t="shared" si="7"/>
        <v>0.15778019586507064</v>
      </c>
      <c r="I58" s="79">
        <f t="shared" si="7"/>
        <v>0.11484962406015042</v>
      </c>
      <c r="J58" s="79">
        <f t="shared" si="7"/>
        <v>0.34302815714044854</v>
      </c>
      <c r="K58" s="79">
        <f t="shared" ca="1" si="7"/>
        <v>9.2000000000000082E-2</v>
      </c>
      <c r="L58" s="79">
        <f t="shared" ca="1" si="7"/>
        <v>1.0000000000000009E-2</v>
      </c>
      <c r="M58" s="79">
        <f t="shared" ca="1" si="7"/>
        <v>7.9833333333334533E-3</v>
      </c>
      <c r="N58" s="79">
        <f t="shared" ca="1" si="7"/>
        <v>5.5666666666664977E-3</v>
      </c>
      <c r="O58" s="79">
        <f t="shared" ca="1" si="7"/>
        <v>1.8500000000000183E-2</v>
      </c>
    </row>
    <row r="59" spans="1:15" ht="21.5" customHeight="1" x14ac:dyDescent="0.15">
      <c r="A59" s="7"/>
      <c r="B59" s="80"/>
      <c r="C59" s="74"/>
      <c r="D59" s="81"/>
      <c r="E59" s="81"/>
      <c r="F59" s="81"/>
      <c r="G59" s="81"/>
      <c r="H59" s="81"/>
      <c r="I59" s="81"/>
      <c r="J59" s="81"/>
      <c r="K59" s="82"/>
      <c r="L59" s="82"/>
      <c r="M59" s="82"/>
      <c r="N59" s="82"/>
      <c r="O59" s="82"/>
    </row>
    <row r="60" spans="1:15" ht="21" customHeight="1" x14ac:dyDescent="0.15">
      <c r="A60" s="7"/>
      <c r="B60" s="25" t="s">
        <v>42</v>
      </c>
      <c r="C60" s="49"/>
      <c r="D60" s="60"/>
      <c r="E60" s="60"/>
      <c r="F60" s="60"/>
      <c r="G60" s="60"/>
      <c r="H60" s="60"/>
      <c r="I60" s="60"/>
      <c r="J60" s="60"/>
      <c r="K60" s="9"/>
      <c r="L60" s="9"/>
      <c r="M60" s="9"/>
      <c r="N60" s="9"/>
      <c r="O60" s="9"/>
    </row>
    <row r="61" spans="1:15" ht="21" customHeight="1" x14ac:dyDescent="0.15">
      <c r="A61" s="7"/>
      <c r="B61" s="50" t="s">
        <v>34</v>
      </c>
      <c r="C61" s="49"/>
      <c r="D61" s="51">
        <v>20.587</v>
      </c>
      <c r="E61" s="51">
        <v>18.484000000000002</v>
      </c>
      <c r="F61" s="51">
        <v>19.251000000000001</v>
      </c>
      <c r="G61" s="51">
        <v>18</v>
      </c>
      <c r="H61" s="51">
        <v>17.5</v>
      </c>
      <c r="I61" s="51">
        <v>20.2</v>
      </c>
      <c r="J61" s="51">
        <v>25.7</v>
      </c>
      <c r="K61" s="92">
        <f ca="1">J61*(1+K62)</f>
        <v>27.756</v>
      </c>
      <c r="L61" s="92">
        <f ca="1">K61*(1+L62)</f>
        <v>28.311119999999999</v>
      </c>
      <c r="M61" s="92">
        <f ca="1">L61*(1+M62)</f>
        <v>29.1604536</v>
      </c>
      <c r="N61" s="92">
        <f ca="1">M61*(1+N62)</f>
        <v>30.326871744000002</v>
      </c>
      <c r="O61" s="92">
        <f ca="1">N61*(1+O62)</f>
        <v>31.843215331200003</v>
      </c>
    </row>
    <row r="62" spans="1:15" ht="21.5" customHeight="1" x14ac:dyDescent="0.15">
      <c r="A62" s="53"/>
      <c r="B62" s="54" t="s">
        <v>35</v>
      </c>
      <c r="C62" s="55"/>
      <c r="D62" s="56"/>
      <c r="E62" s="57">
        <f t="shared" ref="E62:J62" si="8">E61/D61-1</f>
        <v>-0.102151843396318</v>
      </c>
      <c r="F62" s="57">
        <f t="shared" si="8"/>
        <v>4.1495347327418219E-2</v>
      </c>
      <c r="G62" s="57">
        <f t="shared" si="8"/>
        <v>-6.4983637213651302E-2</v>
      </c>
      <c r="H62" s="57">
        <f t="shared" si="8"/>
        <v>-2.777777777777779E-2</v>
      </c>
      <c r="I62" s="57">
        <f t="shared" si="8"/>
        <v>0.15428571428571414</v>
      </c>
      <c r="J62" s="57">
        <f t="shared" si="8"/>
        <v>0.2722772277227723</v>
      </c>
      <c r="K62" s="59">
        <f ca="1">OFFSET(K62,$C$12,0)</f>
        <v>0.08</v>
      </c>
      <c r="L62" s="59">
        <f ca="1">OFFSET(L62,$C$12,0)</f>
        <v>0.02</v>
      </c>
      <c r="M62" s="59">
        <f ca="1">OFFSET(M62,$C$12,0)</f>
        <v>0.03</v>
      </c>
      <c r="N62" s="59">
        <f ca="1">OFFSET(N62,$C$12,0)</f>
        <v>0.04</v>
      </c>
      <c r="O62" s="59">
        <f ca="1">OFFSET(O62,$C$12,0)</f>
        <v>0.05</v>
      </c>
    </row>
    <row r="63" spans="1:15" ht="23" customHeight="1" x14ac:dyDescent="0.15">
      <c r="A63" s="7"/>
      <c r="B63" s="50" t="s">
        <v>36</v>
      </c>
      <c r="C63" s="49"/>
      <c r="D63" s="60"/>
      <c r="E63" s="60"/>
      <c r="F63" s="60"/>
      <c r="G63" s="60"/>
      <c r="H63" s="60"/>
      <c r="I63" s="60"/>
      <c r="J63" s="61"/>
      <c r="K63" s="67">
        <f>K64*$E$12</f>
        <v>7.2000000000000008E-2</v>
      </c>
      <c r="L63" s="67">
        <f>L64*$E$12</f>
        <v>1.8000000000000002E-2</v>
      </c>
      <c r="M63" s="67">
        <f>M64*$E$12</f>
        <v>2.7E-2</v>
      </c>
      <c r="N63" s="67">
        <f>N64*$E$12</f>
        <v>3.6000000000000004E-2</v>
      </c>
      <c r="O63" s="67">
        <f>O64*$E$12</f>
        <v>4.5000000000000005E-2</v>
      </c>
    </row>
    <row r="64" spans="1:15" ht="23" customHeight="1" x14ac:dyDescent="0.15">
      <c r="A64" s="7"/>
      <c r="B64" s="50" t="s">
        <v>37</v>
      </c>
      <c r="C64" s="49"/>
      <c r="D64" s="9"/>
      <c r="E64" s="9"/>
      <c r="F64" s="9"/>
      <c r="G64" s="9"/>
      <c r="H64" s="9"/>
      <c r="I64" s="9"/>
      <c r="J64" s="103"/>
      <c r="K64" s="64">
        <v>0.08</v>
      </c>
      <c r="L64" s="64">
        <v>0.02</v>
      </c>
      <c r="M64" s="67">
        <f>L64-(L64-$O$64)/($O$26-L26)</f>
        <v>0.03</v>
      </c>
      <c r="N64" s="67">
        <f>M64-(M64-$O$64)/($O$26-M26)</f>
        <v>0.04</v>
      </c>
      <c r="O64" s="67">
        <f>G12</f>
        <v>0.05</v>
      </c>
    </row>
    <row r="65" spans="1:15" ht="23" customHeight="1" x14ac:dyDescent="0.15">
      <c r="A65" s="7"/>
      <c r="B65" s="50" t="s">
        <v>38</v>
      </c>
      <c r="C65" s="49"/>
      <c r="D65" s="9"/>
      <c r="E65" s="9"/>
      <c r="F65" s="9"/>
      <c r="G65" s="9"/>
      <c r="H65" s="9"/>
      <c r="I65" s="9"/>
      <c r="J65" s="103"/>
      <c r="K65" s="67">
        <f>K64*$I$12</f>
        <v>8.8000000000000009E-2</v>
      </c>
      <c r="L65" s="67">
        <f>L64*$I$12</f>
        <v>2.2000000000000002E-2</v>
      </c>
      <c r="M65" s="67">
        <f>M64*$I$12</f>
        <v>3.3000000000000002E-2</v>
      </c>
      <c r="N65" s="67">
        <f>N64*$I$12</f>
        <v>4.4000000000000004E-2</v>
      </c>
      <c r="O65" s="67">
        <f>O64*$I$12</f>
        <v>5.5000000000000007E-2</v>
      </c>
    </row>
    <row r="66" spans="1:15" ht="20.25" customHeight="1" x14ac:dyDescent="0.15">
      <c r="A66" s="68"/>
      <c r="B66" s="68"/>
      <c r="C66" s="97"/>
      <c r="D66" s="29"/>
      <c r="E66" s="29"/>
      <c r="F66" s="29"/>
      <c r="G66" s="29"/>
      <c r="H66" s="29"/>
      <c r="I66" s="29"/>
      <c r="J66" s="29"/>
      <c r="K66" s="98"/>
      <c r="L66" s="98"/>
      <c r="M66" s="98"/>
      <c r="N66" s="98"/>
      <c r="O66" s="98"/>
    </row>
    <row r="67" spans="1:15" ht="21" customHeight="1" x14ac:dyDescent="0.15">
      <c r="A67" s="7"/>
      <c r="B67" s="7"/>
      <c r="C67" s="49"/>
      <c r="D67" s="9"/>
      <c r="E67" s="9"/>
      <c r="F67" s="9"/>
      <c r="G67" s="9"/>
      <c r="H67" s="9"/>
      <c r="I67" s="9"/>
      <c r="J67" s="9"/>
      <c r="K67" s="9"/>
      <c r="L67" s="9"/>
      <c r="M67" s="9"/>
      <c r="N67" s="9"/>
      <c r="O67" s="9"/>
    </row>
    <row r="68" spans="1:15" ht="21" customHeight="1" x14ac:dyDescent="0.15">
      <c r="A68" s="104"/>
      <c r="B68" s="66" t="s">
        <v>39</v>
      </c>
      <c r="C68" s="105"/>
      <c r="D68" s="92">
        <f t="shared" ref="D68:J68" si="9">D75/D61</f>
        <v>1237.2370913683392</v>
      </c>
      <c r="E68" s="92">
        <f t="shared" si="9"/>
        <v>1235.1763687513524</v>
      </c>
      <c r="F68" s="92">
        <f t="shared" si="9"/>
        <v>1342.7873876681731</v>
      </c>
      <c r="G68" s="92">
        <f t="shared" si="9"/>
        <v>1399.8888888888889</v>
      </c>
      <c r="H68" s="92">
        <f t="shared" si="9"/>
        <v>1470.8571428571429</v>
      </c>
      <c r="I68" s="92">
        <f t="shared" si="9"/>
        <v>1416.9306930693069</v>
      </c>
      <c r="J68" s="92">
        <f t="shared" si="9"/>
        <v>1369.2607003891051</v>
      </c>
      <c r="K68" s="92">
        <f ca="1">J68*(1+K69)</f>
        <v>1410.3385214007783</v>
      </c>
      <c r="L68" s="92">
        <f ca="1">K68*(1+L69)</f>
        <v>1396.2351361867704</v>
      </c>
      <c r="M68" s="92">
        <f ca="1">L68*(1+M69)</f>
        <v>1396.2351361867704</v>
      </c>
      <c r="N68" s="92">
        <f ca="1">M68*(1+N69)</f>
        <v>1410.197487548638</v>
      </c>
      <c r="O68" s="92">
        <f ca="1">N68*(1+O69)</f>
        <v>1438.4014372996107</v>
      </c>
    </row>
    <row r="69" spans="1:15" ht="21.5" customHeight="1" x14ac:dyDescent="0.15">
      <c r="A69" s="106"/>
      <c r="B69" s="54" t="s">
        <v>35</v>
      </c>
      <c r="C69" s="107"/>
      <c r="D69" s="108"/>
      <c r="E69" s="95">
        <f t="shared" ref="E69:J69" si="10">E68/D68-1</f>
        <v>-1.6655842533040977E-3</v>
      </c>
      <c r="F69" s="95">
        <f t="shared" si="10"/>
        <v>8.7121986494613335E-2</v>
      </c>
      <c r="G69" s="95">
        <f t="shared" si="10"/>
        <v>4.2524603481624679E-2</v>
      </c>
      <c r="H69" s="95">
        <f t="shared" si="10"/>
        <v>5.0695633440295707E-2</v>
      </c>
      <c r="I69" s="95">
        <f t="shared" si="10"/>
        <v>-3.6663281712786655E-2</v>
      </c>
      <c r="J69" s="95">
        <f t="shared" si="10"/>
        <v>-3.3643136473344937E-2</v>
      </c>
      <c r="K69" s="58">
        <f ca="1">OFFSET(K69,$C$13,0)</f>
        <v>0.03</v>
      </c>
      <c r="L69" s="58">
        <f ca="1">OFFSET(L69,$C$13,0)</f>
        <v>-0.01</v>
      </c>
      <c r="M69" s="58">
        <f ca="1">OFFSET(M69,$C$13,0)</f>
        <v>0</v>
      </c>
      <c r="N69" s="58">
        <f ca="1">OFFSET(N69,$C$13,0)</f>
        <v>0.01</v>
      </c>
      <c r="O69" s="58">
        <f ca="1">OFFSET(O69,$C$13,0)</f>
        <v>0.02</v>
      </c>
    </row>
    <row r="70" spans="1:15" ht="23" customHeight="1" x14ac:dyDescent="0.15">
      <c r="A70" s="7"/>
      <c r="B70" s="50" t="s">
        <v>36</v>
      </c>
      <c r="C70" s="49"/>
      <c r="D70" s="9"/>
      <c r="E70" s="9"/>
      <c r="F70" s="9"/>
      <c r="G70" s="9"/>
      <c r="H70" s="9"/>
      <c r="I70" s="9"/>
      <c r="J70" s="103"/>
      <c r="K70" s="96">
        <f>K71/E13</f>
        <v>2.7272727272727268E-2</v>
      </c>
      <c r="L70" s="67">
        <f>L71*E13</f>
        <v>-1.1000000000000001E-2</v>
      </c>
      <c r="M70" s="67">
        <f>M71*F13</f>
        <v>0</v>
      </c>
      <c r="N70" s="67">
        <f>N71/$E$13</f>
        <v>9.0909090909090905E-3</v>
      </c>
      <c r="O70" s="67">
        <f>O71/$E$13</f>
        <v>1.8181818181818181E-2</v>
      </c>
    </row>
    <row r="71" spans="1:15" ht="23" customHeight="1" x14ac:dyDescent="0.15">
      <c r="A71" s="7"/>
      <c r="B71" s="50" t="s">
        <v>37</v>
      </c>
      <c r="C71" s="49"/>
      <c r="D71" s="9"/>
      <c r="E71" s="9"/>
      <c r="F71" s="9"/>
      <c r="G71" s="9"/>
      <c r="H71" s="9"/>
      <c r="I71" s="9"/>
      <c r="J71" s="103"/>
      <c r="K71" s="64">
        <v>0.03</v>
      </c>
      <c r="L71" s="64">
        <v>-0.01</v>
      </c>
      <c r="M71" s="67">
        <f>L71-(L71-$O$71)/($O$26-L26)</f>
        <v>0</v>
      </c>
      <c r="N71" s="67">
        <f>M71-(M71-$O$71)/($O$26-M26)</f>
        <v>0.01</v>
      </c>
      <c r="O71" s="67">
        <f>G13</f>
        <v>0.02</v>
      </c>
    </row>
    <row r="72" spans="1:15" ht="23" customHeight="1" x14ac:dyDescent="0.15">
      <c r="A72" s="7"/>
      <c r="B72" s="50" t="s">
        <v>38</v>
      </c>
      <c r="C72" s="49"/>
      <c r="D72" s="9"/>
      <c r="E72" s="9"/>
      <c r="F72" s="9"/>
      <c r="G72" s="9"/>
      <c r="H72" s="9"/>
      <c r="I72" s="9"/>
      <c r="J72" s="103"/>
      <c r="K72" s="96">
        <f>K71/I13</f>
        <v>3.3333333333333333E-2</v>
      </c>
      <c r="L72" s="67">
        <f>L71*I13</f>
        <v>-9.0000000000000011E-3</v>
      </c>
      <c r="M72" s="67">
        <f>M71*J13</f>
        <v>0</v>
      </c>
      <c r="N72" s="67">
        <f>N71/$I$13</f>
        <v>1.1111111111111112E-2</v>
      </c>
      <c r="O72" s="67">
        <f>O71/$I$13</f>
        <v>2.2222222222222223E-2</v>
      </c>
    </row>
    <row r="73" spans="1:15" ht="20.25" customHeight="1" x14ac:dyDescent="0.15">
      <c r="A73" s="68"/>
      <c r="B73" s="68"/>
      <c r="C73" s="97"/>
      <c r="D73" s="29"/>
      <c r="E73" s="29"/>
      <c r="F73" s="29"/>
      <c r="G73" s="29"/>
      <c r="H73" s="29"/>
      <c r="I73" s="29"/>
      <c r="J73" s="29"/>
      <c r="K73" s="98"/>
      <c r="L73" s="98"/>
      <c r="M73" s="98"/>
      <c r="N73" s="98"/>
      <c r="O73" s="98"/>
    </row>
    <row r="74" spans="1:15" ht="21.5" customHeight="1" x14ac:dyDescent="0.15">
      <c r="A74" s="7"/>
      <c r="B74" s="99"/>
      <c r="C74" s="100"/>
      <c r="D74" s="102"/>
      <c r="E74" s="102"/>
      <c r="F74" s="102"/>
      <c r="G74" s="102"/>
      <c r="H74" s="102"/>
      <c r="I74" s="102"/>
      <c r="J74" s="102"/>
      <c r="K74" s="102"/>
      <c r="L74" s="102"/>
      <c r="M74" s="102"/>
      <c r="N74" s="102"/>
      <c r="O74" s="102"/>
    </row>
    <row r="75" spans="1:15" ht="21.5" customHeight="1" x14ac:dyDescent="0.15">
      <c r="A75" s="7"/>
      <c r="B75" s="73" t="s">
        <v>40</v>
      </c>
      <c r="C75" s="74"/>
      <c r="D75" s="75">
        <v>25471</v>
      </c>
      <c r="E75" s="75">
        <v>22831</v>
      </c>
      <c r="F75" s="75">
        <v>25850</v>
      </c>
      <c r="G75" s="75">
        <v>25198</v>
      </c>
      <c r="H75" s="75">
        <v>25740</v>
      </c>
      <c r="I75" s="75">
        <v>28622</v>
      </c>
      <c r="J75" s="75">
        <v>35190</v>
      </c>
      <c r="K75" s="76">
        <f ca="1">K68*K61</f>
        <v>39145.356</v>
      </c>
      <c r="L75" s="76">
        <f ca="1">L68*L61</f>
        <v>39528.9804888</v>
      </c>
      <c r="M75" s="76">
        <f ca="1">M68*M61</f>
        <v>40714.849903463997</v>
      </c>
      <c r="N75" s="76">
        <f ca="1">N68*N61</f>
        <v>42766.878338598588</v>
      </c>
      <c r="O75" s="76">
        <f ca="1">O68*O61</f>
        <v>45803.326700639082</v>
      </c>
    </row>
    <row r="76" spans="1:15" ht="21.5" customHeight="1" x14ac:dyDescent="0.15">
      <c r="A76" s="7"/>
      <c r="B76" s="77" t="s">
        <v>35</v>
      </c>
      <c r="C76" s="100"/>
      <c r="D76" s="79"/>
      <c r="E76" s="79">
        <f t="shared" ref="E76:O76" si="11">E75/D75-1</f>
        <v>-0.10364728514781518</v>
      </c>
      <c r="F76" s="79">
        <f t="shared" si="11"/>
        <v>0.13223249091148004</v>
      </c>
      <c r="G76" s="79">
        <f t="shared" si="11"/>
        <v>-2.5222437137330744E-2</v>
      </c>
      <c r="H76" s="79">
        <f t="shared" si="11"/>
        <v>2.1509643622509733E-2</v>
      </c>
      <c r="I76" s="79">
        <f t="shared" si="11"/>
        <v>0.11196581196581201</v>
      </c>
      <c r="J76" s="79">
        <f t="shared" si="11"/>
        <v>0.22947383131856625</v>
      </c>
      <c r="K76" s="79">
        <f t="shared" ca="1" si="11"/>
        <v>0.11240000000000006</v>
      </c>
      <c r="L76" s="79">
        <f t="shared" ca="1" si="11"/>
        <v>9.8000000000000309E-3</v>
      </c>
      <c r="M76" s="79">
        <f t="shared" ca="1" si="11"/>
        <v>3.0000000000000027E-2</v>
      </c>
      <c r="N76" s="79">
        <f t="shared" ca="1" si="11"/>
        <v>5.0400000000000222E-2</v>
      </c>
      <c r="O76" s="79">
        <f t="shared" ca="1" si="11"/>
        <v>7.0999999999999952E-2</v>
      </c>
    </row>
    <row r="77" spans="1:15" ht="21.5" customHeight="1" x14ac:dyDescent="0.15">
      <c r="A77" s="7"/>
      <c r="B77" s="80"/>
      <c r="C77" s="74"/>
      <c r="D77" s="82"/>
      <c r="E77" s="82"/>
      <c r="F77" s="82"/>
      <c r="G77" s="82"/>
      <c r="H77" s="82"/>
      <c r="I77" s="82"/>
      <c r="J77" s="82"/>
      <c r="K77" s="82"/>
      <c r="L77" s="82"/>
      <c r="M77" s="82"/>
      <c r="N77" s="82"/>
      <c r="O77" s="82"/>
    </row>
    <row r="78" spans="1:15" ht="21" customHeight="1" x14ac:dyDescent="0.15">
      <c r="A78" s="104"/>
      <c r="B78" s="109" t="s">
        <v>43</v>
      </c>
      <c r="C78" s="105"/>
      <c r="D78" s="92"/>
      <c r="E78" s="92"/>
      <c r="F78" s="92"/>
      <c r="G78" s="92"/>
      <c r="H78" s="92"/>
      <c r="I78" s="92"/>
      <c r="J78" s="92"/>
      <c r="K78" s="92"/>
      <c r="L78" s="92"/>
      <c r="M78" s="92"/>
      <c r="N78" s="92"/>
      <c r="O78" s="92"/>
    </row>
    <row r="79" spans="1:15" ht="21" customHeight="1" x14ac:dyDescent="0.15">
      <c r="A79" s="104"/>
      <c r="B79" s="50" t="s">
        <v>34</v>
      </c>
      <c r="C79" s="105"/>
      <c r="D79" s="110">
        <f>8.3+17.3</f>
        <v>25.6</v>
      </c>
      <c r="E79" s="110">
        <f>11.9+20.1</f>
        <v>32</v>
      </c>
      <c r="F79" s="110">
        <f>12.8+15+22.4</f>
        <v>50.2</v>
      </c>
      <c r="G79" s="110">
        <f>22.5+35+4.2+24.6</f>
        <v>86.300000000000011</v>
      </c>
      <c r="H79" s="110">
        <f>30.7+60+5.9+25.9</f>
        <v>122.5</v>
      </c>
      <c r="I79" s="110">
        <f>43.1+114+9.8+28.3</f>
        <v>195.20000000000002</v>
      </c>
      <c r="J79" s="110">
        <f>46.1+85+14.8+29.9</f>
        <v>175.8</v>
      </c>
      <c r="K79" s="92">
        <f ca="1">J79*(1+K80)</f>
        <v>240.84600000000003</v>
      </c>
      <c r="L79" s="92">
        <f ca="1">K79*(1+L80)</f>
        <v>264.93060000000008</v>
      </c>
      <c r="M79" s="92">
        <f ca="1">L79*(1+M80)</f>
        <v>293.18986400000011</v>
      </c>
      <c r="N79" s="92">
        <f ca="1">M79*(1+N80)</f>
        <v>326.41804858666677</v>
      </c>
      <c r="O79" s="92">
        <f ca="1">N79*(1+O80)</f>
        <v>365.58821441706681</v>
      </c>
    </row>
    <row r="80" spans="1:15" ht="21.5" customHeight="1" x14ac:dyDescent="0.15">
      <c r="A80" s="53"/>
      <c r="B80" s="54" t="s">
        <v>35</v>
      </c>
      <c r="C80" s="111"/>
      <c r="D80" s="108"/>
      <c r="E80" s="57">
        <f t="shared" ref="E80:J80" si="12">E79/D79-1</f>
        <v>0.25</v>
      </c>
      <c r="F80" s="57">
        <f t="shared" si="12"/>
        <v>0.56875000000000009</v>
      </c>
      <c r="G80" s="57">
        <f t="shared" si="12"/>
        <v>0.71912350597609564</v>
      </c>
      <c r="H80" s="57">
        <f t="shared" si="12"/>
        <v>0.41946697566628033</v>
      </c>
      <c r="I80" s="57">
        <f t="shared" si="12"/>
        <v>0.59346938775510227</v>
      </c>
      <c r="J80" s="57">
        <f t="shared" si="12"/>
        <v>-9.938524590163933E-2</v>
      </c>
      <c r="K80" s="59">
        <f ca="1">OFFSET(K80,$C$14,0)</f>
        <v>0.37</v>
      </c>
      <c r="L80" s="59">
        <f ca="1">OFFSET(L80,$C$14,0)</f>
        <v>0.1</v>
      </c>
      <c r="M80" s="59">
        <f ca="1">OFFSET(M80,$C$14,0)</f>
        <v>0.10666666666666667</v>
      </c>
      <c r="N80" s="59">
        <f ca="1">OFFSET(N80,$C$14,0)</f>
        <v>0.11333333333333334</v>
      </c>
      <c r="O80" s="59">
        <f ca="1">OFFSET(O80,$C$14,0)</f>
        <v>0.12</v>
      </c>
    </row>
    <row r="81" spans="1:15" ht="23" customHeight="1" x14ac:dyDescent="0.15">
      <c r="A81" s="7"/>
      <c r="B81" s="50" t="s">
        <v>36</v>
      </c>
      <c r="C81" s="49"/>
      <c r="D81" s="9"/>
      <c r="E81" s="9"/>
      <c r="F81" s="9"/>
      <c r="G81" s="9"/>
      <c r="H81" s="9"/>
      <c r="I81" s="9"/>
      <c r="J81" s="103"/>
      <c r="K81" s="64">
        <v>0.37</v>
      </c>
      <c r="L81" s="64">
        <v>0.1</v>
      </c>
      <c r="M81" s="67">
        <f>M82*$E$14</f>
        <v>8.5333333333333344E-2</v>
      </c>
      <c r="N81" s="67">
        <f>N82*$E$14</f>
        <v>9.0666666666666673E-2</v>
      </c>
      <c r="O81" s="67">
        <f>O82*$E$14</f>
        <v>9.6000000000000002E-2</v>
      </c>
    </row>
    <row r="82" spans="1:15" ht="23" customHeight="1" x14ac:dyDescent="0.15">
      <c r="A82" s="7"/>
      <c r="B82" s="50" t="s">
        <v>37</v>
      </c>
      <c r="C82" s="49"/>
      <c r="D82" s="9"/>
      <c r="E82" s="9"/>
      <c r="F82" s="9"/>
      <c r="G82" s="9"/>
      <c r="H82" s="9"/>
      <c r="I82" s="9"/>
      <c r="J82" s="103"/>
      <c r="K82" s="64">
        <v>0.37</v>
      </c>
      <c r="L82" s="64">
        <v>0.1</v>
      </c>
      <c r="M82" s="67">
        <f>L82-(L82-$O$82)/($O$26-L26)</f>
        <v>0.10666666666666667</v>
      </c>
      <c r="N82" s="67">
        <f>M82-(M82-$O$82)/($O$26-M26)</f>
        <v>0.11333333333333334</v>
      </c>
      <c r="O82" s="67">
        <f>G14</f>
        <v>0.12</v>
      </c>
    </row>
    <row r="83" spans="1:15" ht="23" customHeight="1" x14ac:dyDescent="0.15">
      <c r="A83" s="7"/>
      <c r="B83" s="50" t="s">
        <v>38</v>
      </c>
      <c r="C83" s="49"/>
      <c r="D83" s="9"/>
      <c r="E83" s="9"/>
      <c r="F83" s="9"/>
      <c r="G83" s="9"/>
      <c r="H83" s="9"/>
      <c r="I83" s="9"/>
      <c r="J83" s="103"/>
      <c r="K83" s="64">
        <v>0.37</v>
      </c>
      <c r="L83" s="64">
        <v>0.1</v>
      </c>
      <c r="M83" s="67">
        <f>M82*$I$14</f>
        <v>0.128</v>
      </c>
      <c r="N83" s="67">
        <f>N82*$I$14</f>
        <v>0.13600000000000001</v>
      </c>
      <c r="O83" s="67">
        <f>O82*$I$14</f>
        <v>0.14399999999999999</v>
      </c>
    </row>
    <row r="84" spans="1:15" ht="20.25" customHeight="1" x14ac:dyDescent="0.15">
      <c r="A84" s="68"/>
      <c r="B84" s="68"/>
      <c r="C84" s="97"/>
      <c r="D84" s="29"/>
      <c r="E84" s="29"/>
      <c r="F84" s="29"/>
      <c r="G84" s="29"/>
      <c r="H84" s="29"/>
      <c r="I84" s="29"/>
      <c r="J84" s="29"/>
      <c r="K84" s="98"/>
      <c r="L84" s="98"/>
      <c r="M84" s="98"/>
      <c r="N84" s="98"/>
      <c r="O84" s="98"/>
    </row>
    <row r="85" spans="1:15" ht="21" customHeight="1" x14ac:dyDescent="0.15">
      <c r="A85" s="7"/>
      <c r="B85" s="7"/>
      <c r="C85" s="49"/>
      <c r="D85" s="9"/>
      <c r="E85" s="9"/>
      <c r="F85" s="9"/>
      <c r="G85" s="9"/>
      <c r="H85" s="9"/>
      <c r="I85" s="9"/>
      <c r="J85" s="9"/>
      <c r="K85" s="9"/>
      <c r="L85" s="9"/>
      <c r="M85" s="9"/>
      <c r="N85" s="9"/>
      <c r="O85" s="9"/>
    </row>
    <row r="86" spans="1:15" ht="21" customHeight="1" x14ac:dyDescent="0.15">
      <c r="A86" s="7"/>
      <c r="B86" s="66" t="s">
        <v>39</v>
      </c>
      <c r="C86" s="49"/>
      <c r="D86" s="92">
        <f t="shared" ref="D86:J86" si="13">D93/D79</f>
        <v>393.2421875</v>
      </c>
      <c r="E86" s="92">
        <f t="shared" si="13"/>
        <v>347.875</v>
      </c>
      <c r="F86" s="92">
        <f t="shared" si="13"/>
        <v>256.23505976095618</v>
      </c>
      <c r="G86" s="92">
        <f t="shared" si="13"/>
        <v>201.40208574739279</v>
      </c>
      <c r="H86" s="92">
        <f t="shared" si="13"/>
        <v>199.85306122448981</v>
      </c>
      <c r="I86" s="92">
        <f t="shared" si="13"/>
        <v>156.86475409836063</v>
      </c>
      <c r="J86" s="92">
        <f t="shared" si="13"/>
        <v>218.24232081911262</v>
      </c>
      <c r="K86" s="92">
        <f ca="1">J86*(1+K87)</f>
        <v>240.0665529010239</v>
      </c>
      <c r="L86" s="92">
        <f ca="1">K86*(1+L87)</f>
        <v>237.66588737201366</v>
      </c>
      <c r="M86" s="92">
        <f ca="1">L86*(1+M87)</f>
        <v>236.0814481228669</v>
      </c>
      <c r="N86" s="92">
        <f ca="1">M86*(1+N87)</f>
        <v>235.29450996245734</v>
      </c>
      <c r="O86" s="92">
        <f ca="1">N86*(1+O87)</f>
        <v>235.29450996245734</v>
      </c>
    </row>
    <row r="87" spans="1:15" ht="21.5" customHeight="1" x14ac:dyDescent="0.15">
      <c r="A87" s="93"/>
      <c r="B87" s="54" t="s">
        <v>35</v>
      </c>
      <c r="C87" s="94"/>
      <c r="D87" s="95"/>
      <c r="E87" s="95">
        <f t="shared" ref="E87:J87" si="14">E86/D86-1</f>
        <v>-0.11536704082646265</v>
      </c>
      <c r="F87" s="95">
        <f t="shared" si="14"/>
        <v>-0.2634277836551745</v>
      </c>
      <c r="G87" s="95">
        <f t="shared" si="14"/>
        <v>-0.21399481423314015</v>
      </c>
      <c r="H87" s="95">
        <f t="shared" si="14"/>
        <v>-7.6912039771317442E-3</v>
      </c>
      <c r="I87" s="95">
        <f t="shared" si="14"/>
        <v>-0.21509956796629459</v>
      </c>
      <c r="J87" s="95">
        <f t="shared" si="14"/>
        <v>0.39127697661302374</v>
      </c>
      <c r="K87" s="58">
        <f ca="1">OFFSET(K87,$C$15,0)</f>
        <v>0.1</v>
      </c>
      <c r="L87" s="58">
        <f ca="1">OFFSET(L87,$C$15,0)</f>
        <v>-0.01</v>
      </c>
      <c r="M87" s="58">
        <f ca="1">OFFSET(M87,$C$15,0)</f>
        <v>-6.6666666666666662E-3</v>
      </c>
      <c r="N87" s="58">
        <f ca="1">OFFSET(N87,$C$15,0)</f>
        <v>-3.3333333333333331E-3</v>
      </c>
      <c r="O87" s="58">
        <f ca="1">OFFSET(O87,$C$15,0)</f>
        <v>0</v>
      </c>
    </row>
    <row r="88" spans="1:15" ht="23" customHeight="1" x14ac:dyDescent="0.15">
      <c r="A88" s="7"/>
      <c r="B88" s="50" t="s">
        <v>36</v>
      </c>
      <c r="C88" s="49"/>
      <c r="D88" s="9"/>
      <c r="E88" s="9"/>
      <c r="F88" s="9"/>
      <c r="G88" s="9"/>
      <c r="H88" s="9"/>
      <c r="I88" s="9"/>
      <c r="J88" s="103"/>
      <c r="K88" s="96">
        <f>K89*$E$15</f>
        <v>9.0000000000000011E-2</v>
      </c>
      <c r="L88" s="96">
        <f>L89/E15</f>
        <v>-1.1111111111111112E-2</v>
      </c>
      <c r="M88" s="96">
        <f>M89*$E$15</f>
        <v>-6.0000000000000001E-3</v>
      </c>
      <c r="N88" s="96">
        <f>N89*$E$15</f>
        <v>-3.0000000000000001E-3</v>
      </c>
      <c r="O88" s="96">
        <f>O89*$E$15</f>
        <v>0</v>
      </c>
    </row>
    <row r="89" spans="1:15" ht="23" customHeight="1" x14ac:dyDescent="0.15">
      <c r="A89" s="7"/>
      <c r="B89" s="50" t="s">
        <v>37</v>
      </c>
      <c r="C89" s="49"/>
      <c r="D89" s="9"/>
      <c r="E89" s="9"/>
      <c r="F89" s="9"/>
      <c r="G89" s="9"/>
      <c r="H89" s="9"/>
      <c r="I89" s="9"/>
      <c r="J89" s="103"/>
      <c r="K89" s="64">
        <v>0.1</v>
      </c>
      <c r="L89" s="64">
        <v>-0.01</v>
      </c>
      <c r="M89" s="67">
        <f>L89-(L89-$O$89)/($O$26-L26)</f>
        <v>-6.6666666666666662E-3</v>
      </c>
      <c r="N89" s="67">
        <f>M89-(M89-$O$89)/($O$26-M26)</f>
        <v>-3.3333333333333331E-3</v>
      </c>
      <c r="O89" s="67">
        <v>0</v>
      </c>
    </row>
    <row r="90" spans="1:15" ht="23" customHeight="1" x14ac:dyDescent="0.15">
      <c r="A90" s="7"/>
      <c r="B90" s="50" t="s">
        <v>38</v>
      </c>
      <c r="C90" s="49"/>
      <c r="D90" s="9"/>
      <c r="E90" s="9"/>
      <c r="F90" s="9"/>
      <c r="G90" s="9"/>
      <c r="H90" s="9"/>
      <c r="I90" s="9"/>
      <c r="J90" s="103"/>
      <c r="K90" s="96">
        <f>K89*$I$15</f>
        <v>0.11000000000000001</v>
      </c>
      <c r="L90" s="96">
        <f>L89/$I$15</f>
        <v>-9.0909090909090905E-3</v>
      </c>
      <c r="M90" s="96">
        <f>M89*$I$15</f>
        <v>-7.3333333333333332E-3</v>
      </c>
      <c r="N90" s="96">
        <f>N89*$I$15</f>
        <v>-3.6666666666666666E-3</v>
      </c>
      <c r="O90" s="96">
        <f>O89*$I$15</f>
        <v>0</v>
      </c>
    </row>
    <row r="91" spans="1:15" ht="20.25" customHeight="1" x14ac:dyDescent="0.15">
      <c r="A91" s="68"/>
      <c r="B91" s="68"/>
      <c r="C91" s="97"/>
      <c r="D91" s="29"/>
      <c r="E91" s="29"/>
      <c r="F91" s="29"/>
      <c r="G91" s="29"/>
      <c r="H91" s="29"/>
      <c r="I91" s="29"/>
      <c r="J91" s="29"/>
      <c r="K91" s="98"/>
      <c r="L91" s="98"/>
      <c r="M91" s="98"/>
      <c r="N91" s="98"/>
      <c r="O91" s="98"/>
    </row>
    <row r="92" spans="1:15" ht="21.5" customHeight="1" x14ac:dyDescent="0.15">
      <c r="A92" s="7"/>
      <c r="B92" s="99"/>
      <c r="C92" s="100"/>
      <c r="D92" s="102"/>
      <c r="E92" s="102"/>
      <c r="F92" s="102"/>
      <c r="G92" s="102"/>
      <c r="H92" s="102"/>
      <c r="I92" s="102"/>
      <c r="J92" s="102"/>
      <c r="K92" s="102"/>
      <c r="L92" s="102"/>
      <c r="M92" s="102"/>
      <c r="N92" s="102"/>
      <c r="O92" s="102"/>
    </row>
    <row r="93" spans="1:15" ht="21.5" customHeight="1" x14ac:dyDescent="0.15">
      <c r="A93" s="7"/>
      <c r="B93" s="73" t="s">
        <v>40</v>
      </c>
      <c r="C93" s="74"/>
      <c r="D93" s="75">
        <v>10067</v>
      </c>
      <c r="E93" s="75">
        <v>11132</v>
      </c>
      <c r="F93" s="75">
        <v>12863</v>
      </c>
      <c r="G93" s="75">
        <v>17381</v>
      </c>
      <c r="H93" s="75">
        <v>24482</v>
      </c>
      <c r="I93" s="75">
        <v>30620</v>
      </c>
      <c r="J93" s="75">
        <v>38367</v>
      </c>
      <c r="K93" s="76">
        <f ca="1">K86*K79</f>
        <v>57819.06900000001</v>
      </c>
      <c r="L93" s="76">
        <f ca="1">L86*L79</f>
        <v>62964.966141000019</v>
      </c>
      <c r="M93" s="76">
        <f ca="1">M86*M79</f>
        <v>69216.687668066428</v>
      </c>
      <c r="N93" s="76">
        <f ca="1">N86*N79</f>
        <v>76804.374785101347</v>
      </c>
      <c r="O93" s="76">
        <f ca="1">O86*O79</f>
        <v>86020.899759313514</v>
      </c>
    </row>
    <row r="94" spans="1:15" ht="21.5" customHeight="1" x14ac:dyDescent="0.15">
      <c r="A94" s="53"/>
      <c r="B94" s="77" t="s">
        <v>35</v>
      </c>
      <c r="C94" s="78"/>
      <c r="D94" s="112"/>
      <c r="E94" s="113">
        <f t="shared" ref="E94:O94" si="15">E93/D93-1</f>
        <v>0.10579119896692157</v>
      </c>
      <c r="F94" s="113">
        <f t="shared" si="15"/>
        <v>0.15549766439094492</v>
      </c>
      <c r="G94" s="113">
        <f t="shared" si="15"/>
        <v>0.35123999067091649</v>
      </c>
      <c r="H94" s="113">
        <f t="shared" si="15"/>
        <v>0.40854956561762834</v>
      </c>
      <c r="I94" s="113">
        <f t="shared" si="15"/>
        <v>0.25071481088146386</v>
      </c>
      <c r="J94" s="113">
        <f t="shared" si="15"/>
        <v>0.2530045721750489</v>
      </c>
      <c r="K94" s="113">
        <f t="shared" ca="1" si="15"/>
        <v>0.50700000000000034</v>
      </c>
      <c r="L94" s="113">
        <f t="shared" ca="1" si="15"/>
        <v>8.900000000000019E-2</v>
      </c>
      <c r="M94" s="113">
        <f t="shared" ca="1" si="15"/>
        <v>9.9288888888888982E-2</v>
      </c>
      <c r="N94" s="113">
        <f t="shared" ca="1" si="15"/>
        <v>0.10962222222222207</v>
      </c>
      <c r="O94" s="113">
        <f t="shared" ca="1" si="15"/>
        <v>0.12000000000000011</v>
      </c>
    </row>
    <row r="95" spans="1:15" ht="21.5" customHeight="1" x14ac:dyDescent="0.15">
      <c r="A95" s="7"/>
      <c r="B95" s="80"/>
      <c r="C95" s="74"/>
      <c r="D95" s="82"/>
      <c r="E95" s="82"/>
      <c r="F95" s="82"/>
      <c r="G95" s="82"/>
      <c r="H95" s="82"/>
      <c r="I95" s="82"/>
      <c r="J95" s="82"/>
      <c r="K95" s="82"/>
      <c r="L95" s="82"/>
      <c r="M95" s="82"/>
      <c r="N95" s="82"/>
      <c r="O95" s="82"/>
    </row>
    <row r="96" spans="1:15" ht="21" customHeight="1" x14ac:dyDescent="0.15">
      <c r="A96" s="7"/>
      <c r="B96" s="109" t="s">
        <v>44</v>
      </c>
      <c r="C96" s="49"/>
      <c r="D96" s="9"/>
      <c r="E96" s="9"/>
      <c r="F96" s="9"/>
      <c r="G96" s="9"/>
      <c r="H96" s="9"/>
      <c r="I96" s="9"/>
      <c r="J96" s="9"/>
      <c r="K96" s="9"/>
      <c r="L96" s="9"/>
      <c r="M96" s="9"/>
      <c r="N96" s="9"/>
      <c r="O96" s="9"/>
    </row>
    <row r="97" spans="1:15" ht="21" customHeight="1" x14ac:dyDescent="0.15">
      <c r="A97" s="7"/>
      <c r="B97" s="50" t="s">
        <v>34</v>
      </c>
      <c r="C97" s="49"/>
      <c r="D97" s="114">
        <v>30</v>
      </c>
      <c r="E97" s="114">
        <v>95</v>
      </c>
      <c r="F97" s="114">
        <v>200</v>
      </c>
      <c r="G97" s="114">
        <v>325</v>
      </c>
      <c r="H97" s="114">
        <v>480</v>
      </c>
      <c r="I97" s="114">
        <v>620</v>
      </c>
      <c r="J97" s="114">
        <v>745</v>
      </c>
      <c r="K97" s="92">
        <f ca="1">J97*(1+K98)</f>
        <v>968.5</v>
      </c>
      <c r="L97" s="92">
        <f ca="1">K97*(1+L98)</f>
        <v>1210.625</v>
      </c>
      <c r="M97" s="92">
        <f ca="1">L97*(1+M98)</f>
        <v>1462.8385416666665</v>
      </c>
      <c r="N97" s="92">
        <f ca="1">M97*(1+N98)</f>
        <v>1706.6449652777776</v>
      </c>
      <c r="O97" s="92">
        <f ca="1">N97*(1+O98)</f>
        <v>1919.9755859374998</v>
      </c>
    </row>
    <row r="98" spans="1:15" ht="21.5" customHeight="1" x14ac:dyDescent="0.15">
      <c r="A98" s="53"/>
      <c r="B98" s="54" t="s">
        <v>35</v>
      </c>
      <c r="C98" s="111"/>
      <c r="D98" s="108"/>
      <c r="E98" s="57">
        <f t="shared" ref="E98:J98" si="16">E97/D97-1</f>
        <v>2.1666666666666665</v>
      </c>
      <c r="F98" s="57">
        <f t="shared" si="16"/>
        <v>1.1052631578947367</v>
      </c>
      <c r="G98" s="57">
        <f t="shared" si="16"/>
        <v>0.625</v>
      </c>
      <c r="H98" s="57">
        <f t="shared" si="16"/>
        <v>0.47692307692307701</v>
      </c>
      <c r="I98" s="57">
        <f t="shared" si="16"/>
        <v>0.29166666666666674</v>
      </c>
      <c r="J98" s="57">
        <f t="shared" si="16"/>
        <v>0.20161290322580649</v>
      </c>
      <c r="K98" s="59">
        <f ca="1">OFFSET(K98,$C$16,0)</f>
        <v>0.3</v>
      </c>
      <c r="L98" s="59">
        <f ca="1">OFFSET(L98,$C$16,0)</f>
        <v>0.25</v>
      </c>
      <c r="M98" s="59">
        <f ca="1">OFFSET(M98,$C$16,0)</f>
        <v>0.20833333333333334</v>
      </c>
      <c r="N98" s="59">
        <f ca="1">OFFSET(N98,$C$16,0)</f>
        <v>0.16666666666666669</v>
      </c>
      <c r="O98" s="59">
        <f ca="1">OFFSET(O98,$C$16,0)</f>
        <v>0.125</v>
      </c>
    </row>
    <row r="99" spans="1:15" ht="23" customHeight="1" x14ac:dyDescent="0.15">
      <c r="A99" s="7"/>
      <c r="B99" s="50" t="s">
        <v>36</v>
      </c>
      <c r="C99" s="49"/>
      <c r="D99" s="9"/>
      <c r="E99" s="9"/>
      <c r="F99" s="9"/>
      <c r="G99" s="9"/>
      <c r="H99" s="9"/>
      <c r="I99" s="9"/>
      <c r="J99" s="103"/>
      <c r="K99" s="96">
        <f>K100*$E$16</f>
        <v>0.27</v>
      </c>
      <c r="L99" s="96">
        <f>L100*$E$16</f>
        <v>0.22500000000000001</v>
      </c>
      <c r="M99" s="96">
        <f>M100*$E$16</f>
        <v>0.1875</v>
      </c>
      <c r="N99" s="96">
        <f>N100*$E$16</f>
        <v>0.15000000000000002</v>
      </c>
      <c r="O99" s="96">
        <f>O100*$E$16</f>
        <v>0.1125</v>
      </c>
    </row>
    <row r="100" spans="1:15" ht="23" customHeight="1" x14ac:dyDescent="0.15">
      <c r="A100" s="7"/>
      <c r="B100" s="50" t="s">
        <v>37</v>
      </c>
      <c r="C100" s="49"/>
      <c r="D100" s="9"/>
      <c r="E100" s="9"/>
      <c r="F100" s="9"/>
      <c r="G100" s="9"/>
      <c r="H100" s="9"/>
      <c r="I100" s="9"/>
      <c r="J100" s="103"/>
      <c r="K100" s="64">
        <v>0.3</v>
      </c>
      <c r="L100" s="64">
        <v>0.25</v>
      </c>
      <c r="M100" s="64">
        <f>L100-(L100-$O$100)/($O$26-L26)</f>
        <v>0.20833333333333334</v>
      </c>
      <c r="N100" s="64">
        <f>M100-(M100-$O$100)/($O$26-M26)</f>
        <v>0.16666666666666669</v>
      </c>
      <c r="O100" s="67">
        <f>G16</f>
        <v>0.125</v>
      </c>
    </row>
    <row r="101" spans="1:15" ht="23" customHeight="1" x14ac:dyDescent="0.15">
      <c r="A101" s="7"/>
      <c r="B101" s="50" t="s">
        <v>38</v>
      </c>
      <c r="C101" s="49"/>
      <c r="D101" s="9"/>
      <c r="E101" s="9"/>
      <c r="F101" s="9"/>
      <c r="G101" s="9"/>
      <c r="H101" s="9"/>
      <c r="I101" s="9"/>
      <c r="J101" s="103"/>
      <c r="K101" s="96">
        <f>K100*$I$16</f>
        <v>0.33</v>
      </c>
      <c r="L101" s="96">
        <f>L100*$I$16</f>
        <v>0.27500000000000002</v>
      </c>
      <c r="M101" s="96">
        <f>M100*$I$16</f>
        <v>0.22916666666666669</v>
      </c>
      <c r="N101" s="96">
        <f>N100*$I$16</f>
        <v>0.18333333333333338</v>
      </c>
      <c r="O101" s="96">
        <f>O100*$I$16</f>
        <v>0.13750000000000001</v>
      </c>
    </row>
    <row r="102" spans="1:15" ht="21.5" customHeight="1" x14ac:dyDescent="0.15">
      <c r="A102" s="7"/>
      <c r="B102" s="7"/>
      <c r="C102" s="49"/>
      <c r="D102" s="9"/>
      <c r="E102" s="9"/>
      <c r="F102" s="9"/>
      <c r="G102" s="9"/>
      <c r="H102" s="9"/>
      <c r="I102" s="9"/>
      <c r="J102" s="9"/>
      <c r="K102" s="45"/>
      <c r="L102" s="45"/>
      <c r="M102" s="45"/>
      <c r="N102" s="45"/>
      <c r="O102" s="45"/>
    </row>
    <row r="103" spans="1:15" ht="21" customHeight="1" x14ac:dyDescent="0.15">
      <c r="A103" s="7"/>
      <c r="B103" s="66" t="s">
        <v>39</v>
      </c>
      <c r="C103" s="49"/>
      <c r="D103" s="92">
        <f t="shared" ref="D103:J103" si="17">D110/D97</f>
        <v>663.63333333333333</v>
      </c>
      <c r="E103" s="92">
        <f t="shared" si="17"/>
        <v>256.29473684210524</v>
      </c>
      <c r="F103" s="92">
        <f t="shared" si="17"/>
        <v>149.9</v>
      </c>
      <c r="G103" s="92">
        <f t="shared" si="17"/>
        <v>119.22461538461539</v>
      </c>
      <c r="H103" s="92">
        <f t="shared" si="17"/>
        <v>96.439583333333331</v>
      </c>
      <c r="I103" s="92">
        <f t="shared" si="17"/>
        <v>86.722580645161287</v>
      </c>
      <c r="J103" s="92">
        <f t="shared" si="17"/>
        <v>91.845637583892611</v>
      </c>
      <c r="K103" s="92">
        <f ca="1">J103*(1+K104)</f>
        <v>90.008724832214753</v>
      </c>
      <c r="L103" s="92">
        <f ca="1">K103*(1+L104)</f>
        <v>89.108637583892602</v>
      </c>
      <c r="M103" s="92">
        <f ca="1">L103*(1+M104)</f>
        <v>87.920522416107374</v>
      </c>
      <c r="N103" s="92">
        <f ca="1">M103*(1+N104)</f>
        <v>86.455180375838907</v>
      </c>
      <c r="O103" s="92">
        <f ca="1">N103*(1+O104)</f>
        <v>84.72607676832213</v>
      </c>
    </row>
    <row r="104" spans="1:15" ht="21.5" customHeight="1" x14ac:dyDescent="0.15">
      <c r="A104" s="93"/>
      <c r="B104" s="54" t="s">
        <v>35</v>
      </c>
      <c r="C104" s="94"/>
      <c r="D104" s="95"/>
      <c r="E104" s="95">
        <f t="shared" ref="E104:J104" si="18">E103/D103-1</f>
        <v>-0.61380068786663533</v>
      </c>
      <c r="F104" s="95">
        <f t="shared" si="18"/>
        <v>-0.41512649909643495</v>
      </c>
      <c r="G104" s="95">
        <f t="shared" si="18"/>
        <v>-0.20463899009596143</v>
      </c>
      <c r="H104" s="95">
        <f t="shared" si="18"/>
        <v>-0.19111013256598197</v>
      </c>
      <c r="I104" s="95">
        <f t="shared" si="18"/>
        <v>-0.10075741051873111</v>
      </c>
      <c r="J104" s="95">
        <f t="shared" si="18"/>
        <v>5.9074083135199684E-2</v>
      </c>
      <c r="K104" s="58">
        <f ca="1">OFFSET(K104,$C$17,0)</f>
        <v>-0.02</v>
      </c>
      <c r="L104" s="58">
        <f ca="1">OFFSET(L104,$C$17,0)</f>
        <v>-0.01</v>
      </c>
      <c r="M104" s="58">
        <f ca="1">OFFSET(M104,$C$17,0)</f>
        <v>-1.3333333333333334E-2</v>
      </c>
      <c r="N104" s="58">
        <f ca="1">OFFSET(N104,$C$17,0)</f>
        <v>-1.6666666666666666E-2</v>
      </c>
      <c r="O104" s="58">
        <f ca="1">OFFSET(O104,$C$17,0)</f>
        <v>-0.02</v>
      </c>
    </row>
    <row r="105" spans="1:15" ht="23" customHeight="1" x14ac:dyDescent="0.15">
      <c r="A105" s="7"/>
      <c r="B105" s="50" t="s">
        <v>36</v>
      </c>
      <c r="C105" s="49"/>
      <c r="D105" s="9"/>
      <c r="E105" s="9"/>
      <c r="F105" s="9"/>
      <c r="G105" s="9"/>
      <c r="H105" s="9"/>
      <c r="I105" s="9"/>
      <c r="J105" s="103"/>
      <c r="K105" s="96">
        <f>K106*$E$17</f>
        <v>-2.2000000000000002E-2</v>
      </c>
      <c r="L105" s="96">
        <f>L106*$E$17</f>
        <v>-1.1000000000000001E-2</v>
      </c>
      <c r="M105" s="96">
        <f>M106*$E$17</f>
        <v>-1.4666666666666668E-2</v>
      </c>
      <c r="N105" s="96">
        <f>N106*$E$17</f>
        <v>-1.8333333333333333E-2</v>
      </c>
      <c r="O105" s="96">
        <f>O106*$E$17</f>
        <v>-2.2000000000000002E-2</v>
      </c>
    </row>
    <row r="106" spans="1:15" ht="23" customHeight="1" x14ac:dyDescent="0.15">
      <c r="A106" s="7"/>
      <c r="B106" s="50" t="s">
        <v>37</v>
      </c>
      <c r="C106" s="49"/>
      <c r="D106" s="9"/>
      <c r="E106" s="9"/>
      <c r="F106" s="9"/>
      <c r="G106" s="9"/>
      <c r="H106" s="9"/>
      <c r="I106" s="9"/>
      <c r="J106" s="103"/>
      <c r="K106" s="64">
        <v>-0.02</v>
      </c>
      <c r="L106" s="64">
        <v>-0.01</v>
      </c>
      <c r="M106" s="64">
        <f>L106-(L106-$O$106)/($O$26-L26)</f>
        <v>-1.3333333333333334E-2</v>
      </c>
      <c r="N106" s="64">
        <f>M106-(M106-$O$106)/($O$26-M26)</f>
        <v>-1.6666666666666666E-2</v>
      </c>
      <c r="O106" s="67">
        <f>G17</f>
        <v>-0.02</v>
      </c>
    </row>
    <row r="107" spans="1:15" ht="23" customHeight="1" x14ac:dyDescent="0.15">
      <c r="A107" s="7"/>
      <c r="B107" s="50" t="s">
        <v>38</v>
      </c>
      <c r="C107" s="49"/>
      <c r="D107" s="9"/>
      <c r="E107" s="9"/>
      <c r="F107" s="9"/>
      <c r="G107" s="9"/>
      <c r="H107" s="9"/>
      <c r="I107" s="9"/>
      <c r="J107" s="103"/>
      <c r="K107" s="96">
        <f>K106*$I$17</f>
        <v>-1.8000000000000002E-2</v>
      </c>
      <c r="L107" s="96">
        <f>L106*$I$17</f>
        <v>-9.0000000000000011E-3</v>
      </c>
      <c r="M107" s="96">
        <f>M106*$I$17</f>
        <v>-1.2E-2</v>
      </c>
      <c r="N107" s="96">
        <f>N106*$I$17</f>
        <v>-1.4999999999999999E-2</v>
      </c>
      <c r="O107" s="96">
        <f>O106*$I$17</f>
        <v>-1.8000000000000002E-2</v>
      </c>
    </row>
    <row r="108" spans="1:15" ht="20.25" customHeight="1" x14ac:dyDescent="0.15">
      <c r="A108" s="68"/>
      <c r="B108" s="68"/>
      <c r="C108" s="97"/>
      <c r="D108" s="29"/>
      <c r="E108" s="29"/>
      <c r="F108" s="29"/>
      <c r="G108" s="29"/>
      <c r="H108" s="29"/>
      <c r="I108" s="29"/>
      <c r="J108" s="29"/>
      <c r="K108" s="98"/>
      <c r="L108" s="98"/>
      <c r="M108" s="98"/>
      <c r="N108" s="98"/>
      <c r="O108" s="98"/>
    </row>
    <row r="109" spans="1:15" ht="21.5" customHeight="1" x14ac:dyDescent="0.15">
      <c r="A109" s="7"/>
      <c r="B109" s="99"/>
      <c r="C109" s="100"/>
      <c r="D109" s="102"/>
      <c r="E109" s="102"/>
      <c r="F109" s="102"/>
      <c r="G109" s="102"/>
      <c r="H109" s="102"/>
      <c r="I109" s="102"/>
      <c r="J109" s="102"/>
      <c r="K109" s="102"/>
      <c r="L109" s="102"/>
      <c r="M109" s="102"/>
      <c r="N109" s="102"/>
      <c r="O109" s="102"/>
    </row>
    <row r="110" spans="1:15" ht="21.5" customHeight="1" x14ac:dyDescent="0.15">
      <c r="A110" s="7"/>
      <c r="B110" s="73" t="s">
        <v>40</v>
      </c>
      <c r="C110" s="74"/>
      <c r="D110" s="115">
        <v>19909</v>
      </c>
      <c r="E110" s="115">
        <v>24348</v>
      </c>
      <c r="F110" s="115">
        <v>29980</v>
      </c>
      <c r="G110" s="115">
        <v>38748</v>
      </c>
      <c r="H110" s="115">
        <v>46291</v>
      </c>
      <c r="I110" s="115">
        <v>53768</v>
      </c>
      <c r="J110" s="115">
        <v>68425</v>
      </c>
      <c r="K110" s="76">
        <f ca="1">K97*K103</f>
        <v>87173.449999999983</v>
      </c>
      <c r="L110" s="76">
        <f ca="1">L97*L103</f>
        <v>107877.14437499997</v>
      </c>
      <c r="M110" s="76">
        <f ca="1">M97*M103</f>
        <v>128613.52879374998</v>
      </c>
      <c r="N110" s="76">
        <f ca="1">N97*N103</f>
        <v>147548.29831060758</v>
      </c>
      <c r="O110" s="76">
        <f ca="1">O97*O103</f>
        <v>162671.99888744488</v>
      </c>
    </row>
    <row r="111" spans="1:15" ht="21.5" customHeight="1" x14ac:dyDescent="0.15">
      <c r="A111" s="53"/>
      <c r="B111" s="77" t="s">
        <v>35</v>
      </c>
      <c r="C111" s="78"/>
      <c r="D111" s="112"/>
      <c r="E111" s="79">
        <f t="shared" ref="E111:O111" si="19">E110/D110-1</f>
        <v>0.22296448842232164</v>
      </c>
      <c r="F111" s="79">
        <f t="shared" si="19"/>
        <v>0.23131263348118947</v>
      </c>
      <c r="G111" s="79">
        <f t="shared" si="19"/>
        <v>0.29246164109406281</v>
      </c>
      <c r="H111" s="79">
        <f t="shared" si="19"/>
        <v>0.19466811190254973</v>
      </c>
      <c r="I111" s="79">
        <f t="shared" si="19"/>
        <v>0.16152167807997242</v>
      </c>
      <c r="J111" s="79">
        <f t="shared" si="19"/>
        <v>0.27259708376729663</v>
      </c>
      <c r="K111" s="79">
        <f t="shared" ca="1" si="19"/>
        <v>0.2739999999999998</v>
      </c>
      <c r="L111" s="79">
        <f t="shared" ca="1" si="19"/>
        <v>0.23750000000000004</v>
      </c>
      <c r="M111" s="79">
        <f t="shared" ca="1" si="19"/>
        <v>0.19222222222222229</v>
      </c>
      <c r="N111" s="79">
        <f t="shared" ca="1" si="19"/>
        <v>0.14722222222222192</v>
      </c>
      <c r="O111" s="79">
        <f t="shared" ca="1" si="19"/>
        <v>0.10250000000000004</v>
      </c>
    </row>
    <row r="112" spans="1:15" ht="22" customHeight="1" x14ac:dyDescent="0.15">
      <c r="A112" s="116"/>
      <c r="B112" s="117"/>
      <c r="C112" s="118"/>
      <c r="D112" s="119"/>
      <c r="E112" s="119"/>
      <c r="F112" s="119"/>
      <c r="G112" s="119"/>
      <c r="H112" s="119"/>
      <c r="I112" s="119"/>
      <c r="J112" s="119"/>
      <c r="K112" s="119"/>
      <c r="L112" s="119"/>
      <c r="M112" s="119"/>
      <c r="N112" s="119"/>
      <c r="O112" s="119"/>
    </row>
    <row r="113" spans="1:15" ht="21.5" customHeight="1" x14ac:dyDescent="0.15">
      <c r="A113" s="120"/>
      <c r="B113" s="73" t="s">
        <v>45</v>
      </c>
      <c r="C113" s="121"/>
      <c r="D113" s="122">
        <f t="shared" ref="D113:O113" si="20">SUM(D110,D93,D75,D57,D40)</f>
        <v>233715</v>
      </c>
      <c r="E113" s="122">
        <f t="shared" si="20"/>
        <v>215639</v>
      </c>
      <c r="F113" s="122">
        <f t="shared" si="20"/>
        <v>227252</v>
      </c>
      <c r="G113" s="122">
        <f t="shared" si="20"/>
        <v>264595</v>
      </c>
      <c r="H113" s="122">
        <f t="shared" si="20"/>
        <v>260174</v>
      </c>
      <c r="I113" s="122">
        <f t="shared" si="20"/>
        <v>274515</v>
      </c>
      <c r="J113" s="122">
        <f t="shared" si="20"/>
        <v>365817</v>
      </c>
      <c r="K113" s="123">
        <f t="shared" ca="1" si="20"/>
        <v>422576.13740000001</v>
      </c>
      <c r="L113" s="123">
        <f t="shared" ca="1" si="20"/>
        <v>451193.73602880002</v>
      </c>
      <c r="M113" s="123">
        <f t="shared" ca="1" si="20"/>
        <v>484081.04309664399</v>
      </c>
      <c r="N113" s="123">
        <f t="shared" ca="1" si="20"/>
        <v>519814.25094564143</v>
      </c>
      <c r="O113" s="123">
        <f t="shared" ca="1" si="20"/>
        <v>557562.14622870716</v>
      </c>
    </row>
    <row r="114" spans="1:15" ht="21" customHeight="1" x14ac:dyDescent="0.15">
      <c r="A114" s="7"/>
      <c r="B114" s="54" t="s">
        <v>35</v>
      </c>
      <c r="C114" s="49"/>
      <c r="D114" s="9"/>
      <c r="E114" s="95">
        <f t="shared" ref="E114:O114" si="21">E113/D113-1</f>
        <v>-7.7342061913013738E-2</v>
      </c>
      <c r="F114" s="95">
        <f t="shared" si="21"/>
        <v>5.3853894703648209E-2</v>
      </c>
      <c r="G114" s="95">
        <f t="shared" si="21"/>
        <v>0.16432418636579649</v>
      </c>
      <c r="H114" s="95">
        <f t="shared" si="21"/>
        <v>-1.670855458341991E-2</v>
      </c>
      <c r="I114" s="95">
        <f t="shared" si="21"/>
        <v>5.5120803769784787E-2</v>
      </c>
      <c r="J114" s="95">
        <f t="shared" si="21"/>
        <v>0.33259384733074704</v>
      </c>
      <c r="K114" s="95">
        <f t="shared" ca="1" si="21"/>
        <v>0.15515718897700226</v>
      </c>
      <c r="L114" s="95">
        <f t="shared" ca="1" si="21"/>
        <v>6.7721757326091758E-2</v>
      </c>
      <c r="M114" s="95">
        <f t="shared" ca="1" si="21"/>
        <v>7.2889547087472639E-2</v>
      </c>
      <c r="N114" s="95">
        <f t="shared" ca="1" si="21"/>
        <v>7.3816581662470737E-2</v>
      </c>
      <c r="O114" s="95">
        <f t="shared" ca="1" si="21"/>
        <v>7.261804618552703E-2</v>
      </c>
    </row>
    <row r="115" spans="1:15" ht="21" customHeight="1" x14ac:dyDescent="0.15">
      <c r="A115" s="7"/>
      <c r="B115" s="65"/>
      <c r="C115" s="49"/>
      <c r="D115" s="9"/>
      <c r="E115" s="9"/>
      <c r="F115" s="9"/>
      <c r="G115" s="9"/>
      <c r="H115" s="9"/>
      <c r="I115" s="9"/>
      <c r="J115" s="9"/>
      <c r="K115" s="9"/>
      <c r="L115" s="9"/>
      <c r="M115" s="9"/>
      <c r="N115" s="9"/>
      <c r="O115" s="9"/>
    </row>
    <row r="116" spans="1:15" ht="21" customHeight="1" x14ac:dyDescent="0.15">
      <c r="A116" s="7"/>
      <c r="B116" s="124" t="s">
        <v>46</v>
      </c>
      <c r="C116" s="47"/>
      <c r="D116" s="48">
        <v>2015</v>
      </c>
      <c r="E116" s="48">
        <v>2016</v>
      </c>
      <c r="F116" s="48">
        <v>2017</v>
      </c>
      <c r="G116" s="48">
        <v>2018</v>
      </c>
      <c r="H116" s="48">
        <v>2019</v>
      </c>
      <c r="I116" s="48">
        <v>2020</v>
      </c>
      <c r="J116" s="48">
        <v>2021</v>
      </c>
      <c r="K116" s="48">
        <v>2022</v>
      </c>
      <c r="L116" s="48">
        <v>2023</v>
      </c>
      <c r="M116" s="48">
        <v>2024</v>
      </c>
      <c r="N116" s="48">
        <v>2025</v>
      </c>
      <c r="O116" s="48">
        <v>2026</v>
      </c>
    </row>
    <row r="117" spans="1:15" ht="21" customHeight="1" x14ac:dyDescent="0.15">
      <c r="A117" s="7"/>
      <c r="B117" s="125"/>
      <c r="C117" s="126"/>
      <c r="D117" s="9"/>
      <c r="E117" s="9"/>
      <c r="F117" s="9"/>
      <c r="G117" s="9"/>
      <c r="H117" s="9"/>
      <c r="I117" s="9"/>
      <c r="J117" s="9"/>
      <c r="K117" s="9"/>
      <c r="L117" s="9"/>
      <c r="M117" s="9"/>
      <c r="N117" s="9"/>
      <c r="O117" s="9"/>
    </row>
    <row r="118" spans="1:15" ht="21" customHeight="1" x14ac:dyDescent="0.15">
      <c r="A118" s="7"/>
      <c r="B118" s="127" t="s">
        <v>40</v>
      </c>
      <c r="C118" s="128"/>
      <c r="D118" s="129">
        <f t="shared" ref="D118:O118" si="22">D113</f>
        <v>233715</v>
      </c>
      <c r="E118" s="130">
        <f t="shared" si="22"/>
        <v>215639</v>
      </c>
      <c r="F118" s="130">
        <f t="shared" si="22"/>
        <v>227252</v>
      </c>
      <c r="G118" s="130">
        <f t="shared" si="22"/>
        <v>264595</v>
      </c>
      <c r="H118" s="130">
        <f t="shared" si="22"/>
        <v>260174</v>
      </c>
      <c r="I118" s="130">
        <f t="shared" si="22"/>
        <v>274515</v>
      </c>
      <c r="J118" s="130">
        <f t="shared" si="22"/>
        <v>365817</v>
      </c>
      <c r="K118" s="131">
        <f t="shared" ca="1" si="22"/>
        <v>422576.13740000001</v>
      </c>
      <c r="L118" s="131">
        <f t="shared" ca="1" si="22"/>
        <v>451193.73602880002</v>
      </c>
      <c r="M118" s="131">
        <f t="shared" ca="1" si="22"/>
        <v>484081.04309664399</v>
      </c>
      <c r="N118" s="131">
        <f t="shared" ca="1" si="22"/>
        <v>519814.25094564143</v>
      </c>
      <c r="O118" s="131">
        <f t="shared" ca="1" si="22"/>
        <v>557562.14622870716</v>
      </c>
    </row>
    <row r="119" spans="1:15" ht="21" customHeight="1" x14ac:dyDescent="0.15">
      <c r="A119" s="7"/>
      <c r="B119" s="132" t="s">
        <v>35</v>
      </c>
      <c r="C119" s="133"/>
      <c r="D119" s="49"/>
      <c r="E119" s="134">
        <f t="shared" ref="E119:O119" si="23">E118/D118-1</f>
        <v>-7.7342061913013738E-2</v>
      </c>
      <c r="F119" s="134">
        <f t="shared" si="23"/>
        <v>5.3853894703648209E-2</v>
      </c>
      <c r="G119" s="134">
        <f t="shared" si="23"/>
        <v>0.16432418636579649</v>
      </c>
      <c r="H119" s="134">
        <f t="shared" si="23"/>
        <v>-1.670855458341991E-2</v>
      </c>
      <c r="I119" s="134">
        <f t="shared" si="23"/>
        <v>5.5120803769784787E-2</v>
      </c>
      <c r="J119" s="134">
        <f t="shared" si="23"/>
        <v>0.33259384733074704</v>
      </c>
      <c r="K119" s="134">
        <f t="shared" ca="1" si="23"/>
        <v>0.15515718897700226</v>
      </c>
      <c r="L119" s="134">
        <f t="shared" ca="1" si="23"/>
        <v>6.7721757326091758E-2</v>
      </c>
      <c r="M119" s="134">
        <f t="shared" ca="1" si="23"/>
        <v>7.2889547087472639E-2</v>
      </c>
      <c r="N119" s="134">
        <f t="shared" ca="1" si="23"/>
        <v>7.3816581662470737E-2</v>
      </c>
      <c r="O119" s="134">
        <f t="shared" ca="1" si="23"/>
        <v>7.261804618552703E-2</v>
      </c>
    </row>
    <row r="120" spans="1:15" ht="21" customHeight="1" x14ac:dyDescent="0.15">
      <c r="A120" s="7"/>
      <c r="B120" s="135"/>
      <c r="C120" s="136"/>
      <c r="D120" s="49"/>
      <c r="E120" s="9"/>
      <c r="F120" s="9"/>
      <c r="G120" s="9"/>
      <c r="H120" s="9"/>
      <c r="I120" s="9"/>
      <c r="J120" s="9"/>
      <c r="K120" s="9"/>
      <c r="L120" s="9"/>
      <c r="M120" s="9"/>
      <c r="N120" s="9"/>
      <c r="O120" s="9"/>
    </row>
    <row r="121" spans="1:15" ht="21" customHeight="1" x14ac:dyDescent="0.15">
      <c r="A121" s="7"/>
      <c r="B121" s="137" t="s">
        <v>28</v>
      </c>
      <c r="C121" s="138"/>
      <c r="D121" s="139">
        <v>71230</v>
      </c>
      <c r="E121" s="110">
        <v>60024</v>
      </c>
      <c r="F121" s="110">
        <v>66412</v>
      </c>
      <c r="G121" s="110">
        <v>76143</v>
      </c>
      <c r="H121" s="110">
        <v>69313</v>
      </c>
      <c r="I121" s="110">
        <v>69964</v>
      </c>
      <c r="J121" s="110">
        <v>111852</v>
      </c>
      <c r="K121" s="110">
        <v>116180.52</v>
      </c>
      <c r="L121" s="110">
        <v>131456.03</v>
      </c>
      <c r="M121" s="110">
        <v>148739.99</v>
      </c>
      <c r="N121" s="110">
        <v>168296.45</v>
      </c>
      <c r="O121" s="110">
        <v>190424.21</v>
      </c>
    </row>
    <row r="122" spans="1:15" ht="21" customHeight="1" x14ac:dyDescent="0.15">
      <c r="A122" s="7"/>
      <c r="B122" s="140" t="s">
        <v>47</v>
      </c>
      <c r="C122" s="141"/>
      <c r="D122" s="134">
        <f t="shared" ref="D122:O122" si="24">D121/D118</f>
        <v>0.30477290717326661</v>
      </c>
      <c r="E122" s="134">
        <f t="shared" si="24"/>
        <v>0.27835410106706115</v>
      </c>
      <c r="F122" s="134">
        <f t="shared" si="24"/>
        <v>0.2922394522380441</v>
      </c>
      <c r="G122" s="134">
        <f t="shared" si="24"/>
        <v>0.28777187777546814</v>
      </c>
      <c r="H122" s="134">
        <f t="shared" si="24"/>
        <v>0.26641017165435438</v>
      </c>
      <c r="I122" s="134">
        <f t="shared" si="24"/>
        <v>0.25486403293080523</v>
      </c>
      <c r="J122" s="134">
        <f t="shared" si="24"/>
        <v>0.305759437095597</v>
      </c>
      <c r="K122" s="134">
        <f t="shared" ca="1" si="24"/>
        <v>0.27493393430785806</v>
      </c>
      <c r="L122" s="134">
        <f t="shared" ca="1" si="24"/>
        <v>0.29135162902972805</v>
      </c>
      <c r="M122" s="134">
        <f t="shared" ca="1" si="24"/>
        <v>0.30726257952287733</v>
      </c>
      <c r="N122" s="134">
        <f t="shared" ca="1" si="24"/>
        <v>0.32376267040358475</v>
      </c>
      <c r="O122" s="134">
        <f t="shared" ca="1" si="24"/>
        <v>0.34153001829125185</v>
      </c>
    </row>
    <row r="123" spans="1:15" ht="21" customHeight="1" x14ac:dyDescent="0.15">
      <c r="A123" s="7"/>
      <c r="B123" s="7"/>
      <c r="C123" s="49"/>
      <c r="D123" s="9"/>
      <c r="E123" s="9"/>
      <c r="F123" s="9"/>
      <c r="G123" s="9"/>
      <c r="H123" s="9"/>
      <c r="I123" s="9"/>
      <c r="J123" s="9"/>
      <c r="K123" s="9"/>
      <c r="L123" s="9"/>
      <c r="M123" s="9"/>
      <c r="N123" s="9"/>
      <c r="O123" s="9"/>
    </row>
    <row r="124" spans="1:15" ht="21" customHeight="1" x14ac:dyDescent="0.15">
      <c r="A124" s="7"/>
      <c r="B124" s="142" t="s">
        <v>48</v>
      </c>
      <c r="C124" s="49"/>
      <c r="D124" s="92">
        <v>19121</v>
      </c>
      <c r="E124" s="92">
        <v>15685</v>
      </c>
      <c r="F124" s="92">
        <f t="shared" ref="F124:O124" si="25">F121*F125</f>
        <v>16310.787200000001</v>
      </c>
      <c r="G124" s="92">
        <f t="shared" si="25"/>
        <v>13964.626200000001</v>
      </c>
      <c r="H124" s="92">
        <f t="shared" si="25"/>
        <v>11048.492199999999</v>
      </c>
      <c r="I124" s="92">
        <f t="shared" si="25"/>
        <v>10095.805200000001</v>
      </c>
      <c r="J124" s="92">
        <f t="shared" si="25"/>
        <v>14876.316000000001</v>
      </c>
      <c r="K124" s="92">
        <f t="shared" si="25"/>
        <v>20110.848012000002</v>
      </c>
      <c r="L124" s="92">
        <f t="shared" si="25"/>
        <v>22755.038793</v>
      </c>
      <c r="M124" s="92">
        <f t="shared" si="25"/>
        <v>25746.892269</v>
      </c>
      <c r="N124" s="92">
        <f t="shared" si="25"/>
        <v>29132.115495000002</v>
      </c>
      <c r="O124" s="92">
        <f t="shared" si="25"/>
        <v>32962.430751</v>
      </c>
    </row>
    <row r="125" spans="1:15" ht="21" customHeight="1" x14ac:dyDescent="0.15">
      <c r="A125" s="7"/>
      <c r="B125" s="142" t="s">
        <v>49</v>
      </c>
      <c r="C125" s="49"/>
      <c r="D125" s="143">
        <f>D124/D121</f>
        <v>0.26844026393373577</v>
      </c>
      <c r="E125" s="143">
        <f>E124/E121</f>
        <v>0.26131214180994267</v>
      </c>
      <c r="F125" s="143">
        <v>0.24560000000000001</v>
      </c>
      <c r="G125" s="143">
        <v>0.18340000000000001</v>
      </c>
      <c r="H125" s="143">
        <v>0.15939999999999999</v>
      </c>
      <c r="I125" s="143">
        <v>0.14430000000000001</v>
      </c>
      <c r="J125" s="143">
        <v>0.13300000000000001</v>
      </c>
      <c r="K125" s="143">
        <v>0.1731</v>
      </c>
      <c r="L125" s="143">
        <v>0.1731</v>
      </c>
      <c r="M125" s="143">
        <v>0.1731</v>
      </c>
      <c r="N125" s="143">
        <v>0.1731</v>
      </c>
      <c r="O125" s="143">
        <v>0.1731</v>
      </c>
    </row>
    <row r="126" spans="1:15" ht="21" customHeight="1" x14ac:dyDescent="0.15">
      <c r="A126" s="7"/>
      <c r="B126" s="7"/>
      <c r="C126" s="49"/>
      <c r="D126" s="9"/>
      <c r="E126" s="9"/>
      <c r="F126" s="9"/>
      <c r="G126" s="9"/>
      <c r="H126" s="9"/>
      <c r="I126" s="9"/>
      <c r="J126" s="9"/>
      <c r="K126" s="9"/>
      <c r="L126" s="9"/>
      <c r="M126" s="9"/>
      <c r="N126" s="9"/>
      <c r="O126" s="9"/>
    </row>
    <row r="127" spans="1:15" ht="21" customHeight="1" x14ac:dyDescent="0.15">
      <c r="A127" s="7"/>
      <c r="B127" s="7"/>
      <c r="C127" s="49"/>
      <c r="D127" s="9"/>
      <c r="E127" s="9"/>
      <c r="F127" s="9"/>
      <c r="G127" s="9"/>
      <c r="H127" s="9"/>
      <c r="I127" s="9"/>
      <c r="J127" s="9"/>
      <c r="K127" s="9"/>
      <c r="L127" s="9"/>
      <c r="M127" s="9"/>
      <c r="N127" s="9"/>
      <c r="O127" s="9"/>
    </row>
    <row r="128" spans="1:15" ht="21" customHeight="1" x14ac:dyDescent="0.15">
      <c r="A128" s="7"/>
      <c r="B128" s="124" t="s">
        <v>50</v>
      </c>
      <c r="C128" s="47"/>
      <c r="D128" s="48">
        <v>2015</v>
      </c>
      <c r="E128" s="48">
        <v>2016</v>
      </c>
      <c r="F128" s="48">
        <v>2017</v>
      </c>
      <c r="G128" s="48">
        <v>2018</v>
      </c>
      <c r="H128" s="48">
        <v>2019</v>
      </c>
      <c r="I128" s="48">
        <v>2020</v>
      </c>
      <c r="J128" s="48">
        <v>2021</v>
      </c>
      <c r="K128" s="48">
        <v>2022</v>
      </c>
      <c r="L128" s="48">
        <v>2023</v>
      </c>
      <c r="M128" s="48">
        <v>2024</v>
      </c>
      <c r="N128" s="48">
        <v>2025</v>
      </c>
      <c r="O128" s="48">
        <v>2026</v>
      </c>
    </row>
    <row r="129" spans="1:15" ht="21" customHeight="1" x14ac:dyDescent="0.15">
      <c r="A129" s="7"/>
      <c r="B129" s="7"/>
      <c r="C129" s="49"/>
      <c r="D129" s="9"/>
      <c r="E129" s="9"/>
      <c r="F129" s="9"/>
      <c r="G129" s="9"/>
      <c r="H129" s="9"/>
      <c r="I129" s="9"/>
      <c r="J129" s="9"/>
      <c r="K129" s="9"/>
      <c r="L129" s="9"/>
      <c r="M129" s="9"/>
      <c r="N129" s="9"/>
      <c r="O129" s="9"/>
    </row>
    <row r="130" spans="1:15" ht="21" customHeight="1" x14ac:dyDescent="0.15">
      <c r="A130" s="7"/>
      <c r="B130" s="144" t="s">
        <v>51</v>
      </c>
      <c r="C130" s="49"/>
      <c r="D130" s="51">
        <v>11257</v>
      </c>
      <c r="E130" s="51">
        <v>10505</v>
      </c>
      <c r="F130" s="51">
        <v>10157</v>
      </c>
      <c r="G130" s="51">
        <v>10903</v>
      </c>
      <c r="H130" s="51">
        <v>12547</v>
      </c>
      <c r="I130" s="51">
        <v>11056</v>
      </c>
      <c r="J130" s="51">
        <v>11284</v>
      </c>
      <c r="K130" s="51">
        <v>10807</v>
      </c>
      <c r="L130" s="51">
        <v>12028</v>
      </c>
      <c r="M130" s="51">
        <v>12757</v>
      </c>
      <c r="N130" s="51">
        <v>15599</v>
      </c>
      <c r="O130" s="51">
        <v>12738</v>
      </c>
    </row>
    <row r="131" spans="1:15" ht="21" customHeight="1" x14ac:dyDescent="0.15">
      <c r="A131" s="53"/>
      <c r="B131" s="145" t="s">
        <v>47</v>
      </c>
      <c r="C131" s="55"/>
      <c r="D131" s="95">
        <f t="shared" ref="D131:O131" si="26">D130/D118</f>
        <v>4.816550071668485E-2</v>
      </c>
      <c r="E131" s="95">
        <f t="shared" si="26"/>
        <v>4.8715677590788306E-2</v>
      </c>
      <c r="F131" s="95">
        <f t="shared" si="26"/>
        <v>4.4694876172706954E-2</v>
      </c>
      <c r="G131" s="95">
        <f t="shared" si="26"/>
        <v>4.1206372002494378E-2</v>
      </c>
      <c r="H131" s="95">
        <f t="shared" si="26"/>
        <v>4.8225418373857493E-2</v>
      </c>
      <c r="I131" s="95">
        <f t="shared" si="26"/>
        <v>4.0274666229532081E-2</v>
      </c>
      <c r="J131" s="95">
        <f t="shared" si="26"/>
        <v>3.084602410494865E-2</v>
      </c>
      <c r="K131" s="95">
        <f t="shared" ca="1" si="26"/>
        <v>2.5574089598368314E-2</v>
      </c>
      <c r="L131" s="95">
        <f t="shared" ca="1" si="26"/>
        <v>2.665817151156603E-2</v>
      </c>
      <c r="M131" s="95">
        <f t="shared" ca="1" si="26"/>
        <v>2.6353025349627537E-2</v>
      </c>
      <c r="N131" s="95">
        <f t="shared" ca="1" si="26"/>
        <v>3.000879635681869E-2</v>
      </c>
      <c r="O131" s="95">
        <f t="shared" ca="1" si="26"/>
        <v>2.2845883792790664E-2</v>
      </c>
    </row>
    <row r="132" spans="1:15" ht="21" customHeight="1" x14ac:dyDescent="0.15">
      <c r="A132" s="53"/>
      <c r="B132" s="146" t="s">
        <v>52</v>
      </c>
      <c r="C132" s="55"/>
      <c r="D132" s="95">
        <f t="shared" ref="D132:O132" si="27">D130/D134</f>
        <v>1.0008891259891526</v>
      </c>
      <c r="E132" s="95">
        <f t="shared" si="27"/>
        <v>0.82495680854405529</v>
      </c>
      <c r="F132" s="95">
        <f t="shared" si="27"/>
        <v>0.81575777046020403</v>
      </c>
      <c r="G132" s="95">
        <f t="shared" si="27"/>
        <v>0.81897393525125817</v>
      </c>
      <c r="H132" s="95">
        <f t="shared" si="27"/>
        <v>1.1955216769890424</v>
      </c>
      <c r="I132" s="95">
        <f t="shared" si="27"/>
        <v>1.5126556300451499</v>
      </c>
      <c r="J132" s="95">
        <f t="shared" si="27"/>
        <v>1.0179521876409563</v>
      </c>
      <c r="K132" s="95">
        <f t="shared" si="27"/>
        <v>1.0529033515198754</v>
      </c>
      <c r="L132" s="95">
        <f t="shared" si="27"/>
        <v>1.03431077478717</v>
      </c>
      <c r="M132" s="95">
        <f t="shared" si="27"/>
        <v>1.0303691139649462</v>
      </c>
      <c r="N132" s="95">
        <f t="shared" si="27"/>
        <v>1.106547492374264</v>
      </c>
      <c r="O132" s="95">
        <f t="shared" si="27"/>
        <v>1.1467410875045012</v>
      </c>
    </row>
    <row r="133" spans="1:15" ht="21" customHeight="1" x14ac:dyDescent="0.15">
      <c r="A133" s="7"/>
      <c r="B133" s="7"/>
      <c r="C133" s="49"/>
      <c r="D133" s="9"/>
      <c r="E133" s="9"/>
      <c r="F133" s="9"/>
      <c r="G133" s="9"/>
      <c r="H133" s="9"/>
      <c r="I133" s="9"/>
      <c r="J133" s="9"/>
      <c r="K133" s="9"/>
      <c r="L133" s="9"/>
      <c r="M133" s="9"/>
      <c r="N133" s="9"/>
      <c r="O133" s="9"/>
    </row>
    <row r="134" spans="1:15" ht="22" customHeight="1" x14ac:dyDescent="0.15">
      <c r="A134" s="7"/>
      <c r="B134" s="147" t="s">
        <v>53</v>
      </c>
      <c r="C134" s="49"/>
      <c r="D134" s="110">
        <v>11247</v>
      </c>
      <c r="E134" s="110">
        <v>12734</v>
      </c>
      <c r="F134" s="110">
        <v>12451</v>
      </c>
      <c r="G134" s="110">
        <v>13313</v>
      </c>
      <c r="H134" s="110">
        <v>10495</v>
      </c>
      <c r="I134" s="110">
        <v>7309</v>
      </c>
      <c r="J134" s="110">
        <v>11085</v>
      </c>
      <c r="K134" s="110">
        <v>10264</v>
      </c>
      <c r="L134" s="110">
        <v>11629</v>
      </c>
      <c r="M134" s="110">
        <v>12381</v>
      </c>
      <c r="N134" s="110">
        <v>14097</v>
      </c>
      <c r="O134" s="110">
        <v>11108</v>
      </c>
    </row>
    <row r="135" spans="1:15" ht="22" customHeight="1" x14ac:dyDescent="0.15">
      <c r="A135" s="53"/>
      <c r="B135" s="148" t="s">
        <v>47</v>
      </c>
      <c r="C135" s="55"/>
      <c r="D135" s="95">
        <f t="shared" ref="D135:O135" si="28">D134/D118</f>
        <v>4.812271356138887E-2</v>
      </c>
      <c r="E135" s="95">
        <f t="shared" si="28"/>
        <v>5.9052397757362998E-2</v>
      </c>
      <c r="F135" s="95">
        <f t="shared" si="28"/>
        <v>5.478939679298752E-2</v>
      </c>
      <c r="G135" s="95">
        <f t="shared" si="28"/>
        <v>5.0314631795763336E-2</v>
      </c>
      <c r="H135" s="95">
        <f t="shared" si="28"/>
        <v>4.033838892433525E-2</v>
      </c>
      <c r="I135" s="95">
        <f t="shared" si="28"/>
        <v>2.6625138881299748E-2</v>
      </c>
      <c r="J135" s="95">
        <f t="shared" si="28"/>
        <v>3.0302036264033657E-2</v>
      </c>
      <c r="K135" s="95">
        <f t="shared" ca="1" si="28"/>
        <v>2.428911405918871E-2</v>
      </c>
      <c r="L135" s="95">
        <f t="shared" ca="1" si="28"/>
        <v>2.57738507239775E-2</v>
      </c>
      <c r="M135" s="95">
        <f t="shared" ca="1" si="28"/>
        <v>2.5576295904502513E-2</v>
      </c>
      <c r="N135" s="95">
        <f t="shared" ca="1" si="28"/>
        <v>2.7119302663124113E-2</v>
      </c>
      <c r="O135" s="95">
        <f t="shared" ca="1" si="28"/>
        <v>1.9922442861541743E-2</v>
      </c>
    </row>
    <row r="136" spans="1:15" ht="22" customHeight="1" x14ac:dyDescent="0.15">
      <c r="A136" s="7"/>
      <c r="B136" s="149"/>
      <c r="C136" s="49"/>
      <c r="D136" s="9"/>
      <c r="E136" s="9"/>
      <c r="F136" s="9"/>
      <c r="G136" s="9"/>
      <c r="H136" s="9"/>
      <c r="I136" s="9"/>
      <c r="J136" s="9"/>
      <c r="K136" s="9"/>
      <c r="L136" s="9"/>
      <c r="M136" s="9"/>
      <c r="N136" s="9"/>
      <c r="O136" s="9"/>
    </row>
    <row r="137" spans="1:15" ht="22" customHeight="1" x14ac:dyDescent="0.15">
      <c r="A137" s="7"/>
      <c r="B137" s="147" t="s">
        <v>54</v>
      </c>
      <c r="C137" s="49"/>
      <c r="D137" s="110">
        <v>11647</v>
      </c>
      <c r="E137" s="110">
        <v>484</v>
      </c>
      <c r="F137" s="110">
        <v>-5550</v>
      </c>
      <c r="G137" s="110">
        <v>34694</v>
      </c>
      <c r="H137" s="110">
        <v>-3488</v>
      </c>
      <c r="I137" s="110">
        <v>5690</v>
      </c>
      <c r="J137" s="110">
        <v>-4911</v>
      </c>
      <c r="K137" s="150"/>
      <c r="L137" s="150"/>
      <c r="M137" s="150"/>
      <c r="N137" s="150"/>
      <c r="O137" s="150"/>
    </row>
    <row r="138" spans="1:15" ht="22" customHeight="1" x14ac:dyDescent="0.15">
      <c r="A138" s="53"/>
      <c r="B138" s="148" t="s">
        <v>47</v>
      </c>
      <c r="C138" s="55"/>
      <c r="D138" s="95">
        <f t="shared" ref="D138:O138" si="29">D137/D118</f>
        <v>4.9834199773228074E-2</v>
      </c>
      <c r="E138" s="95">
        <f t="shared" si="29"/>
        <v>2.2444919518268959E-3</v>
      </c>
      <c r="F138" s="95">
        <f t="shared" si="29"/>
        <v>-2.4422227307130409E-2</v>
      </c>
      <c r="G138" s="95">
        <f t="shared" si="29"/>
        <v>0.13112114741397229</v>
      </c>
      <c r="H138" s="95">
        <f t="shared" si="29"/>
        <v>-1.340641263154658E-2</v>
      </c>
      <c r="I138" s="95">
        <f t="shared" si="29"/>
        <v>2.0727464801559112E-2</v>
      </c>
      <c r="J138" s="95">
        <f t="shared" si="29"/>
        <v>-1.3424745159464978E-2</v>
      </c>
      <c r="K138" s="95">
        <f t="shared" ca="1" si="29"/>
        <v>0</v>
      </c>
      <c r="L138" s="95">
        <f t="shared" ca="1" si="29"/>
        <v>0</v>
      </c>
      <c r="M138" s="95">
        <f t="shared" ca="1" si="29"/>
        <v>0</v>
      </c>
      <c r="N138" s="95">
        <f t="shared" ca="1" si="29"/>
        <v>0</v>
      </c>
      <c r="O138" s="95">
        <f t="shared" ca="1" si="29"/>
        <v>0</v>
      </c>
    </row>
    <row r="139" spans="1:15" ht="22" customHeight="1" x14ac:dyDescent="0.15">
      <c r="A139" s="53"/>
      <c r="B139" s="148" t="s">
        <v>55</v>
      </c>
      <c r="C139" s="55"/>
      <c r="D139" s="151"/>
      <c r="E139" s="95">
        <f t="shared" ref="E139:J139" si="30">(E137-D137)/(E118-D118)</f>
        <v>0.61755919451206021</v>
      </c>
      <c r="F139" s="95">
        <f t="shared" si="30"/>
        <v>-0.51959011452682335</v>
      </c>
      <c r="G139" s="95">
        <f t="shared" si="30"/>
        <v>1.0776852422140695</v>
      </c>
      <c r="H139" s="95">
        <f t="shared" si="30"/>
        <v>8.6365075774711606</v>
      </c>
      <c r="I139" s="95">
        <f t="shared" si="30"/>
        <v>0.63998326476535805</v>
      </c>
      <c r="J139" s="95">
        <f t="shared" si="30"/>
        <v>-0.11610917614071981</v>
      </c>
      <c r="K139" s="95">
        <f ca="1">K137/(K118-J118)</f>
        <v>0</v>
      </c>
      <c r="L139" s="95">
        <f ca="1">L137/(L118-K118)</f>
        <v>0</v>
      </c>
      <c r="M139" s="95">
        <f ca="1">M137/(M118-L118)</f>
        <v>0</v>
      </c>
      <c r="N139" s="95">
        <f ca="1">N137/(N118-M118)</f>
        <v>0</v>
      </c>
      <c r="O139" s="95">
        <f ca="1">O137/(O118-N118)</f>
        <v>0</v>
      </c>
    </row>
    <row r="140" spans="1:15" ht="21.5" customHeight="1" x14ac:dyDescent="0.15">
      <c r="A140" s="7"/>
      <c r="B140" s="7"/>
      <c r="C140" s="49"/>
      <c r="D140" s="10"/>
      <c r="E140" s="10"/>
      <c r="F140" s="152"/>
      <c r="G140" s="152"/>
      <c r="H140" s="152"/>
      <c r="I140" s="152"/>
      <c r="J140" s="152"/>
      <c r="K140" s="152"/>
      <c r="L140" s="152"/>
      <c r="M140" s="152"/>
      <c r="N140" s="152"/>
      <c r="O140" s="152"/>
    </row>
    <row r="141" spans="1:15" ht="22" customHeight="1" x14ac:dyDescent="0.15">
      <c r="A141" s="153"/>
      <c r="B141" s="153"/>
      <c r="C141" s="154"/>
      <c r="D141" s="37">
        <v>0.75</v>
      </c>
      <c r="E141" s="37">
        <v>0.25</v>
      </c>
      <c r="F141" s="155"/>
      <c r="G141" s="156"/>
      <c r="H141" s="156"/>
      <c r="I141" s="156"/>
      <c r="J141" s="156"/>
      <c r="K141" s="156"/>
      <c r="L141" s="156"/>
      <c r="M141" s="156"/>
      <c r="N141" s="156"/>
      <c r="O141" s="156"/>
    </row>
    <row r="142" spans="1:15" ht="21.5" customHeight="1" x14ac:dyDescent="0.15">
      <c r="A142" s="68"/>
      <c r="B142" s="124" t="s">
        <v>56</v>
      </c>
      <c r="C142" s="47"/>
      <c r="D142" s="157">
        <v>2015</v>
      </c>
      <c r="E142" s="157">
        <v>2016</v>
      </c>
      <c r="F142" s="158">
        <v>2017</v>
      </c>
      <c r="G142" s="158">
        <v>2018</v>
      </c>
      <c r="H142" s="158">
        <v>2019</v>
      </c>
      <c r="I142" s="158">
        <v>2020</v>
      </c>
      <c r="J142" s="158">
        <v>2021</v>
      </c>
      <c r="K142" s="158">
        <v>2022</v>
      </c>
      <c r="L142" s="158">
        <v>2023</v>
      </c>
      <c r="M142" s="158">
        <v>2024</v>
      </c>
      <c r="N142" s="158">
        <v>2025</v>
      </c>
      <c r="O142" s="158">
        <v>2026</v>
      </c>
    </row>
    <row r="143" spans="1:15" ht="21" customHeight="1" x14ac:dyDescent="0.15">
      <c r="A143" s="68"/>
      <c r="B143" s="125"/>
      <c r="C143" s="126"/>
      <c r="D143" s="9"/>
      <c r="E143" s="9"/>
      <c r="F143" s="9"/>
      <c r="G143" s="9"/>
      <c r="H143" s="9"/>
      <c r="I143" s="9"/>
      <c r="J143" s="9"/>
      <c r="K143" s="9"/>
      <c r="L143" s="9"/>
      <c r="M143" s="9"/>
      <c r="N143" s="9"/>
      <c r="O143" s="9"/>
    </row>
    <row r="144" spans="1:15" ht="21" customHeight="1" x14ac:dyDescent="0.15">
      <c r="A144" s="7"/>
      <c r="B144" s="127" t="s">
        <v>40</v>
      </c>
      <c r="C144" s="128"/>
      <c r="D144" s="105">
        <f t="shared" ref="D144:N144" si="31">(D118*$D$141)+(E118*$E$141)</f>
        <v>229196</v>
      </c>
      <c r="E144" s="92">
        <f t="shared" si="31"/>
        <v>218542.25</v>
      </c>
      <c r="F144" s="92">
        <f t="shared" si="31"/>
        <v>236587.75</v>
      </c>
      <c r="G144" s="92">
        <f t="shared" si="31"/>
        <v>263489.75</v>
      </c>
      <c r="H144" s="92">
        <f t="shared" si="31"/>
        <v>263759.25</v>
      </c>
      <c r="I144" s="92">
        <f t="shared" si="31"/>
        <v>297340.5</v>
      </c>
      <c r="J144" s="92">
        <f t="shared" ca="1" si="31"/>
        <v>380006.78434999997</v>
      </c>
      <c r="K144" s="92">
        <f t="shared" ca="1" si="31"/>
        <v>429730.53705720004</v>
      </c>
      <c r="L144" s="92">
        <f t="shared" ca="1" si="31"/>
        <v>459415.56279576104</v>
      </c>
      <c r="M144" s="92">
        <f t="shared" ca="1" si="31"/>
        <v>493014.34505889338</v>
      </c>
      <c r="N144" s="92">
        <f t="shared" ca="1" si="31"/>
        <v>529251.22476640786</v>
      </c>
      <c r="O144" s="92">
        <f ca="1">N144*(1+O119)</f>
        <v>567684.41465024161</v>
      </c>
    </row>
    <row r="145" spans="1:15" ht="21" customHeight="1" x14ac:dyDescent="0.15">
      <c r="A145" s="53"/>
      <c r="B145" s="132" t="s">
        <v>35</v>
      </c>
      <c r="C145" s="159"/>
      <c r="D145" s="55"/>
      <c r="E145" s="95">
        <f t="shared" ref="E145:O145" si="32">E144/D144-1</f>
        <v>-4.6483141067034328E-2</v>
      </c>
      <c r="F145" s="95">
        <f t="shared" si="32"/>
        <v>8.2572134221186033E-2</v>
      </c>
      <c r="G145" s="95">
        <f t="shared" si="32"/>
        <v>0.11370833866081398</v>
      </c>
      <c r="H145" s="95">
        <f t="shared" si="32"/>
        <v>1.0228101852158833E-3</v>
      </c>
      <c r="I145" s="95">
        <f t="shared" si="32"/>
        <v>0.12731780970714768</v>
      </c>
      <c r="J145" s="95">
        <f t="shared" ca="1" si="32"/>
        <v>0.27801891888256058</v>
      </c>
      <c r="K145" s="95">
        <f t="shared" ca="1" si="32"/>
        <v>0.13084964467740323</v>
      </c>
      <c r="L145" s="95">
        <f t="shared" ca="1" si="32"/>
        <v>6.9078232005210571E-2</v>
      </c>
      <c r="M145" s="95">
        <f t="shared" ca="1" si="32"/>
        <v>7.3133748579756075E-2</v>
      </c>
      <c r="N145" s="95">
        <f t="shared" ca="1" si="32"/>
        <v>7.3500659911195365E-2</v>
      </c>
      <c r="O145" s="95">
        <f t="shared" ca="1" si="32"/>
        <v>7.261804618552703E-2</v>
      </c>
    </row>
    <row r="146" spans="1:15" ht="21" customHeight="1" x14ac:dyDescent="0.15">
      <c r="A146" s="7"/>
      <c r="B146" s="135"/>
      <c r="C146" s="136"/>
      <c r="D146" s="49"/>
      <c r="E146" s="9"/>
      <c r="F146" s="9"/>
      <c r="G146" s="9"/>
      <c r="H146" s="9"/>
      <c r="I146" s="9"/>
      <c r="J146" s="9"/>
      <c r="K146" s="9"/>
      <c r="L146" s="9"/>
      <c r="M146" s="9"/>
      <c r="N146" s="9"/>
      <c r="O146" s="9"/>
    </row>
    <row r="147" spans="1:15" ht="21" customHeight="1" x14ac:dyDescent="0.15">
      <c r="A147" s="7"/>
      <c r="B147" s="137" t="s">
        <v>28</v>
      </c>
      <c r="C147" s="138"/>
      <c r="D147" s="105">
        <f t="shared" ref="D147:N147" si="33">(D121*$D$141)+(E121*$E$141)</f>
        <v>68428.5</v>
      </c>
      <c r="E147" s="92">
        <f t="shared" si="33"/>
        <v>61621</v>
      </c>
      <c r="F147" s="92">
        <f t="shared" si="33"/>
        <v>68844.75</v>
      </c>
      <c r="G147" s="92">
        <f t="shared" si="33"/>
        <v>74435.5</v>
      </c>
      <c r="H147" s="92">
        <f t="shared" si="33"/>
        <v>69475.75</v>
      </c>
      <c r="I147" s="92">
        <f t="shared" si="33"/>
        <v>80436</v>
      </c>
      <c r="J147" s="92">
        <f t="shared" si="33"/>
        <v>112934.13</v>
      </c>
      <c r="K147" s="92">
        <f t="shared" si="33"/>
        <v>119999.39749999999</v>
      </c>
      <c r="L147" s="92">
        <f t="shared" si="33"/>
        <v>135777.01999999999</v>
      </c>
      <c r="M147" s="92">
        <f t="shared" si="33"/>
        <v>153629.10499999998</v>
      </c>
      <c r="N147" s="92">
        <f t="shared" si="33"/>
        <v>173828.39</v>
      </c>
      <c r="O147" s="92">
        <f ca="1">O144*O122</f>
        <v>193881.26851915562</v>
      </c>
    </row>
    <row r="148" spans="1:15" ht="21" customHeight="1" x14ac:dyDescent="0.15">
      <c r="A148" s="53"/>
      <c r="B148" s="145" t="s">
        <v>47</v>
      </c>
      <c r="C148" s="160"/>
      <c r="D148" s="95">
        <f t="shared" ref="D148:O148" si="34">D147/D144</f>
        <v>0.29855887537304315</v>
      </c>
      <c r="E148" s="95">
        <f t="shared" si="34"/>
        <v>0.28196378503470154</v>
      </c>
      <c r="F148" s="95">
        <f t="shared" si="34"/>
        <v>0.29099034079321523</v>
      </c>
      <c r="G148" s="95">
        <f t="shared" si="34"/>
        <v>0.28249865507102268</v>
      </c>
      <c r="H148" s="95">
        <f t="shared" si="34"/>
        <v>0.26340592794375933</v>
      </c>
      <c r="I148" s="95">
        <f t="shared" si="34"/>
        <v>0.27051814334071544</v>
      </c>
      <c r="J148" s="95">
        <f t="shared" ca="1" si="34"/>
        <v>0.29718977305411365</v>
      </c>
      <c r="K148" s="95">
        <f t="shared" ca="1" si="34"/>
        <v>0.27924335636410047</v>
      </c>
      <c r="L148" s="95">
        <f t="shared" ca="1" si="34"/>
        <v>0.29554292669959326</v>
      </c>
      <c r="M148" s="95">
        <f t="shared" ca="1" si="34"/>
        <v>0.31161183551697286</v>
      </c>
      <c r="N148" s="95">
        <f t="shared" ca="1" si="34"/>
        <v>0.32844211192278583</v>
      </c>
      <c r="O148" s="95">
        <f t="shared" ca="1" si="34"/>
        <v>0.34153001829125185</v>
      </c>
    </row>
    <row r="149" spans="1:15" ht="21" customHeight="1" x14ac:dyDescent="0.15">
      <c r="A149" s="7"/>
      <c r="B149" s="7"/>
      <c r="C149" s="49"/>
      <c r="D149" s="9"/>
      <c r="E149" s="9"/>
      <c r="F149" s="9"/>
      <c r="G149" s="9"/>
      <c r="H149" s="9"/>
      <c r="I149" s="9"/>
      <c r="J149" s="9"/>
      <c r="K149" s="9"/>
      <c r="L149" s="9"/>
      <c r="M149" s="9"/>
      <c r="N149" s="9"/>
      <c r="O149" s="9"/>
    </row>
    <row r="150" spans="1:15" ht="21" customHeight="1" x14ac:dyDescent="0.15">
      <c r="A150" s="7"/>
      <c r="B150" s="142" t="s">
        <v>48</v>
      </c>
      <c r="C150" s="49"/>
      <c r="D150" s="92">
        <f t="shared" ref="D150:N150" si="35">(D124*$D$141)+(E124*$E$141)</f>
        <v>18262</v>
      </c>
      <c r="E150" s="92">
        <f t="shared" si="35"/>
        <v>15841.4468</v>
      </c>
      <c r="F150" s="92">
        <f t="shared" si="35"/>
        <v>15724.246950000001</v>
      </c>
      <c r="G150" s="92">
        <f t="shared" si="35"/>
        <v>13235.592700000001</v>
      </c>
      <c r="H150" s="92">
        <f t="shared" si="35"/>
        <v>10810.320449999999</v>
      </c>
      <c r="I150" s="92">
        <f t="shared" si="35"/>
        <v>11290.9329</v>
      </c>
      <c r="J150" s="92">
        <f t="shared" si="35"/>
        <v>16184.949003000002</v>
      </c>
      <c r="K150" s="92">
        <f t="shared" si="35"/>
        <v>20771.895707250002</v>
      </c>
      <c r="L150" s="92">
        <f t="shared" si="35"/>
        <v>23503.002162000001</v>
      </c>
      <c r="M150" s="92">
        <f t="shared" si="35"/>
        <v>26593.1980755</v>
      </c>
      <c r="N150" s="92">
        <f t="shared" si="35"/>
        <v>30089.694308999999</v>
      </c>
      <c r="O150" s="92">
        <f ca="1">O147*N151</f>
        <v>33560.847580665832</v>
      </c>
    </row>
    <row r="151" spans="1:15" ht="21" customHeight="1" x14ac:dyDescent="0.15">
      <c r="A151" s="53"/>
      <c r="B151" s="146" t="s">
        <v>49</v>
      </c>
      <c r="C151" s="55"/>
      <c r="D151" s="95">
        <f t="shared" ref="D151:O151" si="36">D150/D147</f>
        <v>0.26687710529969239</v>
      </c>
      <c r="E151" s="95">
        <f t="shared" si="36"/>
        <v>0.25707870368867758</v>
      </c>
      <c r="F151" s="95">
        <f t="shared" si="36"/>
        <v>0.22840154042247232</v>
      </c>
      <c r="G151" s="95">
        <f t="shared" si="36"/>
        <v>0.17781290781952161</v>
      </c>
      <c r="H151" s="95">
        <f t="shared" si="36"/>
        <v>0.15559847068941321</v>
      </c>
      <c r="I151" s="95">
        <f t="shared" si="36"/>
        <v>0.14037163583470089</v>
      </c>
      <c r="J151" s="95">
        <f t="shared" si="36"/>
        <v>0.14331317736276891</v>
      </c>
      <c r="K151" s="95">
        <f t="shared" si="36"/>
        <v>0.17310000000000003</v>
      </c>
      <c r="L151" s="95">
        <f t="shared" si="36"/>
        <v>0.17310000000000003</v>
      </c>
      <c r="M151" s="95">
        <f t="shared" si="36"/>
        <v>0.17310000000000003</v>
      </c>
      <c r="N151" s="95">
        <f t="shared" si="36"/>
        <v>0.17309999999999998</v>
      </c>
      <c r="O151" s="95">
        <f t="shared" ca="1" si="36"/>
        <v>0.17309999999999998</v>
      </c>
    </row>
    <row r="152" spans="1:15" ht="21" customHeight="1" x14ac:dyDescent="0.15">
      <c r="A152" s="7"/>
      <c r="B152" s="7"/>
      <c r="C152" s="49"/>
      <c r="D152" s="9"/>
      <c r="E152" s="9"/>
      <c r="F152" s="9"/>
      <c r="G152" s="9"/>
      <c r="H152" s="9"/>
      <c r="I152" s="9"/>
      <c r="J152" s="9"/>
      <c r="K152" s="9"/>
      <c r="L152" s="9"/>
      <c r="M152" s="9"/>
      <c r="N152" s="9"/>
      <c r="O152" s="9"/>
    </row>
    <row r="153" spans="1:15" ht="21" customHeight="1" x14ac:dyDescent="0.15">
      <c r="A153" s="7"/>
      <c r="B153" s="124" t="s">
        <v>57</v>
      </c>
      <c r="C153" s="47"/>
      <c r="D153" s="48">
        <v>2015</v>
      </c>
      <c r="E153" s="48">
        <v>2016</v>
      </c>
      <c r="F153" s="48">
        <v>2017</v>
      </c>
      <c r="G153" s="48">
        <v>2018</v>
      </c>
      <c r="H153" s="48">
        <v>2019</v>
      </c>
      <c r="I153" s="48">
        <v>2020</v>
      </c>
      <c r="J153" s="48">
        <v>2021</v>
      </c>
      <c r="K153" s="48">
        <v>2022</v>
      </c>
      <c r="L153" s="48">
        <v>2023</v>
      </c>
      <c r="M153" s="48">
        <v>2024</v>
      </c>
      <c r="N153" s="48">
        <v>2025</v>
      </c>
      <c r="O153" s="48">
        <v>2026</v>
      </c>
    </row>
    <row r="154" spans="1:15" ht="21" customHeight="1" x14ac:dyDescent="0.15">
      <c r="A154" s="7"/>
      <c r="B154" s="7"/>
      <c r="C154" s="49"/>
      <c r="D154" s="9"/>
      <c r="E154" s="9"/>
      <c r="F154" s="9"/>
      <c r="G154" s="9"/>
      <c r="H154" s="9"/>
      <c r="I154" s="9"/>
      <c r="J154" s="9"/>
      <c r="K154" s="9"/>
      <c r="L154" s="9"/>
      <c r="M154" s="9"/>
      <c r="N154" s="9"/>
      <c r="O154" s="9"/>
    </row>
    <row r="155" spans="1:15" ht="21" customHeight="1" x14ac:dyDescent="0.15">
      <c r="A155" s="161"/>
      <c r="B155" s="144" t="s">
        <v>51</v>
      </c>
      <c r="C155" s="162"/>
      <c r="D155" s="92">
        <f t="shared" ref="D155:N155" si="37">(D130*$D$141)+(E130*$E$141)</f>
        <v>11069</v>
      </c>
      <c r="E155" s="92">
        <f t="shared" si="37"/>
        <v>10418</v>
      </c>
      <c r="F155" s="92">
        <f t="shared" si="37"/>
        <v>10343.5</v>
      </c>
      <c r="G155" s="92">
        <f t="shared" si="37"/>
        <v>11314</v>
      </c>
      <c r="H155" s="92">
        <f t="shared" si="37"/>
        <v>12174.25</v>
      </c>
      <c r="I155" s="92">
        <f t="shared" si="37"/>
        <v>11113</v>
      </c>
      <c r="J155" s="92">
        <f t="shared" si="37"/>
        <v>11164.75</v>
      </c>
      <c r="K155" s="92">
        <f t="shared" si="37"/>
        <v>11112.25</v>
      </c>
      <c r="L155" s="92">
        <f t="shared" si="37"/>
        <v>12210.25</v>
      </c>
      <c r="M155" s="92">
        <f t="shared" si="37"/>
        <v>13467.5</v>
      </c>
      <c r="N155" s="92">
        <f t="shared" si="37"/>
        <v>14883.75</v>
      </c>
      <c r="O155" s="92">
        <f ca="1">N155*(1+N156)</f>
        <v>15302.314953081164</v>
      </c>
    </row>
    <row r="156" spans="1:15" ht="21" customHeight="1" x14ac:dyDescent="0.15">
      <c r="A156" s="53"/>
      <c r="B156" s="145" t="s">
        <v>47</v>
      </c>
      <c r="C156" s="55"/>
      <c r="D156" s="95">
        <f t="shared" ref="D156:O156" si="38">D155/D144</f>
        <v>4.8294909160718338E-2</v>
      </c>
      <c r="E156" s="95">
        <f t="shared" si="38"/>
        <v>4.7670416132349694E-2</v>
      </c>
      <c r="F156" s="95">
        <f t="shared" si="38"/>
        <v>4.3719507878155144E-2</v>
      </c>
      <c r="G156" s="95">
        <f t="shared" si="38"/>
        <v>4.2939051708842567E-2</v>
      </c>
      <c r="H156" s="95">
        <f t="shared" si="38"/>
        <v>4.6156675073954753E-2</v>
      </c>
      <c r="I156" s="95">
        <f t="shared" si="38"/>
        <v>3.7374659691498467E-2</v>
      </c>
      <c r="J156" s="95">
        <f t="shared" ca="1" si="38"/>
        <v>2.9380396508176185E-2</v>
      </c>
      <c r="K156" s="95">
        <f t="shared" ca="1" si="38"/>
        <v>2.585864638826187E-2</v>
      </c>
      <c r="L156" s="95">
        <f t="shared" ca="1" si="38"/>
        <v>2.6577789236600632E-2</v>
      </c>
      <c r="M156" s="95">
        <f t="shared" ca="1" si="38"/>
        <v>2.7316649373338681E-2</v>
      </c>
      <c r="N156" s="95">
        <f t="shared" ca="1" si="38"/>
        <v>2.8122277858816751E-2</v>
      </c>
      <c r="O156" s="95">
        <f t="shared" ca="1" si="38"/>
        <v>2.6955672127284201E-2</v>
      </c>
    </row>
    <row r="157" spans="1:15" ht="21" customHeight="1" x14ac:dyDescent="0.15">
      <c r="A157" s="53"/>
      <c r="B157" s="146" t="s">
        <v>52</v>
      </c>
      <c r="C157" s="55"/>
      <c r="D157" s="95">
        <f t="shared" ref="D157:O157" si="39">D155/D159</f>
        <v>0.95268423883808495</v>
      </c>
      <c r="E157" s="95">
        <f t="shared" si="39"/>
        <v>0.82269559552247651</v>
      </c>
      <c r="F157" s="95">
        <f t="shared" si="39"/>
        <v>0.81660285003750044</v>
      </c>
      <c r="G157" s="95">
        <f t="shared" si="39"/>
        <v>0.89733116548360237</v>
      </c>
      <c r="H157" s="95">
        <f t="shared" si="39"/>
        <v>1.2552714337268649</v>
      </c>
      <c r="I157" s="95">
        <f t="shared" si="39"/>
        <v>1.3465406518841634</v>
      </c>
      <c r="J157" s="95">
        <f t="shared" si="39"/>
        <v>1.0261954548587973</v>
      </c>
      <c r="K157" s="95">
        <f t="shared" si="39"/>
        <v>1.0478065109261923</v>
      </c>
      <c r="L157" s="95">
        <f t="shared" si="39"/>
        <v>1.0332783278327833</v>
      </c>
      <c r="M157" s="95">
        <f t="shared" si="39"/>
        <v>1.051327088212334</v>
      </c>
      <c r="N157" s="95">
        <f t="shared" si="39"/>
        <v>1.1149085188861214</v>
      </c>
      <c r="O157" s="95">
        <f t="shared" ca="1" si="39"/>
        <v>1.1180605030282578</v>
      </c>
    </row>
    <row r="158" spans="1:15" ht="21" customHeight="1" x14ac:dyDescent="0.15">
      <c r="A158" s="7"/>
      <c r="B158" s="7"/>
      <c r="C158" s="49"/>
      <c r="D158" s="9"/>
      <c r="E158" s="9"/>
      <c r="F158" s="9"/>
      <c r="G158" s="9"/>
      <c r="H158" s="9"/>
      <c r="I158" s="9"/>
      <c r="J158" s="9"/>
      <c r="K158" s="9"/>
      <c r="L158" s="9"/>
      <c r="M158" s="9"/>
      <c r="N158" s="9"/>
      <c r="O158" s="9"/>
    </row>
    <row r="159" spans="1:15" ht="22" customHeight="1" x14ac:dyDescent="0.15">
      <c r="A159" s="7"/>
      <c r="B159" s="147" t="s">
        <v>53</v>
      </c>
      <c r="C159" s="49"/>
      <c r="D159" s="92">
        <f t="shared" ref="D159:N159" si="40">(D134*$D$141)+(E134*$E$141)</f>
        <v>11618.75</v>
      </c>
      <c r="E159" s="92">
        <f t="shared" si="40"/>
        <v>12663.25</v>
      </c>
      <c r="F159" s="92">
        <f t="shared" si="40"/>
        <v>12666.5</v>
      </c>
      <c r="G159" s="92">
        <f t="shared" si="40"/>
        <v>12608.5</v>
      </c>
      <c r="H159" s="92">
        <f t="shared" si="40"/>
        <v>9698.5</v>
      </c>
      <c r="I159" s="92">
        <f t="shared" si="40"/>
        <v>8253</v>
      </c>
      <c r="J159" s="92">
        <f t="shared" si="40"/>
        <v>10879.75</v>
      </c>
      <c r="K159" s="92">
        <f t="shared" si="40"/>
        <v>10605.25</v>
      </c>
      <c r="L159" s="92">
        <f t="shared" si="40"/>
        <v>11817</v>
      </c>
      <c r="M159" s="92">
        <f t="shared" si="40"/>
        <v>12810</v>
      </c>
      <c r="N159" s="92">
        <f t="shared" si="40"/>
        <v>13349.75</v>
      </c>
      <c r="O159" s="92">
        <f ca="1">N159*(1+N160)</f>
        <v>13686.482003107139</v>
      </c>
    </row>
    <row r="160" spans="1:15" ht="22" customHeight="1" x14ac:dyDescent="0.15">
      <c r="A160" s="53"/>
      <c r="B160" s="148" t="s">
        <v>47</v>
      </c>
      <c r="C160" s="55"/>
      <c r="D160" s="95">
        <f t="shared" ref="D160:O160" si="41">D159/D144</f>
        <v>5.0693511230562489E-2</v>
      </c>
      <c r="E160" s="95">
        <f t="shared" si="41"/>
        <v>5.7944173266267739E-2</v>
      </c>
      <c r="F160" s="95">
        <f t="shared" si="41"/>
        <v>5.3538274910683248E-2</v>
      </c>
      <c r="G160" s="95">
        <f t="shared" si="41"/>
        <v>4.7851956290519838E-2</v>
      </c>
      <c r="H160" s="95">
        <f t="shared" si="41"/>
        <v>3.6770274407437846E-2</v>
      </c>
      <c r="I160" s="95">
        <f t="shared" si="41"/>
        <v>2.7756057449287937E-2</v>
      </c>
      <c r="J160" s="95">
        <f t="shared" ca="1" si="41"/>
        <v>2.8630409898101603E-2</v>
      </c>
      <c r="K160" s="95">
        <f t="shared" ca="1" si="41"/>
        <v>2.467883728399867E-2</v>
      </c>
      <c r="L160" s="95">
        <f t="shared" ca="1" si="41"/>
        <v>2.5721810397732206E-2</v>
      </c>
      <c r="M160" s="95">
        <f t="shared" ca="1" si="41"/>
        <v>2.5983016779095491E-2</v>
      </c>
      <c r="N160" s="95">
        <f t="shared" ca="1" si="41"/>
        <v>2.522384337587899E-2</v>
      </c>
      <c r="O160" s="95">
        <f t="shared" ca="1" si="41"/>
        <v>2.4109314347725355E-2</v>
      </c>
    </row>
    <row r="161" spans="1:15" ht="22" customHeight="1" x14ac:dyDescent="0.15">
      <c r="A161" s="7"/>
      <c r="B161" s="149"/>
      <c r="C161" s="49"/>
      <c r="D161" s="9"/>
      <c r="E161" s="9"/>
      <c r="F161" s="9"/>
      <c r="G161" s="9"/>
      <c r="H161" s="9"/>
      <c r="I161" s="9"/>
      <c r="J161" s="9"/>
      <c r="K161" s="9"/>
      <c r="L161" s="9"/>
      <c r="M161" s="9"/>
      <c r="N161" s="9"/>
      <c r="O161" s="9"/>
    </row>
    <row r="162" spans="1:15" ht="22" customHeight="1" x14ac:dyDescent="0.15">
      <c r="A162" s="7"/>
      <c r="B162" s="147" t="s">
        <v>54</v>
      </c>
      <c r="C162" s="49"/>
      <c r="D162" s="92">
        <f t="shared" ref="D162:J162" si="42">(D137*$D$141)+(E137*$E$141)</f>
        <v>8856.25</v>
      </c>
      <c r="E162" s="163">
        <f t="shared" si="42"/>
        <v>-1024.5</v>
      </c>
      <c r="F162" s="92">
        <f t="shared" si="42"/>
        <v>4511</v>
      </c>
      <c r="G162" s="163">
        <f t="shared" si="42"/>
        <v>25148.5</v>
      </c>
      <c r="H162" s="163">
        <f t="shared" si="42"/>
        <v>-1193.5</v>
      </c>
      <c r="I162" s="164">
        <f t="shared" si="42"/>
        <v>3039.75</v>
      </c>
      <c r="J162" s="164">
        <f t="shared" si="42"/>
        <v>-3683.25</v>
      </c>
      <c r="K162" s="9"/>
      <c r="L162" s="9"/>
      <c r="M162" s="9"/>
      <c r="N162" s="9"/>
      <c r="O162" s="9"/>
    </row>
    <row r="163" spans="1:15" ht="22" customHeight="1" x14ac:dyDescent="0.15">
      <c r="A163" s="53"/>
      <c r="B163" s="148" t="s">
        <v>47</v>
      </c>
      <c r="C163" s="55"/>
      <c r="D163" s="95">
        <f t="shared" ref="D163:J163" si="43">D162/D144</f>
        <v>3.8640508560358819E-2</v>
      </c>
      <c r="E163" s="95">
        <f t="shared" si="43"/>
        <v>-4.6878807187168614E-3</v>
      </c>
      <c r="F163" s="95">
        <f t="shared" si="43"/>
        <v>1.9066921258602782E-2</v>
      </c>
      <c r="G163" s="95">
        <f t="shared" si="43"/>
        <v>9.5443940418934697E-2</v>
      </c>
      <c r="H163" s="95">
        <f t="shared" si="43"/>
        <v>-4.5249597881401316E-3</v>
      </c>
      <c r="I163" s="95">
        <f t="shared" si="43"/>
        <v>1.0223128029985824E-2</v>
      </c>
      <c r="J163" s="95">
        <f t="shared" ca="1" si="43"/>
        <v>-9.6925901107270587E-3</v>
      </c>
      <c r="K163" s="95"/>
      <c r="L163" s="95"/>
      <c r="M163" s="95"/>
      <c r="N163" s="95"/>
      <c r="O163" s="95"/>
    </row>
    <row r="164" spans="1:15" ht="22" customHeight="1" x14ac:dyDescent="0.15">
      <c r="A164" s="53"/>
      <c r="B164" s="148" t="s">
        <v>55</v>
      </c>
      <c r="C164" s="55"/>
      <c r="D164" s="151"/>
      <c r="E164" s="95">
        <f t="shared" ref="E164:J164" si="44">(E162-D162)/(E144-D144)</f>
        <v>0.92744338847823538</v>
      </c>
      <c r="F164" s="95">
        <f t="shared" si="44"/>
        <v>0.30675237593859966</v>
      </c>
      <c r="G164" s="95">
        <f t="shared" si="44"/>
        <v>0.76713627239610438</v>
      </c>
      <c r="H164" s="95">
        <f t="shared" si="44"/>
        <v>-97.743970315398883</v>
      </c>
      <c r="I164" s="95">
        <f t="shared" si="44"/>
        <v>0.12605992927600967</v>
      </c>
      <c r="J164" s="95">
        <f t="shared" ca="1" si="44"/>
        <v>-8.1326989024153501E-2</v>
      </c>
      <c r="K164" s="95"/>
      <c r="L164" s="95"/>
      <c r="M164" s="95"/>
      <c r="N164" s="95"/>
      <c r="O164" s="95"/>
    </row>
    <row r="165" spans="1:15" ht="19.75" customHeight="1" x14ac:dyDescent="0.15">
      <c r="A165" s="68"/>
      <c r="B165" s="68"/>
      <c r="C165" s="97"/>
      <c r="D165" s="29"/>
      <c r="E165" s="29"/>
      <c r="F165" s="29"/>
      <c r="G165" s="29"/>
      <c r="H165" s="29"/>
      <c r="I165" s="29"/>
      <c r="J165" s="29"/>
      <c r="K165" s="29"/>
      <c r="L165" s="29"/>
      <c r="M165" s="29"/>
      <c r="N165" s="29"/>
      <c r="O165" s="29"/>
    </row>
    <row r="166" spans="1:15" ht="19.75" customHeight="1" x14ac:dyDescent="0.15">
      <c r="A166" s="68"/>
      <c r="B166" s="68"/>
      <c r="C166" s="97"/>
      <c r="D166" s="29"/>
      <c r="E166" s="29"/>
      <c r="F166" s="29"/>
      <c r="G166" s="29"/>
      <c r="H166" s="29"/>
      <c r="I166" s="29"/>
      <c r="J166" s="29"/>
      <c r="K166" s="165">
        <v>1</v>
      </c>
      <c r="L166" s="165">
        <v>2</v>
      </c>
      <c r="M166" s="165">
        <v>3</v>
      </c>
      <c r="N166" s="165">
        <v>4</v>
      </c>
      <c r="O166" s="165">
        <v>5</v>
      </c>
    </row>
    <row r="167" spans="1:15" ht="21" customHeight="1" x14ac:dyDescent="0.15">
      <c r="A167" s="68"/>
      <c r="B167" s="124" t="s">
        <v>58</v>
      </c>
      <c r="C167" s="47"/>
      <c r="D167" s="48">
        <v>2015</v>
      </c>
      <c r="E167" s="48">
        <v>2016</v>
      </c>
      <c r="F167" s="48">
        <v>2017</v>
      </c>
      <c r="G167" s="48">
        <v>2018</v>
      </c>
      <c r="H167" s="48">
        <v>2019</v>
      </c>
      <c r="I167" s="48">
        <v>2020</v>
      </c>
      <c r="J167" s="48">
        <v>2021</v>
      </c>
      <c r="K167" s="48">
        <v>2022</v>
      </c>
      <c r="L167" s="48">
        <v>2023</v>
      </c>
      <c r="M167" s="48">
        <v>2024</v>
      </c>
      <c r="N167" s="48">
        <v>2025</v>
      </c>
      <c r="O167" s="48">
        <v>2026</v>
      </c>
    </row>
    <row r="168" spans="1:15" ht="22" customHeight="1" x14ac:dyDescent="0.15">
      <c r="A168" s="7"/>
      <c r="B168" s="149"/>
      <c r="C168" s="49"/>
      <c r="D168" s="9"/>
      <c r="E168" s="134"/>
      <c r="F168" s="134"/>
      <c r="G168" s="134"/>
      <c r="H168" s="134"/>
      <c r="I168" s="134"/>
      <c r="J168" s="134"/>
      <c r="K168" s="134"/>
      <c r="L168" s="134"/>
      <c r="M168" s="134"/>
      <c r="N168" s="134"/>
      <c r="O168" s="134"/>
    </row>
    <row r="169" spans="1:15" ht="22" customHeight="1" x14ac:dyDescent="0.15">
      <c r="A169" s="7"/>
      <c r="B169" s="147" t="s">
        <v>40</v>
      </c>
      <c r="C169" s="49"/>
      <c r="D169" s="131">
        <f t="shared" ref="D169:O169" si="45">D144</f>
        <v>229196</v>
      </c>
      <c r="E169" s="131">
        <f t="shared" si="45"/>
        <v>218542.25</v>
      </c>
      <c r="F169" s="131">
        <f t="shared" si="45"/>
        <v>236587.75</v>
      </c>
      <c r="G169" s="131">
        <f t="shared" si="45"/>
        <v>263489.75</v>
      </c>
      <c r="H169" s="131">
        <f t="shared" si="45"/>
        <v>263759.25</v>
      </c>
      <c r="I169" s="131">
        <f t="shared" si="45"/>
        <v>297340.5</v>
      </c>
      <c r="J169" s="131">
        <f t="shared" ca="1" si="45"/>
        <v>380006.78434999997</v>
      </c>
      <c r="K169" s="131">
        <f t="shared" ca="1" si="45"/>
        <v>429730.53705720004</v>
      </c>
      <c r="L169" s="131">
        <f t="shared" ca="1" si="45"/>
        <v>459415.56279576104</v>
      </c>
      <c r="M169" s="131">
        <f t="shared" ca="1" si="45"/>
        <v>493014.34505889338</v>
      </c>
      <c r="N169" s="131">
        <f t="shared" ca="1" si="45"/>
        <v>529251.22476640786</v>
      </c>
      <c r="O169" s="131">
        <f t="shared" ca="1" si="45"/>
        <v>567684.41465024161</v>
      </c>
    </row>
    <row r="170" spans="1:15" ht="22" customHeight="1" x14ac:dyDescent="0.15">
      <c r="A170" s="53"/>
      <c r="B170" s="148" t="s">
        <v>35</v>
      </c>
      <c r="C170" s="55"/>
      <c r="D170" s="151"/>
      <c r="E170" s="95">
        <f t="shared" ref="E170:O170" si="46">E169/D169-1</f>
        <v>-4.6483141067034328E-2</v>
      </c>
      <c r="F170" s="95">
        <f t="shared" si="46"/>
        <v>8.2572134221186033E-2</v>
      </c>
      <c r="G170" s="95">
        <f t="shared" si="46"/>
        <v>0.11370833866081398</v>
      </c>
      <c r="H170" s="95">
        <f t="shared" si="46"/>
        <v>1.0228101852158833E-3</v>
      </c>
      <c r="I170" s="95">
        <f t="shared" si="46"/>
        <v>0.12731780970714768</v>
      </c>
      <c r="J170" s="95">
        <f t="shared" ca="1" si="46"/>
        <v>0.27801891888256058</v>
      </c>
      <c r="K170" s="95">
        <f t="shared" ca="1" si="46"/>
        <v>0.13084964467740323</v>
      </c>
      <c r="L170" s="95">
        <f t="shared" ca="1" si="46"/>
        <v>6.9078232005210571E-2</v>
      </c>
      <c r="M170" s="95">
        <f t="shared" ca="1" si="46"/>
        <v>7.3133748579756075E-2</v>
      </c>
      <c r="N170" s="95">
        <f t="shared" ca="1" si="46"/>
        <v>7.3500659911195365E-2</v>
      </c>
      <c r="O170" s="95">
        <f t="shared" ca="1" si="46"/>
        <v>7.261804618552703E-2</v>
      </c>
    </row>
    <row r="171" spans="1:15" ht="22" customHeight="1" x14ac:dyDescent="0.15">
      <c r="A171" s="7"/>
      <c r="B171" s="149"/>
      <c r="C171" s="49"/>
      <c r="D171" s="9"/>
      <c r="E171" s="134"/>
      <c r="F171" s="134"/>
      <c r="G171" s="134"/>
      <c r="H171" s="134"/>
      <c r="I171" s="134"/>
      <c r="J171" s="134"/>
      <c r="K171" s="134"/>
      <c r="L171" s="134"/>
      <c r="M171" s="134"/>
      <c r="N171" s="134"/>
      <c r="O171" s="134"/>
    </row>
    <row r="172" spans="1:15" ht="22" customHeight="1" x14ac:dyDescent="0.15">
      <c r="A172" s="7"/>
      <c r="B172" s="147" t="str">
        <f>B147</f>
        <v>EBIT</v>
      </c>
      <c r="C172" s="49"/>
      <c r="D172" s="131">
        <f t="shared" ref="D172:O172" si="47">D147</f>
        <v>68428.5</v>
      </c>
      <c r="E172" s="131">
        <f t="shared" si="47"/>
        <v>61621</v>
      </c>
      <c r="F172" s="131">
        <f t="shared" si="47"/>
        <v>68844.75</v>
      </c>
      <c r="G172" s="131">
        <f t="shared" si="47"/>
        <v>74435.5</v>
      </c>
      <c r="H172" s="131">
        <f t="shared" si="47"/>
        <v>69475.75</v>
      </c>
      <c r="I172" s="131">
        <f t="shared" si="47"/>
        <v>80436</v>
      </c>
      <c r="J172" s="131">
        <f t="shared" si="47"/>
        <v>112934.13</v>
      </c>
      <c r="K172" s="131">
        <f t="shared" si="47"/>
        <v>119999.39749999999</v>
      </c>
      <c r="L172" s="131">
        <f t="shared" si="47"/>
        <v>135777.01999999999</v>
      </c>
      <c r="M172" s="131">
        <f t="shared" si="47"/>
        <v>153629.10499999998</v>
      </c>
      <c r="N172" s="131">
        <f t="shared" si="47"/>
        <v>173828.39</v>
      </c>
      <c r="O172" s="131">
        <f t="shared" ca="1" si="47"/>
        <v>193881.26851915562</v>
      </c>
    </row>
    <row r="173" spans="1:15" ht="22.5" customHeight="1" x14ac:dyDescent="0.15">
      <c r="A173" s="53"/>
      <c r="B173" s="148" t="str">
        <f>B148</f>
        <v>% of sales</v>
      </c>
      <c r="C173" s="55"/>
      <c r="D173" s="151"/>
      <c r="E173" s="95">
        <f t="shared" ref="E173:J173" si="48">E172/E169</f>
        <v>0.28196378503470154</v>
      </c>
      <c r="F173" s="95">
        <f t="shared" si="48"/>
        <v>0.29099034079321523</v>
      </c>
      <c r="G173" s="95">
        <f t="shared" si="48"/>
        <v>0.28249865507102268</v>
      </c>
      <c r="H173" s="95">
        <f t="shared" si="48"/>
        <v>0.26340592794375933</v>
      </c>
      <c r="I173" s="95">
        <f t="shared" si="48"/>
        <v>0.27051814334071544</v>
      </c>
      <c r="J173" s="95">
        <f t="shared" ca="1" si="48"/>
        <v>0.29718977305411365</v>
      </c>
      <c r="K173" s="58">
        <f ca="1">OFFSET(K173,C19,0)</f>
        <v>0.31</v>
      </c>
      <c r="L173" s="58">
        <f ca="1">L172/L169</f>
        <v>0.29554292669959326</v>
      </c>
      <c r="M173" s="58">
        <f ca="1">M172/M169</f>
        <v>0.31161183551697286</v>
      </c>
      <c r="N173" s="58">
        <f ca="1">N172/N169</f>
        <v>0.32844211192278583</v>
      </c>
      <c r="O173" s="58">
        <f ca="1">O172/O169</f>
        <v>0.34153001829125185</v>
      </c>
    </row>
    <row r="174" spans="1:15" ht="23" customHeight="1" x14ac:dyDescent="0.15">
      <c r="A174" s="7"/>
      <c r="B174" s="50" t="s">
        <v>36</v>
      </c>
      <c r="C174" s="49"/>
      <c r="D174" s="9"/>
      <c r="E174" s="9"/>
      <c r="F174" s="9"/>
      <c r="G174" s="9"/>
      <c r="H174" s="9"/>
      <c r="I174" s="9"/>
      <c r="J174" s="103"/>
      <c r="K174" s="96">
        <f>K175</f>
        <v>0.31</v>
      </c>
      <c r="L174" s="96">
        <f ca="1">L175*$E$19</f>
        <v>0.26598863402963396</v>
      </c>
      <c r="M174" s="96">
        <f ca="1">M175*$E$19</f>
        <v>0.28045065196527558</v>
      </c>
      <c r="N174" s="96">
        <f>N175*$E$19</f>
        <v>0.27900000000000003</v>
      </c>
      <c r="O174" s="96">
        <f>O175*$E$19</f>
        <v>0.25200000000000006</v>
      </c>
    </row>
    <row r="175" spans="1:15" ht="23" customHeight="1" x14ac:dyDescent="0.15">
      <c r="A175" s="7"/>
      <c r="B175" s="50" t="s">
        <v>37</v>
      </c>
      <c r="C175" s="49"/>
      <c r="D175" s="9"/>
      <c r="E175" s="134"/>
      <c r="F175" s="134"/>
      <c r="G175" s="134"/>
      <c r="H175" s="134"/>
      <c r="I175" s="134"/>
      <c r="J175" s="166"/>
      <c r="K175" s="96">
        <v>0.31</v>
      </c>
      <c r="L175" s="96">
        <f ca="1">L148</f>
        <v>0.29554292669959326</v>
      </c>
      <c r="M175" s="96">
        <f ca="1">M148</f>
        <v>0.31161183551697286</v>
      </c>
      <c r="N175" s="96">
        <v>0.31</v>
      </c>
      <c r="O175" s="96">
        <f>G19</f>
        <v>0.28000000000000003</v>
      </c>
    </row>
    <row r="176" spans="1:15" ht="23" customHeight="1" x14ac:dyDescent="0.15">
      <c r="A176" s="7"/>
      <c r="B176" s="50" t="s">
        <v>59</v>
      </c>
      <c r="C176" s="49"/>
      <c r="D176" s="9"/>
      <c r="E176" s="134"/>
      <c r="F176" s="134"/>
      <c r="G176" s="134"/>
      <c r="H176" s="134"/>
      <c r="I176" s="134"/>
      <c r="J176" s="166"/>
      <c r="K176" s="96">
        <f>K175</f>
        <v>0.31</v>
      </c>
      <c r="L176" s="96">
        <f ca="1">L175*$I$19</f>
        <v>0.3250972193695526</v>
      </c>
      <c r="M176" s="96">
        <f ca="1">M175*$I$19</f>
        <v>0.34277301906867019</v>
      </c>
      <c r="N176" s="96">
        <f>N175*$I$19</f>
        <v>0.34100000000000003</v>
      </c>
      <c r="O176" s="96">
        <f>O175*$I$19</f>
        <v>0.30800000000000005</v>
      </c>
    </row>
    <row r="177" spans="1:15" ht="21.5" customHeight="1" x14ac:dyDescent="0.15">
      <c r="A177" s="7"/>
      <c r="B177" s="65"/>
      <c r="C177" s="49"/>
      <c r="D177" s="9"/>
      <c r="E177" s="134"/>
      <c r="F177" s="134"/>
      <c r="G177" s="134"/>
      <c r="H177" s="134"/>
      <c r="I177" s="134"/>
      <c r="J177" s="134"/>
      <c r="K177" s="167"/>
      <c r="L177" s="167"/>
      <c r="M177" s="167"/>
      <c r="N177" s="167"/>
      <c r="O177" s="167"/>
    </row>
    <row r="178" spans="1:15" ht="21" customHeight="1" x14ac:dyDescent="0.15">
      <c r="A178" s="7"/>
      <c r="B178" s="142" t="s">
        <v>48</v>
      </c>
      <c r="C178" s="49"/>
      <c r="D178" s="131">
        <f t="shared" ref="D178:O178" si="49">D150</f>
        <v>18262</v>
      </c>
      <c r="E178" s="131">
        <f t="shared" si="49"/>
        <v>15841.4468</v>
      </c>
      <c r="F178" s="131">
        <f t="shared" si="49"/>
        <v>15724.246950000001</v>
      </c>
      <c r="G178" s="131">
        <f t="shared" si="49"/>
        <v>13235.592700000001</v>
      </c>
      <c r="H178" s="131">
        <f t="shared" si="49"/>
        <v>10810.320449999999</v>
      </c>
      <c r="I178" s="131">
        <f t="shared" si="49"/>
        <v>11290.9329</v>
      </c>
      <c r="J178" s="131">
        <f t="shared" si="49"/>
        <v>16184.949003000002</v>
      </c>
      <c r="K178" s="131">
        <f t="shared" si="49"/>
        <v>20771.895707250002</v>
      </c>
      <c r="L178" s="131">
        <f t="shared" si="49"/>
        <v>23503.002162000001</v>
      </c>
      <c r="M178" s="131">
        <f t="shared" si="49"/>
        <v>26593.1980755</v>
      </c>
      <c r="N178" s="131">
        <f t="shared" si="49"/>
        <v>30089.694308999999</v>
      </c>
      <c r="O178" s="131">
        <f t="shared" ca="1" si="49"/>
        <v>33560.847580665832</v>
      </c>
    </row>
    <row r="179" spans="1:15" ht="21" customHeight="1" x14ac:dyDescent="0.15">
      <c r="A179" s="53"/>
      <c r="B179" s="146" t="s">
        <v>49</v>
      </c>
      <c r="C179" s="55"/>
      <c r="D179" s="95">
        <f t="shared" ref="D179:O179" si="50">D178/D172</f>
        <v>0.26687710529969239</v>
      </c>
      <c r="E179" s="95">
        <f t="shared" si="50"/>
        <v>0.25707870368867758</v>
      </c>
      <c r="F179" s="95">
        <f t="shared" si="50"/>
        <v>0.22840154042247232</v>
      </c>
      <c r="G179" s="95">
        <f t="shared" si="50"/>
        <v>0.17781290781952161</v>
      </c>
      <c r="H179" s="95">
        <f t="shared" si="50"/>
        <v>0.15559847068941321</v>
      </c>
      <c r="I179" s="95">
        <f t="shared" si="50"/>
        <v>0.14037163583470089</v>
      </c>
      <c r="J179" s="95">
        <f t="shared" si="50"/>
        <v>0.14331317736276891</v>
      </c>
      <c r="K179" s="95">
        <f t="shared" si="50"/>
        <v>0.17310000000000003</v>
      </c>
      <c r="L179" s="95">
        <f t="shared" si="50"/>
        <v>0.17310000000000003</v>
      </c>
      <c r="M179" s="95">
        <f t="shared" si="50"/>
        <v>0.17310000000000003</v>
      </c>
      <c r="N179" s="95">
        <f t="shared" si="50"/>
        <v>0.17309999999999998</v>
      </c>
      <c r="O179" s="95">
        <f t="shared" ca="1" si="50"/>
        <v>0.17309999999999998</v>
      </c>
    </row>
    <row r="180" spans="1:15" ht="22.5" customHeight="1" x14ac:dyDescent="0.15">
      <c r="A180" s="116"/>
      <c r="B180" s="168"/>
      <c r="C180" s="100"/>
      <c r="D180" s="102"/>
      <c r="E180" s="169"/>
      <c r="F180" s="169"/>
      <c r="G180" s="169"/>
      <c r="H180" s="169"/>
      <c r="I180" s="169"/>
      <c r="J180" s="169"/>
      <c r="K180" s="169"/>
      <c r="L180" s="169"/>
      <c r="M180" s="169"/>
      <c r="N180" s="169"/>
      <c r="O180" s="169"/>
    </row>
    <row r="181" spans="1:15" ht="22.5" customHeight="1" x14ac:dyDescent="0.15">
      <c r="A181" s="120"/>
      <c r="B181" s="170" t="s">
        <v>60</v>
      </c>
      <c r="C181" s="121"/>
      <c r="D181" s="171"/>
      <c r="E181" s="172"/>
      <c r="F181" s="172"/>
      <c r="G181" s="172"/>
      <c r="H181" s="172"/>
      <c r="I181" s="172"/>
      <c r="J181" s="172"/>
      <c r="K181" s="123">
        <f>K172-K178</f>
        <v>99227.501792749987</v>
      </c>
      <c r="L181" s="123">
        <f>L172-L178</f>
        <v>112274.01783799999</v>
      </c>
      <c r="M181" s="123">
        <f>M172-M178</f>
        <v>127035.90692449998</v>
      </c>
      <c r="N181" s="123">
        <f>N172-N178</f>
        <v>143738.69569100003</v>
      </c>
      <c r="O181" s="123">
        <f ca="1">O172-O178</f>
        <v>160320.42093848978</v>
      </c>
    </row>
    <row r="182" spans="1:15" ht="22" customHeight="1" x14ac:dyDescent="0.15">
      <c r="A182" s="7"/>
      <c r="B182" s="149"/>
      <c r="C182" s="49"/>
      <c r="D182" s="9"/>
      <c r="E182" s="134"/>
      <c r="F182" s="134"/>
      <c r="G182" s="134"/>
      <c r="H182" s="134"/>
      <c r="I182" s="134"/>
      <c r="J182" s="134"/>
      <c r="K182" s="134"/>
      <c r="L182" s="134"/>
      <c r="M182" s="134"/>
      <c r="N182" s="134"/>
      <c r="O182" s="134"/>
    </row>
    <row r="183" spans="1:15" ht="22.5" customHeight="1" x14ac:dyDescent="0.15">
      <c r="A183" s="7"/>
      <c r="B183" s="147" t="s">
        <v>51</v>
      </c>
      <c r="C183" s="49"/>
      <c r="D183" s="131">
        <f t="shared" ref="D183:O183" si="51">D155</f>
        <v>11069</v>
      </c>
      <c r="E183" s="131">
        <f t="shared" si="51"/>
        <v>10418</v>
      </c>
      <c r="F183" s="131">
        <f t="shared" si="51"/>
        <v>10343.5</v>
      </c>
      <c r="G183" s="131">
        <f t="shared" si="51"/>
        <v>11314</v>
      </c>
      <c r="H183" s="131">
        <f t="shared" si="51"/>
        <v>12174.25</v>
      </c>
      <c r="I183" s="131">
        <f t="shared" si="51"/>
        <v>11113</v>
      </c>
      <c r="J183" s="131">
        <f t="shared" si="51"/>
        <v>11164.75</v>
      </c>
      <c r="K183" s="173">
        <f t="shared" si="51"/>
        <v>11112.25</v>
      </c>
      <c r="L183" s="173">
        <f t="shared" si="51"/>
        <v>12210.25</v>
      </c>
      <c r="M183" s="173">
        <f t="shared" si="51"/>
        <v>13467.5</v>
      </c>
      <c r="N183" s="173">
        <f t="shared" si="51"/>
        <v>14883.75</v>
      </c>
      <c r="O183" s="173">
        <f t="shared" ca="1" si="51"/>
        <v>15302.314953081164</v>
      </c>
    </row>
    <row r="184" spans="1:15" ht="23" customHeight="1" x14ac:dyDescent="0.15">
      <c r="A184" s="53"/>
      <c r="B184" s="148" t="s">
        <v>47</v>
      </c>
      <c r="C184" s="55"/>
      <c r="D184" s="95">
        <f t="shared" ref="D184:O184" si="52">D183/D169</f>
        <v>4.8294909160718338E-2</v>
      </c>
      <c r="E184" s="95">
        <f t="shared" si="52"/>
        <v>4.7670416132349694E-2</v>
      </c>
      <c r="F184" s="95">
        <f t="shared" si="52"/>
        <v>4.3719507878155144E-2</v>
      </c>
      <c r="G184" s="95">
        <f t="shared" si="52"/>
        <v>4.2939051708842567E-2</v>
      </c>
      <c r="H184" s="95">
        <f t="shared" si="52"/>
        <v>4.6156675073954753E-2</v>
      </c>
      <c r="I184" s="95">
        <f t="shared" si="52"/>
        <v>3.7374659691498467E-2</v>
      </c>
      <c r="J184" s="174">
        <f t="shared" ca="1" si="52"/>
        <v>2.9380396508176185E-2</v>
      </c>
      <c r="K184" s="175">
        <f t="shared" ca="1" si="52"/>
        <v>2.585864638826187E-2</v>
      </c>
      <c r="L184" s="175">
        <f t="shared" ca="1" si="52"/>
        <v>2.6577789236600632E-2</v>
      </c>
      <c r="M184" s="175">
        <f t="shared" ca="1" si="52"/>
        <v>2.7316649373338681E-2</v>
      </c>
      <c r="N184" s="175">
        <f t="shared" ca="1" si="52"/>
        <v>2.8122277858816751E-2</v>
      </c>
      <c r="O184" s="175">
        <f t="shared" ca="1" si="52"/>
        <v>2.6955672127284201E-2</v>
      </c>
    </row>
    <row r="185" spans="1:15" ht="22.5" customHeight="1" x14ac:dyDescent="0.15">
      <c r="A185" s="7"/>
      <c r="B185" s="149"/>
      <c r="C185" s="49"/>
      <c r="D185" s="9"/>
      <c r="E185" s="134"/>
      <c r="F185" s="134"/>
      <c r="G185" s="134"/>
      <c r="H185" s="134"/>
      <c r="I185" s="134"/>
      <c r="J185" s="134"/>
      <c r="K185" s="176"/>
      <c r="L185" s="176"/>
      <c r="M185" s="176"/>
      <c r="N185" s="176"/>
      <c r="O185" s="176"/>
    </row>
    <row r="186" spans="1:15" ht="22" customHeight="1" x14ac:dyDescent="0.15">
      <c r="A186" s="7"/>
      <c r="B186" s="147" t="s">
        <v>53</v>
      </c>
      <c r="C186" s="49"/>
      <c r="D186" s="131">
        <f t="shared" ref="D186:O186" si="53">D159</f>
        <v>11618.75</v>
      </c>
      <c r="E186" s="131">
        <f t="shared" si="53"/>
        <v>12663.25</v>
      </c>
      <c r="F186" s="131">
        <f t="shared" si="53"/>
        <v>12666.5</v>
      </c>
      <c r="G186" s="131">
        <f t="shared" si="53"/>
        <v>12608.5</v>
      </c>
      <c r="H186" s="131">
        <f t="shared" si="53"/>
        <v>9698.5</v>
      </c>
      <c r="I186" s="131">
        <f t="shared" si="53"/>
        <v>8253</v>
      </c>
      <c r="J186" s="131">
        <f t="shared" si="53"/>
        <v>10879.75</v>
      </c>
      <c r="K186" s="131">
        <f t="shared" si="53"/>
        <v>10605.25</v>
      </c>
      <c r="L186" s="131">
        <f t="shared" si="53"/>
        <v>11817</v>
      </c>
      <c r="M186" s="131">
        <f t="shared" si="53"/>
        <v>12810</v>
      </c>
      <c r="N186" s="131">
        <f t="shared" si="53"/>
        <v>13349.75</v>
      </c>
      <c r="O186" s="131">
        <f t="shared" ca="1" si="53"/>
        <v>13686.482003107139</v>
      </c>
    </row>
    <row r="187" spans="1:15" ht="22" customHeight="1" x14ac:dyDescent="0.15">
      <c r="A187" s="53"/>
      <c r="B187" s="148" t="s">
        <v>47</v>
      </c>
      <c r="C187" s="55"/>
      <c r="D187" s="95">
        <f t="shared" ref="D187:O187" si="54">D186/D169</f>
        <v>5.0693511230562489E-2</v>
      </c>
      <c r="E187" s="95">
        <f t="shared" si="54"/>
        <v>5.7944173266267739E-2</v>
      </c>
      <c r="F187" s="95">
        <f t="shared" si="54"/>
        <v>5.3538274910683248E-2</v>
      </c>
      <c r="G187" s="95">
        <f t="shared" si="54"/>
        <v>4.7851956290519838E-2</v>
      </c>
      <c r="H187" s="95">
        <f t="shared" si="54"/>
        <v>3.6770274407437846E-2</v>
      </c>
      <c r="I187" s="95">
        <f t="shared" si="54"/>
        <v>2.7756057449287937E-2</v>
      </c>
      <c r="J187" s="95">
        <f t="shared" ca="1" si="54"/>
        <v>2.8630409898101603E-2</v>
      </c>
      <c r="K187" s="95">
        <f t="shared" ca="1" si="54"/>
        <v>2.467883728399867E-2</v>
      </c>
      <c r="L187" s="95">
        <f t="shared" ca="1" si="54"/>
        <v>2.5721810397732206E-2</v>
      </c>
      <c r="M187" s="95">
        <f t="shared" ca="1" si="54"/>
        <v>2.5983016779095491E-2</v>
      </c>
      <c r="N187" s="95">
        <f t="shared" ca="1" si="54"/>
        <v>2.522384337587899E-2</v>
      </c>
      <c r="O187" s="95">
        <f t="shared" ca="1" si="54"/>
        <v>2.4109314347725355E-2</v>
      </c>
    </row>
    <row r="188" spans="1:15" ht="22" customHeight="1" x14ac:dyDescent="0.15">
      <c r="A188" s="7"/>
      <c r="B188" s="149"/>
      <c r="C188" s="49"/>
      <c r="D188" s="9"/>
      <c r="E188" s="134"/>
      <c r="F188" s="134"/>
      <c r="G188" s="134"/>
      <c r="H188" s="134"/>
      <c r="I188" s="134"/>
      <c r="J188" s="134"/>
      <c r="K188" s="134"/>
      <c r="L188" s="134"/>
      <c r="M188" s="134"/>
      <c r="N188" s="134"/>
      <c r="O188" s="134"/>
    </row>
    <row r="189" spans="1:15" ht="22" customHeight="1" x14ac:dyDescent="0.15">
      <c r="A189" s="7"/>
      <c r="B189" s="147" t="s">
        <v>54</v>
      </c>
      <c r="C189" s="49"/>
      <c r="D189" s="131">
        <f t="shared" ref="D189:J189" si="55">D162</f>
        <v>8856.25</v>
      </c>
      <c r="E189" s="177">
        <f t="shared" si="55"/>
        <v>-1024.5</v>
      </c>
      <c r="F189" s="131">
        <f t="shared" si="55"/>
        <v>4511</v>
      </c>
      <c r="G189" s="177">
        <f t="shared" si="55"/>
        <v>25148.5</v>
      </c>
      <c r="H189" s="177">
        <f t="shared" si="55"/>
        <v>-1193.5</v>
      </c>
      <c r="I189" s="178">
        <f t="shared" si="55"/>
        <v>3039.75</v>
      </c>
      <c r="J189" s="178">
        <f t="shared" si="55"/>
        <v>-3683.25</v>
      </c>
      <c r="K189" s="131">
        <f ca="1">K169*K190</f>
        <v>-572.17501831580466</v>
      </c>
      <c r="L189" s="131">
        <f ca="1">L169*L190</f>
        <v>-122.6541600726172</v>
      </c>
      <c r="M189" s="131">
        <f ca="1">M169*M190</f>
        <v>-1855.5486814890642</v>
      </c>
      <c r="N189" s="131">
        <f ca="1">N169*N190</f>
        <v>-945.97191634745582</v>
      </c>
      <c r="O189" s="131">
        <f ca="1">O169*O190</f>
        <v>-1100.9363937117557</v>
      </c>
    </row>
    <row r="190" spans="1:15" ht="22" customHeight="1" x14ac:dyDescent="0.15">
      <c r="A190" s="53"/>
      <c r="B190" s="149"/>
      <c r="C190" s="55"/>
      <c r="D190" s="95">
        <f t="shared" ref="D190:J190" si="56">D189/D169</f>
        <v>3.8640508560358819E-2</v>
      </c>
      <c r="E190" s="95">
        <f t="shared" si="56"/>
        <v>-4.6878807187168614E-3</v>
      </c>
      <c r="F190" s="95">
        <f t="shared" si="56"/>
        <v>1.9066921258602782E-2</v>
      </c>
      <c r="G190" s="95">
        <f t="shared" si="56"/>
        <v>9.5443940418934697E-2</v>
      </c>
      <c r="H190" s="95">
        <f t="shared" si="56"/>
        <v>-4.5249597881401316E-3</v>
      </c>
      <c r="I190" s="95">
        <f t="shared" si="56"/>
        <v>1.0223128029985824E-2</v>
      </c>
      <c r="J190" s="95">
        <f t="shared" ca="1" si="56"/>
        <v>-9.6925901107270587E-3</v>
      </c>
      <c r="K190" s="57">
        <f ca="1">AVERAGE(J190,I190,H190)</f>
        <v>-1.3314739562937886E-3</v>
      </c>
      <c r="L190" s="57">
        <f ca="1">AVERAGE(K190,J190,I190)</f>
        <v>-2.6697867901167432E-4</v>
      </c>
      <c r="M190" s="57">
        <f ca="1">AVERAGE(L190,K190,J190)</f>
        <v>-3.7636809153441739E-3</v>
      </c>
      <c r="N190" s="57">
        <f ca="1">AVERAGE(M190,L190,K190)</f>
        <v>-1.7873778502165455E-3</v>
      </c>
      <c r="O190" s="57">
        <f ca="1">AVERAGE(N190,M190,L190)</f>
        <v>-1.9393458148574646E-3</v>
      </c>
    </row>
    <row r="191" spans="1:15" ht="22.5" customHeight="1" x14ac:dyDescent="0.15">
      <c r="A191" s="116"/>
      <c r="B191" s="179"/>
      <c r="C191" s="100"/>
      <c r="D191" s="102"/>
      <c r="E191" s="169"/>
      <c r="F191" s="169"/>
      <c r="G191" s="169"/>
      <c r="H191" s="169"/>
      <c r="I191" s="169"/>
      <c r="J191" s="169"/>
      <c r="K191" s="169"/>
      <c r="L191" s="169"/>
      <c r="M191" s="169"/>
      <c r="N191" s="169"/>
      <c r="O191" s="169"/>
    </row>
    <row r="192" spans="1:15" ht="22.5" customHeight="1" x14ac:dyDescent="0.15">
      <c r="A192" s="120"/>
      <c r="B192" s="170" t="s">
        <v>61</v>
      </c>
      <c r="C192" s="74"/>
      <c r="D192" s="82"/>
      <c r="E192" s="180"/>
      <c r="F192" s="180"/>
      <c r="G192" s="180"/>
      <c r="H192" s="180"/>
      <c r="I192" s="180"/>
      <c r="J192" s="180"/>
      <c r="K192" s="123">
        <f ca="1">K181+K183-K186-K189</f>
        <v>100306.67681106579</v>
      </c>
      <c r="L192" s="123">
        <f ca="1">L181+L183-L186-L189</f>
        <v>112789.9219980726</v>
      </c>
      <c r="M192" s="123">
        <f ca="1">M181+M183-M186-M189</f>
        <v>129548.95560598905</v>
      </c>
      <c r="N192" s="123">
        <f ca="1">N181+N183-N186-N189</f>
        <v>146218.66760734748</v>
      </c>
      <c r="O192" s="123">
        <f ca="1">O181+O183-O186-O189</f>
        <v>163037.19028217555</v>
      </c>
    </row>
    <row r="193" spans="1:15" ht="22.5" customHeight="1" x14ac:dyDescent="0.15">
      <c r="A193" s="116"/>
      <c r="B193" s="181" t="s">
        <v>62</v>
      </c>
      <c r="C193" s="100"/>
      <c r="D193" s="102"/>
      <c r="E193" s="169"/>
      <c r="F193" s="169"/>
      <c r="G193" s="169"/>
      <c r="H193" s="169"/>
      <c r="I193" s="169"/>
      <c r="J193" s="169"/>
      <c r="K193" s="182">
        <f ca="1">K192/(1+$C$23)^K166</f>
        <v>92297.254132469418</v>
      </c>
      <c r="L193" s="182">
        <f ca="1">L192/(1+$C$23)^L166</f>
        <v>95496.658003457997</v>
      </c>
      <c r="M193" s="182">
        <f ca="1">M192/(1+$C$23)^M166</f>
        <v>100927.78255313588</v>
      </c>
      <c r="N193" s="182">
        <f ca="1">N192/(1+$C$23)^N166</f>
        <v>104818.65342049242</v>
      </c>
      <c r="O193" s="182">
        <f ca="1">O192/(1+$C$23)^O166</f>
        <v>107542.80869075369</v>
      </c>
    </row>
    <row r="194" spans="1:15" ht="22.5" customHeight="1" x14ac:dyDescent="0.15">
      <c r="A194" s="120"/>
      <c r="B194" s="183"/>
      <c r="C194" s="74"/>
      <c r="D194" s="82"/>
      <c r="E194" s="180"/>
      <c r="F194" s="180"/>
      <c r="G194" s="180"/>
      <c r="H194" s="180"/>
      <c r="I194" s="180"/>
      <c r="J194" s="180"/>
      <c r="K194" s="180"/>
      <c r="L194" s="180"/>
      <c r="M194" s="180"/>
      <c r="N194" s="180"/>
      <c r="O194" s="180"/>
    </row>
    <row r="195" spans="1:15" ht="22" customHeight="1" x14ac:dyDescent="0.15">
      <c r="A195" s="7"/>
      <c r="B195" s="147" t="s">
        <v>63</v>
      </c>
      <c r="C195" s="49"/>
      <c r="D195" s="9"/>
      <c r="E195" s="134"/>
      <c r="F195" s="134"/>
      <c r="G195" s="134"/>
      <c r="H195" s="134"/>
      <c r="I195" s="134"/>
      <c r="J195" s="134"/>
      <c r="K195" s="134"/>
      <c r="L195" s="134"/>
      <c r="M195" s="134"/>
      <c r="N195" s="134"/>
      <c r="O195" s="92">
        <f ca="1">O192*(1+C24)/($C$23-$C$24)</f>
        <v>2705034.2992867944</v>
      </c>
    </row>
    <row r="196" spans="1:15" ht="22" customHeight="1" x14ac:dyDescent="0.15">
      <c r="A196" s="7"/>
      <c r="B196" s="147" t="s">
        <v>64</v>
      </c>
      <c r="C196" s="49"/>
      <c r="D196" s="9"/>
      <c r="E196" s="134"/>
      <c r="F196" s="134"/>
      <c r="G196" s="92"/>
      <c r="H196" s="134"/>
      <c r="I196" s="134"/>
      <c r="J196" s="134"/>
      <c r="K196" s="134"/>
      <c r="L196" s="134"/>
      <c r="M196" s="134"/>
      <c r="N196" s="134"/>
      <c r="O196" s="92">
        <f ca="1">O195/(1+C23)^O166</f>
        <v>1784298.3287840113</v>
      </c>
    </row>
    <row r="197" spans="1:15" ht="22" customHeight="1" x14ac:dyDescent="0.15">
      <c r="A197" s="7"/>
      <c r="B197" s="184"/>
      <c r="C197" s="49"/>
      <c r="D197" s="9"/>
      <c r="E197" s="134"/>
      <c r="F197" s="134"/>
      <c r="G197" s="92"/>
      <c r="H197" s="134"/>
      <c r="I197" s="134"/>
      <c r="J197" s="134"/>
      <c r="K197" s="134"/>
      <c r="L197" s="134"/>
      <c r="M197" s="134"/>
      <c r="N197" s="134"/>
      <c r="O197" s="134"/>
    </row>
    <row r="198" spans="1:15" ht="22" customHeight="1" x14ac:dyDescent="0.15">
      <c r="A198" s="7"/>
      <c r="B198" s="147" t="s">
        <v>65</v>
      </c>
      <c r="C198" s="49"/>
      <c r="D198" s="9"/>
      <c r="E198" s="134"/>
      <c r="F198" s="134"/>
      <c r="G198" s="92"/>
      <c r="H198" s="134"/>
      <c r="I198" s="134"/>
      <c r="J198" s="134"/>
      <c r="K198" s="134"/>
      <c r="L198" s="134"/>
      <c r="M198" s="134"/>
      <c r="N198" s="134"/>
      <c r="O198" s="92">
        <f ca="1">SUM(L193:O193,K193,O196)</f>
        <v>2285381.4855843205</v>
      </c>
    </row>
    <row r="199" spans="1:15" ht="22" customHeight="1" x14ac:dyDescent="0.15">
      <c r="A199" s="7"/>
      <c r="B199" s="147" t="s">
        <v>66</v>
      </c>
      <c r="C199" s="49"/>
      <c r="D199" s="9"/>
      <c r="E199" s="134"/>
      <c r="F199" s="134"/>
      <c r="G199" s="92"/>
      <c r="H199" s="134"/>
      <c r="I199" s="134"/>
      <c r="J199" s="134"/>
      <c r="K199" s="134"/>
      <c r="L199" s="134"/>
      <c r="M199" s="134"/>
      <c r="N199" s="134"/>
      <c r="O199" s="92">
        <v>48230</v>
      </c>
    </row>
    <row r="200" spans="1:15" ht="22" customHeight="1" x14ac:dyDescent="0.15">
      <c r="A200" s="7"/>
      <c r="B200" s="147" t="s">
        <v>67</v>
      </c>
      <c r="C200" s="49"/>
      <c r="D200" s="9"/>
      <c r="E200" s="134"/>
      <c r="F200" s="134"/>
      <c r="G200" s="92"/>
      <c r="H200" s="134"/>
      <c r="I200" s="134"/>
      <c r="J200" s="134"/>
      <c r="K200" s="134"/>
      <c r="L200" s="134"/>
      <c r="M200" s="134"/>
      <c r="N200" s="134"/>
      <c r="O200" s="92">
        <f>'WACC - WACC'!B11</f>
        <v>119691</v>
      </c>
    </row>
    <row r="201" spans="1:15" ht="22" customHeight="1" x14ac:dyDescent="0.15">
      <c r="A201" s="7"/>
      <c r="B201" s="147" t="s">
        <v>68</v>
      </c>
      <c r="C201" s="49"/>
      <c r="D201" s="9"/>
      <c r="E201" s="134"/>
      <c r="F201" s="134"/>
      <c r="G201" s="92"/>
      <c r="H201" s="134"/>
      <c r="I201" s="134"/>
      <c r="J201" s="134"/>
      <c r="K201" s="134"/>
      <c r="L201" s="134"/>
      <c r="M201" s="134"/>
      <c r="N201" s="134"/>
      <c r="O201" s="92">
        <f ca="1">O198+O199-O200</f>
        <v>2213920.4855843205</v>
      </c>
    </row>
    <row r="202" spans="1:15" ht="22" customHeight="1" x14ac:dyDescent="0.15">
      <c r="A202" s="7"/>
      <c r="B202" s="147" t="s">
        <v>69</v>
      </c>
      <c r="C202" s="49"/>
      <c r="D202" s="9"/>
      <c r="E202" s="134"/>
      <c r="F202" s="134"/>
      <c r="G202" s="92"/>
      <c r="H202" s="134"/>
      <c r="I202" s="134"/>
      <c r="J202" s="134"/>
      <c r="K202" s="134"/>
      <c r="L202" s="134"/>
      <c r="M202" s="134"/>
      <c r="N202" s="134"/>
      <c r="O202" s="92">
        <v>16070</v>
      </c>
    </row>
    <row r="203" spans="1:15" ht="22" customHeight="1" x14ac:dyDescent="0.15">
      <c r="A203" s="7"/>
      <c r="B203" s="147" t="s">
        <v>9</v>
      </c>
      <c r="C203" s="49"/>
      <c r="D203" s="9"/>
      <c r="E203" s="134"/>
      <c r="F203" s="134"/>
      <c r="G203" s="92"/>
      <c r="H203" s="134"/>
      <c r="I203" s="134"/>
      <c r="J203" s="134"/>
      <c r="K203" s="134"/>
      <c r="L203" s="134"/>
      <c r="M203" s="134"/>
      <c r="N203" s="134"/>
      <c r="O203" s="185">
        <f ca="1">O201/O202</f>
        <v>137.76729841843937</v>
      </c>
    </row>
    <row r="204" spans="1:15" ht="22" customHeight="1" x14ac:dyDescent="0.15">
      <c r="A204" s="125"/>
      <c r="B204" s="186"/>
      <c r="C204" s="49"/>
      <c r="D204" s="9"/>
      <c r="E204" s="134"/>
      <c r="F204" s="134"/>
      <c r="G204" s="92"/>
      <c r="H204" s="134"/>
      <c r="I204" s="134"/>
      <c r="J204" s="134"/>
      <c r="K204" s="134"/>
      <c r="L204" s="134"/>
      <c r="M204" s="134"/>
      <c r="N204" s="134"/>
      <c r="O204" s="134"/>
    </row>
  </sheetData>
  <mergeCells count="1">
    <mergeCell ref="A1:O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18"/>
  <sheetViews>
    <sheetView showGridLines="0" workbookViewId="0"/>
  </sheetViews>
  <sheetFormatPr baseColWidth="10" defaultColWidth="16.33203125" defaultRowHeight="20" customHeight="1" x14ac:dyDescent="0.15"/>
  <cols>
    <col min="1" max="5" width="16.33203125" style="187" customWidth="1"/>
    <col min="6" max="256" width="16.33203125" customWidth="1"/>
  </cols>
  <sheetData>
    <row r="1" spans="1:5" ht="31" customHeight="1" x14ac:dyDescent="0.15">
      <c r="A1" s="204" t="s">
        <v>30</v>
      </c>
      <c r="B1" s="204"/>
      <c r="C1" s="204"/>
      <c r="D1" s="204"/>
      <c r="E1" s="204"/>
    </row>
    <row r="2" spans="1:5" ht="19.75" customHeight="1" x14ac:dyDescent="0.15">
      <c r="A2" s="29"/>
      <c r="B2" s="29"/>
      <c r="C2" s="29"/>
      <c r="D2" s="29"/>
      <c r="E2" s="29"/>
    </row>
    <row r="3" spans="1:5" ht="22" customHeight="1" x14ac:dyDescent="0.15">
      <c r="A3" s="188" t="s">
        <v>30</v>
      </c>
      <c r="B3" s="189"/>
      <c r="C3" s="190"/>
      <c r="D3" s="190"/>
      <c r="E3" s="190"/>
    </row>
    <row r="4" spans="1:5" ht="22" customHeight="1" x14ac:dyDescent="0.15">
      <c r="A4" s="189" t="s">
        <v>71</v>
      </c>
      <c r="B4" s="191">
        <v>2503991.3615359999</v>
      </c>
      <c r="C4" s="190"/>
      <c r="D4" s="190"/>
      <c r="E4" s="190"/>
    </row>
    <row r="5" spans="1:5" ht="22" customHeight="1" x14ac:dyDescent="0.15">
      <c r="A5" s="189" t="s">
        <v>72</v>
      </c>
      <c r="B5" s="192">
        <f>B4/B16</f>
        <v>0.95438052953562236</v>
      </c>
      <c r="C5" s="190"/>
      <c r="D5" s="190"/>
      <c r="E5" s="190"/>
    </row>
    <row r="6" spans="1:5" ht="22.5" customHeight="1" x14ac:dyDescent="0.15">
      <c r="A6" s="189" t="s">
        <v>73</v>
      </c>
      <c r="B6" s="193">
        <f>B7+B8*B9</f>
        <v>9.0006000000000003E-2</v>
      </c>
      <c r="C6" s="190"/>
      <c r="D6" s="190"/>
      <c r="E6" s="190"/>
    </row>
    <row r="7" spans="1:5" ht="23" customHeight="1" x14ac:dyDescent="0.15">
      <c r="A7" s="194" t="s">
        <v>74</v>
      </c>
      <c r="B7" s="195">
        <v>3.1949999999999999E-2</v>
      </c>
      <c r="C7" s="196"/>
      <c r="D7" s="190"/>
      <c r="E7" s="190"/>
    </row>
    <row r="8" spans="1:5" ht="23" customHeight="1" x14ac:dyDescent="0.15">
      <c r="A8" s="194" t="s">
        <v>75</v>
      </c>
      <c r="B8" s="197">
        <v>1.23</v>
      </c>
      <c r="C8" s="196"/>
      <c r="D8" s="190"/>
      <c r="E8" s="190"/>
    </row>
    <row r="9" spans="1:5" ht="37" customHeight="1" x14ac:dyDescent="0.15">
      <c r="A9" s="194" t="s">
        <v>76</v>
      </c>
      <c r="B9" s="195">
        <v>4.7199999999999999E-2</v>
      </c>
      <c r="C9" s="196"/>
      <c r="D9" s="190"/>
      <c r="E9" s="190"/>
    </row>
    <row r="10" spans="1:5" ht="22.5" customHeight="1" x14ac:dyDescent="0.15">
      <c r="A10" s="189"/>
      <c r="B10" s="198"/>
      <c r="C10" s="190"/>
      <c r="D10" s="190"/>
      <c r="E10" s="190"/>
    </row>
    <row r="11" spans="1:5" ht="22" customHeight="1" x14ac:dyDescent="0.15">
      <c r="A11" s="189" t="s">
        <v>77</v>
      </c>
      <c r="B11" s="191">
        <v>119691</v>
      </c>
      <c r="C11" s="190"/>
      <c r="D11" s="190"/>
      <c r="E11" s="190"/>
    </row>
    <row r="12" spans="1:5" ht="22.5" customHeight="1" x14ac:dyDescent="0.15">
      <c r="A12" s="189" t="s">
        <v>78</v>
      </c>
      <c r="B12" s="199">
        <f>B11/B4</f>
        <v>4.7800085031674822E-2</v>
      </c>
      <c r="C12" s="190"/>
      <c r="D12" s="190"/>
      <c r="E12" s="190"/>
    </row>
    <row r="13" spans="1:5" ht="23" customHeight="1" x14ac:dyDescent="0.15">
      <c r="A13" s="194" t="s">
        <v>79</v>
      </c>
      <c r="B13" s="195">
        <v>2.12E-2</v>
      </c>
      <c r="C13" s="196"/>
      <c r="D13" s="190"/>
      <c r="E13" s="190"/>
    </row>
    <row r="14" spans="1:5" ht="23" customHeight="1" x14ac:dyDescent="0.15">
      <c r="A14" s="194" t="s">
        <v>80</v>
      </c>
      <c r="B14" s="195">
        <v>0.13300000000000001</v>
      </c>
      <c r="C14" s="196"/>
      <c r="D14" s="190"/>
      <c r="E14" s="190"/>
    </row>
    <row r="15" spans="1:5" ht="22.5" customHeight="1" x14ac:dyDescent="0.15">
      <c r="A15" s="189"/>
      <c r="B15" s="198"/>
      <c r="C15" s="190"/>
      <c r="D15" s="190"/>
      <c r="E15" s="190"/>
    </row>
    <row r="16" spans="1:5" ht="22" customHeight="1" x14ac:dyDescent="0.15">
      <c r="A16" s="189" t="s">
        <v>81</v>
      </c>
      <c r="B16" s="191">
        <f>B4+B11</f>
        <v>2623682.3615359999</v>
      </c>
      <c r="C16" s="190"/>
      <c r="D16" s="190"/>
      <c r="E16" s="190"/>
    </row>
    <row r="17" spans="1:5" ht="22" customHeight="1" x14ac:dyDescent="0.15">
      <c r="A17" s="189"/>
      <c r="B17" s="189"/>
      <c r="C17" s="190"/>
      <c r="D17" s="190"/>
      <c r="E17" s="190"/>
    </row>
    <row r="18" spans="1:5" ht="22" customHeight="1" x14ac:dyDescent="0.15">
      <c r="A18" s="189" t="s">
        <v>30</v>
      </c>
      <c r="B18" s="200">
        <f>(B5*B6)+(B12*B13*(1-B14))</f>
        <v>8.6778558624299423E-2</v>
      </c>
      <c r="C18" s="190"/>
      <c r="D18" s="190"/>
      <c r="E18" s="190"/>
    </row>
  </sheetData>
  <mergeCells count="1">
    <mergeCell ref="A1:E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DCF - Apple DCF Valuation</vt:lpstr>
      <vt:lpstr>WACC - WACC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2022-09-05T18:29:09Z</dcterms:modified>
</cp:coreProperties>
</file>