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Model - Marriott DCF" sheetId="2" r:id="rId5"/>
    <sheet name="WACC - MAR" sheetId="3" r:id="rId6"/>
    <sheet name="Sheet 2 - Booking Metrics for C" sheetId="4" r:id="rId7"/>
  </sheets>
</workbook>
</file>

<file path=xl/sharedStrings.xml><?xml version="1.0" encoding="utf-8"?>
<sst xmlns="http://schemas.openxmlformats.org/spreadsheetml/2006/main" uniqueCount="80">
  <si>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</si>
  <si>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</si>
  <si>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</si>
  <si>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</si>
  <si>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Model</t>
  </si>
  <si>
    <t>Marriott DCF</t>
  </si>
  <si>
    <t>Model - Marriott DCF</t>
  </si>
  <si>
    <t>Ticker</t>
  </si>
  <si>
    <t>MAR</t>
  </si>
  <si>
    <t>Implied Share Price</t>
  </si>
  <si>
    <t>Date</t>
  </si>
  <si>
    <t xml:space="preserve">Current Share Price </t>
  </si>
  <si>
    <t>Upside (Downside)</t>
  </si>
  <si>
    <t>X</t>
  </si>
  <si>
    <t xml:space="preserve">Assumptions </t>
  </si>
  <si>
    <t>Switches</t>
  </si>
  <si>
    <t>Conservative</t>
  </si>
  <si>
    <t>Street/ Base</t>
  </si>
  <si>
    <t>Optimistic</t>
  </si>
  <si>
    <t>Base Management Fees</t>
  </si>
  <si>
    <t xml:space="preserve">Franchise Fees </t>
  </si>
  <si>
    <t>Incentive Management Fees</t>
  </si>
  <si>
    <t>Contract Investment Amortization</t>
  </si>
  <si>
    <t>Owned, Leased &amp; Other Revenue</t>
  </si>
  <si>
    <t>Cost Reimbursement Revenue</t>
  </si>
  <si>
    <t>EBIT</t>
  </si>
  <si>
    <t>Step</t>
  </si>
  <si>
    <t>WACC</t>
  </si>
  <si>
    <t>TGV</t>
  </si>
  <si>
    <t>Revenue Build</t>
  </si>
  <si>
    <t xml:space="preserve">% growth </t>
  </si>
  <si>
    <t xml:space="preserve">   Conservative</t>
  </si>
  <si>
    <t xml:space="preserve">   Street/Base Case</t>
  </si>
  <si>
    <t xml:space="preserve">   Optimistic</t>
  </si>
  <si>
    <t>Total Revenues</t>
  </si>
  <si>
    <t>Income Statement</t>
  </si>
  <si>
    <t>Revenue</t>
  </si>
  <si>
    <t xml:space="preserve">% of sales </t>
  </si>
  <si>
    <t>Taxes</t>
  </si>
  <si>
    <t>% of EBIT</t>
  </si>
  <si>
    <t>Cash Flow Items</t>
  </si>
  <si>
    <t>D&amp;A</t>
  </si>
  <si>
    <t>% of sales</t>
  </si>
  <si>
    <t>% of CapEx</t>
  </si>
  <si>
    <t>Capital Expenditures</t>
  </si>
  <si>
    <t xml:space="preserve">Net Working Capital </t>
  </si>
  <si>
    <t xml:space="preserve">Change in Net Working Capital </t>
  </si>
  <si>
    <t>% change in sales</t>
  </si>
  <si>
    <t>DCF</t>
  </si>
  <si>
    <t>EBIAT</t>
  </si>
  <si>
    <t>Unlevered Free Cash Flow</t>
  </si>
  <si>
    <t>Present Value of Free Cash Flow</t>
  </si>
  <si>
    <t xml:space="preserve">Terminal Value </t>
  </si>
  <si>
    <t xml:space="preserve">Present Value of Terminal Value </t>
  </si>
  <si>
    <t>Enterprise Value</t>
  </si>
  <si>
    <t xml:space="preserve">(+) Cash </t>
  </si>
  <si>
    <t>(-) Debt</t>
  </si>
  <si>
    <t>Equity Value</t>
  </si>
  <si>
    <t xml:space="preserve">Shares </t>
  </si>
  <si>
    <t xml:space="preserve">Implied Share Price </t>
  </si>
  <si>
    <t>WACC - MAR</t>
  </si>
  <si>
    <t>WACC = % of equity x cost of equity + % of debt x cost of debt x (1-Tax Rate)</t>
  </si>
  <si>
    <t xml:space="preserve">Cost of equity = Risk free rate + Beta x Market Risk Premium </t>
  </si>
  <si>
    <t xml:space="preserve">Market Cap </t>
  </si>
  <si>
    <t>% of equity</t>
  </si>
  <si>
    <t>Cost of Equity</t>
  </si>
  <si>
    <t>Risk Free Rate</t>
  </si>
  <si>
    <t>Beta</t>
  </si>
  <si>
    <t xml:space="preserve">Market Risk Premium </t>
  </si>
  <si>
    <t>Debt</t>
  </si>
  <si>
    <t>% of Debt</t>
  </si>
  <si>
    <t>Cost of Debt</t>
  </si>
  <si>
    <t>Tax Rate</t>
  </si>
  <si>
    <t xml:space="preserve">Total </t>
  </si>
  <si>
    <t>Sheet 2</t>
  </si>
  <si>
    <t>Booking Metrics for Calculations</t>
  </si>
  <si>
    <t>Sheet 2 - Booking Metrics for C</t>
  </si>
  <si>
    <t>Shares Outstanding</t>
  </si>
  <si>
    <t>EPS</t>
  </si>
  <si>
    <t xml:space="preserve">Dec 2022
95.83
105.03
85.79
8
0
0
Dec 2023
120.13
130
103.42
10
1
1
Dec 2024
147.18
154.37
132.28
5
1
0
Dec 2025
174.53
</t>
  </si>
</sst>
</file>

<file path=xl/styles.xml><?xml version="1.0" encoding="utf-8"?>
<styleSheet xmlns="http://schemas.openxmlformats.org/spreadsheetml/2006/main">
  <numFmts count="9">
    <numFmt numFmtId="0" formatCode="General"/>
    <numFmt numFmtId="59" formatCode="[$$-409]0.00"/>
    <numFmt numFmtId="60" formatCode="dd/mm/yyyy"/>
    <numFmt numFmtId="61" formatCode="0%_);\(0%\)"/>
    <numFmt numFmtId="62" formatCode="0.0%_);\(0.0%\)"/>
    <numFmt numFmtId="63" formatCode="0.0%"/>
    <numFmt numFmtId="64" formatCode="#,##0%_);\(#,##0%\)"/>
    <numFmt numFmtId="65" formatCode="0.0#%"/>
    <numFmt numFmtId="66" formatCode="#,##0.0#####"/>
  </numFmts>
  <fonts count="23">
    <font>
      <sz val="10"/>
      <color indexed="8"/>
      <name val="Helvetica Neue"/>
    </font>
    <font>
      <sz val="12"/>
      <color indexed="8"/>
      <name val="Helvetica Neue"/>
    </font>
    <font>
      <sz val="14"/>
      <color indexed="8"/>
      <name val="Helvetica Neue"/>
    </font>
    <font>
      <u val="single"/>
      <sz val="12"/>
      <color indexed="11"/>
      <name val="Helvetica Neue"/>
    </font>
    <font>
      <b val="1"/>
      <sz val="14"/>
      <color indexed="8"/>
      <name val="Calibri"/>
    </font>
    <font>
      <sz val="11"/>
      <color indexed="8"/>
      <name val="Calibri"/>
    </font>
    <font>
      <b val="1"/>
      <sz val="11"/>
      <color indexed="8"/>
      <name val="Calibri"/>
    </font>
    <font>
      <sz val="12"/>
      <color indexed="8"/>
      <name val="Calibri"/>
    </font>
    <font>
      <b val="1"/>
      <sz val="11"/>
      <color indexed="15"/>
      <name val="Calibri"/>
    </font>
    <font>
      <i val="1"/>
      <sz val="12"/>
      <color indexed="8"/>
      <name val="Calibri"/>
    </font>
    <font>
      <sz val="11"/>
      <color indexed="17"/>
      <name val="Calibri"/>
    </font>
    <font>
      <i val="1"/>
      <sz val="11"/>
      <color indexed="8"/>
      <name val="Calibri"/>
    </font>
    <font>
      <b val="1"/>
      <i val="1"/>
      <sz val="11"/>
      <color indexed="8"/>
      <name val="Calibri"/>
    </font>
    <font>
      <i val="1"/>
      <sz val="11"/>
      <color indexed="17"/>
      <name val="Calibri"/>
    </font>
    <font>
      <sz val="11"/>
      <color indexed="19"/>
      <name val="Calibri"/>
    </font>
    <font>
      <b val="1"/>
      <sz val="12"/>
      <color indexed="8"/>
      <name val="Calibri"/>
    </font>
    <font>
      <b val="1"/>
      <sz val="12"/>
      <color indexed="8"/>
      <name val="Helvetica Neue"/>
    </font>
    <font>
      <b val="1"/>
      <sz val="12"/>
      <color indexed="15"/>
      <name val="Calibri"/>
    </font>
    <font>
      <b val="1"/>
      <sz val="10"/>
      <color indexed="8"/>
      <name val="Helvetica Neue"/>
    </font>
    <font>
      <sz val="10"/>
      <color indexed="8"/>
      <name val="Calibri"/>
    </font>
    <font>
      <b val="1"/>
      <sz val="10"/>
      <color indexed="8"/>
      <name val="Calibri"/>
    </font>
    <font>
      <outline val="1"/>
      <sz val="10"/>
      <color indexed="21"/>
      <name val="Calibri"/>
    </font>
    <font>
      <outline val="1"/>
      <sz val="10"/>
      <color indexed="22"/>
      <name val="Helvetica"/>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s>
  <borders count="57">
    <border>
      <left/>
      <right/>
      <top/>
      <bottom/>
      <diagonal/>
    </border>
    <border>
      <left>
        <color indexed="8"/>
      </left>
      <right>
        <color indexed="8"/>
      </right>
      <top>
        <color indexed="8"/>
      </top>
      <bottom/>
      <diagonal/>
    </border>
    <border>
      <left>
        <color indexed="8"/>
      </left>
      <right/>
      <top/>
      <bottom style="dotted">
        <color indexed="12"/>
      </bottom>
      <diagonal/>
    </border>
    <border>
      <left/>
      <right/>
      <top/>
      <bottom/>
      <diagonal/>
    </border>
    <border>
      <left/>
      <right/>
      <top/>
      <bottom style="hair">
        <color indexed="12"/>
      </bottom>
      <diagonal/>
    </border>
    <border>
      <left>
        <color indexed="8"/>
      </left>
      <right>
        <color indexed="8"/>
      </right>
      <top/>
      <bottom/>
      <diagonal/>
    </border>
    <border>
      <left>
        <color indexed="8"/>
      </left>
      <right style="dotted">
        <color indexed="12"/>
      </right>
      <top/>
      <bottom/>
      <diagonal/>
    </border>
    <border>
      <left style="dotted">
        <color indexed="12"/>
      </left>
      <right style="dotted">
        <color indexed="12"/>
      </right>
      <top style="dotted">
        <color indexed="12"/>
      </top>
      <bottom style="hair">
        <color indexed="12"/>
      </bottom>
      <diagonal/>
    </border>
    <border>
      <left style="dotted">
        <color indexed="12"/>
      </left>
      <right/>
      <top/>
      <bottom/>
      <diagonal/>
    </border>
    <border>
      <left/>
      <right style="hair">
        <color indexed="12"/>
      </right>
      <top/>
      <bottom/>
      <diagonal/>
    </border>
    <border>
      <left style="hair">
        <color indexed="12"/>
      </left>
      <right style="hair">
        <color indexed="12"/>
      </right>
      <top style="hair">
        <color indexed="12"/>
      </top>
      <bottom style="hair">
        <color indexed="12"/>
      </bottom>
      <diagonal/>
    </border>
    <border>
      <left style="hair">
        <color indexed="12"/>
      </left>
      <right/>
      <top/>
      <bottom/>
      <diagonal/>
    </border>
    <border>
      <left style="dotted">
        <color indexed="12"/>
      </left>
      <right style="dotted">
        <color indexed="12"/>
      </right>
      <top style="hair">
        <color indexed="12"/>
      </top>
      <bottom style="dotted">
        <color indexed="12"/>
      </bottom>
      <diagonal/>
    </border>
    <border>
      <left>
        <color indexed="8"/>
      </left>
      <right/>
      <top style="dotted">
        <color indexed="12"/>
      </top>
      <bottom/>
      <diagonal/>
    </border>
    <border>
      <left/>
      <right/>
      <top style="hair">
        <color indexed="12"/>
      </top>
      <bottom/>
      <diagonal/>
    </border>
    <border>
      <left>
        <color indexed="8"/>
      </left>
      <right/>
      <top/>
      <bottom/>
      <diagonal/>
    </border>
    <border>
      <left/>
      <right/>
      <top/>
      <bottom style="dotted">
        <color indexed="12"/>
      </bottom>
      <diagonal/>
    </border>
    <border>
      <left style="dotted">
        <color indexed="12"/>
      </left>
      <right style="dotted">
        <color indexed="12"/>
      </right>
      <top style="dotted">
        <color indexed="12"/>
      </top>
      <bottom style="dotted">
        <color indexed="12"/>
      </bottom>
      <diagonal/>
    </border>
    <border>
      <left style="dotted">
        <color indexed="12"/>
      </left>
      <right style="dotted">
        <color indexed="12"/>
      </right>
      <top/>
      <bottom/>
      <diagonal/>
    </border>
    <border>
      <left>
        <color indexed="8"/>
      </left>
      <right style="dotted">
        <color indexed="12"/>
      </right>
      <top/>
      <bottom>
        <color indexed="8"/>
      </bottom>
      <diagonal/>
    </border>
    <border>
      <left>
        <color indexed="8"/>
      </left>
      <right style="dotted">
        <color indexed="12"/>
      </right>
      <top>
        <color indexed="8"/>
      </top>
      <bottom>
        <color indexed="8"/>
      </bottom>
      <diagonal/>
    </border>
    <border>
      <left>
        <color indexed="8"/>
      </left>
      <right>
        <color indexed="8"/>
      </right>
      <top>
        <color indexed="8"/>
      </top>
      <bottom>
        <color indexed="8"/>
      </bottom>
      <diagonal/>
    </border>
    <border>
      <left>
        <color indexed="8"/>
      </left>
      <right/>
      <top style="hair">
        <color indexed="12"/>
      </top>
      <bottom style="dotted">
        <color indexed="12"/>
      </bottom>
      <diagonal/>
    </border>
    <border>
      <left/>
      <right/>
      <top style="hair">
        <color indexed="12"/>
      </top>
      <bottom style="dotted">
        <color indexed="12"/>
      </bottom>
      <diagonal/>
    </border>
    <border>
      <left style="dotted">
        <color indexed="12"/>
      </left>
      <right style="dotted">
        <color indexed="12"/>
      </right>
      <top style="hair">
        <color indexed="12"/>
      </top>
      <bottom style="hair">
        <color indexed="12"/>
      </bottom>
      <diagonal/>
    </border>
    <border>
      <left/>
      <right/>
      <top style="dotted">
        <color indexed="12"/>
      </top>
      <bottom/>
      <diagonal/>
    </border>
    <border>
      <left>
        <color indexed="8"/>
      </left>
      <right/>
      <top style="hair">
        <color indexed="12"/>
      </top>
      <bottom/>
      <diagonal/>
    </border>
    <border>
      <left/>
      <right style="dotted">
        <color indexed="12"/>
      </right>
      <top/>
      <bottom/>
      <diagonal/>
    </border>
    <border>
      <left>
        <color indexed="8"/>
      </left>
      <right>
        <color indexed="8"/>
      </right>
      <top/>
      <bottom>
        <color indexed="8"/>
      </bottom>
      <diagonal/>
    </border>
    <border>
      <left>
        <color indexed="8"/>
      </left>
      <right/>
      <top/>
      <bottom>
        <color indexed="8"/>
      </bottom>
      <diagonal/>
    </border>
    <border>
      <left/>
      <right/>
      <top/>
      <bottom>
        <color indexed="8"/>
      </bottom>
      <diagonal/>
    </border>
    <border>
      <left/>
      <right/>
      <top style="hair">
        <color indexed="12"/>
      </top>
      <bottom>
        <color indexed="8"/>
      </bottom>
      <diagonal/>
    </border>
    <border>
      <left>
        <color indexed="8"/>
      </left>
      <right/>
      <top>
        <color indexed="8"/>
      </top>
      <bottom>
        <color indexed="8"/>
      </bottom>
      <diagonal/>
    </border>
    <border>
      <left/>
      <right/>
      <top>
        <color indexed="8"/>
      </top>
      <bottom>
        <color indexed="8"/>
      </bottom>
      <diagonal/>
    </border>
    <border>
      <left/>
      <right>
        <color indexed="8"/>
      </right>
      <top>
        <color indexed="8"/>
      </top>
      <bottom>
        <color indexed="8"/>
      </bottom>
      <diagonal/>
    </border>
    <border>
      <left>
        <color indexed="8"/>
      </left>
      <right/>
      <top>
        <color indexed="8"/>
      </top>
      <bottom/>
      <diagonal/>
    </border>
    <border>
      <left/>
      <right/>
      <top>
        <color indexed="8"/>
      </top>
      <bottom/>
      <diagonal/>
    </border>
    <border>
      <left/>
      <right/>
      <top>
        <color indexed="8"/>
      </top>
      <bottom style="dotted">
        <color indexed="12"/>
      </bottom>
      <diagonal/>
    </border>
    <border>
      <left>
        <color indexed="8"/>
      </left>
      <right>
        <color indexed="8"/>
      </right>
      <top/>
      <bottom style="thin">
        <color indexed="12"/>
      </bottom>
      <diagonal/>
    </border>
    <border>
      <left>
        <color indexed="8"/>
      </left>
      <right/>
      <top/>
      <bottom style="thin">
        <color indexed="12"/>
      </bottom>
      <diagonal/>
    </border>
    <border>
      <left/>
      <right/>
      <top/>
      <bottom style="thin">
        <color indexed="12"/>
      </bottom>
      <diagonal/>
    </border>
    <border>
      <left/>
      <right/>
      <top style="hair">
        <color indexed="12"/>
      </top>
      <bottom style="thin">
        <color indexed="12"/>
      </bottom>
      <diagonal/>
    </border>
    <border>
      <left/>
      <right/>
      <top style="hair">
        <color indexed="12"/>
      </top>
      <bottom style="thin">
        <color indexed="18"/>
      </bottom>
      <diagonal/>
    </border>
    <border>
      <left>
        <color indexed="8"/>
      </left>
      <right>
        <color indexed="8"/>
      </right>
      <top style="thin">
        <color indexed="12"/>
      </top>
      <bottom/>
      <diagonal/>
    </border>
    <border>
      <left>
        <color indexed="8"/>
      </left>
      <right/>
      <top style="thin">
        <color indexed="12"/>
      </top>
      <bottom/>
      <diagonal/>
    </border>
    <border>
      <left/>
      <right/>
      <top style="thin">
        <color indexed="12"/>
      </top>
      <bottom/>
      <diagonal/>
    </border>
    <border>
      <left/>
      <right/>
      <top style="thin">
        <color indexed="18"/>
      </top>
      <bottom/>
      <diagonal/>
    </border>
    <border>
      <left>
        <color indexed="8"/>
      </left>
      <right>
        <color indexed="8"/>
      </right>
      <top>
        <color indexed="8"/>
      </top>
      <bottom style="thin">
        <color indexed="18"/>
      </bottom>
      <diagonal/>
    </border>
    <border>
      <left>
        <color indexed="8"/>
      </left>
      <right/>
      <top/>
      <bottom style="thin">
        <color indexed="18"/>
      </bottom>
      <diagonal/>
    </border>
    <border>
      <left/>
      <right/>
      <top/>
      <bottom style="thin">
        <color indexed="18"/>
      </bottom>
      <diagonal/>
    </border>
    <border>
      <left>
        <color indexed="8"/>
      </left>
      <right>
        <color indexed="8"/>
      </right>
      <top style="thin">
        <color indexed="18"/>
      </top>
      <bottom>
        <color indexed="8"/>
      </bottom>
      <diagonal/>
    </border>
    <border>
      <left>
        <color indexed="8"/>
      </left>
      <right/>
      <top style="thin">
        <color indexed="18"/>
      </top>
      <bottom>
        <color indexed="8"/>
      </bottom>
      <diagonal/>
    </border>
    <border>
      <left/>
      <right/>
      <top style="thin">
        <color indexed="18"/>
      </top>
      <bottom>
        <color indexed="8"/>
      </bottom>
      <diagonal/>
    </border>
    <border>
      <left/>
      <right>
        <color indexed="8"/>
      </right>
      <top style="thin">
        <color indexed="18"/>
      </top>
      <bottom>
        <color indexed="8"/>
      </bottom>
      <diagonal/>
    </border>
    <border>
      <left>
        <color indexed="8"/>
      </left>
      <right/>
      <top style="thin">
        <color indexed="18"/>
      </top>
      <bottom/>
      <diagonal/>
    </border>
    <border>
      <left/>
      <right/>
      <top/>
      <bottom style="thin">
        <color indexed="20"/>
      </bottom>
      <diagonal/>
    </border>
    <border>
      <left/>
      <right/>
      <top style="thin">
        <color indexed="20"/>
      </top>
      <bottom/>
      <diagonal/>
    </border>
  </borders>
  <cellStyleXfs count="1">
    <xf numFmtId="0" fontId="0" applyNumberFormat="0" applyFont="1" applyFill="0" applyBorder="0" applyAlignment="1" applyProtection="0">
      <alignment vertical="top" wrapText="1"/>
    </xf>
  </cellStyleXfs>
  <cellXfs count="19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left" vertical="center"/>
    </xf>
    <xf numFmtId="0" fontId="5" borderId="1" applyNumberFormat="0" applyFont="1" applyFill="0" applyBorder="1" applyAlignment="1" applyProtection="0">
      <alignment vertical="top"/>
    </xf>
    <xf numFmtId="0" fontId="6" borderId="1" applyNumberFormat="0" applyFont="1" applyFill="0" applyBorder="1" applyAlignment="1" applyProtection="0">
      <alignment vertical="top"/>
    </xf>
    <xf numFmtId="0" fontId="5" borderId="2" applyNumberFormat="0" applyFont="1" applyFill="0" applyBorder="1" applyAlignment="1" applyProtection="0">
      <alignment vertical="top"/>
    </xf>
    <xf numFmtId="0" fontId="5" borderId="3" applyNumberFormat="0" applyFont="1" applyFill="0" applyBorder="1" applyAlignment="1" applyProtection="0">
      <alignment vertical="top"/>
    </xf>
    <xf numFmtId="0" fontId="5" borderId="4" applyNumberFormat="0" applyFont="1" applyFill="0" applyBorder="1" applyAlignment="1" applyProtection="0">
      <alignment vertical="top"/>
    </xf>
    <xf numFmtId="0" fontId="5" borderId="5" applyNumberFormat="0" applyFont="1" applyFill="0" applyBorder="1" applyAlignment="1" applyProtection="0">
      <alignment vertical="top"/>
    </xf>
    <xf numFmtId="49" fontId="6" borderId="6" applyNumberFormat="1" applyFont="1" applyFill="0" applyBorder="1" applyAlignment="1" applyProtection="0">
      <alignment vertical="top"/>
    </xf>
    <xf numFmtId="49" fontId="5" fillId="4" borderId="7" applyNumberFormat="1" applyFont="1" applyFill="1" applyBorder="1" applyAlignment="1" applyProtection="0">
      <alignment vertical="top"/>
    </xf>
    <xf numFmtId="0" fontId="5" borderId="8" applyNumberFormat="0" applyFont="1" applyFill="0" applyBorder="1" applyAlignment="1" applyProtection="0">
      <alignment vertical="top"/>
    </xf>
    <xf numFmtId="49" fontId="7" borderId="9" applyNumberFormat="1" applyFont="1" applyFill="0" applyBorder="1" applyAlignment="1" applyProtection="0">
      <alignment vertical="top"/>
    </xf>
    <xf numFmtId="59" fontId="7" fillId="5" borderId="10" applyNumberFormat="1" applyFont="1" applyFill="1" applyBorder="1" applyAlignment="1" applyProtection="0">
      <alignment horizontal="right" vertical="top" wrapText="1"/>
    </xf>
    <xf numFmtId="0" fontId="7" borderId="11" applyNumberFormat="0" applyFont="1" applyFill="0" applyBorder="1" applyAlignment="1" applyProtection="0">
      <alignment vertical="top" wrapText="1"/>
    </xf>
    <xf numFmtId="0" fontId="7" borderId="3" applyNumberFormat="0" applyFont="1" applyFill="0" applyBorder="1" applyAlignment="1" applyProtection="0">
      <alignment vertical="top" wrapText="1"/>
    </xf>
    <xf numFmtId="0" fontId="7" borderId="4" applyNumberFormat="0" applyFont="1" applyFill="0" applyBorder="1" applyAlignment="1" applyProtection="0">
      <alignment vertical="top" wrapText="1"/>
    </xf>
    <xf numFmtId="60" fontId="5" fillId="5" borderId="12" applyNumberFormat="1" applyFont="1" applyFill="1" applyBorder="1" applyAlignment="1" applyProtection="0">
      <alignment horizontal="left" vertical="top"/>
    </xf>
    <xf numFmtId="61" fontId="7" fillId="5" borderId="10" applyNumberFormat="1" applyFont="1" applyFill="1" applyBorder="1" applyAlignment="1" applyProtection="0">
      <alignment horizontal="right" vertical="top" wrapText="1"/>
    </xf>
    <xf numFmtId="0" fontId="5" borderId="11" applyNumberFormat="0" applyFont="1" applyFill="0" applyBorder="1" applyAlignment="1" applyProtection="0">
      <alignment vertical="top"/>
    </xf>
    <xf numFmtId="0" fontId="6" borderId="5" applyNumberFormat="0" applyFont="1" applyFill="0" applyBorder="1" applyAlignment="1" applyProtection="0">
      <alignment vertical="top"/>
    </xf>
    <xf numFmtId="0" fontId="5" borderId="13" applyNumberFormat="0" applyFont="1" applyFill="0" applyBorder="1" applyAlignment="1" applyProtection="0">
      <alignment vertical="top"/>
    </xf>
    <xf numFmtId="0" fontId="5" borderId="14" applyNumberFormat="0" applyFont="1" applyFill="0" applyBorder="1" applyAlignment="1" applyProtection="0">
      <alignment vertical="top"/>
    </xf>
    <xf numFmtId="0" fontId="5" borderId="15" applyNumberFormat="0" applyFont="1" applyFill="0" applyBorder="1" applyAlignment="1" applyProtection="0">
      <alignment vertical="top"/>
    </xf>
    <xf numFmtId="49" fontId="5" borderId="5" applyNumberFormat="1" applyFont="1" applyFill="0" applyBorder="1" applyAlignment="1" applyProtection="0">
      <alignment vertical="top"/>
    </xf>
    <xf numFmtId="49" fontId="8" fillId="6" borderId="5" applyNumberFormat="1" applyFont="1" applyFill="1" applyBorder="1" applyAlignment="1" applyProtection="0">
      <alignment vertical="top"/>
    </xf>
    <xf numFmtId="0" fontId="8" fillId="6" borderId="5" applyNumberFormat="0" applyFont="1" applyFill="1" applyBorder="1" applyAlignment="1" applyProtection="0">
      <alignment vertical="top"/>
    </xf>
    <xf numFmtId="0" fontId="8" fillId="6" borderId="15" applyNumberFormat="0" applyFont="1" applyFill="1" applyBorder="1" applyAlignment="1" applyProtection="0">
      <alignment vertical="top"/>
    </xf>
    <xf numFmtId="0" fontId="8" fillId="6" borderId="3" applyNumberFormat="0" applyFont="1" applyFill="1" applyBorder="1" applyAlignment="1" applyProtection="0">
      <alignment vertical="top"/>
    </xf>
    <xf numFmtId="49" fontId="6" borderId="5" applyNumberFormat="1" applyFont="1" applyFill="0" applyBorder="1" applyAlignment="1" applyProtection="0">
      <alignment vertical="top"/>
    </xf>
    <xf numFmtId="49" fontId="6" borderId="16" applyNumberFormat="1" applyFont="1" applyFill="0" applyBorder="1" applyAlignment="1" applyProtection="0">
      <alignment vertical="top"/>
    </xf>
    <xf numFmtId="0" fontId="0" borderId="3" applyNumberFormat="0" applyFont="1" applyFill="0" applyBorder="1" applyAlignment="1" applyProtection="0">
      <alignment vertical="top" wrapText="1"/>
    </xf>
    <xf numFmtId="0" fontId="5" fillId="4" borderId="17" applyNumberFormat="1" applyFont="1" applyFill="1" applyBorder="1" applyAlignment="1" applyProtection="0">
      <alignment vertical="top"/>
    </xf>
    <xf numFmtId="0" fontId="5" borderId="18" applyNumberFormat="0" applyFont="1" applyFill="0" applyBorder="1" applyAlignment="1" applyProtection="0">
      <alignment vertical="top"/>
    </xf>
    <xf numFmtId="62" fontId="5" fillId="4" borderId="17" applyNumberFormat="1" applyFont="1" applyFill="1" applyBorder="1" applyAlignment="1" applyProtection="0">
      <alignment vertical="top"/>
    </xf>
    <xf numFmtId="61" fontId="5" borderId="18" applyNumberFormat="1" applyFont="1" applyFill="0" applyBorder="1" applyAlignment="1" applyProtection="0">
      <alignment vertical="top"/>
    </xf>
    <xf numFmtId="61" fontId="5" fillId="4" borderId="17" applyNumberFormat="1" applyFont="1" applyFill="1" applyBorder="1" applyAlignment="1" applyProtection="0">
      <alignment vertical="top"/>
    </xf>
    <xf numFmtId="63" fontId="5" fillId="4" borderId="17" applyNumberFormat="1" applyFont="1" applyFill="1" applyBorder="1" applyAlignment="1" applyProtection="0">
      <alignment vertical="top"/>
    </xf>
    <xf numFmtId="9" fontId="5" fillId="4" borderId="17" applyNumberFormat="1" applyFont="1" applyFill="1" applyBorder="1" applyAlignment="1" applyProtection="0">
      <alignment vertical="top"/>
    </xf>
    <xf numFmtId="49" fontId="6" borderId="19" applyNumberFormat="1" applyFont="1" applyFill="0" applyBorder="1" applyAlignment="1" applyProtection="0">
      <alignment vertical="top"/>
    </xf>
    <xf numFmtId="49" fontId="6" borderId="20" applyNumberFormat="1" applyFont="1" applyFill="0" applyBorder="1" applyAlignment="1" applyProtection="0">
      <alignment vertical="top"/>
    </xf>
    <xf numFmtId="0" fontId="5" fillId="4" borderId="7" applyNumberFormat="1" applyFont="1" applyFill="1" applyBorder="1" applyAlignment="1" applyProtection="0">
      <alignment vertical="top"/>
    </xf>
    <xf numFmtId="63" fontId="5" fillId="4" borderId="7" applyNumberFormat="1" applyFont="1" applyFill="1" applyBorder="1" applyAlignment="1" applyProtection="0">
      <alignment vertical="top"/>
    </xf>
    <xf numFmtId="9" fontId="5" fillId="4" borderId="7" applyNumberFormat="1" applyFont="1" applyFill="1" applyBorder="1" applyAlignment="1" applyProtection="0">
      <alignment vertical="top"/>
    </xf>
    <xf numFmtId="0" fontId="6" borderId="21" applyNumberFormat="0" applyFont="1" applyFill="0" applyBorder="1" applyAlignment="1" applyProtection="0">
      <alignment vertical="top"/>
    </xf>
    <xf numFmtId="0" fontId="5" borderId="22" applyNumberFormat="0" applyFont="1" applyFill="0" applyBorder="1" applyAlignment="1" applyProtection="0">
      <alignment vertical="top"/>
    </xf>
    <xf numFmtId="9" fontId="5" borderId="23" applyNumberFormat="1" applyFont="1" applyFill="0" applyBorder="1" applyAlignment="1" applyProtection="0">
      <alignment vertical="top"/>
    </xf>
    <xf numFmtId="49" fontId="7" borderId="16" applyNumberFormat="1" applyFont="1" applyFill="0" applyBorder="1" applyAlignment="1" applyProtection="0">
      <alignment vertical="top" wrapText="1"/>
    </xf>
    <xf numFmtId="10" fontId="5" fillId="4" borderId="7" applyNumberFormat="1" applyFont="1" applyFill="1" applyBorder="1" applyAlignment="1" applyProtection="0">
      <alignment vertical="top"/>
    </xf>
    <xf numFmtId="10" fontId="5" fillId="4" borderId="17" applyNumberFormat="1" applyFont="1" applyFill="1" applyBorder="1" applyAlignment="1" applyProtection="0">
      <alignment vertical="top"/>
    </xf>
    <xf numFmtId="10" fontId="9" fillId="5" borderId="17" applyNumberFormat="1" applyFont="1" applyFill="1" applyBorder="1" applyAlignment="1" applyProtection="0">
      <alignment horizontal="center" vertical="top" wrapText="1"/>
    </xf>
    <xf numFmtId="63" fontId="5" fillId="4" borderId="24" applyNumberFormat="1" applyFont="1" applyFill="1" applyBorder="1" applyAlignment="1" applyProtection="0">
      <alignment vertical="top"/>
    </xf>
    <xf numFmtId="0" fontId="5" borderId="25" applyNumberFormat="0" applyFont="1" applyFill="0" applyBorder="1" applyAlignment="1" applyProtection="0">
      <alignment vertical="top"/>
    </xf>
    <xf numFmtId="0" fontId="5" borderId="26" applyNumberFormat="0" applyFont="1" applyFill="0" applyBorder="1" applyAlignment="1" applyProtection="0">
      <alignment vertical="top"/>
    </xf>
    <xf numFmtId="0" fontId="8" fillId="6" borderId="3" applyNumberFormat="1" applyFont="1" applyFill="1" applyBorder="1" applyAlignment="1" applyProtection="0">
      <alignment vertical="top"/>
    </xf>
    <xf numFmtId="37" fontId="5" borderId="3" applyNumberFormat="1" applyFont="1" applyFill="0" applyBorder="1" applyAlignment="1" applyProtection="0">
      <alignment vertical="top"/>
    </xf>
    <xf numFmtId="0" fontId="5" borderId="3" applyNumberFormat="0" applyFont="1" applyFill="0" applyBorder="1" applyAlignment="1" applyProtection="0">
      <alignment vertical="top" wrapText="1"/>
    </xf>
    <xf numFmtId="37" fontId="10" borderId="3" applyNumberFormat="1" applyFont="1" applyFill="0" applyBorder="1" applyAlignment="1" applyProtection="0">
      <alignment vertical="top"/>
    </xf>
    <xf numFmtId="0" fontId="11" borderId="5" applyNumberFormat="0" applyFont="1" applyFill="0" applyBorder="1" applyAlignment="1" applyProtection="0">
      <alignment vertical="top"/>
    </xf>
    <xf numFmtId="49" fontId="12" borderId="5" applyNumberFormat="1" applyFont="1" applyFill="0" applyBorder="1" applyAlignment="1" applyProtection="0">
      <alignment vertical="top"/>
    </xf>
    <xf numFmtId="0" fontId="11" borderId="15" applyNumberFormat="0" applyFont="1" applyFill="0" applyBorder="1" applyAlignment="1" applyProtection="0">
      <alignment vertical="top"/>
    </xf>
    <xf numFmtId="0" fontId="11" borderId="3" applyNumberFormat="0" applyFont="1" applyFill="0" applyBorder="1" applyAlignment="1" applyProtection="0">
      <alignment vertical="top"/>
    </xf>
    <xf numFmtId="37" fontId="11" borderId="3" applyNumberFormat="1" applyFont="1" applyFill="0" applyBorder="1" applyAlignment="1" applyProtection="0">
      <alignment vertical="top"/>
    </xf>
    <xf numFmtId="64" fontId="11" borderId="3" applyNumberFormat="1" applyFont="1" applyFill="0" applyBorder="1" applyAlignment="1" applyProtection="0">
      <alignment vertical="top"/>
    </xf>
    <xf numFmtId="64" fontId="11" borderId="16" applyNumberFormat="1" applyFont="1" applyFill="0" applyBorder="1" applyAlignment="1" applyProtection="0">
      <alignment vertical="top"/>
    </xf>
    <xf numFmtId="37" fontId="10" borderId="27" applyNumberFormat="1" applyFont="1" applyFill="0" applyBorder="1" applyAlignment="1" applyProtection="0">
      <alignment vertical="top"/>
    </xf>
    <xf numFmtId="61" fontId="11" fillId="4" borderId="17" applyNumberFormat="1" applyFont="1" applyFill="1" applyBorder="1" applyAlignment="1" applyProtection="0">
      <alignment vertical="top"/>
    </xf>
    <xf numFmtId="61" fontId="11" fillId="4" borderId="7" applyNumberFormat="1" applyFont="1" applyFill="1" applyBorder="1" applyAlignment="1" applyProtection="0">
      <alignment vertical="top"/>
    </xf>
    <xf numFmtId="0" fontId="11" borderId="28" applyNumberFormat="0" applyFont="1" applyFill="0" applyBorder="1" applyAlignment="1" applyProtection="0">
      <alignment vertical="top"/>
    </xf>
    <xf numFmtId="0" fontId="12" borderId="28" applyNumberFormat="0" applyFont="1" applyFill="0" applyBorder="1" applyAlignment="1" applyProtection="0">
      <alignment vertical="top"/>
    </xf>
    <xf numFmtId="0" fontId="11" borderId="29" applyNumberFormat="0" applyFont="1" applyFill="0" applyBorder="1" applyAlignment="1" applyProtection="0">
      <alignment vertical="top"/>
    </xf>
    <xf numFmtId="0" fontId="11" borderId="30" applyNumberFormat="0" applyFont="1" applyFill="0" applyBorder="1" applyAlignment="1" applyProtection="0">
      <alignment vertical="top"/>
    </xf>
    <xf numFmtId="37" fontId="11" borderId="30" applyNumberFormat="1" applyFont="1" applyFill="0" applyBorder="1" applyAlignment="1" applyProtection="0">
      <alignment vertical="top"/>
    </xf>
    <xf numFmtId="64" fontId="11" borderId="30" applyNumberFormat="1" applyFont="1" applyFill="0" applyBorder="1" applyAlignment="1" applyProtection="0">
      <alignment vertical="top"/>
    </xf>
    <xf numFmtId="64" fontId="11" borderId="31" applyNumberFormat="1" applyFont="1" applyFill="0" applyBorder="1" applyAlignment="1" applyProtection="0">
      <alignment vertical="top"/>
    </xf>
    <xf numFmtId="0" fontId="5" borderId="21" applyNumberFormat="0" applyFont="1" applyFill="0" applyBorder="1" applyAlignment="1" applyProtection="0">
      <alignment vertical="top"/>
    </xf>
    <xf numFmtId="49" fontId="6" borderId="21" applyNumberFormat="1" applyFont="1" applyFill="0" applyBorder="1" applyAlignment="1" applyProtection="0">
      <alignment vertical="top"/>
    </xf>
    <xf numFmtId="0" fontId="5" borderId="32" applyNumberFormat="0" applyFont="1" applyFill="0" applyBorder="1" applyAlignment="1" applyProtection="0">
      <alignment vertical="top"/>
    </xf>
    <xf numFmtId="0" fontId="5" borderId="33" applyNumberFormat="0" applyFont="1" applyFill="0" applyBorder="1" applyAlignment="1" applyProtection="0">
      <alignment vertical="top"/>
    </xf>
    <xf numFmtId="37" fontId="10" borderId="33" applyNumberFormat="1" applyFont="1" applyFill="0" applyBorder="1" applyAlignment="1" applyProtection="0">
      <alignment vertical="top"/>
    </xf>
    <xf numFmtId="37" fontId="5" borderId="33" applyNumberFormat="1" applyFont="1" applyFill="0" applyBorder="1" applyAlignment="1" applyProtection="0">
      <alignment vertical="top"/>
    </xf>
    <xf numFmtId="37" fontId="5" borderId="34" applyNumberFormat="1" applyFont="1" applyFill="0" applyBorder="1" applyAlignment="1" applyProtection="0">
      <alignment vertical="top"/>
    </xf>
    <xf numFmtId="0" fontId="11" borderId="1" applyNumberFormat="0" applyFont="1" applyFill="0" applyBorder="1" applyAlignment="1" applyProtection="0">
      <alignment vertical="top"/>
    </xf>
    <xf numFmtId="49" fontId="12" borderId="1" applyNumberFormat="1" applyFont="1" applyFill="0" applyBorder="1" applyAlignment="1" applyProtection="0">
      <alignment vertical="top"/>
    </xf>
    <xf numFmtId="0" fontId="11" borderId="35" applyNumberFormat="0" applyFont="1" applyFill="0" applyBorder="1" applyAlignment="1" applyProtection="0">
      <alignment vertical="top"/>
    </xf>
    <xf numFmtId="0" fontId="11" borderId="36" applyNumberFormat="0" applyFont="1" applyFill="0" applyBorder="1" applyAlignment="1" applyProtection="0">
      <alignment vertical="top"/>
    </xf>
    <xf numFmtId="37" fontId="13" borderId="36" applyNumberFormat="1" applyFont="1" applyFill="0" applyBorder="1" applyAlignment="1" applyProtection="0">
      <alignment vertical="top"/>
    </xf>
    <xf numFmtId="64" fontId="11" borderId="36" applyNumberFormat="1" applyFont="1" applyFill="0" applyBorder="1" applyAlignment="1" applyProtection="0">
      <alignment vertical="top"/>
    </xf>
    <xf numFmtId="64" fontId="11" borderId="37" applyNumberFormat="1" applyFont="1" applyFill="0" applyBorder="1" applyAlignment="1" applyProtection="0">
      <alignment vertical="top"/>
    </xf>
    <xf numFmtId="61" fontId="11" fillId="4" borderId="24" applyNumberFormat="1" applyFont="1" applyFill="1" applyBorder="1" applyAlignment="1" applyProtection="0">
      <alignment vertical="top"/>
    </xf>
    <xf numFmtId="37" fontId="5" borderId="14" applyNumberFormat="1" applyFont="1" applyFill="0" applyBorder="1" applyAlignment="1" applyProtection="0">
      <alignment vertical="top"/>
    </xf>
    <xf numFmtId="37" fontId="5" borderId="31" applyNumberFormat="1" applyFont="1" applyFill="0" applyBorder="1" applyAlignment="1" applyProtection="0">
      <alignment vertical="top"/>
    </xf>
    <xf numFmtId="37" fontId="13" borderId="3" applyNumberFormat="1" applyFont="1" applyFill="0" applyBorder="1" applyAlignment="1" applyProtection="0">
      <alignment vertical="top"/>
    </xf>
    <xf numFmtId="37" fontId="13" borderId="30" applyNumberFormat="1" applyFont="1" applyFill="0" applyBorder="1" applyAlignment="1" applyProtection="0">
      <alignment vertical="top"/>
    </xf>
    <xf numFmtId="61" fontId="11" fillId="4" borderId="12" applyNumberFormat="1" applyFont="1" applyFill="1" applyBorder="1" applyAlignment="1" applyProtection="0">
      <alignment vertical="top"/>
    </xf>
    <xf numFmtId="64" fontId="11" borderId="14" applyNumberFormat="1" applyFont="1" applyFill="0" applyBorder="1" applyAlignment="1" applyProtection="0">
      <alignment vertical="top"/>
    </xf>
    <xf numFmtId="64" fontId="11" borderId="27" applyNumberFormat="1" applyFont="1" applyFill="0" applyBorder="1" applyAlignment="1" applyProtection="0">
      <alignment vertical="top"/>
    </xf>
    <xf numFmtId="0" fontId="11" borderId="38" applyNumberFormat="0" applyFont="1" applyFill="0" applyBorder="1" applyAlignment="1" applyProtection="0">
      <alignment vertical="top"/>
    </xf>
    <xf numFmtId="0" fontId="12" borderId="38" applyNumberFormat="0" applyFont="1" applyFill="0" applyBorder="1" applyAlignment="1" applyProtection="0">
      <alignment vertical="top"/>
    </xf>
    <xf numFmtId="0" fontId="11" borderId="39" applyNumberFormat="0" applyFont="1" applyFill="0" applyBorder="1" applyAlignment="1" applyProtection="0">
      <alignment vertical="top"/>
    </xf>
    <xf numFmtId="0" fontId="11" borderId="40" applyNumberFormat="0" applyFont="1" applyFill="0" applyBorder="1" applyAlignment="1" applyProtection="0">
      <alignment vertical="top"/>
    </xf>
    <xf numFmtId="37" fontId="13" borderId="40" applyNumberFormat="1" applyFont="1" applyFill="0" applyBorder="1" applyAlignment="1" applyProtection="0">
      <alignment vertical="top"/>
    </xf>
    <xf numFmtId="64" fontId="11" borderId="40" applyNumberFormat="1" applyFont="1" applyFill="0" applyBorder="1" applyAlignment="1" applyProtection="0">
      <alignment vertical="top"/>
    </xf>
    <xf numFmtId="64" fontId="11" borderId="41" applyNumberFormat="1" applyFont="1" applyFill="0" applyBorder="1" applyAlignment="1" applyProtection="0">
      <alignment vertical="top"/>
    </xf>
    <xf numFmtId="64" fontId="11" borderId="42" applyNumberFormat="1" applyFont="1" applyFill="0" applyBorder="1" applyAlignment="1" applyProtection="0">
      <alignment vertical="top"/>
    </xf>
    <xf numFmtId="0" fontId="6" borderId="43" applyNumberFormat="0" applyFont="1" applyFill="0" applyBorder="1" applyAlignment="1" applyProtection="0">
      <alignment vertical="top"/>
    </xf>
    <xf numFmtId="49" fontId="6" borderId="43" applyNumberFormat="1" applyFont="1" applyFill="0" applyBorder="1" applyAlignment="1" applyProtection="0">
      <alignment vertical="top"/>
    </xf>
    <xf numFmtId="0" fontId="6" borderId="44" applyNumberFormat="0" applyFont="1" applyFill="0" applyBorder="1" applyAlignment="1" applyProtection="0">
      <alignment vertical="top"/>
    </xf>
    <xf numFmtId="0" fontId="6" borderId="45" applyNumberFormat="0" applyFont="1" applyFill="0" applyBorder="1" applyAlignment="1" applyProtection="0">
      <alignment vertical="top"/>
    </xf>
    <xf numFmtId="37" fontId="6" borderId="45" applyNumberFormat="1" applyFont="1" applyFill="0" applyBorder="1" applyAlignment="1" applyProtection="0">
      <alignment vertical="top"/>
    </xf>
    <xf numFmtId="37" fontId="6" borderId="46" applyNumberFormat="1" applyFont="1" applyFill="0" applyBorder="1" applyAlignment="1" applyProtection="0">
      <alignment vertical="top"/>
    </xf>
    <xf numFmtId="64" fontId="12" borderId="3" applyNumberFormat="1" applyFont="1" applyFill="0" applyBorder="1" applyAlignment="1" applyProtection="0">
      <alignment vertical="top"/>
    </xf>
    <xf numFmtId="0" fontId="8" borderId="3" applyNumberFormat="0" applyFont="1" applyFill="0" applyBorder="1" applyAlignment="1" applyProtection="0">
      <alignment vertical="top"/>
    </xf>
    <xf numFmtId="37" fontId="14" borderId="3" applyNumberFormat="1" applyFont="1" applyFill="0" applyBorder="1" applyAlignment="1" applyProtection="0">
      <alignment vertical="top"/>
    </xf>
    <xf numFmtId="0" fontId="14" borderId="3" applyNumberFormat="0" applyFont="1" applyFill="0" applyBorder="1" applyAlignment="1" applyProtection="0">
      <alignment vertical="top"/>
    </xf>
    <xf numFmtId="3" fontId="5" borderId="3" applyNumberFormat="1" applyFont="1" applyFill="0" applyBorder="1" applyAlignment="1" applyProtection="0">
      <alignment vertical="top"/>
    </xf>
    <xf numFmtId="0" fontId="5" borderId="28" applyNumberFormat="0" applyFont="1" applyFill="0" applyBorder="1" applyAlignment="1" applyProtection="0">
      <alignment vertical="top"/>
    </xf>
    <xf numFmtId="0" fontId="6" borderId="28" applyNumberFormat="0" applyFont="1" applyFill="0" applyBorder="1" applyAlignment="1" applyProtection="0">
      <alignment vertical="top"/>
    </xf>
    <xf numFmtId="49" fontId="6" borderId="1" applyNumberFormat="1" applyFont="1" applyFill="0" applyBorder="1" applyAlignment="1" applyProtection="0">
      <alignment vertical="top"/>
    </xf>
    <xf numFmtId="3" fontId="10" borderId="3" applyNumberFormat="1" applyFont="1" applyFill="0" applyBorder="1" applyAlignment="1" applyProtection="0">
      <alignment vertical="top"/>
    </xf>
    <xf numFmtId="49" fontId="12" borderId="28" applyNumberFormat="1" applyFont="1" applyFill="0" applyBorder="1" applyAlignment="1" applyProtection="0">
      <alignment vertical="top"/>
    </xf>
    <xf numFmtId="64" fontId="5" borderId="3" applyNumberFormat="1" applyFont="1" applyFill="0" applyBorder="1" applyAlignment="1" applyProtection="0">
      <alignment vertical="top"/>
    </xf>
    <xf numFmtId="49" fontId="5" borderId="1" applyNumberFormat="1" applyFont="1" applyFill="0" applyBorder="1" applyAlignment="1" applyProtection="0">
      <alignment vertical="top"/>
    </xf>
    <xf numFmtId="49" fontId="8" fillId="6" borderId="1" applyNumberFormat="1" applyFont="1" applyFill="1" applyBorder="1" applyAlignment="1" applyProtection="0">
      <alignment vertical="top"/>
    </xf>
    <xf numFmtId="0" fontId="11" borderId="21" applyNumberFormat="0" applyFont="1" applyFill="0" applyBorder="1" applyAlignment="1" applyProtection="0">
      <alignment vertical="top"/>
    </xf>
    <xf numFmtId="49" fontId="12" borderId="21" applyNumberFormat="1" applyFont="1" applyFill="0" applyBorder="1" applyAlignment="1" applyProtection="0">
      <alignment vertical="top"/>
    </xf>
    <xf numFmtId="3" fontId="14" borderId="3" applyNumberFormat="1" applyFont="1" applyFill="0" applyBorder="1" applyAlignment="1" applyProtection="0">
      <alignment vertical="top"/>
    </xf>
    <xf numFmtId="64" fontId="5" borderId="14" applyNumberFormat="1" applyFont="1" applyFill="0" applyBorder="1" applyAlignment="1" applyProtection="0">
      <alignment vertical="top"/>
    </xf>
    <xf numFmtId="0" fontId="5" borderId="47" applyNumberFormat="0" applyFont="1" applyFill="0" applyBorder="1" applyAlignment="1" applyProtection="0">
      <alignment vertical="top"/>
    </xf>
    <xf numFmtId="0" fontId="6" borderId="47" applyNumberFormat="0" applyFont="1" applyFill="0" applyBorder="1" applyAlignment="1" applyProtection="0">
      <alignment vertical="top"/>
    </xf>
    <xf numFmtId="0" fontId="5" borderId="48" applyNumberFormat="0" applyFont="1" applyFill="0" applyBorder="1" applyAlignment="1" applyProtection="0">
      <alignment vertical="top"/>
    </xf>
    <xf numFmtId="0" fontId="5" borderId="49" applyNumberFormat="0" applyFont="1" applyFill="0" applyBorder="1" applyAlignment="1" applyProtection="0">
      <alignment vertical="top"/>
    </xf>
    <xf numFmtId="64" fontId="5" borderId="49" applyNumberFormat="1" applyFont="1" applyFill="0" applyBorder="1" applyAlignment="1" applyProtection="0">
      <alignment vertical="top"/>
    </xf>
    <xf numFmtId="0" fontId="5" borderId="50" applyNumberFormat="0" applyFont="1" applyFill="0" applyBorder="1" applyAlignment="1" applyProtection="0">
      <alignment vertical="top"/>
    </xf>
    <xf numFmtId="49" fontId="6" borderId="50" applyNumberFormat="1" applyFont="1" applyFill="0" applyBorder="1" applyAlignment="1" applyProtection="0">
      <alignment vertical="top"/>
    </xf>
    <xf numFmtId="0" fontId="5" borderId="51" applyNumberFormat="0" applyFont="1" applyFill="0" applyBorder="1" applyAlignment="1" applyProtection="0">
      <alignment vertical="top"/>
    </xf>
    <xf numFmtId="0" fontId="5" borderId="52" applyNumberFormat="0" applyFont="1" applyFill="0" applyBorder="1" applyAlignment="1" applyProtection="0">
      <alignment vertical="top"/>
    </xf>
    <xf numFmtId="37" fontId="6" borderId="52" applyNumberFormat="1" applyFont="1" applyFill="0" applyBorder="1" applyAlignment="1" applyProtection="0">
      <alignment vertical="top"/>
    </xf>
    <xf numFmtId="37" fontId="6" borderId="53" applyNumberFormat="1" applyFont="1" applyFill="0" applyBorder="1" applyAlignment="1" applyProtection="0">
      <alignment vertical="top"/>
    </xf>
    <xf numFmtId="0" fontId="5" borderId="35" applyNumberFormat="0" applyFont="1" applyFill="0" applyBorder="1" applyAlignment="1" applyProtection="0">
      <alignment vertical="top"/>
    </xf>
    <xf numFmtId="0" fontId="5" borderId="36" applyNumberFormat="0" applyFont="1" applyFill="0" applyBorder="1" applyAlignment="1" applyProtection="0">
      <alignment vertical="top"/>
    </xf>
    <xf numFmtId="64" fontId="5" borderId="36" applyNumberFormat="1" applyFont="1" applyFill="0" applyBorder="1" applyAlignment="1" applyProtection="0">
      <alignment vertical="top"/>
    </xf>
    <xf numFmtId="37" fontId="5" borderId="16" applyNumberFormat="1" applyFont="1" applyFill="0" applyBorder="1" applyAlignment="1" applyProtection="0">
      <alignment vertical="top"/>
    </xf>
    <xf numFmtId="3" fontId="5" borderId="16" applyNumberFormat="1" applyFont="1" applyFill="0" applyBorder="1" applyAlignment="1" applyProtection="0">
      <alignment vertical="top"/>
    </xf>
    <xf numFmtId="64" fontId="5" borderId="27" applyNumberFormat="1" applyFont="1" applyFill="0" applyBorder="1" applyAlignment="1" applyProtection="0">
      <alignment vertical="top"/>
    </xf>
    <xf numFmtId="64" fontId="5" borderId="42" applyNumberFormat="1" applyFont="1" applyFill="0" applyBorder="1" applyAlignment="1" applyProtection="0">
      <alignment vertical="top"/>
    </xf>
    <xf numFmtId="0" fontId="5" borderId="42" applyNumberFormat="0" applyFont="1" applyFill="0" applyBorder="1" applyAlignment="1" applyProtection="0">
      <alignment vertical="top"/>
    </xf>
    <xf numFmtId="0" fontId="6" borderId="50" applyNumberFormat="0" applyFont="1" applyFill="0" applyBorder="1" applyAlignment="1" applyProtection="0">
      <alignment vertical="top"/>
    </xf>
    <xf numFmtId="0" fontId="6" borderId="54" applyNumberFormat="0" applyFont="1" applyFill="0" applyBorder="1" applyAlignment="1" applyProtection="0">
      <alignment vertical="top"/>
    </xf>
    <xf numFmtId="0" fontId="6" borderId="46" applyNumberFormat="0" applyFont="1" applyFill="0" applyBorder="1" applyAlignment="1" applyProtection="0">
      <alignment vertical="top"/>
    </xf>
    <xf numFmtId="64" fontId="6" borderId="46" applyNumberFormat="1" applyFont="1" applyFill="0" applyBorder="1" applyAlignment="1" applyProtection="0">
      <alignment vertical="top"/>
    </xf>
    <xf numFmtId="49" fontId="6" borderId="47" applyNumberFormat="1" applyFont="1" applyFill="0" applyBorder="1" applyAlignment="1" applyProtection="0">
      <alignment vertical="top"/>
    </xf>
    <xf numFmtId="37" fontId="5" borderId="49" applyNumberFormat="1" applyFont="1" applyFill="0" applyBorder="1" applyAlignment="1" applyProtection="0">
      <alignment vertical="top"/>
    </xf>
    <xf numFmtId="64" fontId="5" borderId="52" applyNumberFormat="1" applyFont="1" applyFill="0" applyBorder="1" applyAlignment="1" applyProtection="0">
      <alignment vertical="top"/>
    </xf>
    <xf numFmtId="0" fontId="5" borderId="53" applyNumberFormat="0" applyFont="1" applyFill="0" applyBorder="1" applyAlignment="1" applyProtection="0">
      <alignment vertical="top"/>
    </xf>
    <xf numFmtId="64" fontId="5" borderId="33" applyNumberFormat="1" applyFont="1" applyFill="0" applyBorder="1" applyAlignment="1" applyProtection="0">
      <alignment vertical="top"/>
    </xf>
    <xf numFmtId="3" fontId="5" borderId="34" applyNumberFormat="1" applyFont="1" applyFill="0" applyBorder="1" applyAlignment="1" applyProtection="0">
      <alignment vertical="top"/>
    </xf>
    <xf numFmtId="0" fontId="5" borderId="34" applyNumberFormat="0" applyFont="1" applyFill="0" applyBorder="1" applyAlignment="1" applyProtection="0">
      <alignment vertical="top"/>
    </xf>
    <xf numFmtId="0" fontId="15" borderId="1" applyNumberFormat="0" applyFont="1" applyFill="0" applyBorder="1" applyAlignment="1" applyProtection="0">
      <alignment vertical="top"/>
    </xf>
    <xf numFmtId="49" fontId="15" borderId="1" applyNumberFormat="1" applyFont="1" applyFill="0" applyBorder="1" applyAlignment="1" applyProtection="0">
      <alignment vertical="top"/>
    </xf>
    <xf numFmtId="3" fontId="15" borderId="1" applyNumberFormat="1" applyFont="1" applyFill="0" applyBorder="1" applyAlignment="1" applyProtection="0">
      <alignment vertical="top"/>
    </xf>
    <xf numFmtId="0" fontId="15" borderId="5" applyNumberFormat="0" applyFont="1" applyFill="0" applyBorder="1" applyAlignment="1" applyProtection="0">
      <alignment vertical="top"/>
    </xf>
    <xf numFmtId="49" fontId="15" borderId="5" applyNumberFormat="1" applyFont="1" applyFill="0" applyBorder="1" applyAlignment="1" applyProtection="0">
      <alignment vertical="top"/>
    </xf>
    <xf numFmtId="3" fontId="15" borderId="5" applyNumberFormat="1" applyFont="1" applyFill="0" applyBorder="1" applyAlignment="1" applyProtection="0">
      <alignment vertical="top"/>
    </xf>
    <xf numFmtId="0" fontId="15" borderId="5" applyNumberFormat="1" applyFont="1" applyFill="0" applyBorder="1" applyAlignment="1" applyProtection="0">
      <alignment vertical="top"/>
    </xf>
    <xf numFmtId="0" fontId="0" applyNumberFormat="1" applyFont="1" applyFill="0" applyBorder="0" applyAlignment="1" applyProtection="0">
      <alignment vertical="top" wrapText="1"/>
    </xf>
    <xf numFmtId="0" fontId="16" applyNumberFormat="0" applyFont="1" applyFill="0" applyBorder="0" applyAlignment="1" applyProtection="0">
      <alignment horizontal="left" vertical="center"/>
    </xf>
    <xf numFmtId="49" fontId="7" borderId="3" applyNumberFormat="1" applyFont="1" applyFill="0" applyBorder="1" applyAlignment="1" applyProtection="0">
      <alignment vertical="top"/>
    </xf>
    <xf numFmtId="49" fontId="17" fillId="6" borderId="3" applyNumberFormat="1" applyFont="1" applyFill="1" applyBorder="1" applyAlignment="1" applyProtection="0">
      <alignment vertical="top" wrapText="1"/>
    </xf>
    <xf numFmtId="49" fontId="18" borderId="3" applyNumberFormat="1" applyFont="1" applyFill="0" applyBorder="1" applyAlignment="1" applyProtection="0">
      <alignment vertical="top" wrapText="1"/>
    </xf>
    <xf numFmtId="37" fontId="0" borderId="3" applyNumberFormat="1" applyFont="1" applyFill="0" applyBorder="1" applyAlignment="1" applyProtection="0">
      <alignment vertical="top" wrapText="1"/>
    </xf>
    <xf numFmtId="64" fontId="0" borderId="3" applyNumberFormat="1" applyFont="1" applyFill="0" applyBorder="1" applyAlignment="1" applyProtection="0">
      <alignment vertical="top" wrapText="1"/>
    </xf>
    <xf numFmtId="10" fontId="0" borderId="3" applyNumberFormat="1" applyFont="1" applyFill="0" applyBorder="1" applyAlignment="1" applyProtection="0">
      <alignment vertical="top" wrapText="1"/>
    </xf>
    <xf numFmtId="0" fontId="0" borderId="3" applyNumberFormat="1" applyFont="1" applyFill="0" applyBorder="1" applyAlignment="1" applyProtection="0">
      <alignment vertical="top" wrapText="1"/>
    </xf>
    <xf numFmtId="49" fontId="18" borderId="3" applyNumberFormat="1" applyFont="1" applyFill="0" applyBorder="1" applyAlignment="1" applyProtection="0">
      <alignment vertical="top"/>
    </xf>
    <xf numFmtId="0" fontId="18" borderId="3" applyNumberFormat="0" applyFont="1" applyFill="0" applyBorder="1" applyAlignment="1" applyProtection="0">
      <alignment vertical="top" wrapText="1"/>
    </xf>
    <xf numFmtId="9" fontId="0" borderId="3" applyNumberFormat="1" applyFont="1" applyFill="0" applyBorder="1" applyAlignment="1" applyProtection="0">
      <alignment vertical="top" wrapText="1"/>
    </xf>
    <xf numFmtId="65" fontId="0" borderId="3"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15" applyNumberFormat="0" applyFont="1" applyFill="0" applyBorder="0" applyAlignment="1" applyProtection="0">
      <alignment horizontal="left" vertical="center"/>
    </xf>
    <xf numFmtId="0" fontId="19" borderId="3" applyNumberFormat="0" applyFont="1" applyFill="0" applyBorder="1" applyAlignment="1" applyProtection="0">
      <alignment vertical="top" wrapText="1"/>
    </xf>
    <xf numFmtId="49" fontId="20" borderId="3" applyNumberFormat="1" applyFont="1" applyFill="0" applyBorder="1" applyAlignment="1" applyProtection="0">
      <alignment vertical="top" wrapText="1"/>
    </xf>
    <xf numFmtId="59" fontId="19" borderId="55" applyNumberFormat="1" applyFont="1" applyFill="0" applyBorder="1" applyAlignment="1" applyProtection="0">
      <alignment vertical="top" wrapText="1"/>
    </xf>
    <xf numFmtId="66" fontId="21" borderId="56" applyNumberFormat="1" applyFont="1" applyFill="0" applyBorder="1" applyAlignment="1" applyProtection="0">
      <alignment vertical="top" wrapText="1" readingOrder="1"/>
    </xf>
    <xf numFmtId="0" fontId="20" borderId="3" applyNumberFormat="0" applyFont="1" applyFill="0" applyBorder="1" applyAlignment="1" applyProtection="0">
      <alignment vertical="top" wrapText="1"/>
    </xf>
    <xf numFmtId="0" fontId="19" borderId="3" applyNumberFormat="1" applyFont="1" applyFill="0" applyBorder="1" applyAlignment="1" applyProtection="0">
      <alignment vertical="top" wrapText="1"/>
    </xf>
    <xf numFmtId="1" fontId="19" borderId="3" applyNumberFormat="1" applyFont="1" applyFill="0" applyBorder="1" applyAlignment="1" applyProtection="0">
      <alignment vertical="top" wrapText="1"/>
    </xf>
    <xf numFmtId="49" fontId="22" borderId="3" applyNumberFormat="1" applyFont="1" applyFill="0"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515151"/>
      <rgbColor rgb="fffaf5d2"/>
      <rgbColor rgb="fffaf4cf"/>
      <rgbColor rgb="fffefefe"/>
      <rgbColor rgb="ff004c7f"/>
      <rgbColor rgb="ff017000"/>
      <rgbColor rgb="ffa5a5a5"/>
      <rgbColor rgb="ff98185e"/>
      <rgbColor rgb="ffdee2e6"/>
      <rgbColor rgb="ff212529"/>
      <rgbColor rgb="ff2b2b2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27</v>
      </c>
      <c r="C11" s="3"/>
      <c r="D11" s="3"/>
    </row>
    <row r="12">
      <c r="B12" s="4"/>
      <c r="C12" t="s" s="4">
        <v>8</v>
      </c>
      <c r="D12" t="s" s="5">
        <v>60</v>
      </c>
    </row>
    <row r="13">
      <c r="B13" t="s" s="3">
        <v>74</v>
      </c>
      <c r="C13" s="3"/>
      <c r="D13" s="3"/>
    </row>
    <row r="14">
      <c r="B14" s="4"/>
      <c r="C14" t="s" s="4">
        <v>75</v>
      </c>
      <c r="D14" t="s" s="5">
        <v>76</v>
      </c>
    </row>
  </sheetData>
  <mergeCells count="1">
    <mergeCell ref="B3:D3"/>
  </mergeCells>
  <hyperlinks>
    <hyperlink ref="D10" location="'Model - Marriott DCF'!R2C1" tooltip="" display="Model - Marriott DCF"/>
    <hyperlink ref="D12" location="'WACC - MAR'!R2C1" tooltip="" display="WACC - MAR"/>
    <hyperlink ref="D14" location="'Sheet 2 - Booking Metrics for C'!R2C1" tooltip="" display="Sheet 2 - Booking Metrics for C"/>
  </hyperlinks>
</worksheet>
</file>

<file path=xl/worksheets/sheet2.xml><?xml version="1.0" encoding="utf-8"?>
<worksheet xmlns:r="http://schemas.openxmlformats.org/officeDocument/2006/relationships" xmlns="http://schemas.openxmlformats.org/spreadsheetml/2006/main">
  <sheetPr>
    <pageSetUpPr fitToPage="1"/>
  </sheetPr>
  <dimension ref="A2:T129"/>
  <sheetViews>
    <sheetView workbookViewId="0" showGridLines="0" defaultGridColor="1">
      <pane topLeftCell="C1" xSplit="2" ySplit="0" activePane="topRight" state="frozen"/>
    </sheetView>
  </sheetViews>
  <sheetFormatPr defaultColWidth="16.3333" defaultRowHeight="19.9" customHeight="1" outlineLevelRow="0" outlineLevelCol="0"/>
  <cols>
    <col min="1" max="1" width="2.5" style="6" customWidth="1"/>
    <col min="2" max="2" width="28.9141" style="6" customWidth="1"/>
    <col min="3" max="20" width="16.3516" style="6" customWidth="1"/>
    <col min="21" max="256" width="16.3516" style="6" customWidth="1"/>
  </cols>
  <sheetData>
    <row r="1" ht="31" customHeight="1">
      <c r="A1" t="s" s="7">
        <v>5</v>
      </c>
      <c r="B1" s="7"/>
      <c r="C1" s="7"/>
      <c r="D1" s="7"/>
      <c r="E1" s="7"/>
      <c r="F1" s="7"/>
      <c r="G1" s="7"/>
      <c r="H1" s="7"/>
      <c r="I1" s="7"/>
      <c r="J1" s="7"/>
      <c r="K1" s="7"/>
      <c r="L1" s="7"/>
      <c r="M1" s="7"/>
      <c r="N1" s="7"/>
      <c r="O1" s="7"/>
      <c r="P1" s="7"/>
      <c r="Q1" s="7"/>
      <c r="R1" s="7"/>
      <c r="S1" s="7"/>
      <c r="T1" s="7"/>
    </row>
    <row r="2" ht="21.5" customHeight="1">
      <c r="A2" s="8"/>
      <c r="B2" s="9"/>
      <c r="C2" s="10"/>
      <c r="D2" s="11"/>
      <c r="E2" s="11"/>
      <c r="F2" s="12"/>
      <c r="G2" s="11"/>
      <c r="H2" s="11"/>
      <c r="I2" s="11"/>
      <c r="J2" s="11"/>
      <c r="K2" s="11"/>
      <c r="L2" s="11"/>
      <c r="M2" s="11"/>
      <c r="N2" s="11"/>
      <c r="O2" s="11"/>
      <c r="P2" s="11"/>
      <c r="Q2" s="11"/>
      <c r="R2" s="11"/>
      <c r="S2" s="11"/>
      <c r="T2" s="11"/>
    </row>
    <row r="3" ht="23" customHeight="1">
      <c r="A3" s="13"/>
      <c r="B3" t="s" s="14">
        <v>7</v>
      </c>
      <c r="C3" t="s" s="15">
        <v>8</v>
      </c>
      <c r="D3" s="16"/>
      <c r="E3" t="s" s="17">
        <v>9</v>
      </c>
      <c r="F3" s="18">
        <f>T127</f>
        <v>140.994173420025</v>
      </c>
      <c r="G3" s="19"/>
      <c r="H3" s="20"/>
      <c r="I3" s="21"/>
      <c r="J3" s="11"/>
      <c r="K3" s="11"/>
      <c r="L3" s="11"/>
      <c r="M3" s="11"/>
      <c r="N3" s="11"/>
      <c r="O3" s="11"/>
      <c r="P3" s="11"/>
      <c r="Q3" s="11"/>
      <c r="R3" s="11"/>
      <c r="S3" s="11"/>
      <c r="T3" s="11"/>
    </row>
    <row r="4" ht="23" customHeight="1">
      <c r="A4" s="13"/>
      <c r="B4" t="s" s="14">
        <v>10</v>
      </c>
      <c r="C4" s="22">
        <v>43350</v>
      </c>
      <c r="D4" s="16"/>
      <c r="E4" t="s" s="17">
        <v>11</v>
      </c>
      <c r="F4" s="18">
        <v>162.36</v>
      </c>
      <c r="G4" s="19"/>
      <c r="H4" t="s" s="17">
        <v>12</v>
      </c>
      <c r="I4" s="23">
        <f>F3/F4-1</f>
        <v>-0.131595384207779</v>
      </c>
      <c r="J4" s="24"/>
      <c r="K4" s="11"/>
      <c r="L4" s="11"/>
      <c r="M4" s="11"/>
      <c r="N4" s="11"/>
      <c r="O4" s="11"/>
      <c r="P4" s="11"/>
      <c r="Q4" s="11"/>
      <c r="R4" s="11"/>
      <c r="S4" s="11"/>
      <c r="T4" s="11"/>
    </row>
    <row r="5" ht="21.5" customHeight="1">
      <c r="A5" s="13"/>
      <c r="B5" s="25"/>
      <c r="C5" s="26"/>
      <c r="D5" s="11"/>
      <c r="E5" s="11"/>
      <c r="F5" s="27"/>
      <c r="G5" s="11"/>
      <c r="H5" s="11"/>
      <c r="I5" s="27"/>
      <c r="J5" s="11"/>
      <c r="K5" s="11"/>
      <c r="L5" s="11"/>
      <c r="M5" s="11"/>
      <c r="N5" s="11"/>
      <c r="O5" s="11"/>
      <c r="P5" s="11"/>
      <c r="Q5" s="11"/>
      <c r="R5" s="11"/>
      <c r="S5" s="11"/>
      <c r="T5" s="11"/>
    </row>
    <row r="6" ht="21" customHeight="1">
      <c r="A6" s="13"/>
      <c r="B6" s="25"/>
      <c r="C6" s="28"/>
      <c r="D6" s="11"/>
      <c r="E6" s="11"/>
      <c r="F6" s="11"/>
      <c r="G6" s="11"/>
      <c r="H6" s="11"/>
      <c r="I6" s="11"/>
      <c r="J6" s="11"/>
      <c r="K6" s="11"/>
      <c r="L6" s="11"/>
      <c r="M6" s="11"/>
      <c r="N6" s="11"/>
      <c r="O6" s="11"/>
      <c r="P6" s="11"/>
      <c r="Q6" s="11"/>
      <c r="R6" s="11"/>
      <c r="S6" s="11"/>
      <c r="T6" s="11"/>
    </row>
    <row r="7" ht="21" customHeight="1">
      <c r="A7" t="s" s="29">
        <v>13</v>
      </c>
      <c r="B7" t="s" s="30">
        <v>14</v>
      </c>
      <c r="C7" s="31"/>
      <c r="D7" s="32"/>
      <c r="E7" s="33"/>
      <c r="F7" s="33"/>
      <c r="G7" s="33"/>
      <c r="H7" s="33"/>
      <c r="I7" s="33"/>
      <c r="J7" s="33"/>
      <c r="K7" s="33"/>
      <c r="L7" s="33"/>
      <c r="M7" s="33"/>
      <c r="N7" s="33"/>
      <c r="O7" s="33"/>
      <c r="P7" s="33"/>
      <c r="Q7" s="33"/>
      <c r="R7" s="33"/>
      <c r="S7" s="33"/>
      <c r="T7" s="33"/>
    </row>
    <row r="8" ht="21.5" customHeight="1">
      <c r="A8" s="13"/>
      <c r="B8" t="s" s="34">
        <v>15</v>
      </c>
      <c r="C8" s="10"/>
      <c r="D8" s="11"/>
      <c r="E8" t="s" s="35">
        <v>16</v>
      </c>
      <c r="F8" s="11"/>
      <c r="G8" t="s" s="35">
        <v>17</v>
      </c>
      <c r="H8" s="36"/>
      <c r="I8" t="s" s="35">
        <v>18</v>
      </c>
      <c r="J8" s="11"/>
      <c r="K8" s="36"/>
      <c r="L8" s="11"/>
      <c r="M8" s="11"/>
      <c r="N8" s="11"/>
      <c r="O8" s="11"/>
      <c r="P8" s="11"/>
      <c r="Q8" s="11"/>
      <c r="R8" s="11"/>
      <c r="S8" s="11"/>
      <c r="T8" s="11"/>
    </row>
    <row r="9" ht="22" customHeight="1">
      <c r="A9" s="13"/>
      <c r="B9" t="s" s="14">
        <v>19</v>
      </c>
      <c r="C9" s="37">
        <v>2</v>
      </c>
      <c r="D9" s="38"/>
      <c r="E9" s="39">
        <v>0.8</v>
      </c>
      <c r="F9" s="40"/>
      <c r="G9" s="41">
        <v>0.01</v>
      </c>
      <c r="H9" s="40"/>
      <c r="I9" s="39">
        <v>1.2</v>
      </c>
      <c r="J9" s="16"/>
      <c r="K9" s="11"/>
      <c r="L9" s="11"/>
      <c r="M9" s="11"/>
      <c r="N9" s="11"/>
      <c r="O9" s="11"/>
      <c r="P9" s="11"/>
      <c r="Q9" s="11"/>
      <c r="R9" s="11"/>
      <c r="S9" s="11"/>
      <c r="T9" s="11"/>
    </row>
    <row r="10" ht="22" customHeight="1">
      <c r="A10" s="13"/>
      <c r="B10" t="s" s="14">
        <v>20</v>
      </c>
      <c r="C10" s="37">
        <v>2</v>
      </c>
      <c r="D10" s="38"/>
      <c r="E10" s="42">
        <v>0.9</v>
      </c>
      <c r="F10" s="38"/>
      <c r="G10" s="43">
        <v>0.03</v>
      </c>
      <c r="H10" s="38"/>
      <c r="I10" s="42">
        <v>1.1</v>
      </c>
      <c r="J10" s="16"/>
      <c r="K10" s="11"/>
      <c r="L10" s="11"/>
      <c r="M10" s="11"/>
      <c r="N10" s="11"/>
      <c r="O10" s="11"/>
      <c r="P10" s="11"/>
      <c r="Q10" s="11"/>
      <c r="R10" s="11"/>
      <c r="S10" s="11"/>
      <c r="T10" s="11"/>
    </row>
    <row r="11" ht="22" customHeight="1">
      <c r="A11" s="13"/>
      <c r="B11" t="s" s="44">
        <v>21</v>
      </c>
      <c r="C11" s="37">
        <v>2</v>
      </c>
      <c r="D11" s="38"/>
      <c r="E11" s="42">
        <v>1.1</v>
      </c>
      <c r="F11" s="38"/>
      <c r="G11" s="41">
        <v>-0.08</v>
      </c>
      <c r="H11" s="38"/>
      <c r="I11" s="42">
        <v>0.9</v>
      </c>
      <c r="J11" s="16"/>
      <c r="K11" s="11"/>
      <c r="L11" s="11"/>
      <c r="M11" s="11"/>
      <c r="N11" s="11"/>
      <c r="O11" s="11"/>
      <c r="P11" s="11"/>
      <c r="Q11" s="11"/>
      <c r="R11" s="11"/>
      <c r="S11" s="11"/>
      <c r="T11" s="11"/>
    </row>
    <row r="12" ht="22" customHeight="1">
      <c r="A12" s="13"/>
      <c r="B12" t="s" s="45">
        <v>22</v>
      </c>
      <c r="C12" s="37">
        <v>2</v>
      </c>
      <c r="D12" s="38"/>
      <c r="E12" s="42">
        <v>0.9</v>
      </c>
      <c r="F12" s="38"/>
      <c r="G12" s="43">
        <v>0.05</v>
      </c>
      <c r="H12" s="38"/>
      <c r="I12" s="42">
        <v>1.1</v>
      </c>
      <c r="J12" s="16"/>
      <c r="K12" s="11"/>
      <c r="L12" s="11"/>
      <c r="M12" s="11"/>
      <c r="N12" s="11"/>
      <c r="O12" s="11"/>
      <c r="P12" s="11"/>
      <c r="Q12" s="11"/>
      <c r="R12" s="11"/>
      <c r="S12" s="11"/>
      <c r="T12" s="11"/>
    </row>
    <row r="13" ht="22" customHeight="1">
      <c r="A13" s="13"/>
      <c r="B13" t="s" s="45">
        <v>23</v>
      </c>
      <c r="C13" s="37">
        <v>2</v>
      </c>
      <c r="D13" s="38"/>
      <c r="E13" s="42">
        <v>0.8</v>
      </c>
      <c r="F13" s="38"/>
      <c r="G13" s="43">
        <v>0.07000000000000001</v>
      </c>
      <c r="H13" s="38"/>
      <c r="I13" s="42">
        <v>1.2</v>
      </c>
      <c r="J13" s="16"/>
      <c r="K13" s="11"/>
      <c r="L13" s="11"/>
      <c r="M13" s="11"/>
      <c r="N13" s="11"/>
      <c r="O13" s="11"/>
      <c r="P13" s="11"/>
      <c r="Q13" s="11"/>
      <c r="R13" s="11"/>
      <c r="S13" s="11"/>
      <c r="T13" s="11"/>
    </row>
    <row r="14" ht="22" customHeight="1">
      <c r="A14" s="13"/>
      <c r="B14" t="s" s="45">
        <v>24</v>
      </c>
      <c r="C14" s="46">
        <v>2</v>
      </c>
      <c r="D14" s="38"/>
      <c r="E14" s="47">
        <v>0.8</v>
      </c>
      <c r="F14" s="38"/>
      <c r="G14" s="48">
        <v>0.02</v>
      </c>
      <c r="H14" s="38"/>
      <c r="I14" s="47">
        <v>1.2</v>
      </c>
      <c r="J14" s="16"/>
      <c r="K14" s="11"/>
      <c r="L14" s="11"/>
      <c r="M14" s="11"/>
      <c r="N14" s="11"/>
      <c r="O14" s="11"/>
      <c r="P14" s="11"/>
      <c r="Q14" s="11"/>
      <c r="R14" s="11"/>
      <c r="S14" s="11"/>
      <c r="T14" s="11"/>
    </row>
    <row r="15" ht="22" customHeight="1">
      <c r="A15" s="13"/>
      <c r="B15" s="49"/>
      <c r="C15" s="50"/>
      <c r="D15" s="11"/>
      <c r="E15" s="51"/>
      <c r="F15" s="11"/>
      <c r="G15" s="51"/>
      <c r="H15" s="11"/>
      <c r="I15" s="51"/>
      <c r="J15" s="11"/>
      <c r="K15" s="11"/>
      <c r="L15" s="11"/>
      <c r="M15" s="11"/>
      <c r="N15" s="11"/>
      <c r="O15" s="11"/>
      <c r="P15" s="11"/>
      <c r="Q15" s="11"/>
      <c r="R15" s="11"/>
      <c r="S15" s="11"/>
      <c r="T15" s="11"/>
    </row>
    <row r="16" ht="23" customHeight="1">
      <c r="A16" s="13"/>
      <c r="B16" t="s" s="45">
        <v>25</v>
      </c>
      <c r="C16" s="37">
        <v>2</v>
      </c>
      <c r="D16" s="38"/>
      <c r="E16" s="42">
        <v>0.9</v>
      </c>
      <c r="F16" s="38"/>
      <c r="G16" s="43">
        <v>0.05</v>
      </c>
      <c r="H16" s="38"/>
      <c r="I16" s="42">
        <v>1.1</v>
      </c>
      <c r="J16" s="16"/>
      <c r="K16" t="s" s="52">
        <v>26</v>
      </c>
      <c r="L16" s="11"/>
      <c r="M16" s="11"/>
      <c r="N16" s="11"/>
      <c r="O16" s="11"/>
      <c r="P16" s="11"/>
      <c r="Q16" s="11"/>
      <c r="R16" s="11"/>
      <c r="S16" s="11"/>
      <c r="T16" s="11"/>
    </row>
    <row r="17" ht="23" customHeight="1">
      <c r="A17" s="13"/>
      <c r="B17" t="s" s="45">
        <v>27</v>
      </c>
      <c r="C17" s="37">
        <v>2</v>
      </c>
      <c r="D17" s="38"/>
      <c r="E17" s="53">
        <f>G17+$K$17</f>
        <v>0.103602370328102</v>
      </c>
      <c r="F17" s="38"/>
      <c r="G17" s="54">
        <f>'WACC - MAR'!B21</f>
        <v>0.09860237032810221</v>
      </c>
      <c r="H17" s="38"/>
      <c r="I17" s="54">
        <f>G17-$K$17</f>
        <v>0.0936023703281022</v>
      </c>
      <c r="J17" s="38"/>
      <c r="K17" s="55">
        <v>0.005</v>
      </c>
      <c r="L17" s="16"/>
      <c r="M17" s="11"/>
      <c r="N17" s="11"/>
      <c r="O17" s="11"/>
      <c r="P17" s="11"/>
      <c r="Q17" s="11"/>
      <c r="R17" s="11"/>
      <c r="S17" s="11"/>
      <c r="T17" s="11"/>
    </row>
    <row r="18" ht="23" customHeight="1">
      <c r="A18" s="13"/>
      <c r="B18" t="s" s="45">
        <v>28</v>
      </c>
      <c r="C18" s="46">
        <v>2</v>
      </c>
      <c r="D18" s="38"/>
      <c r="E18" s="56">
        <f>G18-$K$18</f>
        <v>0.015</v>
      </c>
      <c r="F18" s="38"/>
      <c r="G18" s="48">
        <v>0.02</v>
      </c>
      <c r="H18" s="38"/>
      <c r="I18" s="47">
        <f>G18+$K$18</f>
        <v>0.025</v>
      </c>
      <c r="J18" s="38"/>
      <c r="K18" s="55">
        <v>0.005</v>
      </c>
      <c r="L18" s="16"/>
      <c r="M18" s="11"/>
      <c r="N18" s="11"/>
      <c r="O18" s="11"/>
      <c r="P18" s="11"/>
      <c r="Q18" s="11"/>
      <c r="R18" s="11"/>
      <c r="S18" s="11"/>
      <c r="T18" s="11"/>
    </row>
    <row r="19" ht="22" customHeight="1">
      <c r="A19" s="13"/>
      <c r="B19" s="49"/>
      <c r="C19" s="50"/>
      <c r="D19" s="11"/>
      <c r="E19" s="27"/>
      <c r="F19" s="11"/>
      <c r="G19" s="27"/>
      <c r="H19" s="11"/>
      <c r="I19" s="27"/>
      <c r="J19" s="11"/>
      <c r="K19" s="57"/>
      <c r="L19" s="11"/>
      <c r="M19" s="11"/>
      <c r="N19" s="11"/>
      <c r="O19" s="11"/>
      <c r="P19" s="11"/>
      <c r="Q19" s="11"/>
      <c r="R19" s="11"/>
      <c r="S19" s="11"/>
      <c r="T19" s="11"/>
    </row>
    <row r="20" ht="22" customHeight="1">
      <c r="A20" s="13"/>
      <c r="B20" t="s" s="45">
        <v>27</v>
      </c>
      <c r="C20" s="54">
        <f>CHOOSE(C17,E17,G17,I17)</f>
        <v>0.09860237032810221</v>
      </c>
      <c r="D20" s="16"/>
      <c r="E20" s="11"/>
      <c r="F20" s="11"/>
      <c r="G20" s="11"/>
      <c r="H20" s="11"/>
      <c r="I20" s="11"/>
      <c r="J20" s="11"/>
      <c r="K20" s="11"/>
      <c r="L20" s="11"/>
      <c r="M20" s="11"/>
      <c r="N20" s="11"/>
      <c r="O20" s="11"/>
      <c r="P20" s="11"/>
      <c r="Q20" s="11"/>
      <c r="R20" s="11"/>
      <c r="S20" s="11"/>
      <c r="T20" s="11"/>
    </row>
    <row r="21" ht="22" customHeight="1">
      <c r="A21" s="13"/>
      <c r="B21" t="s" s="45">
        <v>28</v>
      </c>
      <c r="C21" s="48">
        <f>CHOOSE(C18,E18,G18,I18)</f>
        <v>0.02</v>
      </c>
      <c r="D21" s="16"/>
      <c r="E21" s="11"/>
      <c r="F21" s="11"/>
      <c r="G21" s="11"/>
      <c r="H21" s="11"/>
      <c r="I21" s="11"/>
      <c r="J21" s="11"/>
      <c r="K21" s="11"/>
      <c r="L21" s="11"/>
      <c r="M21" s="11"/>
      <c r="N21" s="11"/>
      <c r="O21" s="11"/>
      <c r="P21" s="11"/>
      <c r="Q21" s="11"/>
      <c r="R21" s="11"/>
      <c r="S21" s="11"/>
      <c r="T21" s="11"/>
    </row>
    <row r="22" ht="21.5" customHeight="1">
      <c r="A22" s="13"/>
      <c r="B22" s="9"/>
      <c r="C22" s="58"/>
      <c r="D22" s="11"/>
      <c r="E22" s="11"/>
      <c r="F22" s="11"/>
      <c r="G22" s="11"/>
      <c r="H22" s="11"/>
      <c r="I22" s="11"/>
      <c r="J22" s="11"/>
      <c r="K22" s="11"/>
      <c r="L22" s="11"/>
      <c r="M22" s="11"/>
      <c r="N22" s="11"/>
      <c r="O22" s="11"/>
      <c r="P22" s="11"/>
      <c r="Q22" s="11"/>
      <c r="R22" s="11"/>
      <c r="S22" s="11"/>
      <c r="T22" s="11"/>
    </row>
    <row r="23" ht="21" customHeight="1">
      <c r="A23" t="s" s="29">
        <v>13</v>
      </c>
      <c r="B23" t="s" s="30">
        <v>29</v>
      </c>
      <c r="C23" s="31"/>
      <c r="D23" s="32"/>
      <c r="E23" s="59">
        <v>2016</v>
      </c>
      <c r="F23" s="59">
        <v>2017</v>
      </c>
      <c r="G23" s="59">
        <v>2018</v>
      </c>
      <c r="H23" s="59">
        <v>2019</v>
      </c>
      <c r="I23" s="59">
        <v>2020</v>
      </c>
      <c r="J23" s="59">
        <v>2021</v>
      </c>
      <c r="K23" s="59">
        <v>2022</v>
      </c>
      <c r="L23" s="59">
        <v>2023</v>
      </c>
      <c r="M23" s="59">
        <v>2024</v>
      </c>
      <c r="N23" s="59">
        <v>2025</v>
      </c>
      <c r="O23" s="59">
        <v>2026</v>
      </c>
      <c r="P23" s="59">
        <v>2027</v>
      </c>
      <c r="Q23" s="59">
        <v>2028</v>
      </c>
      <c r="R23" s="59">
        <v>2029</v>
      </c>
      <c r="S23" s="59">
        <v>2030</v>
      </c>
      <c r="T23" s="59">
        <v>2031</v>
      </c>
    </row>
    <row r="24" ht="21" customHeight="1">
      <c r="A24" s="13"/>
      <c r="B24" s="25"/>
      <c r="C24" s="28"/>
      <c r="D24" s="11"/>
      <c r="E24" s="60"/>
      <c r="F24" s="60"/>
      <c r="G24" s="60"/>
      <c r="H24" s="60"/>
      <c r="I24" s="60"/>
      <c r="J24" s="61"/>
      <c r="K24" s="60"/>
      <c r="L24" s="60"/>
      <c r="M24" s="60"/>
      <c r="N24" s="60"/>
      <c r="O24" s="60"/>
      <c r="P24" s="60"/>
      <c r="Q24" s="60"/>
      <c r="R24" s="60"/>
      <c r="S24" s="60"/>
      <c r="T24" s="60"/>
    </row>
    <row r="25" ht="21" customHeight="1">
      <c r="A25" s="13"/>
      <c r="B25" t="s" s="34">
        <v>19</v>
      </c>
      <c r="C25" s="28"/>
      <c r="D25" s="11"/>
      <c r="E25" s="62">
        <v>806</v>
      </c>
      <c r="F25" s="62">
        <v>1102</v>
      </c>
      <c r="G25" s="62">
        <v>1140</v>
      </c>
      <c r="H25" s="62">
        <v>1180</v>
      </c>
      <c r="I25" s="62">
        <v>443</v>
      </c>
      <c r="J25" s="62">
        <v>669</v>
      </c>
      <c r="K25" s="60">
        <f>482*2</f>
        <v>964</v>
      </c>
      <c r="L25" s="60">
        <f>K25*(1+L26)</f>
        <v>1342.921966450760</v>
      </c>
      <c r="M25" s="60">
        <f>L25*(1+M26)</f>
        <v>1806.4831949231</v>
      </c>
      <c r="N25" s="60">
        <f>M25*(1+N26)</f>
        <v>2343.558659586110</v>
      </c>
      <c r="O25" s="60">
        <f>N25*(1+O26)</f>
        <v>2928.089908983230</v>
      </c>
      <c r="P25" s="60">
        <f>O25*(1+P26)</f>
        <v>3518.206285009760</v>
      </c>
      <c r="Q25" s="60">
        <f>P25*(1+Q26)</f>
        <v>4058.786481408020</v>
      </c>
      <c r="R25" s="60">
        <f>Q25*(1+R26)</f>
        <v>4488.076797793180</v>
      </c>
      <c r="S25" s="60">
        <f>R25*(1+S26)</f>
        <v>4747.864960152740</v>
      </c>
      <c r="T25" s="60">
        <f>S25*(1+T26)</f>
        <v>4795.343609754270</v>
      </c>
    </row>
    <row r="26" ht="21.5" customHeight="1">
      <c r="A26" s="63"/>
      <c r="B26" t="s" s="64">
        <v>30</v>
      </c>
      <c r="C26" s="65"/>
      <c r="D26" s="66"/>
      <c r="E26" s="67"/>
      <c r="F26" s="68">
        <f>F25/E25-1</f>
        <v>0.367245657568238</v>
      </c>
      <c r="G26" s="68">
        <f>G25/F25-1</f>
        <v>0.0344827586206897</v>
      </c>
      <c r="H26" s="68">
        <f>H25/G25-1</f>
        <v>0.0350877192982456</v>
      </c>
      <c r="I26" s="68">
        <f>I25/H25-1</f>
        <v>-0.624576271186441</v>
      </c>
      <c r="J26" s="68">
        <f>J25/I25-1</f>
        <v>0.510158013544018</v>
      </c>
      <c r="K26" s="69">
        <f>K25/J25-1</f>
        <v>0.440956651718984</v>
      </c>
      <c r="L26" s="69">
        <f>OFFSET(L26,$C$9,0)</f>
        <v>0.393072579305764</v>
      </c>
      <c r="M26" s="69">
        <f>OFFSET(M26,$C$9,0)</f>
        <v>0.345188506892544</v>
      </c>
      <c r="N26" s="69">
        <f>OFFSET(N26,$C$9,0)</f>
        <v>0.297304434479323</v>
      </c>
      <c r="O26" s="69">
        <f>OFFSET(O26,$C$9,0)</f>
        <v>0.249420362066103</v>
      </c>
      <c r="P26" s="69">
        <f>OFFSET(P26,$C$9,0)</f>
        <v>0.201536289652882</v>
      </c>
      <c r="Q26" s="69">
        <f>OFFSET(Q26,$C$9,0)</f>
        <v>0.153652217239662</v>
      </c>
      <c r="R26" s="69">
        <f>OFFSET(R26,$C$9,0)</f>
        <v>0.105768144826441</v>
      </c>
      <c r="S26" s="69">
        <f>OFFSET(S26,$C$9,0)</f>
        <v>0.0578840724132205</v>
      </c>
      <c r="T26" s="69">
        <f>OFFSET(T26,$C$9,0)</f>
        <v>0.01</v>
      </c>
    </row>
    <row r="27" ht="22" customHeight="1">
      <c r="A27" s="13"/>
      <c r="B27" t="s" s="34">
        <v>31</v>
      </c>
      <c r="C27" s="28"/>
      <c r="D27" s="11"/>
      <c r="E27" s="62"/>
      <c r="F27" s="62"/>
      <c r="G27" s="62"/>
      <c r="H27" s="62"/>
      <c r="I27" s="62"/>
      <c r="J27" s="70"/>
      <c r="K27" s="71">
        <f>K28*$E$9</f>
        <v>0.352765321375187</v>
      </c>
      <c r="L27" s="71">
        <f>L28*$E$9</f>
        <v>0.314458063444611</v>
      </c>
      <c r="M27" s="71">
        <f>M28*$E$9</f>
        <v>0.276150805514035</v>
      </c>
      <c r="N27" s="71">
        <f>N28*$E$9</f>
        <v>0.237843547583458</v>
      </c>
      <c r="O27" s="71">
        <f>O28*$E$9</f>
        <v>0.199536289652882</v>
      </c>
      <c r="P27" s="71">
        <f>P28*$E$9</f>
        <v>0.161229031722306</v>
      </c>
      <c r="Q27" s="71">
        <f>Q28*$E$9</f>
        <v>0.12292177379173</v>
      </c>
      <c r="R27" s="71">
        <f>R28*$E$9</f>
        <v>0.0846145158611528</v>
      </c>
      <c r="S27" s="71">
        <f>S28*$E$9</f>
        <v>0.0463072579305764</v>
      </c>
      <c r="T27" s="71">
        <f>T28*$E$9</f>
        <v>0.008</v>
      </c>
    </row>
    <row r="28" ht="22" customHeight="1">
      <c r="A28" s="13"/>
      <c r="B28" t="s" s="34">
        <v>32</v>
      </c>
      <c r="C28" s="28"/>
      <c r="D28" s="11"/>
      <c r="E28" s="62"/>
      <c r="F28" s="62"/>
      <c r="G28" s="62"/>
      <c r="H28" s="62"/>
      <c r="I28" s="62"/>
      <c r="J28" s="70"/>
      <c r="K28" s="71">
        <f>K26</f>
        <v>0.440956651718984</v>
      </c>
      <c r="L28" s="71">
        <f>K28-(K28-$T$28)/($T$23-K23)</f>
        <v>0.393072579305764</v>
      </c>
      <c r="M28" s="71">
        <f>L28-(L28-$T$28)/($T$23-L23)</f>
        <v>0.345188506892544</v>
      </c>
      <c r="N28" s="71">
        <f>M28-(M28-$T$28)/($T$23-M23)</f>
        <v>0.297304434479323</v>
      </c>
      <c r="O28" s="71">
        <f>N28-(N28-$T$28)/($T$23-N23)</f>
        <v>0.249420362066103</v>
      </c>
      <c r="P28" s="71">
        <f>O28-(O28-$T$28)/($T$23-O23)</f>
        <v>0.201536289652882</v>
      </c>
      <c r="Q28" s="71">
        <f>P28-(P28-$T$28)/($T$23-P23)</f>
        <v>0.153652217239662</v>
      </c>
      <c r="R28" s="71">
        <f>Q28-(Q28-$T$28)/($T$23-Q23)</f>
        <v>0.105768144826441</v>
      </c>
      <c r="S28" s="71">
        <f>R28-(R28-$T$28)/($T$23-R23)</f>
        <v>0.0578840724132205</v>
      </c>
      <c r="T28" s="71">
        <f>G9</f>
        <v>0.01</v>
      </c>
    </row>
    <row r="29" ht="22" customHeight="1">
      <c r="A29" s="13"/>
      <c r="B29" t="s" s="34">
        <v>33</v>
      </c>
      <c r="C29" s="28"/>
      <c r="D29" s="11"/>
      <c r="E29" s="62"/>
      <c r="F29" s="62"/>
      <c r="G29" s="62"/>
      <c r="H29" s="62"/>
      <c r="I29" s="62"/>
      <c r="J29" s="70"/>
      <c r="K29" s="72">
        <f>K28*$I$9</f>
        <v>0.529147982062781</v>
      </c>
      <c r="L29" s="72">
        <f>L28*$I$9</f>
        <v>0.471687095166917</v>
      </c>
      <c r="M29" s="72">
        <f>M28*$I$9</f>
        <v>0.414226208271053</v>
      </c>
      <c r="N29" s="72">
        <f>N28*$I$9</f>
        <v>0.356765321375188</v>
      </c>
      <c r="O29" s="72">
        <f>O28*$I$9</f>
        <v>0.299304434479324</v>
      </c>
      <c r="P29" s="72">
        <f>P28*$I$9</f>
        <v>0.241843547583458</v>
      </c>
      <c r="Q29" s="72">
        <f>Q28*$I$9</f>
        <v>0.184382660687594</v>
      </c>
      <c r="R29" s="72">
        <f>R28*$I$9</f>
        <v>0.126921773791729</v>
      </c>
      <c r="S29" s="72">
        <f>S28*$I$9</f>
        <v>0.0694608868958646</v>
      </c>
      <c r="T29" s="72">
        <f>T28*$I$9</f>
        <v>0.012</v>
      </c>
    </row>
    <row r="30" ht="21.5" customHeight="1">
      <c r="A30" s="73"/>
      <c r="B30" s="74"/>
      <c r="C30" s="75"/>
      <c r="D30" s="76"/>
      <c r="E30" s="77"/>
      <c r="F30" s="78"/>
      <c r="G30" s="78"/>
      <c r="H30" s="78"/>
      <c r="I30" s="78"/>
      <c r="J30" s="78"/>
      <c r="K30" s="79"/>
      <c r="L30" s="79"/>
      <c r="M30" s="79"/>
      <c r="N30" s="79"/>
      <c r="O30" s="79"/>
      <c r="P30" s="79"/>
      <c r="Q30" s="79"/>
      <c r="R30" s="79"/>
      <c r="S30" s="79"/>
      <c r="T30" s="79"/>
    </row>
    <row r="31" ht="21" customHeight="1">
      <c r="A31" s="80"/>
      <c r="B31" t="s" s="81">
        <v>20</v>
      </c>
      <c r="C31" s="82"/>
      <c r="D31" s="83"/>
      <c r="E31" s="84">
        <v>1157</v>
      </c>
      <c r="F31" s="84">
        <v>1586</v>
      </c>
      <c r="G31" s="84">
        <v>1849</v>
      </c>
      <c r="H31" s="84">
        <v>2006</v>
      </c>
      <c r="I31" s="84">
        <v>1153</v>
      </c>
      <c r="J31" s="84">
        <v>1790</v>
      </c>
      <c r="K31" s="85">
        <f>1169*2</f>
        <v>2338</v>
      </c>
      <c r="L31" s="85">
        <f>K31*(1+L32)</f>
        <v>2990.042222222220</v>
      </c>
      <c r="M31" s="85">
        <f>L31*(1+M32)</f>
        <v>3730.908239506170</v>
      </c>
      <c r="N31" s="85">
        <f>M31*(1+N32)</f>
        <v>4539.271691399170</v>
      </c>
      <c r="O31" s="85">
        <f>N31*(1+O32)</f>
        <v>5381.558771914350</v>
      </c>
      <c r="P31" s="85">
        <f>O31*(1+P32)</f>
        <v>6212.710626687790</v>
      </c>
      <c r="Q31" s="85">
        <f>P31*(1+Q32)</f>
        <v>6978.944937312620</v>
      </c>
      <c r="R31" s="85">
        <f>Q31*(1+R32)</f>
        <v>7622.558748198120</v>
      </c>
      <c r="S31" s="85">
        <f>R31*(1+S32)</f>
        <v>8088.381782810230</v>
      </c>
      <c r="T31" s="86">
        <f>S31*(1+T32)</f>
        <v>8331.033236294539</v>
      </c>
    </row>
    <row r="32" ht="21.5" customHeight="1">
      <c r="A32" s="87"/>
      <c r="B32" t="s" s="88">
        <v>30</v>
      </c>
      <c r="C32" s="89"/>
      <c r="D32" s="90"/>
      <c r="E32" s="91"/>
      <c r="F32" s="92">
        <f>F31/E31-1</f>
        <v>0.370786516853933</v>
      </c>
      <c r="G32" s="92">
        <f>G31/F31-1</f>
        <v>0.165825977301387</v>
      </c>
      <c r="H32" s="92">
        <f>H31/G31-1</f>
        <v>0.0849107625743645</v>
      </c>
      <c r="I32" s="92">
        <f>I31/H31-1</f>
        <v>-0.425224327018943</v>
      </c>
      <c r="J32" s="92">
        <f>J31/I31-1</f>
        <v>0.552471812662619</v>
      </c>
      <c r="K32" s="93">
        <f>K31/J31-1</f>
        <v>0.306145251396648</v>
      </c>
      <c r="L32" s="93">
        <f>OFFSET(L32,$C$10,0)</f>
        <v>0.278888888888889</v>
      </c>
      <c r="M32" s="93">
        <f>OFFSET(M32,$C$10,0)</f>
        <v>0.247777777777778</v>
      </c>
      <c r="N32" s="93">
        <f>OFFSET(N32,$C$10,0)</f>
        <v>0.216666666666667</v>
      </c>
      <c r="O32" s="93">
        <f>OFFSET(O32,$C$10,0)</f>
        <v>0.185555555555556</v>
      </c>
      <c r="P32" s="93">
        <f>OFFSET(P32,$C$10,0)</f>
        <v>0.154444444444445</v>
      </c>
      <c r="Q32" s="93">
        <f>OFFSET(Q32,$C$10,0)</f>
        <v>0.123333333333334</v>
      </c>
      <c r="R32" s="93">
        <f>OFFSET(R32,$C$10,0)</f>
        <v>0.09222222222222271</v>
      </c>
      <c r="S32" s="93">
        <f>OFFSET(S32,$C$10,0)</f>
        <v>0.0611111111111114</v>
      </c>
      <c r="T32" s="93">
        <f>OFFSET(T32,$C$10,0)</f>
        <v>0.03</v>
      </c>
    </row>
    <row r="33" ht="22" customHeight="1">
      <c r="A33" s="13"/>
      <c r="B33" t="s" s="34">
        <v>31</v>
      </c>
      <c r="C33" s="28"/>
      <c r="D33" s="11"/>
      <c r="E33" s="62"/>
      <c r="F33" s="62"/>
      <c r="G33" s="62"/>
      <c r="H33" s="62"/>
      <c r="I33" s="62"/>
      <c r="J33" s="70"/>
      <c r="K33" s="71">
        <f>K34*$E$10</f>
        <v>0.279</v>
      </c>
      <c r="L33" s="71">
        <f>L34*$E$10</f>
        <v>0.251</v>
      </c>
      <c r="M33" s="71">
        <f>M34*$E$10</f>
        <v>0.223</v>
      </c>
      <c r="N33" s="71">
        <f>N34*$E$10</f>
        <v>0.195</v>
      </c>
      <c r="O33" s="71">
        <f>O34*$E$10</f>
        <v>0.167</v>
      </c>
      <c r="P33" s="71">
        <f>P34*$E$10</f>
        <v>0.139000000000001</v>
      </c>
      <c r="Q33" s="71">
        <f>Q34*$E$10</f>
        <v>0.111000000000001</v>
      </c>
      <c r="R33" s="71">
        <f>R34*$E$10</f>
        <v>0.08300000000000041</v>
      </c>
      <c r="S33" s="71">
        <f>S34*$E$10</f>
        <v>0.0550000000000003</v>
      </c>
      <c r="T33" s="71">
        <f>T34*$E$10</f>
        <v>0.027</v>
      </c>
    </row>
    <row r="34" ht="22" customHeight="1">
      <c r="A34" s="13"/>
      <c r="B34" t="s" s="34">
        <v>32</v>
      </c>
      <c r="C34" s="28"/>
      <c r="D34" s="11"/>
      <c r="E34" s="62"/>
      <c r="F34" s="62"/>
      <c r="G34" s="62"/>
      <c r="H34" s="62"/>
      <c r="I34" s="62"/>
      <c r="J34" s="70"/>
      <c r="K34" s="71">
        <v>0.31</v>
      </c>
      <c r="L34" s="72">
        <f>K34-(K34-$T$34)/($T$23-K23)</f>
        <v>0.278888888888889</v>
      </c>
      <c r="M34" s="71">
        <f>L34-(L34-$T$34)/($T$23-L23)</f>
        <v>0.247777777777778</v>
      </c>
      <c r="N34" s="71">
        <f>M34-(M34-$T$34)/($T$23-M23)</f>
        <v>0.216666666666667</v>
      </c>
      <c r="O34" s="71">
        <f>N34-(N34-$T$34)/($T$23-N23)</f>
        <v>0.185555555555556</v>
      </c>
      <c r="P34" s="71">
        <f>O34-(O34-$T$34)/($T$23-O23)</f>
        <v>0.154444444444445</v>
      </c>
      <c r="Q34" s="71">
        <f>P34-(P34-$T$34)/($T$23-P23)</f>
        <v>0.123333333333334</v>
      </c>
      <c r="R34" s="71">
        <f>Q34-(Q34-$T$34)/($T$23-Q23)</f>
        <v>0.09222222222222271</v>
      </c>
      <c r="S34" s="71">
        <f>R34-(R34-$T$34)/($T$23-R23)</f>
        <v>0.0611111111111114</v>
      </c>
      <c r="T34" s="71">
        <f>G10</f>
        <v>0.03</v>
      </c>
    </row>
    <row r="35" ht="22" customHeight="1">
      <c r="A35" s="13"/>
      <c r="B35" t="s" s="34">
        <v>33</v>
      </c>
      <c r="C35" s="28"/>
      <c r="D35" s="11"/>
      <c r="E35" s="62"/>
      <c r="F35" s="62"/>
      <c r="G35" s="62"/>
      <c r="H35" s="62"/>
      <c r="I35" s="62"/>
      <c r="J35" s="70"/>
      <c r="K35" s="72">
        <f>K34*$I$10</f>
        <v>0.341</v>
      </c>
      <c r="L35" s="94">
        <f>L34*$I$10</f>
        <v>0.306777777777778</v>
      </c>
      <c r="M35" s="72">
        <f>M34*$I$10</f>
        <v>0.272555555555556</v>
      </c>
      <c r="N35" s="72">
        <f>N34*$I$10</f>
        <v>0.238333333333334</v>
      </c>
      <c r="O35" s="72">
        <f>O34*$I$10</f>
        <v>0.204111111111112</v>
      </c>
      <c r="P35" s="72">
        <f>P34*$I$10</f>
        <v>0.16988888888889</v>
      </c>
      <c r="Q35" s="72">
        <f>Q34*$I$10</f>
        <v>0.135666666666667</v>
      </c>
      <c r="R35" s="72">
        <f>R34*$I$10</f>
        <v>0.101444444444445</v>
      </c>
      <c r="S35" s="72">
        <f>S34*$I$10</f>
        <v>0.0672222222222225</v>
      </c>
      <c r="T35" s="72">
        <f>T34*$I$10</f>
        <v>0.033</v>
      </c>
    </row>
    <row r="36" ht="21.5" customHeight="1">
      <c r="A36" s="13"/>
      <c r="B36" s="25"/>
      <c r="C36" s="28"/>
      <c r="D36" s="11"/>
      <c r="E36" s="62"/>
      <c r="F36" s="62"/>
      <c r="G36" s="62"/>
      <c r="H36" s="62"/>
      <c r="I36" s="62"/>
      <c r="J36" s="62"/>
      <c r="K36" s="95"/>
      <c r="L36" s="96"/>
      <c r="M36" s="95"/>
      <c r="N36" s="95"/>
      <c r="O36" s="95"/>
      <c r="P36" s="95"/>
      <c r="Q36" s="95"/>
      <c r="R36" s="95"/>
      <c r="S36" s="95"/>
      <c r="T36" s="95"/>
    </row>
    <row r="37" ht="21" customHeight="1">
      <c r="A37" s="13"/>
      <c r="B37" t="s" s="34">
        <v>21</v>
      </c>
      <c r="C37" s="28"/>
      <c r="D37" s="11"/>
      <c r="E37" s="62">
        <v>425</v>
      </c>
      <c r="F37" s="62">
        <v>607</v>
      </c>
      <c r="G37" s="62">
        <v>649</v>
      </c>
      <c r="H37" s="62">
        <v>637</v>
      </c>
      <c r="I37" s="62">
        <v>87</v>
      </c>
      <c r="J37" s="62">
        <v>235</v>
      </c>
      <c r="K37" s="60">
        <f>237*2</f>
        <v>474</v>
      </c>
      <c r="L37" s="85">
        <f>K37*(1+L38)</f>
        <v>899.546666666667</v>
      </c>
      <c r="M37" s="60">
        <f>L37*(1+M38)</f>
        <v>1597.195081481480</v>
      </c>
      <c r="N37" s="60">
        <f>M37*(1+N38)</f>
        <v>2640.695868049380</v>
      </c>
      <c r="O37" s="60">
        <f>N37*(1+O38)</f>
        <v>4043.198784635610</v>
      </c>
      <c r="P37" s="60">
        <f>O37*(1+P38)</f>
        <v>5696.417843242180</v>
      </c>
      <c r="Q37" s="60">
        <f>P37*(1+Q38)</f>
        <v>7329.390958304950</v>
      </c>
      <c r="R37" s="60">
        <f>Q37*(1+R38)</f>
        <v>8534.668582559550</v>
      </c>
      <c r="S37" s="60">
        <f>R37*(1+S38)</f>
        <v>8895.0212560454</v>
      </c>
      <c r="T37" s="60">
        <f>S37*(1+T38)</f>
        <v>8183.419555561770</v>
      </c>
    </row>
    <row r="38" ht="21.5" customHeight="1">
      <c r="A38" s="63"/>
      <c r="B38" t="s" s="64">
        <v>30</v>
      </c>
      <c r="C38" s="65"/>
      <c r="D38" s="66"/>
      <c r="E38" s="97"/>
      <c r="F38" s="68">
        <f>F37/E37-1</f>
        <v>0.428235294117647</v>
      </c>
      <c r="G38" s="68">
        <f>G37/F37-1</f>
        <v>0.0691927512355848</v>
      </c>
      <c r="H38" s="68">
        <f>H37/G37-1</f>
        <v>-0.0184899845916795</v>
      </c>
      <c r="I38" s="68">
        <f>I37/H37-1</f>
        <v>-0.863422291993721</v>
      </c>
      <c r="J38" s="68">
        <f>J37/I37-1</f>
        <v>1.70114942528736</v>
      </c>
      <c r="K38" s="69">
        <f>K37/J37-1</f>
        <v>1.01702127659574</v>
      </c>
      <c r="L38" s="93">
        <f>OFFSET(L38,$C$11,0)</f>
        <v>0.897777777777778</v>
      </c>
      <c r="M38" s="69">
        <f>OFFSET(M38,$C$11,0)</f>
        <v>0.775555555555556</v>
      </c>
      <c r="N38" s="69">
        <f>OFFSET(N38,$C$11,0)</f>
        <v>0.653333333333334</v>
      </c>
      <c r="O38" s="69">
        <f>OFFSET(O38,$C$11,0)</f>
        <v>0.531111111111112</v>
      </c>
      <c r="P38" s="69">
        <f>OFFSET(P38,$C$11,0)</f>
        <v>0.40888888888889</v>
      </c>
      <c r="Q38" s="69">
        <f>OFFSET(Q38,$C$11,0)</f>
        <v>0.286666666666668</v>
      </c>
      <c r="R38" s="69">
        <f>OFFSET(R38,$C$11,0)</f>
        <v>0.164444444444445</v>
      </c>
      <c r="S38" s="69">
        <f>OFFSET(S38,$C$11,0)</f>
        <v>0.0422222222222225</v>
      </c>
      <c r="T38" s="69">
        <f>OFFSET(T38,$C$11,0)</f>
        <v>-0.08</v>
      </c>
    </row>
    <row r="39" ht="22" customHeight="1">
      <c r="A39" s="13"/>
      <c r="B39" t="s" s="34">
        <v>31</v>
      </c>
      <c r="C39" s="28"/>
      <c r="D39" s="11"/>
      <c r="E39" s="62"/>
      <c r="F39" s="62"/>
      <c r="G39" s="62"/>
      <c r="H39" s="62"/>
      <c r="I39" s="62"/>
      <c r="J39" s="70"/>
      <c r="K39" s="71">
        <f>K40*$E$11</f>
        <v>1.122</v>
      </c>
      <c r="L39" s="71">
        <f>L40*$E$11</f>
        <v>0.987555555555556</v>
      </c>
      <c r="M39" s="71">
        <f>M40*$E$11</f>
        <v>0.853111111111112</v>
      </c>
      <c r="N39" s="71">
        <f>N40*$E$11</f>
        <v>0.718666666666667</v>
      </c>
      <c r="O39" s="71">
        <f>O40*$E$11</f>
        <v>0.584222222222223</v>
      </c>
      <c r="P39" s="71">
        <f>P40*$E$11</f>
        <v>0.449777777777779</v>
      </c>
      <c r="Q39" s="71">
        <f>Q40*$E$11</f>
        <v>0.315333333333335</v>
      </c>
      <c r="R39" s="71">
        <f>R40*$E$11</f>
        <v>0.18088888888889</v>
      </c>
      <c r="S39" s="71">
        <f>S40*$E$11</f>
        <v>0.0464444444444448</v>
      </c>
      <c r="T39" s="71">
        <f>T40*$E$11</f>
        <v>-0.08799999999999999</v>
      </c>
    </row>
    <row r="40" ht="22" customHeight="1">
      <c r="A40" s="13"/>
      <c r="B40" t="s" s="34">
        <v>32</v>
      </c>
      <c r="C40" s="28"/>
      <c r="D40" s="11"/>
      <c r="E40" s="62"/>
      <c r="F40" s="62"/>
      <c r="G40" s="62"/>
      <c r="H40" s="62"/>
      <c r="I40" s="62"/>
      <c r="J40" s="70"/>
      <c r="K40" s="71">
        <v>1.02</v>
      </c>
      <c r="L40" s="72">
        <f>K40-(K40-$T$40)/($T$23-K23)</f>
        <v>0.897777777777778</v>
      </c>
      <c r="M40" s="71">
        <f>L40-(L40-$T$40)/($T$23-L23)</f>
        <v>0.775555555555556</v>
      </c>
      <c r="N40" s="71">
        <f>M40-(M40-$T$40)/($T$23-M23)</f>
        <v>0.653333333333334</v>
      </c>
      <c r="O40" s="71">
        <f>N40-(N40-$T$40)/($T$23-N23)</f>
        <v>0.531111111111112</v>
      </c>
      <c r="P40" s="71">
        <f>O40-(O40-$T$40)/($T$23-O23)</f>
        <v>0.40888888888889</v>
      </c>
      <c r="Q40" s="71">
        <f>P40-(P40-$T$40)/($T$23-P23)</f>
        <v>0.286666666666668</v>
      </c>
      <c r="R40" s="71">
        <f>Q40-(Q40-$T$40)/($T$23-Q23)</f>
        <v>0.164444444444445</v>
      </c>
      <c r="S40" s="71">
        <f>R40-(R40-$T$40)/($T$23-R23)</f>
        <v>0.0422222222222225</v>
      </c>
      <c r="T40" s="71">
        <f>G11</f>
        <v>-0.08</v>
      </c>
    </row>
    <row r="41" ht="22" customHeight="1">
      <c r="A41" s="13"/>
      <c r="B41" t="s" s="34">
        <v>33</v>
      </c>
      <c r="C41" s="28"/>
      <c r="D41" s="11"/>
      <c r="E41" s="62"/>
      <c r="F41" s="62"/>
      <c r="G41" s="62"/>
      <c r="H41" s="62"/>
      <c r="I41" s="62"/>
      <c r="J41" s="70"/>
      <c r="K41" s="72">
        <f>K40*$I$11</f>
        <v>0.918</v>
      </c>
      <c r="L41" s="94">
        <f>L40*$I$11</f>
        <v>0.8080000000000001</v>
      </c>
      <c r="M41" s="72">
        <f>M40*$I$11</f>
        <v>0.698</v>
      </c>
      <c r="N41" s="72">
        <f>N40*$I$11</f>
        <v>0.588000000000001</v>
      </c>
      <c r="O41" s="72">
        <f>O40*$I$11</f>
        <v>0.478000000000001</v>
      </c>
      <c r="P41" s="72">
        <f>P40*$I$11</f>
        <v>0.368000000000001</v>
      </c>
      <c r="Q41" s="72">
        <f>Q40*$I$11</f>
        <v>0.258000000000001</v>
      </c>
      <c r="R41" s="72">
        <f>R40*$I$11</f>
        <v>0.148000000000001</v>
      </c>
      <c r="S41" s="72">
        <f>S40*$I$11</f>
        <v>0.0380000000000003</v>
      </c>
      <c r="T41" s="72">
        <f>T40*$I$11</f>
        <v>-0.07199999999999999</v>
      </c>
    </row>
    <row r="42" ht="21.5" customHeight="1">
      <c r="A42" s="73"/>
      <c r="B42" s="74"/>
      <c r="C42" s="75"/>
      <c r="D42" s="76"/>
      <c r="E42" s="98"/>
      <c r="F42" s="78"/>
      <c r="G42" s="78"/>
      <c r="H42" s="78"/>
      <c r="I42" s="78"/>
      <c r="J42" s="78"/>
      <c r="K42" s="79"/>
      <c r="L42" s="79"/>
      <c r="M42" s="79"/>
      <c r="N42" s="79"/>
      <c r="O42" s="79"/>
      <c r="P42" s="79"/>
      <c r="Q42" s="79"/>
      <c r="R42" s="79"/>
      <c r="S42" s="79"/>
      <c r="T42" s="79"/>
    </row>
    <row r="43" ht="21" customHeight="1">
      <c r="A43" s="80"/>
      <c r="B43" t="s" s="81">
        <v>22</v>
      </c>
      <c r="C43" s="82"/>
      <c r="D43" s="83"/>
      <c r="E43" s="84">
        <v>-40</v>
      </c>
      <c r="F43" s="84">
        <v>-50</v>
      </c>
      <c r="G43" s="84">
        <v>-58</v>
      </c>
      <c r="H43" s="84">
        <v>-62</v>
      </c>
      <c r="I43" s="84">
        <v>-132</v>
      </c>
      <c r="J43" s="84">
        <v>-75</v>
      </c>
      <c r="K43" s="85">
        <f>-43*2</f>
        <v>-86</v>
      </c>
      <c r="L43" s="85">
        <f>K43*(1+L44)</f>
        <v>-97.9444444444445</v>
      </c>
      <c r="M43" s="85">
        <f>L43*(1+M44)</f>
        <v>-110.459567901235</v>
      </c>
      <c r="N43" s="85">
        <f>M43*(1+N44)</f>
        <v>-123.346517489712</v>
      </c>
      <c r="O43" s="85">
        <f>N43*(1+O44)</f>
        <v>-136.366427669182</v>
      </c>
      <c r="P43" s="85">
        <f>O43*(1+P44)</f>
        <v>-149.245479171271</v>
      </c>
      <c r="Q43" s="85">
        <f>P43*(1+Q44)</f>
        <v>-161.682602435544</v>
      </c>
      <c r="R43" s="85">
        <f>Q43*(1+R44)</f>
        <v>-173.359679278111</v>
      </c>
      <c r="S43" s="85">
        <f>R43*(1+S44)</f>
        <v>-183.953881900662</v>
      </c>
      <c r="T43" s="86">
        <f>S43*(1+T44)</f>
        <v>-193.151575995695</v>
      </c>
    </row>
    <row r="44" ht="21.5" customHeight="1">
      <c r="A44" s="87"/>
      <c r="B44" t="s" s="88">
        <v>30</v>
      </c>
      <c r="C44" s="89"/>
      <c r="D44" s="90"/>
      <c r="E44" s="91"/>
      <c r="F44" s="92">
        <f>F43/E43-1</f>
        <v>0.25</v>
      </c>
      <c r="G44" s="92">
        <f>G43/F43-1</f>
        <v>0.16</v>
      </c>
      <c r="H44" s="92">
        <f>H43/G43-1</f>
        <v>0.0689655172413793</v>
      </c>
      <c r="I44" s="92">
        <f>I43/H43-1</f>
        <v>1.12903225806452</v>
      </c>
      <c r="J44" s="92">
        <f>J43/I43-1</f>
        <v>-0.431818181818182</v>
      </c>
      <c r="K44" s="93">
        <f>K43/J43-1</f>
        <v>0.146666666666667</v>
      </c>
      <c r="L44" s="93">
        <f>OFFSET(L44,$C$12,0)</f>
        <v>0.138888888888889</v>
      </c>
      <c r="M44" s="93">
        <f>OFFSET(M44,$C$12,0)</f>
        <v>0.127777777777778</v>
      </c>
      <c r="N44" s="93">
        <f>OFFSET(N44,$C$12,0)</f>
        <v>0.116666666666667</v>
      </c>
      <c r="O44" s="93">
        <f>OFFSET(O44,$C$12,0)</f>
        <v>0.105555555555556</v>
      </c>
      <c r="P44" s="93">
        <f>OFFSET(P44,$C$12,0)</f>
        <v>0.0944444444444448</v>
      </c>
      <c r="Q44" s="93">
        <f>OFFSET(Q44,$C$12,0)</f>
        <v>0.08333333333333361</v>
      </c>
      <c r="R44" s="93">
        <f>OFFSET(R44,$C$12,0)</f>
        <v>0.0722222222222224</v>
      </c>
      <c r="S44" s="93">
        <f>OFFSET(S44,$C$12,0)</f>
        <v>0.0611111111111112</v>
      </c>
      <c r="T44" s="93">
        <f>OFFSET(T44,$C$12,0)</f>
        <v>0.05</v>
      </c>
    </row>
    <row r="45" ht="22" customHeight="1">
      <c r="A45" s="13"/>
      <c r="B45" t="s" s="34">
        <v>31</v>
      </c>
      <c r="C45" s="28"/>
      <c r="D45" s="11"/>
      <c r="E45" s="62"/>
      <c r="F45" s="62"/>
      <c r="G45" s="62"/>
      <c r="H45" s="62"/>
      <c r="I45" s="62"/>
      <c r="J45" s="70"/>
      <c r="K45" s="72">
        <f>K46*$E$12</f>
        <v>0.135</v>
      </c>
      <c r="L45" s="71">
        <f>L46*$E$12</f>
        <v>0.125</v>
      </c>
      <c r="M45" s="71">
        <f>M46*$E$12</f>
        <v>0.115</v>
      </c>
      <c r="N45" s="71">
        <f>N46*$E$12</f>
        <v>0.105</v>
      </c>
      <c r="O45" s="71">
        <f>O46*$E$12</f>
        <v>0.0950000000000004</v>
      </c>
      <c r="P45" s="71">
        <f>P46*$E$12</f>
        <v>0.0850000000000003</v>
      </c>
      <c r="Q45" s="71">
        <f>Q46*$E$12</f>
        <v>0.07500000000000021</v>
      </c>
      <c r="R45" s="71">
        <f>R46*$E$12</f>
        <v>0.0650000000000002</v>
      </c>
      <c r="S45" s="71">
        <f>S46*$E$12</f>
        <v>0.0550000000000001</v>
      </c>
      <c r="T45" s="71">
        <f>T46*$E$12</f>
        <v>0.045</v>
      </c>
    </row>
    <row r="46" ht="22" customHeight="1">
      <c r="A46" s="13"/>
      <c r="B46" t="s" s="34">
        <v>32</v>
      </c>
      <c r="C46" s="28"/>
      <c r="D46" s="11"/>
      <c r="E46" s="62"/>
      <c r="F46" s="62"/>
      <c r="G46" s="62"/>
      <c r="H46" s="62"/>
      <c r="I46" s="62"/>
      <c r="J46" s="70"/>
      <c r="K46" s="99">
        <v>0.15</v>
      </c>
      <c r="L46" s="72">
        <f>K46-(K46-$T$46)/($T$23-K23)</f>
        <v>0.138888888888889</v>
      </c>
      <c r="M46" s="71">
        <f>L46-(L46-$T$46)/($T$23-L23)</f>
        <v>0.127777777777778</v>
      </c>
      <c r="N46" s="71">
        <f>M46-(M46-$T$46)/($T$23-M23)</f>
        <v>0.116666666666667</v>
      </c>
      <c r="O46" s="71">
        <f>N46-(N46-$T$46)/($T$23-N23)</f>
        <v>0.105555555555556</v>
      </c>
      <c r="P46" s="71">
        <f>O46-(O46-$T$46)/($T$23-O23)</f>
        <v>0.0944444444444448</v>
      </c>
      <c r="Q46" s="71">
        <f>P46-(P46-$T$46)/($T$23-P23)</f>
        <v>0.08333333333333361</v>
      </c>
      <c r="R46" s="71">
        <f>Q46-(Q46-$T$46)/($T$23-Q23)</f>
        <v>0.0722222222222224</v>
      </c>
      <c r="S46" s="71">
        <f>R46-(R46-$T$46)/($T$23-R23)</f>
        <v>0.0611111111111112</v>
      </c>
      <c r="T46" s="71">
        <f>G12</f>
        <v>0.05</v>
      </c>
    </row>
    <row r="47" ht="22" customHeight="1">
      <c r="A47" s="13"/>
      <c r="B47" t="s" s="34">
        <v>33</v>
      </c>
      <c r="C47" s="28"/>
      <c r="D47" s="11"/>
      <c r="E47" s="62"/>
      <c r="F47" s="62"/>
      <c r="G47" s="62"/>
      <c r="H47" s="62"/>
      <c r="I47" s="62"/>
      <c r="J47" s="70"/>
      <c r="K47" s="72">
        <f>K46*$I$12</f>
        <v>0.165</v>
      </c>
      <c r="L47" s="94">
        <f>L46*$I$12</f>
        <v>0.152777777777778</v>
      </c>
      <c r="M47" s="72">
        <f>M46*$I$12</f>
        <v>0.140555555555556</v>
      </c>
      <c r="N47" s="72">
        <f>N46*$I$12</f>
        <v>0.128333333333334</v>
      </c>
      <c r="O47" s="72">
        <f>O46*$I$12</f>
        <v>0.116111111111112</v>
      </c>
      <c r="P47" s="72">
        <f>P46*$I$12</f>
        <v>0.103888888888889</v>
      </c>
      <c r="Q47" s="72">
        <f>Q46*$I$12</f>
        <v>0.09166666666666699</v>
      </c>
      <c r="R47" s="72">
        <f>R46*$I$12</f>
        <v>0.0794444444444446</v>
      </c>
      <c r="S47" s="72">
        <f>S46*$I$12</f>
        <v>0.06722222222222229</v>
      </c>
      <c r="T47" s="72">
        <f>T46*$I$12</f>
        <v>0.055</v>
      </c>
    </row>
    <row r="48" ht="21.5" customHeight="1">
      <c r="A48" s="73"/>
      <c r="B48" s="74"/>
      <c r="C48" s="75"/>
      <c r="D48" s="76"/>
      <c r="E48" s="98"/>
      <c r="F48" s="78"/>
      <c r="G48" s="78"/>
      <c r="H48" s="78"/>
      <c r="I48" s="78"/>
      <c r="J48" s="78"/>
      <c r="K48" s="79"/>
      <c r="L48" s="79"/>
      <c r="M48" s="79"/>
      <c r="N48" s="79"/>
      <c r="O48" s="79"/>
      <c r="P48" s="79"/>
      <c r="Q48" s="79"/>
      <c r="R48" s="79"/>
      <c r="S48" s="79"/>
      <c r="T48" s="79"/>
    </row>
    <row r="49" ht="21" customHeight="1">
      <c r="A49" s="80"/>
      <c r="B49" t="s" s="81">
        <v>23</v>
      </c>
      <c r="C49" s="82"/>
      <c r="D49" s="83"/>
      <c r="E49" s="84">
        <v>1125</v>
      </c>
      <c r="F49" s="84">
        <v>1752</v>
      </c>
      <c r="G49" s="84">
        <v>1635</v>
      </c>
      <c r="H49" s="84">
        <v>1612</v>
      </c>
      <c r="I49" s="84">
        <v>568</v>
      </c>
      <c r="J49" s="84">
        <v>796</v>
      </c>
      <c r="K49" s="85">
        <f>626*2</f>
        <v>1252</v>
      </c>
      <c r="L49" s="85">
        <f>K49*(1+L50)</f>
        <v>1896.084444444440</v>
      </c>
      <c r="M49" s="85">
        <f>L49*(1+M50)</f>
        <v>2766.176528395060</v>
      </c>
      <c r="N49" s="85">
        <f>M49*(1+N50)</f>
        <v>3881.867728181070</v>
      </c>
      <c r="O49" s="85">
        <f>N49*(1+O50)</f>
        <v>5231.895060315150</v>
      </c>
      <c r="P49" s="85">
        <f>O49*(1+P50)</f>
        <v>6760.771061273910</v>
      </c>
      <c r="Q49" s="85">
        <f>P49*(1+Q50)</f>
        <v>8360.820212442070</v>
      </c>
      <c r="R49" s="85">
        <f>Q49*(1+R50)</f>
        <v>9875.057650917690</v>
      </c>
      <c r="S49" s="85">
        <f>R49*(1+S50)</f>
        <v>11114.9260004218</v>
      </c>
      <c r="T49" s="86">
        <f>S49*(1+T50)</f>
        <v>11892.9708204513</v>
      </c>
    </row>
    <row r="50" ht="21.5" customHeight="1">
      <c r="A50" s="87"/>
      <c r="B50" t="s" s="88">
        <v>30</v>
      </c>
      <c r="C50" s="89"/>
      <c r="D50" s="90"/>
      <c r="E50" s="91"/>
      <c r="F50" s="92">
        <f>F49/E49-1</f>
        <v>0.557333333333333</v>
      </c>
      <c r="G50" s="92">
        <f>G49/F49-1</f>
        <v>-0.06678082191780819</v>
      </c>
      <c r="H50" s="92">
        <f>H49/G49-1</f>
        <v>-0.0140672782874618</v>
      </c>
      <c r="I50" s="92">
        <f>I49/H49-1</f>
        <v>-0.647642679900744</v>
      </c>
      <c r="J50" s="92">
        <f>J49/I49-1</f>
        <v>0.401408450704225</v>
      </c>
      <c r="K50" s="93">
        <f>K49/J49-1</f>
        <v>0.57286432160804</v>
      </c>
      <c r="L50" s="93">
        <f>OFFSET(L50,$C$13,0)</f>
        <v>0.514444444444444</v>
      </c>
      <c r="M50" s="93">
        <f>OFFSET(M50,$C$13,0)</f>
        <v>0.458888888888889</v>
      </c>
      <c r="N50" s="93">
        <f>OFFSET(N50,$C$13,0)</f>
        <v>0.403333333333333</v>
      </c>
      <c r="O50" s="93">
        <f>OFFSET(O50,$C$13,0)</f>
        <v>0.347777777777778</v>
      </c>
      <c r="P50" s="93">
        <f>OFFSET(P50,$C$13,0)</f>
        <v>0.292222222222222</v>
      </c>
      <c r="Q50" s="93">
        <f>OFFSET(Q50,$C$13,0)</f>
        <v>0.236666666666667</v>
      </c>
      <c r="R50" s="93">
        <f>OFFSET(R50,$C$13,0)</f>
        <v>0.181111111111111</v>
      </c>
      <c r="S50" s="93">
        <f>OFFSET(S50,$C$13,0)</f>
        <v>0.125555555555556</v>
      </c>
      <c r="T50" s="93">
        <f>OFFSET(T50,$C$13,0)</f>
        <v>0.07000000000000001</v>
      </c>
    </row>
    <row r="51" ht="22" customHeight="1">
      <c r="A51" s="13"/>
      <c r="B51" t="s" s="34">
        <v>31</v>
      </c>
      <c r="C51" s="28"/>
      <c r="D51" s="11"/>
      <c r="E51" s="62"/>
      <c r="F51" s="62"/>
      <c r="G51" s="62"/>
      <c r="H51" s="62"/>
      <c r="I51" s="62"/>
      <c r="J51" s="70"/>
      <c r="K51" s="71">
        <f>K52*$E$13</f>
        <v>0.456</v>
      </c>
      <c r="L51" s="71">
        <f>L52*$E$13</f>
        <v>0.411555555555555</v>
      </c>
      <c r="M51" s="71">
        <f>M52*$E$13</f>
        <v>0.367111111111111</v>
      </c>
      <c r="N51" s="71">
        <f>N52*$E$13</f>
        <v>0.322666666666666</v>
      </c>
      <c r="O51" s="71">
        <f>O52*$E$13</f>
        <v>0.278222222222222</v>
      </c>
      <c r="P51" s="71">
        <f>P52*$E$13</f>
        <v>0.233777777777778</v>
      </c>
      <c r="Q51" s="71">
        <f>Q52*$E$13</f>
        <v>0.189333333333334</v>
      </c>
      <c r="R51" s="71">
        <f>R52*$E$13</f>
        <v>0.144888888888889</v>
      </c>
      <c r="S51" s="71">
        <f>S52*$E$13</f>
        <v>0.100444444444445</v>
      </c>
      <c r="T51" s="71">
        <f>T52*$E$13</f>
        <v>0.056</v>
      </c>
    </row>
    <row r="52" ht="22" customHeight="1">
      <c r="A52" s="13"/>
      <c r="B52" t="s" s="34">
        <v>32</v>
      </c>
      <c r="C52" s="28"/>
      <c r="D52" s="11"/>
      <c r="E52" s="62"/>
      <c r="F52" s="62"/>
      <c r="G52" s="62"/>
      <c r="H52" s="62"/>
      <c r="I52" s="62"/>
      <c r="J52" s="70"/>
      <c r="K52" s="71">
        <v>0.57</v>
      </c>
      <c r="L52" s="72">
        <f>K52-(K52-$T$52)/($T$23-K23)</f>
        <v>0.514444444444444</v>
      </c>
      <c r="M52" s="71">
        <f>L52-(L52-$T$52)/($T$23-L23)</f>
        <v>0.458888888888889</v>
      </c>
      <c r="N52" s="71">
        <f>M52-(M52-$T$52)/($T$23-M23)</f>
        <v>0.403333333333333</v>
      </c>
      <c r="O52" s="71">
        <f>N52-(N52-$T$52)/($T$23-N23)</f>
        <v>0.347777777777778</v>
      </c>
      <c r="P52" s="71">
        <f>O52-(O52-$T$52)/($T$23-O23)</f>
        <v>0.292222222222222</v>
      </c>
      <c r="Q52" s="71">
        <f>P52-(P52-$T$52)/($T$23-P23)</f>
        <v>0.236666666666667</v>
      </c>
      <c r="R52" s="71">
        <f>Q52-(Q52-$T$52)/($T$23-Q23)</f>
        <v>0.181111111111111</v>
      </c>
      <c r="S52" s="71">
        <f>R52-(R52-$T$52)/($T$23-R23)</f>
        <v>0.125555555555556</v>
      </c>
      <c r="T52" s="71">
        <f>G13</f>
        <v>0.07000000000000001</v>
      </c>
    </row>
    <row r="53" ht="22" customHeight="1">
      <c r="A53" s="13"/>
      <c r="B53" t="s" s="34">
        <v>33</v>
      </c>
      <c r="C53" s="28"/>
      <c r="D53" s="11"/>
      <c r="E53" s="62"/>
      <c r="F53" s="62"/>
      <c r="G53" s="62"/>
      <c r="H53" s="62"/>
      <c r="I53" s="62"/>
      <c r="J53" s="70"/>
      <c r="K53" s="72">
        <f>K52*$I$13</f>
        <v>0.6840000000000001</v>
      </c>
      <c r="L53" s="94">
        <f>L52*$I$13</f>
        <v>0.617333333333333</v>
      </c>
      <c r="M53" s="72">
        <f>M52*$I$13</f>
        <v>0.550666666666667</v>
      </c>
      <c r="N53" s="72">
        <f>N52*$I$13</f>
        <v>0.484</v>
      </c>
      <c r="O53" s="72">
        <f>O52*$I$13</f>
        <v>0.417333333333334</v>
      </c>
      <c r="P53" s="72">
        <f>P52*$I$13</f>
        <v>0.350666666666666</v>
      </c>
      <c r="Q53" s="72">
        <f>Q52*$I$13</f>
        <v>0.284</v>
      </c>
      <c r="R53" s="72">
        <f>R52*$I$13</f>
        <v>0.217333333333333</v>
      </c>
      <c r="S53" s="72">
        <f>S52*$I$13</f>
        <v>0.150666666666667</v>
      </c>
      <c r="T53" s="72">
        <f>T52*$I$13</f>
        <v>0.08400000000000001</v>
      </c>
    </row>
    <row r="54" ht="21.5" customHeight="1">
      <c r="A54" s="63"/>
      <c r="B54" s="74"/>
      <c r="C54" s="65"/>
      <c r="D54" s="66"/>
      <c r="E54" s="97"/>
      <c r="F54" s="68"/>
      <c r="G54" s="68"/>
      <c r="H54" s="78"/>
      <c r="I54" s="78"/>
      <c r="J54" s="78"/>
      <c r="K54" s="79"/>
      <c r="L54" s="79"/>
      <c r="M54" s="100"/>
      <c r="N54" s="100"/>
      <c r="O54" s="100"/>
      <c r="P54" s="100"/>
      <c r="Q54" s="100"/>
      <c r="R54" s="100"/>
      <c r="S54" s="100"/>
      <c r="T54" s="100"/>
    </row>
    <row r="55" ht="21" customHeight="1">
      <c r="A55" s="63"/>
      <c r="B55" t="s" s="81">
        <v>24</v>
      </c>
      <c r="C55" s="65"/>
      <c r="D55" s="66"/>
      <c r="E55" s="62">
        <v>11934</v>
      </c>
      <c r="F55" s="62">
        <v>15455</v>
      </c>
      <c r="G55" s="62">
        <v>15543</v>
      </c>
      <c r="H55" s="84">
        <v>15599</v>
      </c>
      <c r="I55" s="84">
        <v>8452</v>
      </c>
      <c r="J55" s="84">
        <v>10442</v>
      </c>
      <c r="K55" s="85">
        <f>7066*2</f>
        <v>14132</v>
      </c>
      <c r="L55" s="85">
        <f>K55*(1+L56)</f>
        <v>18560.0266666667</v>
      </c>
      <c r="M55" s="60">
        <f>L55*(1+M56)</f>
        <v>23694.9673777778</v>
      </c>
      <c r="N55" s="60">
        <f>M55*(1+N56)</f>
        <v>29381.7595484444</v>
      </c>
      <c r="O55" s="60">
        <f>N55*(1+O56)</f>
        <v>35356.0506566281</v>
      </c>
      <c r="P55" s="60">
        <f>O55*(1+P56)</f>
        <v>41248.7257660661</v>
      </c>
      <c r="Q55" s="60">
        <f>P55*(1+Q56)</f>
        <v>46611.0601156547</v>
      </c>
      <c r="R55" s="60">
        <f>Q55*(1+R56)</f>
        <v>50961.4257264491</v>
      </c>
      <c r="S55" s="60">
        <f>R55*(1+S56)</f>
        <v>53849.2398509479</v>
      </c>
      <c r="T55" s="60">
        <f>S55*(1+T56)</f>
        <v>54926.2246479669</v>
      </c>
    </row>
    <row r="56" ht="21.5" customHeight="1">
      <c r="A56" s="63"/>
      <c r="B56" t="s" s="88">
        <v>30</v>
      </c>
      <c r="C56" s="65"/>
      <c r="D56" s="66"/>
      <c r="E56" s="97"/>
      <c r="F56" s="68">
        <f>F55/E55-1</f>
        <v>0.295039383274677</v>
      </c>
      <c r="G56" s="68">
        <f>G55/F55-1</f>
        <v>0.00569395017793594</v>
      </c>
      <c r="H56" s="92">
        <f>H55/G55-1</f>
        <v>0.00360290806150679</v>
      </c>
      <c r="I56" s="92">
        <f>I55/H55-1</f>
        <v>-0.458170395538176</v>
      </c>
      <c r="J56" s="92">
        <f>J55/I55-1</f>
        <v>0.235447231424515</v>
      </c>
      <c r="K56" s="93">
        <f>K55/J55-1</f>
        <v>0.35338057843325</v>
      </c>
      <c r="L56" s="93">
        <f>OFFSET(L56,$C$14,0)</f>
        <v>0.313333333333333</v>
      </c>
      <c r="M56" s="69">
        <f>OFFSET(M56,$C$14,0)</f>
        <v>0.276666666666666</v>
      </c>
      <c r="N56" s="69">
        <f>OFFSET(N56,$C$14,0)</f>
        <v>0.239999999999999</v>
      </c>
      <c r="O56" s="69">
        <f>OFFSET(O56,$C$14,0)</f>
        <v>0.203333333333333</v>
      </c>
      <c r="P56" s="69">
        <f>OFFSET(P56,$C$14,0)</f>
        <v>0.166666666666666</v>
      </c>
      <c r="Q56" s="69">
        <f>OFFSET(Q56,$C$14,0)</f>
        <v>0.13</v>
      </c>
      <c r="R56" s="69">
        <f>OFFSET(R56,$C$14,0)</f>
        <v>0.0933333333333333</v>
      </c>
      <c r="S56" s="69">
        <f>OFFSET(S56,$C$14,0)</f>
        <v>0.0566666666666667</v>
      </c>
      <c r="T56" s="69">
        <f>OFFSET(T56,$C$14,0)</f>
        <v>0.02</v>
      </c>
    </row>
    <row r="57" ht="22" customHeight="1">
      <c r="A57" s="63"/>
      <c r="B57" t="s" s="34">
        <v>31</v>
      </c>
      <c r="C57" s="65"/>
      <c r="D57" s="66"/>
      <c r="E57" s="97"/>
      <c r="F57" s="68"/>
      <c r="G57" s="68"/>
      <c r="H57" s="68"/>
      <c r="I57" s="68"/>
      <c r="J57" s="101"/>
      <c r="K57" s="71">
        <f>K58*$E$14</f>
        <v>0.28</v>
      </c>
      <c r="L57" s="71">
        <f>L58*$E$14</f>
        <v>0.250666666666666</v>
      </c>
      <c r="M57" s="71">
        <f>M58*$E$14</f>
        <v>0.221333333333333</v>
      </c>
      <c r="N57" s="71">
        <f>N58*$E$14</f>
        <v>0.191999999999999</v>
      </c>
      <c r="O57" s="71">
        <f>O58*$E$14</f>
        <v>0.162666666666666</v>
      </c>
      <c r="P57" s="71">
        <f>P58*$E$14</f>
        <v>0.133333333333333</v>
      </c>
      <c r="Q57" s="71">
        <f>Q58*$E$14</f>
        <v>0.104</v>
      </c>
      <c r="R57" s="71">
        <f>R58*$E$14</f>
        <v>0.0746666666666666</v>
      </c>
      <c r="S57" s="71">
        <f>S58*$E$14</f>
        <v>0.0453333333333334</v>
      </c>
      <c r="T57" s="71">
        <f>T58*$E$14</f>
        <v>0.016</v>
      </c>
    </row>
    <row r="58" ht="22" customHeight="1">
      <c r="A58" s="63"/>
      <c r="B58" t="s" s="34">
        <v>32</v>
      </c>
      <c r="C58" s="65"/>
      <c r="D58" s="66"/>
      <c r="E58" s="97"/>
      <c r="F58" s="68"/>
      <c r="G58" s="68"/>
      <c r="H58" s="68"/>
      <c r="I58" s="68"/>
      <c r="J58" s="101"/>
      <c r="K58" s="71">
        <v>0.35</v>
      </c>
      <c r="L58" s="72">
        <f>K58-(K58-$T$58)/($T$23-K23)</f>
        <v>0.313333333333333</v>
      </c>
      <c r="M58" s="71">
        <f>L58-(L58-$T$58)/($T$23-L23)</f>
        <v>0.276666666666666</v>
      </c>
      <c r="N58" s="71">
        <f>M58-(M58-$T$58)/($T$23-M23)</f>
        <v>0.239999999999999</v>
      </c>
      <c r="O58" s="71">
        <f>N58-(N58-$T$58)/($T$23-N23)</f>
        <v>0.203333333333333</v>
      </c>
      <c r="P58" s="71">
        <f>O58-(O58-$T$58)/($T$23-O23)</f>
        <v>0.166666666666666</v>
      </c>
      <c r="Q58" s="71">
        <f>P58-(P58-$T$58)/($T$23-P23)</f>
        <v>0.13</v>
      </c>
      <c r="R58" s="71">
        <f>Q58-(Q58-$T$58)/($T$23-Q23)</f>
        <v>0.0933333333333333</v>
      </c>
      <c r="S58" s="71">
        <f>R58-(R58-$T$58)/($T$23-R23)</f>
        <v>0.0566666666666667</v>
      </c>
      <c r="T58" s="71">
        <f>G14</f>
        <v>0.02</v>
      </c>
    </row>
    <row r="59" ht="22" customHeight="1">
      <c r="A59" s="63"/>
      <c r="B59" t="s" s="34">
        <v>33</v>
      </c>
      <c r="C59" s="65"/>
      <c r="D59" s="66"/>
      <c r="E59" s="97"/>
      <c r="F59" s="68"/>
      <c r="G59" s="68"/>
      <c r="H59" s="68"/>
      <c r="I59" s="68"/>
      <c r="J59" s="101"/>
      <c r="K59" s="72">
        <f>K58*$I$14</f>
        <v>0.42</v>
      </c>
      <c r="L59" s="94">
        <f>L58*$I$14</f>
        <v>0.376</v>
      </c>
      <c r="M59" s="72">
        <f>M58*$I$14</f>
        <v>0.331999999999999</v>
      </c>
      <c r="N59" s="72">
        <f>N58*$I$14</f>
        <v>0.287999999999999</v>
      </c>
      <c r="O59" s="72">
        <f>O58*$I$14</f>
        <v>0.244</v>
      </c>
      <c r="P59" s="72">
        <f>P58*$I$14</f>
        <v>0.199999999999999</v>
      </c>
      <c r="Q59" s="72">
        <f>Q58*$I$14</f>
        <v>0.156</v>
      </c>
      <c r="R59" s="72">
        <f>R58*$I$14</f>
        <v>0.112</v>
      </c>
      <c r="S59" s="72">
        <f>S58*$I$14</f>
        <v>0.068</v>
      </c>
      <c r="T59" s="72">
        <f>T58*$I$14</f>
        <v>0.024</v>
      </c>
    </row>
    <row r="60" ht="22" customHeight="1">
      <c r="A60" s="102"/>
      <c r="B60" s="103"/>
      <c r="C60" s="104"/>
      <c r="D60" s="105"/>
      <c r="E60" s="106"/>
      <c r="F60" s="107"/>
      <c r="G60" s="107"/>
      <c r="H60" s="107"/>
      <c r="I60" s="107"/>
      <c r="J60" s="107"/>
      <c r="K60" s="108"/>
      <c r="L60" s="108"/>
      <c r="M60" s="108"/>
      <c r="N60" s="109"/>
      <c r="O60" s="109"/>
      <c r="P60" s="108"/>
      <c r="Q60" s="108"/>
      <c r="R60" s="108"/>
      <c r="S60" s="108"/>
      <c r="T60" s="108"/>
    </row>
    <row r="61" ht="21.5" customHeight="1">
      <c r="A61" s="110"/>
      <c r="B61" t="s" s="111">
        <v>34</v>
      </c>
      <c r="C61" s="112"/>
      <c r="D61" s="113"/>
      <c r="E61" s="114">
        <f>E25+E31+E37+E43+E49+E55</f>
        <v>15407</v>
      </c>
      <c r="F61" s="114">
        <f>F25+F31+F37+F43+F49+F55</f>
        <v>20452</v>
      </c>
      <c r="G61" s="114">
        <f>G25+G31+G37+G43+G49+G55</f>
        <v>20758</v>
      </c>
      <c r="H61" s="114">
        <f>H25+H31+H37+H43+H49+H55</f>
        <v>20972</v>
      </c>
      <c r="I61" s="114">
        <f>I25+I31+I37+I43+I49+I55</f>
        <v>10571</v>
      </c>
      <c r="J61" s="114">
        <f>J25+J31+J37+J43+J49+J55</f>
        <v>13857</v>
      </c>
      <c r="K61" s="114">
        <f>K25+K31+K37+K43+K49+K55</f>
        <v>19074</v>
      </c>
      <c r="L61" s="114">
        <f>L25+L31+L37+L43+L49+L55</f>
        <v>25590.6775220063</v>
      </c>
      <c r="M61" s="114">
        <f>M25+M31+M37+M43+M49+M55</f>
        <v>33485.2708541824</v>
      </c>
      <c r="N61" s="115">
        <f>N25+N31+N37+N43+N49+N55</f>
        <v>42663.8069781704</v>
      </c>
      <c r="O61" s="115">
        <f>O25+O31+O37+O43+O49+O55</f>
        <v>52804.4267548073</v>
      </c>
      <c r="P61" s="114">
        <f>P25+P31+P37+P43+P49+P55</f>
        <v>63287.5861031085</v>
      </c>
      <c r="Q61" s="114">
        <f>Q25+Q31+Q37+Q43+Q49+Q55</f>
        <v>73177.3201026868</v>
      </c>
      <c r="R61" s="114">
        <f>R25+R31+R37+R43+R49+R55</f>
        <v>81308.4278266395</v>
      </c>
      <c r="S61" s="114">
        <f>S25+S31+S37+S43+S49+S55</f>
        <v>86511.4799684774</v>
      </c>
      <c r="T61" s="114">
        <f>T25+T31+T37+T43+T49+T55</f>
        <v>87935.8402940331</v>
      </c>
    </row>
    <row r="62" ht="21" customHeight="1">
      <c r="A62" s="13"/>
      <c r="B62" t="s" s="64">
        <v>30</v>
      </c>
      <c r="C62" s="28"/>
      <c r="D62" s="11"/>
      <c r="E62" s="60"/>
      <c r="F62" s="116">
        <f>F61/E61-1</f>
        <v>0.327448562341793</v>
      </c>
      <c r="G62" s="116">
        <f>G61/F61-1</f>
        <v>0.0149618619205946</v>
      </c>
      <c r="H62" s="116">
        <f>H61/G61-1</f>
        <v>0.0103092783505155</v>
      </c>
      <c r="I62" s="116">
        <f>I61/H61-1</f>
        <v>-0.49594697692161</v>
      </c>
      <c r="J62" s="116">
        <f>J61/I61-1</f>
        <v>0.310850439882698</v>
      </c>
      <c r="K62" s="116">
        <f>K61/J61-1</f>
        <v>0.376488417406365</v>
      </c>
      <c r="L62" s="116">
        <f>L61/K61-1</f>
        <v>0.341652381357151</v>
      </c>
      <c r="M62" s="116">
        <f>M61/L61-1</f>
        <v>0.308494893321494</v>
      </c>
      <c r="N62" s="116">
        <f>N61/M61-1</f>
        <v>0.274106671078086</v>
      </c>
      <c r="O62" s="116">
        <f>O61/N61-1</f>
        <v>0.237686706716667</v>
      </c>
      <c r="P62" s="116">
        <f>P61/O61-1</f>
        <v>0.198528040025485</v>
      </c>
      <c r="Q62" s="116">
        <f>Q61/P61-1</f>
        <v>0.156266569931517</v>
      </c>
      <c r="R62" s="116">
        <f>R61/Q61-1</f>
        <v>0.111115133931424</v>
      </c>
      <c r="S62" s="116">
        <f>S61/R61-1</f>
        <v>0.0639915477511324</v>
      </c>
      <c r="T62" s="116">
        <f>T61/S61-1</f>
        <v>0.0164644082620561</v>
      </c>
    </row>
    <row r="63" ht="21" customHeight="1">
      <c r="A63" s="13"/>
      <c r="B63" s="25"/>
      <c r="C63" s="28"/>
      <c r="D63" s="11"/>
      <c r="E63" s="60"/>
      <c r="F63" s="60"/>
      <c r="G63" s="60"/>
      <c r="H63" s="60"/>
      <c r="I63" s="60"/>
      <c r="J63" s="60"/>
      <c r="K63" s="60"/>
      <c r="L63" s="60"/>
      <c r="M63" s="60"/>
      <c r="N63" s="60"/>
      <c r="O63" s="60"/>
      <c r="P63" s="60"/>
      <c r="Q63" s="60"/>
      <c r="R63" s="60"/>
      <c r="S63" s="60"/>
      <c r="T63" s="60"/>
    </row>
    <row r="64" ht="21" customHeight="1">
      <c r="A64" t="s" s="29">
        <v>13</v>
      </c>
      <c r="B64" t="s" s="30">
        <v>35</v>
      </c>
      <c r="C64" s="31"/>
      <c r="D64" s="32"/>
      <c r="E64" s="59">
        <v>2016</v>
      </c>
      <c r="F64" s="59">
        <v>2017</v>
      </c>
      <c r="G64" s="59">
        <v>2018</v>
      </c>
      <c r="H64" s="59">
        <v>2019</v>
      </c>
      <c r="I64" s="59">
        <v>2020</v>
      </c>
      <c r="J64" s="59">
        <v>2021</v>
      </c>
      <c r="K64" s="59">
        <v>2022</v>
      </c>
      <c r="L64" s="117"/>
      <c r="M64" s="117"/>
      <c r="N64" s="117"/>
      <c r="O64" s="117"/>
      <c r="P64" s="117"/>
      <c r="Q64" s="117"/>
      <c r="R64" s="117"/>
      <c r="S64" s="117"/>
      <c r="T64" s="117"/>
    </row>
    <row r="65" ht="21" customHeight="1">
      <c r="A65" s="13"/>
      <c r="B65" s="25"/>
      <c r="C65" s="28"/>
      <c r="D65" s="11"/>
      <c r="E65" s="11"/>
      <c r="F65" s="11"/>
      <c r="G65" s="11"/>
      <c r="H65" s="11"/>
      <c r="I65" s="11"/>
      <c r="J65" s="11"/>
      <c r="K65" s="11"/>
      <c r="L65" s="11"/>
      <c r="M65" s="11"/>
      <c r="N65" s="11"/>
      <c r="O65" s="11"/>
      <c r="P65" s="11"/>
      <c r="Q65" s="11"/>
      <c r="R65" s="11"/>
      <c r="S65" s="11"/>
      <c r="T65" s="11"/>
    </row>
    <row r="66" ht="21" customHeight="1">
      <c r="A66" s="13"/>
      <c r="B66" t="s" s="34">
        <v>36</v>
      </c>
      <c r="C66" s="28"/>
      <c r="D66" s="11"/>
      <c r="E66" s="118">
        <f>E61</f>
        <v>15407</v>
      </c>
      <c r="F66" s="118">
        <f>F61</f>
        <v>20452</v>
      </c>
      <c r="G66" s="118">
        <f>G61</f>
        <v>20758</v>
      </c>
      <c r="H66" s="118">
        <f>H61</f>
        <v>20972</v>
      </c>
      <c r="I66" s="118">
        <f>I61</f>
        <v>10571</v>
      </c>
      <c r="J66" s="118">
        <f>J61</f>
        <v>13857</v>
      </c>
      <c r="K66" s="118">
        <f>K61</f>
        <v>19074</v>
      </c>
      <c r="L66" s="119"/>
      <c r="M66" s="119"/>
      <c r="N66" s="119"/>
      <c r="O66" s="119"/>
      <c r="P66" s="119"/>
      <c r="Q66" s="119"/>
      <c r="R66" s="119"/>
      <c r="S66" s="119"/>
      <c r="T66" s="119"/>
    </row>
    <row r="67" ht="21" customHeight="1">
      <c r="A67" s="63"/>
      <c r="B67" t="s" s="64">
        <v>30</v>
      </c>
      <c r="C67" s="65"/>
      <c r="D67" s="66"/>
      <c r="E67" s="66"/>
      <c r="F67" s="68">
        <f>F66/E66-1</f>
        <v>0.327448562341793</v>
      </c>
      <c r="G67" s="68">
        <f>G66/F66-1</f>
        <v>0.0149618619205946</v>
      </c>
      <c r="H67" s="68">
        <f>H66/G66-1</f>
        <v>0.0103092783505155</v>
      </c>
      <c r="I67" s="68">
        <f>I66/H66-1</f>
        <v>-0.49594697692161</v>
      </c>
      <c r="J67" s="68">
        <f>J66/I66-1</f>
        <v>0.310850439882698</v>
      </c>
      <c r="K67" s="68">
        <f>K66/J66-1</f>
        <v>0.376488417406365</v>
      </c>
      <c r="L67" s="68"/>
      <c r="M67" s="68"/>
      <c r="N67" s="68"/>
      <c r="O67" s="68"/>
      <c r="P67" s="68"/>
      <c r="Q67" s="68"/>
      <c r="R67" s="68"/>
      <c r="S67" s="68"/>
      <c r="T67" s="68"/>
    </row>
    <row r="68" ht="21" customHeight="1">
      <c r="A68" s="13"/>
      <c r="B68" s="25"/>
      <c r="C68" s="28"/>
      <c r="D68" s="11"/>
      <c r="E68" s="11"/>
      <c r="F68" s="11"/>
      <c r="G68" s="11"/>
      <c r="H68" s="11"/>
      <c r="I68" s="11"/>
      <c r="J68" s="11"/>
      <c r="K68" s="11"/>
      <c r="L68" s="11"/>
      <c r="M68" s="11"/>
      <c r="N68" s="11"/>
      <c r="O68" s="11"/>
      <c r="P68" s="11"/>
      <c r="Q68" s="11"/>
      <c r="R68" s="11"/>
      <c r="S68" s="11"/>
      <c r="T68" s="11"/>
    </row>
    <row r="69" ht="21" customHeight="1">
      <c r="A69" s="13"/>
      <c r="B69" t="s" s="34">
        <v>25</v>
      </c>
      <c r="C69" s="28"/>
      <c r="D69" s="11"/>
      <c r="E69" s="120">
        <f>808+431+234</f>
        <v>1473</v>
      </c>
      <c r="F69" s="120">
        <f>1459+1523+288</f>
        <v>3270</v>
      </c>
      <c r="G69" s="120">
        <f>2345+340</f>
        <v>2685</v>
      </c>
      <c r="H69" s="120">
        <f>1599+394</f>
        <v>1993</v>
      </c>
      <c r="I69" s="60">
        <f>-466+445</f>
        <v>-21</v>
      </c>
      <c r="J69" s="120">
        <f>1180+420</f>
        <v>1600</v>
      </c>
      <c r="K69" s="120">
        <f>(1354+188)*2</f>
        <v>3084</v>
      </c>
      <c r="L69" s="120"/>
      <c r="M69" s="120"/>
      <c r="N69" s="120"/>
      <c r="O69" s="120"/>
      <c r="P69" s="120"/>
      <c r="Q69" s="120"/>
      <c r="R69" s="120"/>
      <c r="S69" s="120"/>
      <c r="T69" s="120"/>
    </row>
    <row r="70" ht="21" customHeight="1">
      <c r="A70" s="63"/>
      <c r="B70" t="s" s="64">
        <v>37</v>
      </c>
      <c r="C70" s="65"/>
      <c r="D70" s="66"/>
      <c r="E70" s="68">
        <f>E69/E66</f>
        <v>0.09560589342506649</v>
      </c>
      <c r="F70" s="68">
        <f>F69/F66</f>
        <v>0.159886563661256</v>
      </c>
      <c r="G70" s="68">
        <f>G69/G66</f>
        <v>0.129347721360439</v>
      </c>
      <c r="H70" s="68">
        <f>H69/H66</f>
        <v>0.0950314705321381</v>
      </c>
      <c r="I70" s="68">
        <f>I69/I66</f>
        <v>-0.00198656702298742</v>
      </c>
      <c r="J70" s="68">
        <f>J69/J66</f>
        <v>0.11546510788771</v>
      </c>
      <c r="K70" s="68">
        <f>K69/K66</f>
        <v>0.161686064800252</v>
      </c>
      <c r="L70" s="68"/>
      <c r="M70" s="68"/>
      <c r="N70" s="68"/>
      <c r="O70" s="68"/>
      <c r="P70" s="68"/>
      <c r="Q70" s="68"/>
      <c r="R70" s="68"/>
      <c r="S70" s="68"/>
      <c r="T70" s="68"/>
    </row>
    <row r="71" ht="21" customHeight="1">
      <c r="A71" s="121"/>
      <c r="B71" s="122"/>
      <c r="C71" s="28"/>
      <c r="D71" s="11"/>
      <c r="E71" s="11"/>
      <c r="F71" s="11"/>
      <c r="G71" s="11"/>
      <c r="H71" s="11"/>
      <c r="I71" s="11"/>
      <c r="J71" s="11"/>
      <c r="K71" s="11"/>
      <c r="L71" s="11"/>
      <c r="M71" s="11"/>
      <c r="N71" s="11"/>
      <c r="O71" s="11"/>
      <c r="P71" s="11"/>
      <c r="Q71" s="11"/>
      <c r="R71" s="11"/>
      <c r="S71" s="11"/>
      <c r="T71" s="11"/>
    </row>
    <row r="72" ht="21" customHeight="1">
      <c r="A72" s="8"/>
      <c r="B72" t="s" s="123">
        <v>38</v>
      </c>
      <c r="C72" s="28"/>
      <c r="D72" s="11"/>
      <c r="E72" s="124">
        <v>431</v>
      </c>
      <c r="F72" s="124">
        <v>1523</v>
      </c>
      <c r="G72" s="124">
        <v>438</v>
      </c>
      <c r="H72" s="124">
        <v>326</v>
      </c>
      <c r="I72" s="62">
        <v>-199</v>
      </c>
      <c r="J72" s="120">
        <v>81</v>
      </c>
      <c r="K72" s="120">
        <f>299*2</f>
        <v>598</v>
      </c>
      <c r="L72" s="120"/>
      <c r="M72" s="120"/>
      <c r="N72" s="120"/>
      <c r="O72" s="120"/>
      <c r="P72" s="120"/>
      <c r="Q72" s="120"/>
      <c r="R72" s="120"/>
      <c r="S72" s="120"/>
      <c r="T72" s="120"/>
    </row>
    <row r="73" ht="21" customHeight="1">
      <c r="A73" s="73"/>
      <c r="B73" t="s" s="125">
        <v>39</v>
      </c>
      <c r="C73" s="65"/>
      <c r="D73" s="66"/>
      <c r="E73" s="68">
        <f>E72/E69</f>
        <v>0.292600135777325</v>
      </c>
      <c r="F73" s="68">
        <f>F72/F69</f>
        <v>0.465749235474006</v>
      </c>
      <c r="G73" s="68">
        <f>G72/G69</f>
        <v>0.163128491620112</v>
      </c>
      <c r="H73" s="68">
        <f>H72/H69</f>
        <v>0.163572503763171</v>
      </c>
      <c r="I73" s="68">
        <f>I72/I69</f>
        <v>9.47619047619048</v>
      </c>
      <c r="J73" s="68">
        <f>J72/J69</f>
        <v>0.050625</v>
      </c>
      <c r="K73" s="68">
        <v>0.17</v>
      </c>
      <c r="L73" s="68"/>
      <c r="M73" s="68"/>
      <c r="N73" s="68"/>
      <c r="O73" s="68"/>
      <c r="P73" s="68"/>
      <c r="Q73" s="68"/>
      <c r="R73" s="68"/>
      <c r="S73" s="68"/>
      <c r="T73" s="66"/>
    </row>
    <row r="74" ht="21" customHeight="1">
      <c r="A74" s="80"/>
      <c r="B74" s="49"/>
      <c r="C74" s="28"/>
      <c r="D74" s="11"/>
      <c r="E74" s="126"/>
      <c r="F74" s="126"/>
      <c r="G74" s="126"/>
      <c r="H74" s="126"/>
      <c r="I74" s="126"/>
      <c r="J74" s="126"/>
      <c r="K74" s="126"/>
      <c r="L74" s="126"/>
      <c r="M74" s="126"/>
      <c r="N74" s="126"/>
      <c r="O74" s="126"/>
      <c r="P74" s="126"/>
      <c r="Q74" s="126"/>
      <c r="R74" s="126"/>
      <c r="S74" s="126"/>
      <c r="T74" s="11"/>
    </row>
    <row r="75" ht="21" customHeight="1">
      <c r="A75" t="s" s="127">
        <v>13</v>
      </c>
      <c r="B75" t="s" s="128">
        <v>40</v>
      </c>
      <c r="C75" s="31"/>
      <c r="D75" s="32"/>
      <c r="E75" s="59">
        <v>2016</v>
      </c>
      <c r="F75" s="59">
        <v>2017</v>
      </c>
      <c r="G75" s="59">
        <v>2018</v>
      </c>
      <c r="H75" s="59">
        <v>2019</v>
      </c>
      <c r="I75" s="59">
        <v>2020</v>
      </c>
      <c r="J75" s="59">
        <v>2021</v>
      </c>
      <c r="K75" s="59">
        <v>2022</v>
      </c>
      <c r="L75" s="117"/>
      <c r="M75" s="117"/>
      <c r="N75" s="117"/>
      <c r="O75" s="126"/>
      <c r="P75" s="126"/>
      <c r="Q75" s="126"/>
      <c r="R75" s="126"/>
      <c r="S75" s="126"/>
      <c r="T75" s="126"/>
    </row>
    <row r="76" ht="21" customHeight="1">
      <c r="A76" s="121"/>
      <c r="B76" s="122"/>
      <c r="C76" s="28"/>
      <c r="D76" s="11"/>
      <c r="E76" s="126"/>
      <c r="F76" s="126"/>
      <c r="G76" s="126"/>
      <c r="H76" s="126"/>
      <c r="I76" s="126"/>
      <c r="J76" s="126"/>
      <c r="K76" s="126"/>
      <c r="L76" s="126"/>
      <c r="M76" s="126"/>
      <c r="N76" s="126"/>
      <c r="O76" s="126"/>
      <c r="P76" s="126"/>
      <c r="Q76" s="126"/>
      <c r="R76" s="126"/>
      <c r="S76" s="126"/>
      <c r="T76" s="11"/>
    </row>
    <row r="77" ht="21" customHeight="1">
      <c r="A77" s="80"/>
      <c r="B77" t="s" s="81">
        <v>41</v>
      </c>
      <c r="C77" s="28"/>
      <c r="D77" s="11"/>
      <c r="E77" s="124">
        <v>119</v>
      </c>
      <c r="F77" s="124">
        <v>229</v>
      </c>
      <c r="G77" s="124">
        <v>226</v>
      </c>
      <c r="H77" s="124">
        <v>341</v>
      </c>
      <c r="I77" s="124">
        <v>346</v>
      </c>
      <c r="J77" s="124">
        <v>220</v>
      </c>
      <c r="K77" s="120">
        <f>97*2</f>
        <v>194</v>
      </c>
      <c r="L77" s="120"/>
      <c r="M77" s="120"/>
      <c r="N77" s="120"/>
      <c r="O77" s="120"/>
      <c r="P77" s="126"/>
      <c r="Q77" s="126"/>
      <c r="R77" s="126"/>
      <c r="S77" s="126"/>
      <c r="T77" s="11"/>
    </row>
    <row r="78" ht="21" customHeight="1">
      <c r="A78" s="129"/>
      <c r="B78" t="s" s="130">
        <v>42</v>
      </c>
      <c r="C78" s="65"/>
      <c r="D78" s="66"/>
      <c r="E78" s="68">
        <f>E77/E66</f>
        <v>0.00772376192639709</v>
      </c>
      <c r="F78" s="68">
        <f>F77/F66</f>
        <v>0.0111969489536476</v>
      </c>
      <c r="G78" s="68">
        <f>G77/G66</f>
        <v>0.0108873687253107</v>
      </c>
      <c r="H78" s="68">
        <f>H77/H66</f>
        <v>0.0162597749380126</v>
      </c>
      <c r="I78" s="68">
        <f>I77/I66</f>
        <v>0.0327310566644594</v>
      </c>
      <c r="J78" s="68">
        <f>J77/J66</f>
        <v>0.0158764523345602</v>
      </c>
      <c r="K78" s="68">
        <f>K77/K66</f>
        <v>0.0101709132851001</v>
      </c>
      <c r="L78" s="68"/>
      <c r="M78" s="68"/>
      <c r="N78" s="68"/>
      <c r="O78" s="68"/>
      <c r="P78" s="68"/>
      <c r="Q78" s="68"/>
      <c r="R78" s="68"/>
      <c r="S78" s="68"/>
      <c r="T78" s="66"/>
    </row>
    <row r="79" ht="21" customHeight="1">
      <c r="A79" s="129"/>
      <c r="B79" t="s" s="130">
        <v>43</v>
      </c>
      <c r="C79" s="65"/>
      <c r="D79" s="66"/>
      <c r="E79" s="68">
        <f>E77/E81</f>
        <v>0.597989949748744</v>
      </c>
      <c r="F79" s="68">
        <f>F77/F81</f>
        <v>0.9541666666666671</v>
      </c>
      <c r="G79" s="68">
        <f>G77/G81</f>
        <v>0.406474820143885</v>
      </c>
      <c r="H79" s="68">
        <f>H77/H81</f>
        <v>0.522205206738132</v>
      </c>
      <c r="I79" s="68">
        <f>I77/I81</f>
        <v>2.56296296296296</v>
      </c>
      <c r="J79" s="68">
        <f>J77/J81</f>
        <v>1.20218579234973</v>
      </c>
      <c r="K79" s="68">
        <f>K77/K81</f>
        <v>0.8151260504201679</v>
      </c>
      <c r="L79" s="68"/>
      <c r="M79" s="68"/>
      <c r="N79" s="68"/>
      <c r="O79" s="68"/>
      <c r="P79" s="68"/>
      <c r="Q79" s="68"/>
      <c r="R79" s="68"/>
      <c r="S79" s="68"/>
      <c r="T79" s="66"/>
    </row>
    <row r="80" ht="21" customHeight="1">
      <c r="A80" s="80"/>
      <c r="B80" s="49"/>
      <c r="C80" s="28"/>
      <c r="D80" s="11"/>
      <c r="E80" s="126"/>
      <c r="F80" s="126"/>
      <c r="G80" s="126"/>
      <c r="H80" s="126"/>
      <c r="I80" s="126"/>
      <c r="J80" s="126"/>
      <c r="K80" s="126"/>
      <c r="L80" s="126"/>
      <c r="M80" s="126"/>
      <c r="N80" s="126"/>
      <c r="O80" s="126"/>
      <c r="P80" s="126"/>
      <c r="Q80" s="126"/>
      <c r="R80" s="126"/>
      <c r="S80" s="126"/>
      <c r="T80" s="11"/>
    </row>
    <row r="81" ht="21" customHeight="1">
      <c r="A81" s="80"/>
      <c r="B81" t="s" s="81">
        <v>44</v>
      </c>
      <c r="C81" s="28"/>
      <c r="D81" s="11"/>
      <c r="E81" s="124">
        <v>199</v>
      </c>
      <c r="F81" s="124">
        <v>240</v>
      </c>
      <c r="G81" s="124">
        <v>556</v>
      </c>
      <c r="H81" s="124">
        <v>653</v>
      </c>
      <c r="I81" s="124">
        <v>135</v>
      </c>
      <c r="J81" s="124">
        <v>183</v>
      </c>
      <c r="K81" s="120">
        <f>119*2</f>
        <v>238</v>
      </c>
      <c r="L81" s="120"/>
      <c r="M81" s="120"/>
      <c r="N81" s="120"/>
      <c r="O81" s="126"/>
      <c r="P81" s="126"/>
      <c r="Q81" s="126"/>
      <c r="R81" s="126"/>
      <c r="S81" s="126"/>
      <c r="T81" s="11"/>
    </row>
    <row r="82" ht="21" customHeight="1">
      <c r="A82" s="129"/>
      <c r="B82" t="s" s="130">
        <v>37</v>
      </c>
      <c r="C82" s="65"/>
      <c r="D82" s="66"/>
      <c r="E82" s="68">
        <f>E81/E66</f>
        <v>0.012916206918933</v>
      </c>
      <c r="F82" s="68">
        <f>F81/F66</f>
        <v>0.0117347936632114</v>
      </c>
      <c r="G82" s="68">
        <f>G81/G66</f>
        <v>0.0267848540321804</v>
      </c>
      <c r="H82" s="68">
        <f>H81/H66</f>
        <v>0.0311367537669273</v>
      </c>
      <c r="I82" s="68">
        <f>I81/I66</f>
        <v>0.0127707880049191</v>
      </c>
      <c r="J82" s="68">
        <f>J81/J66</f>
        <v>0.0132063217146569</v>
      </c>
      <c r="K82" s="68">
        <f>K81/K66</f>
        <v>0.0124777183600713</v>
      </c>
      <c r="L82" s="68"/>
      <c r="M82" s="68"/>
      <c r="N82" s="68"/>
      <c r="O82" s="68"/>
      <c r="P82" s="68"/>
      <c r="Q82" s="68"/>
      <c r="R82" s="68"/>
      <c r="S82" s="68"/>
      <c r="T82" s="66"/>
    </row>
    <row r="83" ht="21" customHeight="1">
      <c r="A83" s="80"/>
      <c r="B83" s="49"/>
      <c r="C83" s="28"/>
      <c r="D83" s="11"/>
      <c r="E83" s="126"/>
      <c r="F83" s="126"/>
      <c r="G83" s="126"/>
      <c r="H83" s="126"/>
      <c r="I83" s="126"/>
      <c r="J83" s="126"/>
      <c r="K83" s="126"/>
      <c r="L83" s="126"/>
      <c r="M83" s="126"/>
      <c r="N83" s="126"/>
      <c r="O83" s="126"/>
      <c r="P83" s="126"/>
      <c r="Q83" s="126"/>
      <c r="R83" s="126"/>
      <c r="S83" s="126"/>
      <c r="T83" s="11"/>
    </row>
    <row r="84" ht="21" customHeight="1">
      <c r="A84" s="80"/>
      <c r="B84" t="s" s="81">
        <v>45</v>
      </c>
      <c r="C84" s="28"/>
      <c r="D84" s="60"/>
      <c r="E84" s="60">
        <f>3371-5147</f>
        <v>-1776</v>
      </c>
      <c r="F84" s="60">
        <f>2740-5807</f>
        <v>-3067</v>
      </c>
      <c r="G84" s="60">
        <f>2706-6437</f>
        <v>-3731</v>
      </c>
      <c r="H84" s="60">
        <f>3127-6677</f>
        <v>-3550</v>
      </c>
      <c r="I84" s="60">
        <f>2825-5752</f>
        <v>-2927</v>
      </c>
      <c r="J84" s="60">
        <f>3626-6407</f>
        <v>-2781</v>
      </c>
      <c r="K84" s="60">
        <f>3106-6853</f>
        <v>-3747</v>
      </c>
      <c r="L84" s="126"/>
      <c r="M84" s="126"/>
      <c r="N84" s="126"/>
      <c r="O84" s="126"/>
      <c r="P84" s="126"/>
      <c r="Q84" s="126"/>
      <c r="R84" s="126"/>
      <c r="S84" s="126"/>
      <c r="T84" s="11"/>
    </row>
    <row r="85" ht="21" customHeight="1">
      <c r="A85" s="80"/>
      <c r="B85" s="49"/>
      <c r="C85" s="28"/>
      <c r="D85" s="11"/>
      <c r="E85" s="126"/>
      <c r="F85" s="126"/>
      <c r="G85" s="126"/>
      <c r="H85" s="126"/>
      <c r="I85" s="126"/>
      <c r="J85" s="126"/>
      <c r="K85" s="126"/>
      <c r="L85" s="126"/>
      <c r="M85" s="126"/>
      <c r="N85" s="126"/>
      <c r="O85" s="126"/>
      <c r="P85" s="126"/>
      <c r="Q85" s="126"/>
      <c r="R85" s="126"/>
      <c r="S85" s="126"/>
      <c r="T85" s="11"/>
    </row>
    <row r="86" ht="21" customHeight="1">
      <c r="A86" s="80"/>
      <c r="B86" t="s" s="81">
        <v>46</v>
      </c>
      <c r="C86" s="28"/>
      <c r="D86" s="11"/>
      <c r="E86" s="62">
        <f>-1849-E84</f>
        <v>-73</v>
      </c>
      <c r="F86" s="62">
        <f>E84-F84</f>
        <v>1291</v>
      </c>
      <c r="G86" s="62">
        <f>F84-G84</f>
        <v>664</v>
      </c>
      <c r="H86" s="62">
        <f>G84-H84</f>
        <v>-181</v>
      </c>
      <c r="I86" s="62">
        <f>H84-I84</f>
        <v>-623</v>
      </c>
      <c r="J86" s="62">
        <f>I84-J84</f>
        <v>-146</v>
      </c>
      <c r="K86" s="62">
        <f>J84-K84</f>
        <v>966</v>
      </c>
      <c r="L86" s="126"/>
      <c r="M86" s="126"/>
      <c r="N86" s="126"/>
      <c r="O86" s="126"/>
      <c r="P86" s="126"/>
      <c r="Q86" s="126"/>
      <c r="R86" s="126"/>
      <c r="S86" s="126"/>
      <c r="T86" s="11"/>
    </row>
    <row r="87" ht="21" customHeight="1">
      <c r="A87" s="129"/>
      <c r="B87" t="s" s="130">
        <v>37</v>
      </c>
      <c r="C87" s="65"/>
      <c r="D87" s="66"/>
      <c r="E87" s="68">
        <f>E86/E66</f>
        <v>-0.00473810605568897</v>
      </c>
      <c r="F87" s="68">
        <f>F86/F66</f>
        <v>0.0631234109133581</v>
      </c>
      <c r="G87" s="68">
        <f>G86/G66</f>
        <v>0.0319876674053377</v>
      </c>
      <c r="H87" s="68">
        <f>H86/H66</f>
        <v>-0.00863055502574862</v>
      </c>
      <c r="I87" s="68">
        <f>I86/I66</f>
        <v>-0.0589348216819601</v>
      </c>
      <c r="J87" s="68">
        <f>J86/J66</f>
        <v>-0.0105361910947536</v>
      </c>
      <c r="K87" s="68">
        <f>K86/K66</f>
        <v>0.0506448568732306</v>
      </c>
      <c r="L87" s="68"/>
      <c r="M87" s="68"/>
      <c r="N87" s="68"/>
      <c r="O87" s="68"/>
      <c r="P87" s="68"/>
      <c r="Q87" s="68"/>
      <c r="R87" s="68"/>
      <c r="S87" s="68"/>
      <c r="T87" s="66"/>
    </row>
    <row r="88" ht="21" customHeight="1">
      <c r="A88" s="129"/>
      <c r="B88" t="s" s="130">
        <v>47</v>
      </c>
      <c r="C88" s="65"/>
      <c r="D88" s="66"/>
      <c r="E88" s="68"/>
      <c r="F88" s="68">
        <f>(F86-E86)/(F66-E66)</f>
        <v>0.270366699702676</v>
      </c>
      <c r="G88" s="68">
        <f>(G86-F86)/(G66-F66)</f>
        <v>-2.04901960784314</v>
      </c>
      <c r="H88" s="68">
        <f>(H86-G86)/(H66-G66)</f>
        <v>-3.94859813084112</v>
      </c>
      <c r="I88" s="68">
        <f>(I86-H86)/(I66-H66)</f>
        <v>0.0424959138544371</v>
      </c>
      <c r="J88" s="68">
        <f>(J86-I86)/(J66-I66)</f>
        <v>0.145161290322581</v>
      </c>
      <c r="K88" s="68">
        <f>(K86-J86)/(K66-J66)</f>
        <v>0.213149319532298</v>
      </c>
      <c r="L88" s="68"/>
      <c r="M88" s="68"/>
      <c r="N88" s="68"/>
      <c r="O88" s="68"/>
      <c r="P88" s="68"/>
      <c r="Q88" s="68"/>
      <c r="R88" s="68"/>
      <c r="S88" s="68"/>
      <c r="T88" s="66"/>
    </row>
    <row r="89" ht="21" customHeight="1">
      <c r="A89" s="80"/>
      <c r="B89" s="49"/>
      <c r="C89" s="28"/>
      <c r="D89" s="11"/>
      <c r="E89" s="60"/>
      <c r="F89" s="60"/>
      <c r="G89" s="60"/>
      <c r="H89" s="60"/>
      <c r="I89" s="60"/>
      <c r="J89" s="60"/>
      <c r="K89" s="126"/>
      <c r="L89" s="126"/>
      <c r="M89" s="126"/>
      <c r="N89" s="126"/>
      <c r="O89" s="126"/>
      <c r="P89" s="126"/>
      <c r="Q89" s="126"/>
      <c r="R89" s="126"/>
      <c r="S89" s="126"/>
      <c r="T89" s="11"/>
    </row>
    <row r="90" ht="21" customHeight="1">
      <c r="A90" s="80"/>
      <c r="B90" s="49"/>
      <c r="C90" s="28"/>
      <c r="D90" s="11"/>
      <c r="E90" s="60"/>
      <c r="F90" s="60"/>
      <c r="G90" s="60"/>
      <c r="H90" s="60"/>
      <c r="I90" s="60"/>
      <c r="J90" s="60"/>
      <c r="K90" s="60">
        <v>1</v>
      </c>
      <c r="L90" s="60">
        <v>2</v>
      </c>
      <c r="M90" s="60">
        <v>3</v>
      </c>
      <c r="N90" s="60">
        <v>4</v>
      </c>
      <c r="O90" s="60">
        <v>5</v>
      </c>
      <c r="P90" s="60">
        <v>6</v>
      </c>
      <c r="Q90" s="60">
        <v>7</v>
      </c>
      <c r="R90" s="60">
        <v>8</v>
      </c>
      <c r="S90" s="60">
        <v>9</v>
      </c>
      <c r="T90" s="60">
        <v>10</v>
      </c>
    </row>
    <row r="91" ht="21" customHeight="1">
      <c r="A91" t="s" s="127">
        <v>13</v>
      </c>
      <c r="B91" t="s" s="128">
        <v>48</v>
      </c>
      <c r="C91" s="31"/>
      <c r="D91" s="32"/>
      <c r="E91" s="59">
        <v>2016</v>
      </c>
      <c r="F91" s="59">
        <v>2017</v>
      </c>
      <c r="G91" s="59">
        <v>2018</v>
      </c>
      <c r="H91" s="59">
        <v>2019</v>
      </c>
      <c r="I91" s="59">
        <v>2020</v>
      </c>
      <c r="J91" s="59">
        <v>2021</v>
      </c>
      <c r="K91" s="59">
        <v>2022</v>
      </c>
      <c r="L91" s="59">
        <v>2023</v>
      </c>
      <c r="M91" s="59">
        <v>2024</v>
      </c>
      <c r="N91" s="59">
        <v>2025</v>
      </c>
      <c r="O91" s="59">
        <v>2026</v>
      </c>
      <c r="P91" s="59">
        <v>2027</v>
      </c>
      <c r="Q91" s="59">
        <v>2028</v>
      </c>
      <c r="R91" s="59">
        <v>2029</v>
      </c>
      <c r="S91" s="59">
        <v>2030</v>
      </c>
      <c r="T91" s="59">
        <v>2031</v>
      </c>
    </row>
    <row r="92" ht="21" customHeight="1">
      <c r="A92" s="121"/>
      <c r="B92" s="122"/>
      <c r="C92" s="28"/>
      <c r="D92" s="11"/>
      <c r="E92" s="126"/>
      <c r="F92" s="126"/>
      <c r="G92" s="126"/>
      <c r="H92" s="126"/>
      <c r="I92" s="126"/>
      <c r="J92" s="126"/>
      <c r="K92" s="126"/>
      <c r="L92" s="126"/>
      <c r="M92" s="126"/>
      <c r="N92" s="126"/>
      <c r="O92" s="126"/>
      <c r="P92" s="126"/>
      <c r="Q92" s="126"/>
      <c r="R92" s="126"/>
      <c r="S92" s="126"/>
      <c r="T92" s="11"/>
    </row>
    <row r="93" ht="21" customHeight="1">
      <c r="A93" s="8"/>
      <c r="B93" t="s" s="123">
        <v>36</v>
      </c>
      <c r="C93" s="28"/>
      <c r="D93" s="11"/>
      <c r="E93" s="118">
        <f>E61</f>
        <v>15407</v>
      </c>
      <c r="F93" s="118">
        <f>F61</f>
        <v>20452</v>
      </c>
      <c r="G93" s="118">
        <f>G61</f>
        <v>20758</v>
      </c>
      <c r="H93" s="118">
        <f>H61</f>
        <v>20972</v>
      </c>
      <c r="I93" s="118">
        <f>I61</f>
        <v>10571</v>
      </c>
      <c r="J93" s="118">
        <f>J61</f>
        <v>13857</v>
      </c>
      <c r="K93" s="118">
        <f>K61</f>
        <v>19074</v>
      </c>
      <c r="L93" s="118">
        <f>L61</f>
        <v>25590.6775220063</v>
      </c>
      <c r="M93" s="118">
        <f>M61</f>
        <v>33485.2708541824</v>
      </c>
      <c r="N93" s="118">
        <f>N61</f>
        <v>42663.8069781704</v>
      </c>
      <c r="O93" s="118">
        <f>O61</f>
        <v>52804.4267548073</v>
      </c>
      <c r="P93" s="118">
        <f>P61</f>
        <v>63287.5861031085</v>
      </c>
      <c r="Q93" s="118">
        <f>Q61</f>
        <v>73177.3201026868</v>
      </c>
      <c r="R93" s="118">
        <f>R61</f>
        <v>81308.4278266395</v>
      </c>
      <c r="S93" s="118">
        <f>S61</f>
        <v>86511.4799684774</v>
      </c>
      <c r="T93" s="118">
        <f>T61</f>
        <v>87935.8402940331</v>
      </c>
    </row>
    <row r="94" ht="21" customHeight="1">
      <c r="A94" s="121"/>
      <c r="B94" t="s" s="64">
        <v>30</v>
      </c>
      <c r="C94" s="28"/>
      <c r="D94" s="11"/>
      <c r="E94" s="126"/>
      <c r="F94" s="68">
        <f>F93/E93-1</f>
        <v>0.327448562341793</v>
      </c>
      <c r="G94" s="68">
        <f>G93/F93-1</f>
        <v>0.0149618619205946</v>
      </c>
      <c r="H94" s="68">
        <f>H93/G93-1</f>
        <v>0.0103092783505155</v>
      </c>
      <c r="I94" s="68">
        <f>I93/H93-1</f>
        <v>-0.49594697692161</v>
      </c>
      <c r="J94" s="68">
        <f>J93/I93-1</f>
        <v>0.310850439882698</v>
      </c>
      <c r="K94" s="68">
        <f>K93/J93-1</f>
        <v>0.376488417406365</v>
      </c>
      <c r="L94" s="68">
        <f>L93/K93-1</f>
        <v>0.341652381357151</v>
      </c>
      <c r="M94" s="68">
        <f>M93/L93-1</f>
        <v>0.308494893321494</v>
      </c>
      <c r="N94" s="68">
        <f>N93/M93-1</f>
        <v>0.274106671078086</v>
      </c>
      <c r="O94" s="68">
        <f>O93/N93-1</f>
        <v>0.237686706716667</v>
      </c>
      <c r="P94" s="68">
        <f>P93/O93-1</f>
        <v>0.198528040025485</v>
      </c>
      <c r="Q94" s="68">
        <f>Q93/P93-1</f>
        <v>0.156266569931517</v>
      </c>
      <c r="R94" s="68">
        <f>R93/Q93-1</f>
        <v>0.111115133931424</v>
      </c>
      <c r="S94" s="68">
        <f>S93/R93-1</f>
        <v>0.0639915477511324</v>
      </c>
      <c r="T94" s="68">
        <f>T93/S93-1</f>
        <v>0.0164644082620561</v>
      </c>
    </row>
    <row r="95" ht="21" customHeight="1">
      <c r="A95" s="80"/>
      <c r="B95" s="122"/>
      <c r="C95" s="28"/>
      <c r="D95" s="11"/>
      <c r="E95" s="126"/>
      <c r="F95" s="126"/>
      <c r="G95" s="126"/>
      <c r="H95" s="126"/>
      <c r="I95" s="126"/>
      <c r="J95" s="126"/>
      <c r="K95" s="126"/>
      <c r="L95" s="126"/>
      <c r="M95" s="126"/>
      <c r="N95" s="126"/>
      <c r="O95" s="126"/>
      <c r="P95" s="126"/>
      <c r="Q95" s="126"/>
      <c r="R95" s="126"/>
      <c r="S95" s="126"/>
      <c r="T95" s="11"/>
    </row>
    <row r="96" ht="21" customHeight="1">
      <c r="A96" s="8"/>
      <c r="B96" t="s" s="123">
        <v>25</v>
      </c>
      <c r="C96" s="28"/>
      <c r="D96" s="11"/>
      <c r="E96" s="131">
        <f>E69</f>
        <v>1473</v>
      </c>
      <c r="F96" s="131">
        <f>F69</f>
        <v>3270</v>
      </c>
      <c r="G96" s="131">
        <f>G69</f>
        <v>2685</v>
      </c>
      <c r="H96" s="131">
        <f>H69</f>
        <v>1993</v>
      </c>
      <c r="I96" s="131">
        <f>I69</f>
        <v>-21</v>
      </c>
      <c r="J96" s="131">
        <f>J69</f>
        <v>1600</v>
      </c>
      <c r="K96" s="131">
        <f>K69</f>
        <v>3084</v>
      </c>
      <c r="L96" s="131">
        <f>L93*L97</f>
        <v>3780.390685604830</v>
      </c>
      <c r="M96" s="131">
        <f>M93*M97</f>
        <v>4479.142140564770</v>
      </c>
      <c r="N96" s="131">
        <f>N93*N97</f>
        <v>5111.285793151910</v>
      </c>
      <c r="O96" s="131">
        <f>O93*O97</f>
        <v>5588.980651879150</v>
      </c>
      <c r="P96" s="131">
        <f>P93*P97</f>
        <v>5815.007346116660</v>
      </c>
      <c r="Q96" s="131">
        <f>Q93*Q97</f>
        <v>5702.087733858710</v>
      </c>
      <c r="R96" s="131">
        <f>R93*R97</f>
        <v>5200.548683713560</v>
      </c>
      <c r="S96" s="131">
        <f>S93*S97</f>
        <v>4325.573998423870</v>
      </c>
      <c r="T96" s="131">
        <f>T93*T97</f>
        <v>4396.792014701660</v>
      </c>
    </row>
    <row r="97" ht="21.5" customHeight="1">
      <c r="A97" s="73"/>
      <c r="B97" t="s" s="64">
        <v>37</v>
      </c>
      <c r="C97" s="65"/>
      <c r="D97" s="66"/>
      <c r="E97" s="68">
        <f>E96/E93</f>
        <v>0.09560589342506649</v>
      </c>
      <c r="F97" s="68">
        <f>F96/F93</f>
        <v>0.159886563661256</v>
      </c>
      <c r="G97" s="68">
        <f>G96/G93</f>
        <v>0.129347721360439</v>
      </c>
      <c r="H97" s="68">
        <f>H96/H93</f>
        <v>0.0950314705321381</v>
      </c>
      <c r="I97" s="68">
        <f>I96/I93</f>
        <v>-0.00198656702298742</v>
      </c>
      <c r="J97" s="68">
        <f>J96/J93</f>
        <v>0.11546510788771</v>
      </c>
      <c r="K97" s="69">
        <f>K96/K93</f>
        <v>0.161686064800252</v>
      </c>
      <c r="L97" s="69">
        <f>OFFSET(L97,$C$16,0)</f>
        <v>0.147725306700221</v>
      </c>
      <c r="M97" s="69">
        <f>OFFSET(M97,$C$16,0)</f>
        <v>0.133764548600189</v>
      </c>
      <c r="N97" s="69">
        <f>OFFSET(N97,$C$16,0)</f>
        <v>0.119803790500158</v>
      </c>
      <c r="O97" s="69">
        <f>OFFSET(O97,$C$16,0)</f>
        <v>0.105843032400126</v>
      </c>
      <c r="P97" s="69">
        <f>OFFSET(P97,$C$16,0)</f>
        <v>0.0918822743000945</v>
      </c>
      <c r="Q97" s="69">
        <f>OFFSET(Q97,$C$16,0)</f>
        <v>0.077921516200063</v>
      </c>
      <c r="R97" s="69">
        <f>OFFSET(R97,$C$16,0)</f>
        <v>0.0639607581000315</v>
      </c>
      <c r="S97" s="69">
        <f>OFFSET(S97,$C$16,0)</f>
        <v>0.05</v>
      </c>
      <c r="T97" s="69">
        <f>OFFSET(T97,$C$16,0)</f>
        <v>0.05</v>
      </c>
    </row>
    <row r="98" ht="22" customHeight="1">
      <c r="A98" s="8"/>
      <c r="B98" t="s" s="34">
        <v>31</v>
      </c>
      <c r="C98" s="28"/>
      <c r="D98" s="11"/>
      <c r="E98" s="62"/>
      <c r="F98" s="62"/>
      <c r="G98" s="62"/>
      <c r="H98" s="62"/>
      <c r="I98" s="62"/>
      <c r="J98" s="70"/>
      <c r="K98" s="71">
        <f>K99</f>
        <v>0.161686064800252</v>
      </c>
      <c r="L98" s="71">
        <f>L99*$E$16</f>
        <v>0.132952776030199</v>
      </c>
      <c r="M98" s="71">
        <f>M99*$E$16</f>
        <v>0.12038809374017</v>
      </c>
      <c r="N98" s="71">
        <f>N99*$E$16</f>
        <v>0.107823411450142</v>
      </c>
      <c r="O98" s="71">
        <f>O99*$E$16</f>
        <v>0.0952587291601134</v>
      </c>
      <c r="P98" s="71">
        <f>P99*$E$16</f>
        <v>0.08269404687008509</v>
      </c>
      <c r="Q98" s="71">
        <f>Q99*$E$16</f>
        <v>0.0701293645800567</v>
      </c>
      <c r="R98" s="71">
        <f>R99*$E$16</f>
        <v>0.0575646822900284</v>
      </c>
      <c r="S98" s="71">
        <f>S99*$E$16</f>
        <v>0.045</v>
      </c>
      <c r="T98" s="71">
        <f>T99*$E$16</f>
        <v>0.045</v>
      </c>
    </row>
    <row r="99" ht="22" customHeight="1">
      <c r="A99" s="13"/>
      <c r="B99" t="s" s="34">
        <v>32</v>
      </c>
      <c r="C99" s="28"/>
      <c r="D99" s="11"/>
      <c r="E99" s="62"/>
      <c r="F99" s="62"/>
      <c r="G99" s="62"/>
      <c r="H99" s="62"/>
      <c r="I99" s="62"/>
      <c r="J99" s="70"/>
      <c r="K99" s="71">
        <f>K97</f>
        <v>0.161686064800252</v>
      </c>
      <c r="L99" s="71">
        <f>K99-(K99-$T$99)/($T$91-L91)</f>
        <v>0.147725306700221</v>
      </c>
      <c r="M99" s="71">
        <f>L99-(L99-$T$99)/($T$91-M91)</f>
        <v>0.133764548600189</v>
      </c>
      <c r="N99" s="71">
        <f>M99-(M99-$T$99)/($T$91-N91)</f>
        <v>0.119803790500158</v>
      </c>
      <c r="O99" s="71">
        <f>N99-(N99-$T$99)/($T$91-O91)</f>
        <v>0.105843032400126</v>
      </c>
      <c r="P99" s="71">
        <f>O99-(O99-$T$99)/($T$91-P91)</f>
        <v>0.0918822743000945</v>
      </c>
      <c r="Q99" s="71">
        <f>P99-(P99-$T$99)/($T$91-Q91)</f>
        <v>0.077921516200063</v>
      </c>
      <c r="R99" s="71">
        <f>Q99-(Q99-$T$99)/($T$91-R91)</f>
        <v>0.0639607581000315</v>
      </c>
      <c r="S99" s="71">
        <f>R99-(R99-$T$99)/($T$91-S91)</f>
        <v>0.05</v>
      </c>
      <c r="T99" s="71">
        <f>G16</f>
        <v>0.05</v>
      </c>
    </row>
    <row r="100" ht="22" customHeight="1">
      <c r="A100" s="13"/>
      <c r="B100" t="s" s="34">
        <v>33</v>
      </c>
      <c r="C100" s="28"/>
      <c r="D100" s="11"/>
      <c r="E100" s="62"/>
      <c r="F100" s="62"/>
      <c r="G100" s="62"/>
      <c r="H100" s="62"/>
      <c r="I100" s="62"/>
      <c r="J100" s="70"/>
      <c r="K100" s="72">
        <f>K99</f>
        <v>0.161686064800252</v>
      </c>
      <c r="L100" s="72">
        <f>L99*$I$16</f>
        <v>0.162497837370243</v>
      </c>
      <c r="M100" s="72">
        <f>M99*$I$16</f>
        <v>0.147141003460208</v>
      </c>
      <c r="N100" s="72">
        <f>N99*$I$16</f>
        <v>0.131784169550174</v>
      </c>
      <c r="O100" s="72">
        <f>O99*$I$16</f>
        <v>0.116427335640139</v>
      </c>
      <c r="P100" s="72">
        <f>P99*$I$16</f>
        <v>0.101070501730104</v>
      </c>
      <c r="Q100" s="72">
        <f>Q99*$I$16</f>
        <v>0.0857136678200693</v>
      </c>
      <c r="R100" s="72">
        <f>R99*$I$16</f>
        <v>0.07035683391003469</v>
      </c>
      <c r="S100" s="72">
        <f>S99*$I$16</f>
        <v>0.055</v>
      </c>
      <c r="T100" s="72">
        <f>T99*$I$16</f>
        <v>0.055</v>
      </c>
    </row>
    <row r="101" ht="21.5" customHeight="1">
      <c r="A101" s="121"/>
      <c r="B101" s="122"/>
      <c r="C101" s="28"/>
      <c r="D101" s="11"/>
      <c r="E101" s="126"/>
      <c r="F101" s="126"/>
      <c r="G101" s="126"/>
      <c r="H101" s="126"/>
      <c r="I101" s="126"/>
      <c r="J101" s="126"/>
      <c r="K101" s="132"/>
      <c r="L101" s="132"/>
      <c r="M101" s="132"/>
      <c r="N101" s="132"/>
      <c r="O101" s="132"/>
      <c r="P101" s="132"/>
      <c r="Q101" s="132"/>
      <c r="R101" s="132"/>
      <c r="S101" s="132"/>
      <c r="T101" s="27"/>
    </row>
    <row r="102" ht="21" customHeight="1">
      <c r="A102" s="80"/>
      <c r="B102" t="s" s="123">
        <v>38</v>
      </c>
      <c r="C102" s="28"/>
      <c r="D102" s="11"/>
      <c r="E102" s="131">
        <f>E72</f>
        <v>431</v>
      </c>
      <c r="F102" s="131">
        <f>F72</f>
        <v>1523</v>
      </c>
      <c r="G102" s="131">
        <f>G72</f>
        <v>438</v>
      </c>
      <c r="H102" s="131">
        <f>H72</f>
        <v>326</v>
      </c>
      <c r="I102" s="131">
        <f>I72</f>
        <v>-199</v>
      </c>
      <c r="J102" s="131">
        <f>J72</f>
        <v>81</v>
      </c>
      <c r="K102" s="131">
        <f>K72</f>
        <v>598</v>
      </c>
      <c r="L102" s="120">
        <f>L96*L103</f>
        <v>733.032953953207</v>
      </c>
      <c r="M102" s="120">
        <f>M96*M103</f>
        <v>868.523670576438</v>
      </c>
      <c r="N102" s="120">
        <f>N96*N103</f>
        <v>991.098866506111</v>
      </c>
      <c r="O102" s="120">
        <f>O96*O103</f>
        <v>1083.725820306010</v>
      </c>
      <c r="P102" s="120">
        <f>P96*P103</f>
        <v>1127.553305116010</v>
      </c>
      <c r="Q102" s="120">
        <f>Q96*Q103</f>
        <v>1105.6577382774</v>
      </c>
      <c r="R102" s="120">
        <f>R96*R103</f>
        <v>1008.407299889980</v>
      </c>
      <c r="S102" s="120">
        <f>S96*S103</f>
        <v>838.746190355862</v>
      </c>
      <c r="T102" s="120">
        <f>T96*T103</f>
        <v>852.555650062126</v>
      </c>
    </row>
    <row r="103" ht="21" customHeight="1">
      <c r="A103" s="129"/>
      <c r="B103" t="s" s="125">
        <v>39</v>
      </c>
      <c r="C103" s="65"/>
      <c r="D103" s="66"/>
      <c r="E103" s="68">
        <f>E102/E96</f>
        <v>0.292600135777325</v>
      </c>
      <c r="F103" s="68">
        <f>F102/F96</f>
        <v>0.465749235474006</v>
      </c>
      <c r="G103" s="68">
        <f>G102/G96</f>
        <v>0.163128491620112</v>
      </c>
      <c r="H103" s="68">
        <f>H102/H96</f>
        <v>0.163572503763171</v>
      </c>
      <c r="I103" s="68">
        <f>I102/I96</f>
        <v>9.47619047619048</v>
      </c>
      <c r="J103" s="68">
        <f>J102/J96</f>
        <v>0.050625</v>
      </c>
      <c r="K103" s="68">
        <f>K102/K96</f>
        <v>0.19390402075227</v>
      </c>
      <c r="L103" s="68">
        <f>K103</f>
        <v>0.19390402075227</v>
      </c>
      <c r="M103" s="68">
        <f>L103</f>
        <v>0.19390402075227</v>
      </c>
      <c r="N103" s="68">
        <f>M103</f>
        <v>0.19390402075227</v>
      </c>
      <c r="O103" s="68">
        <f>N103</f>
        <v>0.19390402075227</v>
      </c>
      <c r="P103" s="68">
        <f>O103</f>
        <v>0.19390402075227</v>
      </c>
      <c r="Q103" s="68">
        <f>P103</f>
        <v>0.19390402075227</v>
      </c>
      <c r="R103" s="68">
        <f>Q103</f>
        <v>0.19390402075227</v>
      </c>
      <c r="S103" s="68">
        <f>R103</f>
        <v>0.19390402075227</v>
      </c>
      <c r="T103" s="68">
        <f>S103</f>
        <v>0.19390402075227</v>
      </c>
    </row>
    <row r="104" ht="21.15" customHeight="1">
      <c r="A104" s="133"/>
      <c r="B104" s="134"/>
      <c r="C104" s="135"/>
      <c r="D104" s="136"/>
      <c r="E104" s="137"/>
      <c r="F104" s="137"/>
      <c r="G104" s="137"/>
      <c r="H104" s="137"/>
      <c r="I104" s="137"/>
      <c r="J104" s="137"/>
      <c r="K104" s="137"/>
      <c r="L104" s="137"/>
      <c r="M104" s="137"/>
      <c r="N104" s="137"/>
      <c r="O104" s="137"/>
      <c r="P104" s="137"/>
      <c r="Q104" s="137"/>
      <c r="R104" s="137"/>
      <c r="S104" s="137"/>
      <c r="T104" s="136"/>
    </row>
    <row r="105" ht="21.15" customHeight="1">
      <c r="A105" s="138"/>
      <c r="B105" t="s" s="139">
        <v>49</v>
      </c>
      <c r="C105" s="140"/>
      <c r="D105" s="141"/>
      <c r="E105" s="142">
        <f>E96-E102</f>
        <v>1042</v>
      </c>
      <c r="F105" s="142">
        <f>F96-F102</f>
        <v>1747</v>
      </c>
      <c r="G105" s="142">
        <f>G96-G102</f>
        <v>2247</v>
      </c>
      <c r="H105" s="142">
        <f>H96-H102</f>
        <v>1667</v>
      </c>
      <c r="I105" s="142">
        <f>I96-I102</f>
        <v>178</v>
      </c>
      <c r="J105" s="142">
        <f>J96-J102</f>
        <v>1519</v>
      </c>
      <c r="K105" s="142">
        <f>K96-K102</f>
        <v>2486</v>
      </c>
      <c r="L105" s="142">
        <f>L96-L102</f>
        <v>3047.357731651620</v>
      </c>
      <c r="M105" s="142">
        <f>M96-M102</f>
        <v>3610.618469988330</v>
      </c>
      <c r="N105" s="142">
        <f>N96-N102</f>
        <v>4120.1869266458</v>
      </c>
      <c r="O105" s="142">
        <f>O96-O102</f>
        <v>4505.254831573140</v>
      </c>
      <c r="P105" s="142">
        <f>P96-P102</f>
        <v>4687.454041000650</v>
      </c>
      <c r="Q105" s="142">
        <f>Q96-Q102</f>
        <v>4596.429995581310</v>
      </c>
      <c r="R105" s="142">
        <f>R96-R102</f>
        <v>4192.141383823580</v>
      </c>
      <c r="S105" s="142">
        <f>S96-S102</f>
        <v>3486.827808068010</v>
      </c>
      <c r="T105" s="143">
        <f>T96-T102</f>
        <v>3544.236364639530</v>
      </c>
    </row>
    <row r="106" ht="21" customHeight="1">
      <c r="A106" s="80"/>
      <c r="B106" s="49"/>
      <c r="C106" s="144"/>
      <c r="D106" s="145"/>
      <c r="E106" s="146"/>
      <c r="F106" s="146"/>
      <c r="G106" s="146"/>
      <c r="H106" s="146"/>
      <c r="I106" s="146"/>
      <c r="J106" s="146"/>
      <c r="K106" s="146"/>
      <c r="L106" s="146"/>
      <c r="M106" s="146"/>
      <c r="N106" s="146"/>
      <c r="O106" s="146"/>
      <c r="P106" s="146"/>
      <c r="Q106" s="146"/>
      <c r="R106" s="146"/>
      <c r="S106" s="146"/>
      <c r="T106" s="145"/>
    </row>
    <row r="107" ht="21.5" customHeight="1">
      <c r="A107" s="80"/>
      <c r="B107" t="s" s="81">
        <v>41</v>
      </c>
      <c r="C107" s="28"/>
      <c r="D107" s="11"/>
      <c r="E107" s="118">
        <f>E77</f>
        <v>119</v>
      </c>
      <c r="F107" s="118">
        <f>F77</f>
        <v>229</v>
      </c>
      <c r="G107" s="118">
        <f>G77</f>
        <v>226</v>
      </c>
      <c r="H107" s="118">
        <f>H77</f>
        <v>341</v>
      </c>
      <c r="I107" s="118">
        <f>I77</f>
        <v>346</v>
      </c>
      <c r="J107" s="118">
        <f>J77</f>
        <v>220</v>
      </c>
      <c r="K107" s="118">
        <f>K77</f>
        <v>194</v>
      </c>
      <c r="L107" s="147">
        <f>L93*L108</f>
        <v>501.393216641739</v>
      </c>
      <c r="M107" s="147">
        <f>M93*M108</f>
        <v>509.424518778</v>
      </c>
      <c r="N107" s="147">
        <f>N93*N108</f>
        <v>639.631604414457</v>
      </c>
      <c r="O107" s="147">
        <f>O93*O108</f>
        <v>876.528296775313</v>
      </c>
      <c r="P107" s="147">
        <f>P93*P108</f>
        <v>987.397826380093</v>
      </c>
      <c r="Q107" s="147">
        <f>Q93*Q108</f>
        <v>1151.168402415840</v>
      </c>
      <c r="R107" s="147">
        <f>R93*R108</f>
        <v>1299.105484518160</v>
      </c>
      <c r="S107" s="147">
        <f>S93*S108</f>
        <v>1364.299906190690</v>
      </c>
      <c r="T107" s="147">
        <f>T93*T108</f>
        <v>1391.698392293550</v>
      </c>
    </row>
    <row r="108" ht="22" customHeight="1">
      <c r="A108" s="80"/>
      <c r="B108" t="s" s="88">
        <v>37</v>
      </c>
      <c r="C108" s="28"/>
      <c r="D108" s="11"/>
      <c r="E108" s="68">
        <f>E107/E93</f>
        <v>0.00772376192639709</v>
      </c>
      <c r="F108" s="68">
        <f>F107/F93</f>
        <v>0.0111969489536476</v>
      </c>
      <c r="G108" s="68">
        <f>G107/G93</f>
        <v>0.0108873687253107</v>
      </c>
      <c r="H108" s="68">
        <f>H107/H93</f>
        <v>0.0162597749380126</v>
      </c>
      <c r="I108" s="68">
        <f>I107/I93</f>
        <v>0.0327310566644594</v>
      </c>
      <c r="J108" s="68">
        <f>J107/J93</f>
        <v>0.0158764523345602</v>
      </c>
      <c r="K108" s="101">
        <f>K107/K93</f>
        <v>0.0101709132851001</v>
      </c>
      <c r="L108" s="72">
        <f>AVERAGE(K108,J108,I108)</f>
        <v>0.0195928074280399</v>
      </c>
      <c r="M108" s="72">
        <f>AVERAGE(L108,K108,J108)</f>
        <v>0.0152133910159001</v>
      </c>
      <c r="N108" s="72">
        <f>AVERAGE(M108,L108,K108)</f>
        <v>0.0149923705763467</v>
      </c>
      <c r="O108" s="72">
        <f>AVERAGE(N108,M108,L108)</f>
        <v>0.0165995230067622</v>
      </c>
      <c r="P108" s="72">
        <f>AVERAGE(O108,N108,M108)</f>
        <v>0.015601761533003</v>
      </c>
      <c r="Q108" s="72">
        <f>AVERAGE(P108,O108,N108)</f>
        <v>0.0157312183720373</v>
      </c>
      <c r="R108" s="72">
        <f>AVERAGE(Q108,P108,O108)</f>
        <v>0.0159775009706008</v>
      </c>
      <c r="S108" s="72">
        <f>AVERAGE(R108,Q108,P108)</f>
        <v>0.0157701602918804</v>
      </c>
      <c r="T108" s="72">
        <f>AVERAGE(S108,R108,Q108)</f>
        <v>0.0158262932115062</v>
      </c>
    </row>
    <row r="109" ht="21.5" customHeight="1">
      <c r="A109" s="80"/>
      <c r="B109" s="122"/>
      <c r="C109" s="28"/>
      <c r="D109" s="11"/>
      <c r="E109" s="126"/>
      <c r="F109" s="126"/>
      <c r="G109" s="126"/>
      <c r="H109" s="126"/>
      <c r="I109" s="126"/>
      <c r="J109" s="126"/>
      <c r="K109" s="126"/>
      <c r="L109" s="132"/>
      <c r="M109" s="132"/>
      <c r="N109" s="132"/>
      <c r="O109" s="132"/>
      <c r="P109" s="132"/>
      <c r="Q109" s="132"/>
      <c r="R109" s="132"/>
      <c r="S109" s="132"/>
      <c r="T109" s="27"/>
    </row>
    <row r="110" ht="21.5" customHeight="1">
      <c r="A110" s="80"/>
      <c r="B110" t="s" s="81">
        <v>44</v>
      </c>
      <c r="C110" s="28"/>
      <c r="D110" s="11"/>
      <c r="E110" s="118">
        <f>E81</f>
        <v>199</v>
      </c>
      <c r="F110" s="118">
        <f>F81</f>
        <v>240</v>
      </c>
      <c r="G110" s="118">
        <f>G81</f>
        <v>556</v>
      </c>
      <c r="H110" s="118">
        <f>H81</f>
        <v>653</v>
      </c>
      <c r="I110" s="118">
        <f>I81</f>
        <v>135</v>
      </c>
      <c r="J110" s="118">
        <f>J81</f>
        <v>183</v>
      </c>
      <c r="K110" s="118">
        <f>K81</f>
        <v>238</v>
      </c>
      <c r="L110" s="148">
        <f>L93*L111</f>
        <v>328.028368183482</v>
      </c>
      <c r="M110" s="148">
        <f>M93*M111</f>
        <v>429.753494388205</v>
      </c>
      <c r="N110" s="148">
        <f>N93*N111</f>
        <v>542.258405316929</v>
      </c>
      <c r="O110" s="148">
        <f>O93*O111</f>
        <v>675.235104751020</v>
      </c>
      <c r="P110" s="148">
        <f>P93*P111</f>
        <v>808.638359630312</v>
      </c>
      <c r="Q110" s="148">
        <f>Q93*Q111</f>
        <v>933.613524313275</v>
      </c>
      <c r="R110" s="148">
        <f>R93*R111</f>
        <v>1038.6585477159</v>
      </c>
      <c r="S110" s="148">
        <f>S93*S111</f>
        <v>1104.7441914597</v>
      </c>
      <c r="T110" s="148">
        <f>T93*T111</f>
        <v>1122.719495601230</v>
      </c>
    </row>
    <row r="111" ht="22" customHeight="1">
      <c r="A111" s="80"/>
      <c r="B111" t="s" s="88">
        <v>37</v>
      </c>
      <c r="C111" s="28"/>
      <c r="D111" s="11"/>
      <c r="E111" s="68">
        <f>E110/E93</f>
        <v>0.012916206918933</v>
      </c>
      <c r="F111" s="68">
        <f>F110/F93</f>
        <v>0.0117347936632114</v>
      </c>
      <c r="G111" s="68">
        <f>G110/G93</f>
        <v>0.0267848540321804</v>
      </c>
      <c r="H111" s="68">
        <f>H110/H93</f>
        <v>0.0311367537669273</v>
      </c>
      <c r="I111" s="68">
        <f>I110/I93</f>
        <v>0.0127707880049191</v>
      </c>
      <c r="J111" s="68">
        <f>J110/J93</f>
        <v>0.0132063217146569</v>
      </c>
      <c r="K111" s="101">
        <f>K110/K93</f>
        <v>0.0124777183600713</v>
      </c>
      <c r="L111" s="72">
        <f>AVERAGE(K111,J111,I111)</f>
        <v>0.0128182760265491</v>
      </c>
      <c r="M111" s="72">
        <f>AVERAGE(L111,K111,J111)</f>
        <v>0.0128341053670924</v>
      </c>
      <c r="N111" s="72">
        <f>AVERAGE(M111,L111,K111)</f>
        <v>0.0127100332512376</v>
      </c>
      <c r="O111" s="72">
        <f>AVERAGE(N111,M111,L111)</f>
        <v>0.012787471548293</v>
      </c>
      <c r="P111" s="72">
        <f>AVERAGE(O111,N111,M111)</f>
        <v>0.0127772033888743</v>
      </c>
      <c r="Q111" s="72">
        <f>AVERAGE(P111,O111,N111)</f>
        <v>0.0127582360628016</v>
      </c>
      <c r="R111" s="72">
        <f>AVERAGE(Q111,P111,O111)</f>
        <v>0.0127743036666563</v>
      </c>
      <c r="S111" s="72">
        <f>AVERAGE(R111,Q111,P111)</f>
        <v>0.0127699143727774</v>
      </c>
      <c r="T111" s="72">
        <f>AVERAGE(S111,R111,Q111)</f>
        <v>0.0127674847007451</v>
      </c>
    </row>
    <row r="112" ht="21.5" customHeight="1">
      <c r="A112" s="80"/>
      <c r="B112" s="122"/>
      <c r="C112" s="28"/>
      <c r="D112" s="11"/>
      <c r="E112" s="126"/>
      <c r="F112" s="126"/>
      <c r="G112" s="126"/>
      <c r="H112" s="126"/>
      <c r="I112" s="126"/>
      <c r="J112" s="126"/>
      <c r="K112" s="126"/>
      <c r="L112" s="132"/>
      <c r="M112" s="132"/>
      <c r="N112" s="132"/>
      <c r="O112" s="132"/>
      <c r="P112" s="132"/>
      <c r="Q112" s="132"/>
      <c r="R112" s="132"/>
      <c r="S112" s="132"/>
      <c r="T112" s="27"/>
    </row>
    <row r="113" ht="21.5" customHeight="1">
      <c r="A113" s="80"/>
      <c r="B113" t="s" s="81">
        <v>46</v>
      </c>
      <c r="C113" s="28"/>
      <c r="D113" s="11"/>
      <c r="E113" s="118">
        <f>E86</f>
        <v>-73</v>
      </c>
      <c r="F113" s="118">
        <f>F86</f>
        <v>1291</v>
      </c>
      <c r="G113" s="118">
        <f>G86</f>
        <v>664</v>
      </c>
      <c r="H113" s="118">
        <f>H86</f>
        <v>-181</v>
      </c>
      <c r="I113" s="118">
        <f>I86</f>
        <v>-623</v>
      </c>
      <c r="J113" s="118">
        <f>J86</f>
        <v>-146</v>
      </c>
      <c r="K113" s="118">
        <f>K86</f>
        <v>966</v>
      </c>
      <c r="L113" s="147">
        <f>L93*L114</f>
        <v>23.1900492092548</v>
      </c>
      <c r="M113" s="147">
        <f>M93*M114</f>
        <v>-177.810268252826</v>
      </c>
      <c r="N113" s="147">
        <f>N93*N114</f>
        <v>-198.216632013928</v>
      </c>
      <c r="O113" s="148">
        <f>O93*O114</f>
        <v>328.007786369992</v>
      </c>
      <c r="P113" s="148">
        <f>P93*P114</f>
        <v>605.113855394955</v>
      </c>
      <c r="Q113" s="147">
        <f>Q93*Q114</f>
        <v>98.39652580124159</v>
      </c>
      <c r="R113" s="148">
        <f>R93*R114</f>
        <v>116.459644827916</v>
      </c>
      <c r="S113" s="148">
        <f>S93*S114</f>
        <v>240.571483200016</v>
      </c>
      <c r="T113" s="148">
        <f>T93*T114</f>
        <v>375.149044247509</v>
      </c>
    </row>
    <row r="114" ht="22" customHeight="1">
      <c r="A114" s="80"/>
      <c r="B114" t="s" s="130">
        <v>37</v>
      </c>
      <c r="C114" s="28"/>
      <c r="D114" s="11"/>
      <c r="E114" s="126">
        <f>E113/E93</f>
        <v>-0.00473810605568897</v>
      </c>
      <c r="F114" s="126">
        <f>F113/F93</f>
        <v>0.0631234109133581</v>
      </c>
      <c r="G114" s="126">
        <f>G113/G93</f>
        <v>0.0319876674053377</v>
      </c>
      <c r="H114" s="126">
        <f>H113/H93</f>
        <v>-0.00863055502574862</v>
      </c>
      <c r="I114" s="126">
        <f>I113/I93</f>
        <v>-0.0589348216819601</v>
      </c>
      <c r="J114" s="126">
        <f>J113/J93</f>
        <v>-0.0105361910947536</v>
      </c>
      <c r="K114" s="149">
        <f>K113/K93</f>
        <v>0.0506448568732306</v>
      </c>
      <c r="L114" s="72">
        <f>AVERAGE(K114,J114,I114,H114,G114)</f>
        <v>0.000906191295221196</v>
      </c>
      <c r="M114" s="72">
        <f>AVERAGE(L114,K114,J114,I114,H114)</f>
        <v>-0.0053101039268021</v>
      </c>
      <c r="N114" s="72">
        <f>AVERAGE(M114,L114,K114,J114,I114)</f>
        <v>-0.0046460137070128</v>
      </c>
      <c r="O114" s="72">
        <f>AVERAGE(N114,M114,L114,K114,J114)</f>
        <v>0.00621174788797666</v>
      </c>
      <c r="P114" s="72">
        <f>AVERAGE(O114,N114,M114,L114,K114)</f>
        <v>0.00956133568452271</v>
      </c>
      <c r="Q114" s="72">
        <f>AVERAGE(P114,O114,N114,M114,L114)</f>
        <v>0.00134463144678113</v>
      </c>
      <c r="R114" s="72">
        <f>AVERAGE(Q114,P114,O114,N114,M114)</f>
        <v>0.00143231947709312</v>
      </c>
      <c r="S114" s="72">
        <f>AVERAGE(R114,Q114,P114,O114,N114)</f>
        <v>0.00278080415787216</v>
      </c>
      <c r="T114" s="72">
        <f>AVERAGE(S114,R114,Q114,P114,O114)</f>
        <v>0.00426616773084916</v>
      </c>
    </row>
    <row r="115" ht="21.65" customHeight="1">
      <c r="A115" s="133"/>
      <c r="B115" s="134"/>
      <c r="C115" s="135"/>
      <c r="D115" s="136"/>
      <c r="E115" s="137"/>
      <c r="F115" s="137"/>
      <c r="G115" s="137"/>
      <c r="H115" s="137"/>
      <c r="I115" s="137"/>
      <c r="J115" s="137"/>
      <c r="K115" s="137"/>
      <c r="L115" s="150"/>
      <c r="M115" s="150"/>
      <c r="N115" s="150"/>
      <c r="O115" s="150"/>
      <c r="P115" s="150"/>
      <c r="Q115" s="150"/>
      <c r="R115" s="150"/>
      <c r="S115" s="150"/>
      <c r="T115" s="151"/>
    </row>
    <row r="116" ht="21.15" customHeight="1">
      <c r="A116" s="152"/>
      <c r="B116" t="s" s="139">
        <v>50</v>
      </c>
      <c r="C116" s="153"/>
      <c r="D116" s="154"/>
      <c r="E116" s="155"/>
      <c r="F116" s="155"/>
      <c r="G116" s="155"/>
      <c r="H116" s="155"/>
      <c r="I116" s="155"/>
      <c r="J116" s="155"/>
      <c r="K116" s="115">
        <f>K105+K107-K110-K113</f>
        <v>1476</v>
      </c>
      <c r="L116" s="115">
        <f>L105+L107-L110-L113</f>
        <v>3197.532530900620</v>
      </c>
      <c r="M116" s="115">
        <f>M105+M107-M110-M113</f>
        <v>3868.099762630950</v>
      </c>
      <c r="N116" s="115">
        <f>N105+N107-N110-N113</f>
        <v>4415.776757757260</v>
      </c>
      <c r="O116" s="115">
        <f>O105+O107-O110-O113</f>
        <v>4378.540237227440</v>
      </c>
      <c r="P116" s="115">
        <f>P105+P107-P110-P113</f>
        <v>4261.099652355480</v>
      </c>
      <c r="Q116" s="115">
        <f>Q105+Q107-Q110-Q113</f>
        <v>4715.588347882630</v>
      </c>
      <c r="R116" s="115">
        <f>R105+R107-R110-R113</f>
        <v>4336.128675797920</v>
      </c>
      <c r="S116" s="115">
        <f>S105+S107-S110-S113</f>
        <v>3505.812039598980</v>
      </c>
      <c r="T116" s="115">
        <f>T105+T107-T110-T113</f>
        <v>3438.066217084340</v>
      </c>
    </row>
    <row r="117" ht="21.15" customHeight="1">
      <c r="A117" s="133"/>
      <c r="B117" t="s" s="156">
        <v>51</v>
      </c>
      <c r="C117" s="135"/>
      <c r="D117" s="136"/>
      <c r="E117" s="137"/>
      <c r="F117" s="137"/>
      <c r="G117" s="137"/>
      <c r="H117" s="137"/>
      <c r="I117" s="137"/>
      <c r="J117" s="137"/>
      <c r="K117" s="157">
        <f>K116/(1+$C$20)^K90</f>
        <v>1343.525227930450</v>
      </c>
      <c r="L117" s="157">
        <f>L116/(1+$C$20)^L90</f>
        <v>2649.316889567930</v>
      </c>
      <c r="M117" s="157">
        <f>M116/(1+$C$20)^M90</f>
        <v>2917.266274798650</v>
      </c>
      <c r="N117" s="157">
        <f>N116/(1+$C$20)^N90</f>
        <v>3031.412118294890</v>
      </c>
      <c r="O117" s="157">
        <f>O116/(1+$C$20)^O90</f>
        <v>2736.066738248930</v>
      </c>
      <c r="P117" s="157">
        <f>P116/(1+$C$20)^P90</f>
        <v>2423.697978808580</v>
      </c>
      <c r="Q117" s="157">
        <f>Q116/(1+$C$20)^Q90</f>
        <v>2441.474338368640</v>
      </c>
      <c r="R117" s="157">
        <f>R116/(1+$C$20)^R90</f>
        <v>2043.5153665995</v>
      </c>
      <c r="S117" s="157">
        <f>S116/(1+$C$20)^S90</f>
        <v>1503.916910571070</v>
      </c>
      <c r="T117" s="157">
        <f>T116/(1+$C$20)^T90</f>
        <v>1342.4833861102</v>
      </c>
    </row>
    <row r="118" ht="21.15" customHeight="1">
      <c r="A118" s="138"/>
      <c r="B118" s="152"/>
      <c r="C118" s="140"/>
      <c r="D118" s="141"/>
      <c r="E118" s="158"/>
      <c r="F118" s="158"/>
      <c r="G118" s="158"/>
      <c r="H118" s="158"/>
      <c r="I118" s="158"/>
      <c r="J118" s="158"/>
      <c r="K118" s="158"/>
      <c r="L118" s="158"/>
      <c r="M118" s="158"/>
      <c r="N118" s="158"/>
      <c r="O118" s="158"/>
      <c r="P118" s="158"/>
      <c r="Q118" s="158"/>
      <c r="R118" s="158"/>
      <c r="S118" s="158"/>
      <c r="T118" s="159"/>
    </row>
    <row r="119" ht="21" customHeight="1">
      <c r="A119" s="80"/>
      <c r="B119" t="s" s="81">
        <v>52</v>
      </c>
      <c r="C119" s="82"/>
      <c r="D119" s="83"/>
      <c r="E119" s="160"/>
      <c r="F119" s="160"/>
      <c r="G119" s="160"/>
      <c r="H119" s="160"/>
      <c r="I119" s="160"/>
      <c r="J119" s="160"/>
      <c r="K119" s="160"/>
      <c r="L119" s="160"/>
      <c r="M119" s="160"/>
      <c r="N119" s="160"/>
      <c r="O119" s="160"/>
      <c r="P119" s="160"/>
      <c r="Q119" s="160"/>
      <c r="R119" s="160"/>
      <c r="S119" s="160"/>
      <c r="T119" s="161">
        <f>(T116*(1+C21))/($C$20-$C$21)</f>
        <v>44614.7810401623</v>
      </c>
    </row>
    <row r="120" ht="21" customHeight="1">
      <c r="A120" s="80"/>
      <c r="B120" t="s" s="81">
        <v>53</v>
      </c>
      <c r="C120" s="82"/>
      <c r="D120" s="83"/>
      <c r="E120" s="160"/>
      <c r="F120" s="160"/>
      <c r="G120" s="160"/>
      <c r="H120" s="160"/>
      <c r="I120" s="160"/>
      <c r="J120" s="160"/>
      <c r="K120" s="160"/>
      <c r="L120" s="160"/>
      <c r="M120" s="160"/>
      <c r="N120" s="160"/>
      <c r="O120" s="160"/>
      <c r="P120" s="160"/>
      <c r="Q120" s="160"/>
      <c r="R120" s="160"/>
      <c r="S120" s="160"/>
      <c r="T120" s="161">
        <f>T119/(1+$C$20)^T90</f>
        <v>17421.0147622334</v>
      </c>
    </row>
    <row r="121" ht="21" customHeight="1">
      <c r="A121" s="80"/>
      <c r="B121" s="49"/>
      <c r="C121" s="82"/>
      <c r="D121" s="83"/>
      <c r="E121" s="160"/>
      <c r="F121" s="160"/>
      <c r="G121" s="160"/>
      <c r="H121" s="160"/>
      <c r="I121" s="160"/>
      <c r="J121" s="160"/>
      <c r="K121" s="160"/>
      <c r="L121" s="160"/>
      <c r="M121" s="160"/>
      <c r="N121" s="160"/>
      <c r="O121" s="160"/>
      <c r="P121" s="160"/>
      <c r="Q121" s="160"/>
      <c r="R121" s="160"/>
      <c r="S121" s="160"/>
      <c r="T121" s="162"/>
    </row>
    <row r="122" ht="22" customHeight="1">
      <c r="A122" s="163"/>
      <c r="B122" t="s" s="164">
        <v>54</v>
      </c>
      <c r="C122" s="163"/>
      <c r="D122" s="163"/>
      <c r="E122" s="163"/>
      <c r="F122" s="163"/>
      <c r="G122" s="163"/>
      <c r="H122" s="163"/>
      <c r="I122" s="163"/>
      <c r="J122" s="163"/>
      <c r="K122" s="163"/>
      <c r="L122" s="163"/>
      <c r="M122" s="163"/>
      <c r="N122" s="163"/>
      <c r="O122" s="163"/>
      <c r="P122" s="163"/>
      <c r="Q122" s="163"/>
      <c r="R122" s="163"/>
      <c r="S122" s="163"/>
      <c r="T122" s="165">
        <f>SUM(T116,S116,R116,Q116,P116,O116,N116,M116,L116,K116,T120)</f>
        <v>55013.658983469</v>
      </c>
    </row>
    <row r="123" ht="22" customHeight="1">
      <c r="A123" s="166"/>
      <c r="B123" t="s" s="167">
        <v>55</v>
      </c>
      <c r="C123" s="166"/>
      <c r="D123" s="166"/>
      <c r="E123" s="166"/>
      <c r="F123" s="166"/>
      <c r="G123" s="166"/>
      <c r="H123" s="166"/>
      <c r="I123" s="166"/>
      <c r="J123" s="166"/>
      <c r="K123" s="166"/>
      <c r="L123" s="166"/>
      <c r="M123" s="166"/>
      <c r="N123" s="166"/>
      <c r="O123" s="166"/>
      <c r="P123" s="166"/>
      <c r="Q123" s="166"/>
      <c r="R123" s="166"/>
      <c r="S123" s="166"/>
      <c r="T123" s="168">
        <v>546</v>
      </c>
    </row>
    <row r="124" ht="22" customHeight="1">
      <c r="A124" s="166"/>
      <c r="B124" t="s" s="167">
        <v>56</v>
      </c>
      <c r="C124" s="166"/>
      <c r="D124" s="166"/>
      <c r="E124" s="166"/>
      <c r="F124" s="166"/>
      <c r="G124" s="166"/>
      <c r="H124" s="166"/>
      <c r="I124" s="166"/>
      <c r="J124" s="166"/>
      <c r="K124" s="166"/>
      <c r="L124" s="166"/>
      <c r="M124" s="166"/>
      <c r="N124" s="166"/>
      <c r="O124" s="166"/>
      <c r="P124" s="166"/>
      <c r="Q124" s="166"/>
      <c r="R124" s="166"/>
      <c r="S124" s="166"/>
      <c r="T124" s="168">
        <v>9800</v>
      </c>
    </row>
    <row r="125" ht="22" customHeight="1">
      <c r="A125" s="166"/>
      <c r="B125" t="s" s="167">
        <v>57</v>
      </c>
      <c r="C125" s="166"/>
      <c r="D125" s="166"/>
      <c r="E125" s="166"/>
      <c r="F125" s="166"/>
      <c r="G125" s="166"/>
      <c r="H125" s="166"/>
      <c r="I125" s="166"/>
      <c r="J125" s="166"/>
      <c r="K125" s="166"/>
      <c r="L125" s="166"/>
      <c r="M125" s="166"/>
      <c r="N125" s="166"/>
      <c r="O125" s="166"/>
      <c r="P125" s="166"/>
      <c r="Q125" s="166"/>
      <c r="R125" s="166"/>
      <c r="S125" s="166"/>
      <c r="T125" s="168">
        <f>T122+T123-T124</f>
        <v>45759.658983469</v>
      </c>
    </row>
    <row r="126" ht="22" customHeight="1">
      <c r="A126" s="166"/>
      <c r="B126" t="s" s="167">
        <v>58</v>
      </c>
      <c r="C126" s="166"/>
      <c r="D126" s="166"/>
      <c r="E126" s="166"/>
      <c r="F126" s="166"/>
      <c r="G126" s="166"/>
      <c r="H126" s="166"/>
      <c r="I126" s="166"/>
      <c r="J126" s="166"/>
      <c r="K126" s="166"/>
      <c r="L126" s="166"/>
      <c r="M126" s="166"/>
      <c r="N126" s="166"/>
      <c r="O126" s="166"/>
      <c r="P126" s="166"/>
      <c r="Q126" s="166"/>
      <c r="R126" s="166"/>
      <c r="S126" s="166"/>
      <c r="T126" s="169">
        <v>324.55</v>
      </c>
    </row>
    <row r="127" ht="22" customHeight="1">
      <c r="A127" s="166"/>
      <c r="B127" t="s" s="167">
        <v>59</v>
      </c>
      <c r="C127" s="166"/>
      <c r="D127" s="166"/>
      <c r="E127" s="166"/>
      <c r="F127" s="166"/>
      <c r="G127" s="166"/>
      <c r="H127" s="166"/>
      <c r="I127" s="166"/>
      <c r="J127" s="166"/>
      <c r="K127" s="166"/>
      <c r="L127" s="166"/>
      <c r="M127" s="166"/>
      <c r="N127" s="166"/>
      <c r="O127" s="166"/>
      <c r="P127" s="166"/>
      <c r="Q127" s="166"/>
      <c r="R127" s="166"/>
      <c r="S127" s="166"/>
      <c r="T127" s="168">
        <f>T125/T126</f>
        <v>140.994173420025</v>
      </c>
    </row>
    <row r="128" ht="22" customHeight="1">
      <c r="A128" s="166"/>
      <c r="B128" s="166"/>
      <c r="C128" s="166"/>
      <c r="D128" s="166"/>
      <c r="E128" s="166"/>
      <c r="F128" s="166"/>
      <c r="G128" s="166"/>
      <c r="H128" s="166"/>
      <c r="I128" s="166"/>
      <c r="J128" s="166"/>
      <c r="K128" s="166"/>
      <c r="L128" s="166"/>
      <c r="M128" s="166"/>
      <c r="N128" s="166"/>
      <c r="O128" s="166"/>
      <c r="P128" s="166"/>
      <c r="Q128" s="166"/>
      <c r="R128" s="166"/>
      <c r="S128" s="166"/>
      <c r="T128" s="166"/>
    </row>
    <row r="129" ht="22" customHeight="1">
      <c r="A129" s="166"/>
      <c r="B129" s="166"/>
      <c r="C129" s="166"/>
      <c r="D129" s="166"/>
      <c r="E129" s="166"/>
      <c r="F129" s="166"/>
      <c r="G129" s="166"/>
      <c r="H129" s="166"/>
      <c r="I129" s="166"/>
      <c r="J129" s="166"/>
      <c r="K129" s="166"/>
      <c r="L129" s="166"/>
      <c r="M129" s="166"/>
      <c r="N129" s="166"/>
      <c r="O129" s="166"/>
      <c r="P129" s="166"/>
      <c r="Q129" s="166"/>
      <c r="R129" s="166"/>
      <c r="S129" s="166"/>
      <c r="T129" s="166"/>
    </row>
  </sheetData>
  <mergeCells count="1">
    <mergeCell ref="A1:T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21"/>
  <sheetViews>
    <sheetView workbookViewId="0" showGridLines="0" defaultGridColor="1"/>
  </sheetViews>
  <sheetFormatPr defaultColWidth="16.3333" defaultRowHeight="19.9" customHeight="1" outlineLevelRow="0" outlineLevelCol="0"/>
  <cols>
    <col min="1" max="1" width="21.1875" style="170" customWidth="1"/>
    <col min="2" max="5" width="16.3516" style="170" customWidth="1"/>
    <col min="6" max="256" width="16.3516" style="170" customWidth="1"/>
  </cols>
  <sheetData>
    <row r="1" ht="28.65" customHeight="1">
      <c r="A1" t="s" s="171">
        <v>8</v>
      </c>
      <c r="B1" s="171"/>
      <c r="C1" s="171"/>
      <c r="D1" s="171"/>
      <c r="E1" s="171"/>
    </row>
    <row r="2" ht="19.7" customHeight="1">
      <c r="A2" s="36"/>
      <c r="B2" s="36"/>
      <c r="C2" s="36"/>
      <c r="D2" s="36"/>
      <c r="E2" s="36"/>
    </row>
    <row r="3" ht="22" customHeight="1">
      <c r="A3" t="s" s="172">
        <v>61</v>
      </c>
      <c r="B3" s="36"/>
      <c r="C3" s="36"/>
      <c r="D3" s="36"/>
      <c r="E3" s="36"/>
    </row>
    <row r="4" ht="22" customHeight="1">
      <c r="A4" t="s" s="172">
        <v>62</v>
      </c>
      <c r="B4" s="36"/>
      <c r="C4" s="36"/>
      <c r="D4" s="36"/>
      <c r="E4" s="36"/>
    </row>
    <row r="5" ht="19.7" customHeight="1">
      <c r="A5" s="36"/>
      <c r="B5" s="36"/>
      <c r="C5" s="36"/>
      <c r="D5" s="36"/>
      <c r="E5" s="36"/>
    </row>
    <row r="6" ht="22" customHeight="1">
      <c r="A6" t="s" s="173">
        <v>27</v>
      </c>
      <c r="B6" s="36"/>
      <c r="C6" s="36"/>
      <c r="D6" s="36"/>
      <c r="E6" s="36"/>
    </row>
    <row r="7" ht="19.7" customHeight="1">
      <c r="A7" t="s" s="174">
        <v>63</v>
      </c>
      <c r="B7" s="175">
        <v>52694.102016</v>
      </c>
      <c r="C7" s="36"/>
      <c r="D7" s="36"/>
      <c r="E7" s="36"/>
    </row>
    <row r="8" ht="19.7" customHeight="1">
      <c r="A8" t="s" s="174">
        <v>64</v>
      </c>
      <c r="B8" s="176">
        <f>B7/B19</f>
        <v>0.842645857495766</v>
      </c>
      <c r="C8" s="36"/>
      <c r="D8" s="36"/>
      <c r="E8" s="36"/>
    </row>
    <row r="9" ht="19.7" customHeight="1">
      <c r="A9" t="s" s="174">
        <v>65</v>
      </c>
      <c r="B9" s="177">
        <f>B10+B11*B12</f>
        <v>0.110136</v>
      </c>
      <c r="C9" s="36"/>
      <c r="D9" s="36"/>
      <c r="E9" s="36"/>
    </row>
    <row r="10" ht="19.7" customHeight="1">
      <c r="A10" t="s" s="174">
        <v>66</v>
      </c>
      <c r="B10" s="177">
        <v>0.0332</v>
      </c>
      <c r="C10" s="36"/>
      <c r="D10" s="36"/>
      <c r="E10" s="36"/>
    </row>
    <row r="11" ht="19.7" customHeight="1">
      <c r="A11" t="s" s="174">
        <v>67</v>
      </c>
      <c r="B11" s="178">
        <v>1.63</v>
      </c>
      <c r="C11" s="36"/>
      <c r="D11" s="36"/>
      <c r="E11" s="36"/>
    </row>
    <row r="12" ht="19.7" customHeight="1">
      <c r="A12" t="s" s="179">
        <v>68</v>
      </c>
      <c r="B12" s="177">
        <v>0.0472</v>
      </c>
      <c r="C12" s="36"/>
      <c r="D12" s="36"/>
      <c r="E12" s="36"/>
    </row>
    <row r="13" ht="19.7" customHeight="1">
      <c r="A13" s="180"/>
      <c r="B13" s="36"/>
      <c r="C13" s="36"/>
      <c r="D13" s="36"/>
      <c r="E13" s="36"/>
    </row>
    <row r="14" ht="19.7" customHeight="1">
      <c r="A14" t="s" s="174">
        <v>69</v>
      </c>
      <c r="B14" s="175">
        <v>9840</v>
      </c>
      <c r="C14" s="36"/>
      <c r="D14" s="36"/>
      <c r="E14" s="36"/>
    </row>
    <row r="15" ht="19.7" customHeight="1">
      <c r="A15" t="s" s="174">
        <v>70</v>
      </c>
      <c r="B15" s="181">
        <f>B14/B7</f>
        <v>0.186738166579102</v>
      </c>
      <c r="C15" s="36"/>
      <c r="D15" s="36"/>
      <c r="E15" s="36"/>
    </row>
    <row r="16" ht="19.7" customHeight="1">
      <c r="A16" t="s" s="174">
        <v>71</v>
      </c>
      <c r="B16" s="182">
        <v>0.0374</v>
      </c>
      <c r="C16" s="36"/>
      <c r="D16" s="36"/>
      <c r="E16" s="36"/>
    </row>
    <row r="17" ht="19.7" customHeight="1">
      <c r="A17" t="s" s="174">
        <v>72</v>
      </c>
      <c r="B17" s="181">
        <v>0.17</v>
      </c>
      <c r="C17" s="36"/>
      <c r="D17" s="36"/>
      <c r="E17" s="36"/>
    </row>
    <row r="18" ht="19.7" customHeight="1">
      <c r="A18" s="180"/>
      <c r="B18" s="175"/>
      <c r="C18" s="36"/>
      <c r="D18" s="36"/>
      <c r="E18" s="36"/>
    </row>
    <row r="19" ht="19.7" customHeight="1">
      <c r="A19" t="s" s="174">
        <v>73</v>
      </c>
      <c r="B19" s="175">
        <f>B7+B14</f>
        <v>62534.102016</v>
      </c>
      <c r="C19" s="36"/>
      <c r="D19" s="36"/>
      <c r="E19" s="36"/>
    </row>
    <row r="20" ht="19.7" customHeight="1">
      <c r="A20" s="180"/>
      <c r="B20" s="36"/>
      <c r="C20" s="36"/>
      <c r="D20" s="36"/>
      <c r="E20" s="36"/>
    </row>
    <row r="21" ht="19.7" customHeight="1">
      <c r="A21" t="s" s="174">
        <v>27</v>
      </c>
      <c r="B21" s="177">
        <f>(B8*B9)+(B15*B16*(1-B17))</f>
        <v>0.09860237032810221</v>
      </c>
      <c r="C21" s="36"/>
      <c r="D21" s="36"/>
      <c r="E21" s="3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5"/>
  <sheetViews>
    <sheetView workbookViewId="0" showGridLines="0" defaultGridColor="1"/>
  </sheetViews>
  <sheetFormatPr defaultColWidth="16.3333" defaultRowHeight="19.9" customHeight="1" outlineLevelRow="0" outlineLevelCol="0"/>
  <cols>
    <col min="1" max="5" width="16.3516" style="183" customWidth="1"/>
    <col min="6" max="256" width="16.3516" style="183" customWidth="1"/>
  </cols>
  <sheetData>
    <row r="1" ht="28" customHeight="1">
      <c r="A1" t="s" s="184">
        <v>75</v>
      </c>
      <c r="B1" s="184"/>
      <c r="C1" s="184"/>
      <c r="D1" s="184"/>
      <c r="E1" s="184"/>
    </row>
    <row r="2" ht="21" customHeight="1">
      <c r="A2" s="185"/>
      <c r="B2" s="185"/>
      <c r="C2" s="185"/>
      <c r="D2" s="185"/>
      <c r="E2" s="185"/>
    </row>
    <row r="3" ht="21.5" customHeight="1">
      <c r="A3" t="s" s="186">
        <v>63</v>
      </c>
      <c r="B3" s="187">
        <v>78659.1744</v>
      </c>
      <c r="C3" s="185"/>
      <c r="D3" s="185"/>
      <c r="E3" s="185"/>
    </row>
    <row r="4" ht="21.5" customHeight="1">
      <c r="A4" t="s" s="186">
        <v>77</v>
      </c>
      <c r="B4" s="188">
        <v>39.706248</v>
      </c>
      <c r="C4" s="185"/>
      <c r="D4" s="185"/>
      <c r="E4" s="185"/>
    </row>
    <row r="5" ht="21" customHeight="1">
      <c r="A5" s="189"/>
      <c r="B5" s="185"/>
      <c r="C5" s="185"/>
      <c r="D5" s="185"/>
      <c r="E5" s="185"/>
    </row>
    <row r="6" ht="21" customHeight="1">
      <c r="A6" s="189"/>
      <c r="B6" s="185"/>
      <c r="C6" s="185"/>
      <c r="D6" s="185"/>
      <c r="E6" s="185"/>
    </row>
    <row r="7" ht="21" customHeight="1">
      <c r="A7" s="189"/>
      <c r="B7" s="185"/>
      <c r="C7" s="185"/>
      <c r="D7" s="185"/>
      <c r="E7" s="185"/>
    </row>
    <row r="8" ht="21" customHeight="1">
      <c r="A8" s="189"/>
      <c r="B8" s="190">
        <v>2022</v>
      </c>
      <c r="C8" s="190">
        <v>2023</v>
      </c>
      <c r="D8" s="190">
        <v>2024</v>
      </c>
      <c r="E8" s="190">
        <v>2025</v>
      </c>
    </row>
    <row r="9" ht="21" customHeight="1">
      <c r="A9" t="s" s="186">
        <v>78</v>
      </c>
      <c r="B9" s="190">
        <f>95.83</f>
        <v>95.83</v>
      </c>
      <c r="C9" s="190">
        <v>120.13</v>
      </c>
      <c r="D9" s="190">
        <v>147.18</v>
      </c>
      <c r="E9" s="190">
        <v>174.53</v>
      </c>
    </row>
    <row r="10" ht="21" customHeight="1">
      <c r="A10" t="s" s="186">
        <v>36</v>
      </c>
      <c r="B10" s="191">
        <f>B9*$B$4</f>
        <v>3805.04974584</v>
      </c>
      <c r="C10" s="191">
        <f>C9*$B$4</f>
        <v>4769.91157224</v>
      </c>
      <c r="D10" s="191">
        <f>D9*$B$4</f>
        <v>5843.96558064</v>
      </c>
      <c r="E10" s="191">
        <f>E9*$B$4</f>
        <v>6929.93146344</v>
      </c>
    </row>
    <row r="11" ht="21" customHeight="1">
      <c r="A11" s="185"/>
      <c r="B11" s="185"/>
      <c r="C11" s="185"/>
      <c r="D11" s="185"/>
      <c r="E11" s="185"/>
    </row>
    <row r="12" ht="21" customHeight="1">
      <c r="A12" s="185"/>
      <c r="B12" s="185"/>
      <c r="C12" s="185"/>
      <c r="D12" s="185"/>
      <c r="E12" s="185"/>
    </row>
    <row r="13" ht="21" customHeight="1">
      <c r="A13" s="185"/>
      <c r="B13" s="185"/>
      <c r="C13" s="185"/>
      <c r="D13" s="185"/>
      <c r="E13" s="185"/>
    </row>
    <row r="14" ht="21" customHeight="1">
      <c r="A14" s="185"/>
      <c r="B14" s="185"/>
      <c r="C14" s="185"/>
      <c r="D14" s="185"/>
      <c r="E14" s="185"/>
    </row>
    <row r="15" ht="296" customHeight="1">
      <c r="A15" s="185"/>
      <c r="B15" s="185"/>
      <c r="C15" t="s" s="192">
        <v>79</v>
      </c>
      <c r="D15" s="185"/>
      <c r="E15" s="18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