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halilgunputh/Library/Mobile Documents/com~apple~Numbers/Documents/Stock Market Analysis/Company/Amazon/"/>
    </mc:Choice>
  </mc:AlternateContent>
  <xr:revisionPtr revIDLastSave="0" documentId="13_ncr:1_{805B544C-D5D4-F641-86E1-3FAAF9794296}" xr6:coauthVersionLast="47" xr6:coauthVersionMax="47" xr10:uidLastSave="{00000000-0000-0000-0000-000000000000}"/>
  <bookViews>
    <workbookView xWindow="28820" yWindow="500" windowWidth="24100" windowHeight="19540" xr2:uid="{AF17470E-CDD5-FC45-864A-D2A989C6F67A}"/>
  </bookViews>
  <sheets>
    <sheet name="AMZN_DCF" sheetId="1" r:id="rId1"/>
    <sheet name="AMZN_WAC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 l="1"/>
  <c r="C19" i="1"/>
  <c r="E118" i="1"/>
  <c r="E119" i="1" s="1"/>
  <c r="E120" i="1" s="1"/>
  <c r="E121" i="1" s="1"/>
  <c r="E122" i="1" s="1"/>
  <c r="E116" i="1"/>
  <c r="E115" i="1" s="1"/>
  <c r="E114" i="1" s="1"/>
  <c r="E113" i="1" s="1"/>
  <c r="L112" i="1"/>
  <c r="M112" i="1" s="1"/>
  <c r="N112" i="1" s="1"/>
  <c r="O112" i="1" s="1"/>
  <c r="P112" i="1" s="1"/>
  <c r="J112" i="1"/>
  <c r="I112" i="1"/>
  <c r="H112" i="1" s="1"/>
  <c r="G112" i="1" s="1"/>
  <c r="F112" i="1" s="1"/>
  <c r="G69" i="1"/>
  <c r="L105" i="1"/>
  <c r="E17" i="1"/>
  <c r="I17" i="1"/>
  <c r="D21" i="2"/>
  <c r="D10" i="2" s="1"/>
  <c r="D23" i="2" s="1"/>
  <c r="G16" i="1" s="1"/>
  <c r="D17" i="2"/>
  <c r="D11" i="2"/>
  <c r="G92" i="1"/>
  <c r="F92" i="1"/>
  <c r="E92" i="1"/>
  <c r="D92" i="1"/>
  <c r="C92" i="1"/>
  <c r="G90" i="1"/>
  <c r="F90" i="1"/>
  <c r="E90" i="1"/>
  <c r="D90" i="1"/>
  <c r="C90" i="1"/>
  <c r="F84" i="1"/>
  <c r="E84" i="1"/>
  <c r="E85" i="1" s="1"/>
  <c r="D84" i="1"/>
  <c r="C84" i="1"/>
  <c r="C85" i="1" s="1"/>
  <c r="L81" i="1"/>
  <c r="L82" i="1" s="1"/>
  <c r="F78" i="1"/>
  <c r="E78" i="1"/>
  <c r="D78" i="1"/>
  <c r="C78" i="1"/>
  <c r="G64" i="1"/>
  <c r="F64" i="1"/>
  <c r="E64" i="1"/>
  <c r="D64" i="1"/>
  <c r="C64" i="1"/>
  <c r="F69" i="1"/>
  <c r="F94" i="1" s="1"/>
  <c r="E69" i="1"/>
  <c r="E94" i="1" s="1"/>
  <c r="D69" i="1"/>
  <c r="D94" i="1" s="1"/>
  <c r="C69" i="1"/>
  <c r="C94" i="1" s="1"/>
  <c r="G94" i="1"/>
  <c r="F58" i="1"/>
  <c r="E58" i="1"/>
  <c r="D58" i="1"/>
  <c r="C58" i="1"/>
  <c r="G78" i="1"/>
  <c r="L41" i="1"/>
  <c r="L39" i="1" s="1"/>
  <c r="L34" i="1"/>
  <c r="L33" i="1" s="1"/>
  <c r="L27" i="1"/>
  <c r="L28" i="1" s="1"/>
  <c r="G25" i="1"/>
  <c r="H27" i="1" s="1"/>
  <c r="F25" i="1"/>
  <c r="E25" i="1"/>
  <c r="D25" i="1"/>
  <c r="F32" i="1"/>
  <c r="E32" i="1"/>
  <c r="D32" i="1"/>
  <c r="F39" i="1"/>
  <c r="E39" i="1"/>
  <c r="D39" i="1"/>
  <c r="F46" i="1"/>
  <c r="F29" i="1" s="1"/>
  <c r="E46" i="1"/>
  <c r="E51" i="1" s="1"/>
  <c r="D46" i="1"/>
  <c r="D43" i="1" s="1"/>
  <c r="C46" i="1"/>
  <c r="C51" i="1" s="1"/>
  <c r="B38" i="1"/>
  <c r="B31" i="1"/>
  <c r="B24" i="1"/>
  <c r="H3" i="1" a="1"/>
  <c r="H3" i="1" s="1"/>
  <c r="I16" i="1" l="1"/>
  <c r="E16" i="1"/>
  <c r="C43" i="1"/>
  <c r="G46" i="1"/>
  <c r="G47" i="1" s="1"/>
  <c r="G58" i="1"/>
  <c r="L80" i="1"/>
  <c r="L79" i="1" s="1"/>
  <c r="G39" i="1"/>
  <c r="H41" i="1" s="1"/>
  <c r="G32" i="1"/>
  <c r="H34" i="1" s="1"/>
  <c r="L25" i="1"/>
  <c r="L26" i="1"/>
  <c r="H28" i="1"/>
  <c r="H26" i="1"/>
  <c r="I27" i="1"/>
  <c r="C55" i="1"/>
  <c r="C63" i="1"/>
  <c r="C75" i="1"/>
  <c r="C79" i="1" s="1"/>
  <c r="C67" i="1"/>
  <c r="E70" i="1"/>
  <c r="E55" i="1"/>
  <c r="E75" i="1"/>
  <c r="E67" i="1"/>
  <c r="E63" i="1"/>
  <c r="G29" i="1"/>
  <c r="D47" i="1"/>
  <c r="L35" i="1"/>
  <c r="C29" i="1"/>
  <c r="F36" i="1"/>
  <c r="E43" i="1"/>
  <c r="F51" i="1"/>
  <c r="G84" i="1"/>
  <c r="G85" i="1" s="1"/>
  <c r="F85" i="1"/>
  <c r="E47" i="1"/>
  <c r="L32" i="1"/>
  <c r="L40" i="1"/>
  <c r="D29" i="1"/>
  <c r="C36" i="1"/>
  <c r="F43" i="1"/>
  <c r="C70" i="1"/>
  <c r="F47" i="1"/>
  <c r="L42" i="1"/>
  <c r="E29" i="1"/>
  <c r="D36" i="1"/>
  <c r="D51" i="1"/>
  <c r="D85" i="1"/>
  <c r="E36" i="1"/>
  <c r="G51" i="1" l="1"/>
  <c r="G55" i="1" s="1"/>
  <c r="G43" i="1"/>
  <c r="I34" i="1"/>
  <c r="H33" i="1"/>
  <c r="H32" i="1"/>
  <c r="H31" i="1" s="1"/>
  <c r="H35" i="1"/>
  <c r="I41" i="1"/>
  <c r="I42" i="1" s="1"/>
  <c r="H40" i="1"/>
  <c r="H39" i="1"/>
  <c r="H38" i="1" s="1"/>
  <c r="H42" i="1"/>
  <c r="G36" i="1"/>
  <c r="G63" i="1"/>
  <c r="G75" i="1"/>
  <c r="G67" i="1"/>
  <c r="G52" i="1"/>
  <c r="E79" i="1"/>
  <c r="I28" i="1"/>
  <c r="I26" i="1"/>
  <c r="J27" i="1"/>
  <c r="I25" i="1"/>
  <c r="D70" i="1"/>
  <c r="D55" i="1"/>
  <c r="D75" i="1"/>
  <c r="D67" i="1"/>
  <c r="D52" i="1"/>
  <c r="D63" i="1"/>
  <c r="I32" i="1"/>
  <c r="I35" i="1"/>
  <c r="J34" i="1"/>
  <c r="I33" i="1"/>
  <c r="I40" i="1"/>
  <c r="I39" i="1"/>
  <c r="J41" i="1"/>
  <c r="E52" i="1"/>
  <c r="G70" i="1"/>
  <c r="H70" i="1" s="1"/>
  <c r="F75" i="1"/>
  <c r="F67" i="1"/>
  <c r="F52" i="1"/>
  <c r="F63" i="1"/>
  <c r="F70" i="1"/>
  <c r="F55" i="1"/>
  <c r="H55" i="1" s="1"/>
  <c r="H67" i="1"/>
  <c r="I31" i="1" l="1"/>
  <c r="H63" i="1"/>
  <c r="I38" i="1"/>
  <c r="G76" i="1"/>
  <c r="G79" i="1"/>
  <c r="D76" i="1"/>
  <c r="D79" i="1"/>
  <c r="I55" i="1"/>
  <c r="J55" i="1" s="1"/>
  <c r="K27" i="1"/>
  <c r="J25" i="1"/>
  <c r="J28" i="1"/>
  <c r="J26" i="1"/>
  <c r="E76" i="1"/>
  <c r="I70" i="1"/>
  <c r="F76" i="1"/>
  <c r="F79" i="1"/>
  <c r="K41" i="1"/>
  <c r="J39" i="1"/>
  <c r="J42" i="1"/>
  <c r="J40" i="1"/>
  <c r="I67" i="1"/>
  <c r="I63" i="1"/>
  <c r="J63" i="1" s="1"/>
  <c r="K63" i="1" s="1"/>
  <c r="K34" i="1"/>
  <c r="J32" i="1"/>
  <c r="J35" i="1"/>
  <c r="J33" i="1"/>
  <c r="J85" i="1"/>
  <c r="J31" i="1" l="1"/>
  <c r="J38" i="1"/>
  <c r="H81" i="1"/>
  <c r="J67" i="1"/>
  <c r="K67" i="1" s="1"/>
  <c r="L67" i="1" s="1"/>
  <c r="K55" i="1"/>
  <c r="L55" i="1" s="1"/>
  <c r="K33" i="1"/>
  <c r="K32" i="1"/>
  <c r="K35" i="1"/>
  <c r="K85" i="1"/>
  <c r="L85" i="1" s="1"/>
  <c r="H82" i="1"/>
  <c r="I81" i="1"/>
  <c r="H80" i="1"/>
  <c r="H79" i="1" s="1"/>
  <c r="J70" i="1"/>
  <c r="K70" i="1" s="1"/>
  <c r="L70" i="1" s="1"/>
  <c r="K39" i="1"/>
  <c r="K42" i="1"/>
  <c r="K40" i="1"/>
  <c r="K28" i="1"/>
  <c r="K26" i="1"/>
  <c r="K25" i="1"/>
  <c r="L63" i="1"/>
  <c r="K38" i="1" l="1"/>
  <c r="L38" i="1" s="1"/>
  <c r="K31" i="1"/>
  <c r="L31" i="1" s="1"/>
  <c r="J81" i="1"/>
  <c r="I80" i="1"/>
  <c r="I79" i="1" s="1"/>
  <c r="I82" i="1"/>
  <c r="K81" i="1" l="1"/>
  <c r="J82" i="1"/>
  <c r="J80" i="1"/>
  <c r="J79" i="1" s="1"/>
  <c r="K82" i="1" l="1"/>
  <c r="K80" i="1"/>
  <c r="K79" i="1" s="1"/>
  <c r="H25" i="1" l="1"/>
  <c r="H24" i="1" s="1"/>
  <c r="H46" i="1" l="1"/>
  <c r="I24" i="1"/>
  <c r="H43" i="1" l="1"/>
  <c r="H51" i="1"/>
  <c r="H47" i="1"/>
  <c r="H36" i="1"/>
  <c r="H29" i="1"/>
  <c r="I46" i="1"/>
  <c r="J24" i="1"/>
  <c r="H69" i="1" l="1"/>
  <c r="H94" i="1" s="1"/>
  <c r="H75" i="1"/>
  <c r="H62" i="1"/>
  <c r="H90" i="1" s="1"/>
  <c r="H66" i="1"/>
  <c r="H92" i="1" s="1"/>
  <c r="H52" i="1"/>
  <c r="H54" i="1"/>
  <c r="H57" i="1" s="1"/>
  <c r="I43" i="1"/>
  <c r="I51" i="1"/>
  <c r="I47" i="1"/>
  <c r="I36" i="1"/>
  <c r="I29" i="1"/>
  <c r="J46" i="1"/>
  <c r="K24" i="1"/>
  <c r="H76" i="1" l="1"/>
  <c r="H78" i="1"/>
  <c r="I69" i="1"/>
  <c r="I94" i="1" s="1"/>
  <c r="I75" i="1"/>
  <c r="I62" i="1"/>
  <c r="I90" i="1" s="1"/>
  <c r="I66" i="1"/>
  <c r="I92" i="1" s="1"/>
  <c r="H64" i="1"/>
  <c r="I52" i="1"/>
  <c r="I54" i="1"/>
  <c r="I57" i="1" s="1"/>
  <c r="J43" i="1"/>
  <c r="J51" i="1"/>
  <c r="J47" i="1"/>
  <c r="J36" i="1"/>
  <c r="J29" i="1"/>
  <c r="L24" i="1"/>
  <c r="K46" i="1"/>
  <c r="H84" i="1" l="1"/>
  <c r="H88" i="1" s="1"/>
  <c r="H97" i="1" s="1"/>
  <c r="H98" i="1" s="1"/>
  <c r="I76" i="1"/>
  <c r="I78" i="1"/>
  <c r="J69" i="1"/>
  <c r="J94" i="1" s="1"/>
  <c r="J75" i="1"/>
  <c r="J62" i="1"/>
  <c r="J90" i="1" s="1"/>
  <c r="J66" i="1"/>
  <c r="J92" i="1" s="1"/>
  <c r="I64" i="1"/>
  <c r="J52" i="1"/>
  <c r="J54" i="1"/>
  <c r="J57" i="1" s="1"/>
  <c r="K43" i="1"/>
  <c r="K51" i="1"/>
  <c r="K47" i="1"/>
  <c r="K36" i="1"/>
  <c r="L46" i="1"/>
  <c r="L51" i="1" s="1"/>
  <c r="L75" i="1" s="1"/>
  <c r="L78" i="1" s="1"/>
  <c r="K29" i="1"/>
  <c r="L84" i="1" l="1"/>
  <c r="L88" i="1" s="1"/>
  <c r="I84" i="1"/>
  <c r="I88" i="1" s="1"/>
  <c r="I97" i="1" s="1"/>
  <c r="I98" i="1" s="1"/>
  <c r="J76" i="1"/>
  <c r="J78" i="1"/>
  <c r="K69" i="1"/>
  <c r="K94" i="1" s="1"/>
  <c r="K75" i="1"/>
  <c r="L66" i="1"/>
  <c r="L92" i="1" s="1"/>
  <c r="L69" i="1"/>
  <c r="L94" i="1" s="1"/>
  <c r="K62" i="1"/>
  <c r="K90" i="1" s="1"/>
  <c r="K66" i="1"/>
  <c r="K92" i="1" s="1"/>
  <c r="J64" i="1"/>
  <c r="L54" i="1"/>
  <c r="L57" i="1" s="1"/>
  <c r="L62" i="1"/>
  <c r="L90" i="1" s="1"/>
  <c r="K52" i="1"/>
  <c r="K54" i="1"/>
  <c r="K57" i="1" s="1"/>
  <c r="L52" i="1"/>
  <c r="L36" i="1"/>
  <c r="L43" i="1"/>
  <c r="L29" i="1"/>
  <c r="L47" i="1"/>
  <c r="L97" i="1" l="1"/>
  <c r="L100" i="1" s="1"/>
  <c r="L101" i="1" s="1"/>
  <c r="J84" i="1"/>
  <c r="J88" i="1" s="1"/>
  <c r="J97" i="1" s="1"/>
  <c r="J98" i="1" s="1"/>
  <c r="K76" i="1"/>
  <c r="K78" i="1"/>
  <c r="L76" i="1"/>
  <c r="L64" i="1"/>
  <c r="K64" i="1"/>
  <c r="L98" i="1" l="1"/>
  <c r="K84" i="1"/>
  <c r="K88" i="1" s="1"/>
  <c r="K97" i="1" s="1"/>
  <c r="K98" i="1" s="1"/>
  <c r="L103" i="1" l="1"/>
  <c r="L106" i="1" s="1"/>
  <c r="L108" i="1" s="1"/>
  <c r="H4" i="1" l="1"/>
  <c r="L4" i="1" s="1"/>
  <c r="E11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<sst xmlns="http://schemas.openxmlformats.org/spreadsheetml/2006/main" count="99" uniqueCount="62">
  <si>
    <t xml:space="preserve">Ticker </t>
  </si>
  <si>
    <t>Date</t>
  </si>
  <si>
    <t>Current Share Price</t>
  </si>
  <si>
    <t xml:space="preserve">Implied Share Price </t>
  </si>
  <si>
    <t xml:space="preserve">Upside/Downside </t>
  </si>
  <si>
    <t>AMZN</t>
  </si>
  <si>
    <t>X</t>
  </si>
  <si>
    <t xml:space="preserve">Assumptions </t>
  </si>
  <si>
    <t xml:space="preserve">Segment </t>
  </si>
  <si>
    <t>Switches</t>
  </si>
  <si>
    <t>Conservative</t>
  </si>
  <si>
    <t>Base</t>
  </si>
  <si>
    <t>Optimistic</t>
  </si>
  <si>
    <t xml:space="preserve">North America </t>
  </si>
  <si>
    <t xml:space="preserve">International </t>
  </si>
  <si>
    <t>AWS</t>
  </si>
  <si>
    <t>EBIT</t>
  </si>
  <si>
    <t>WACC</t>
  </si>
  <si>
    <t>TGV</t>
  </si>
  <si>
    <t xml:space="preserve">Revenue Build </t>
  </si>
  <si>
    <t xml:space="preserve">% Growth </t>
  </si>
  <si>
    <t xml:space="preserve"> Conservative </t>
  </si>
  <si>
    <t xml:space="preserve"> Base</t>
  </si>
  <si>
    <t xml:space="preserve"> Optimistic</t>
  </si>
  <si>
    <t xml:space="preserve">% of Revenue </t>
  </si>
  <si>
    <t xml:space="preserve">Total Revenue </t>
  </si>
  <si>
    <t xml:space="preserve">Income Statement </t>
  </si>
  <si>
    <t xml:space="preserve">Revenue </t>
  </si>
  <si>
    <t>Taxes</t>
  </si>
  <si>
    <t>% of EBIT</t>
  </si>
  <si>
    <t>Cash Flow Items</t>
  </si>
  <si>
    <t>D&amp;A</t>
  </si>
  <si>
    <t>% of Revenue</t>
  </si>
  <si>
    <t>% of CapEx</t>
  </si>
  <si>
    <t>CapEx</t>
  </si>
  <si>
    <t xml:space="preserve">Change in Net Working Capital </t>
  </si>
  <si>
    <t>DCF</t>
  </si>
  <si>
    <t>Revenue</t>
  </si>
  <si>
    <t>EBIAT</t>
  </si>
  <si>
    <t>Unlevered Free Cash Flow</t>
  </si>
  <si>
    <t xml:space="preserve">Present Value of Free Cash Flow </t>
  </si>
  <si>
    <t xml:space="preserve">Terminal Value </t>
  </si>
  <si>
    <t xml:space="preserve">Present Value of Terminal Value </t>
  </si>
  <si>
    <t>WACC = % of equity * cost of equity + % of debt * cost of debt * (1-Tax Rate)</t>
  </si>
  <si>
    <t xml:space="preserve">Cost of equity = Risk Free Rate + Beta * Market Risk Premium </t>
  </si>
  <si>
    <t xml:space="preserve">Market Cap </t>
  </si>
  <si>
    <t xml:space="preserve">% of equity </t>
  </si>
  <si>
    <t xml:space="preserve">Cost of Equity </t>
  </si>
  <si>
    <t xml:space="preserve">Risk Free Rate </t>
  </si>
  <si>
    <t xml:space="preserve">Beta </t>
  </si>
  <si>
    <t xml:space="preserve">Market Risk Premium </t>
  </si>
  <si>
    <t xml:space="preserve">Debt </t>
  </si>
  <si>
    <t xml:space="preserve">% of Debt </t>
  </si>
  <si>
    <t xml:space="preserve">Cost of Debt </t>
  </si>
  <si>
    <t xml:space="preserve">Tax Rate </t>
  </si>
  <si>
    <t xml:space="preserve">Total </t>
  </si>
  <si>
    <t xml:space="preserve">Enterprise Value </t>
  </si>
  <si>
    <t xml:space="preserve">(+) Cash </t>
  </si>
  <si>
    <t xml:space="preserve">(-) Debt </t>
  </si>
  <si>
    <t xml:space="preserve">Equity Value </t>
  </si>
  <si>
    <t xml:space="preserve">Shares </t>
  </si>
  <si>
    <t xml:space="preserve">Terminal Growth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</si>
</sst>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4" x14ac:knownFonts="1">
    <font>
      <sz val="12"/>
      <color theme="1"/>
      <name val="Calibri"/>
      <family val="2"/>
      <scheme val="minor"/>
    </font>
    <font>
      <b/>
      <sz val="12"/>
      <color theme="1"/>
      <name val="Calibri"/>
      <family val="2"/>
      <scheme val="minor"/>
    </font>
    <font>
      <sz val="12"/>
      <color theme="0"/>
      <name val="Calibri"/>
      <family val="2"/>
      <scheme val="minor"/>
    </font>
    <font>
      <strike/>
      <sz val="12"/>
      <color theme="1"/>
      <name val="Calibri"/>
      <family val="2"/>
      <scheme val="minor"/>
    </font>
    <font>
      <i/>
      <sz val="12"/>
      <color theme="1"/>
      <name val="Calibri"/>
      <family val="2"/>
      <scheme val="minor"/>
    </font>
    <font>
      <b/>
      <sz val="18"/>
      <color theme="1"/>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
      <sz val="16"/>
      <color theme="1"/>
      <name val="Calibri"/>
      <family val="2"/>
      <scheme val="minor"/>
    </font>
    <font>
      <i/>
      <sz val="16"/>
      <color theme="1"/>
      <name val="Calibri"/>
      <family val="2"/>
      <scheme val="minor"/>
    </font>
    <font>
      <b/>
      <sz val="16"/>
      <color theme="0"/>
      <name val="Calibri"/>
      <family val="2"/>
      <scheme val="minor"/>
    </font>
    <font>
      <b/>
      <sz val="16"/>
      <color theme="4"/>
      <name val="Calibri"/>
      <family val="2"/>
      <scheme val="minor"/>
    </font>
    <font>
      <b/>
      <sz val="16"/>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499984740745262"/>
        <bgColor indexed="64"/>
      </patternFill>
    </fill>
    <fill>
      <patternFill patternType="solid">
        <fgColor rgb="FF1F497D"/>
        <bgColor indexed="64"/>
      </patternFill>
    </fill>
    <fill>
      <patternFill patternType="solid">
        <fgColor theme="4"/>
        <bgColor indexed="64"/>
      </patternFill>
    </fill>
  </fills>
  <borders count="3">
    <border>
      <left/>
      <right/>
      <top/>
      <bottom/>
      <diagonal/>
    </border>
    <border>
      <left style="hair">
        <color auto="1"/>
      </left>
      <right style="hair">
        <color auto="1"/>
      </right>
      <top style="hair">
        <color auto="1"/>
      </top>
      <bottom style="hair">
        <color auto="1"/>
      </bottom>
      <diagonal/>
    </border>
    <border>
      <left/>
      <right/>
      <top style="thin">
        <color auto="1"/>
      </top>
      <bottom/>
      <diagonal/>
    </border>
  </borders>
  <cellStyleXfs count="1">
    <xf numFmtId="0" fontId="0" fillId="0" borderId="0"/>
  </cellStyleXfs>
  <cellXfs count="33">
    <xf numFmtId="0" fontId="0" fillId="0" borderId="0" xfId="0"/>
    <xf numFmtId="0" fontId="0" fillId="2" borderId="1" xfId="0" applyFill="1" applyBorder="1"/>
    <xf numFmtId="14" fontId="0" fillId="2" borderId="1" xfId="0" applyNumberFormat="1" applyFill="1" applyBorder="1"/>
    <xf numFmtId="164" fontId="0" fillId="2" borderId="1" xfId="0" applyNumberFormat="1" applyFill="1" applyBorder="1"/>
    <xf numFmtId="0" fontId="3" fillId="0" borderId="0" xfId="0" applyFont="1"/>
    <xf numFmtId="0" fontId="0" fillId="0" borderId="0" xfId="0" applyAlignment="1">
      <alignment horizontal="center"/>
    </xf>
    <xf numFmtId="0" fontId="0" fillId="3" borderId="0" xfId="0" applyFill="1"/>
    <xf numFmtId="0" fontId="2" fillId="3" borderId="0" xfId="0" applyFont="1" applyFill="1"/>
    <xf numFmtId="0" fontId="1" fillId="0" borderId="0" xfId="0" applyFont="1"/>
    <xf numFmtId="0" fontId="4" fillId="0" borderId="0" xfId="0" applyFont="1"/>
    <xf numFmtId="37" fontId="0" fillId="0" borderId="0" xfId="0" applyNumberFormat="1"/>
    <xf numFmtId="0" fontId="0" fillId="0" borderId="2" xfId="0" applyBorder="1"/>
    <xf numFmtId="37" fontId="1" fillId="0" borderId="0" xfId="0" applyNumberFormat="1" applyFont="1"/>
    <xf numFmtId="9" fontId="4" fillId="0" borderId="0" xfId="0" applyNumberFormat="1" applyFont="1"/>
    <xf numFmtId="9" fontId="0" fillId="2" borderId="1" xfId="0" applyNumberFormat="1" applyFill="1" applyBorder="1"/>
    <xf numFmtId="10" fontId="0" fillId="2" borderId="1" xfId="0" applyNumberFormat="1" applyFill="1" applyBorder="1"/>
    <xf numFmtId="9" fontId="0" fillId="0" borderId="0" xfId="0" applyNumberFormat="1"/>
    <xf numFmtId="0" fontId="5" fillId="0" borderId="0" xfId="0" applyFont="1"/>
    <xf numFmtId="0" fontId="6" fillId="0" borderId="0" xfId="0" applyFont="1"/>
    <xf numFmtId="0" fontId="7" fillId="3" borderId="0" xfId="0" applyFont="1" applyFill="1"/>
    <xf numFmtId="0" fontId="8" fillId="0" borderId="0" xfId="0" applyFont="1"/>
    <xf numFmtId="3" fontId="0" fillId="0" borderId="0" xfId="0" applyNumberFormat="1"/>
    <xf numFmtId="10" fontId="0" fillId="0" borderId="0" xfId="0" applyNumberFormat="1"/>
    <xf numFmtId="2" fontId="0" fillId="0" borderId="0" xfId="0" applyNumberFormat="1"/>
    <xf numFmtId="0" fontId="9" fillId="4" borderId="0" xfId="0" applyFont="1" applyFill="1"/>
    <xf numFmtId="0" fontId="10" fillId="4" borderId="0" xfId="0" applyFont="1" applyFill="1" applyAlignment="1">
      <alignment horizontal="center" vertical="center"/>
    </xf>
    <xf numFmtId="0" fontId="10" fillId="4" borderId="0" xfId="0" applyFont="1" applyFill="1"/>
    <xf numFmtId="0" fontId="11" fillId="4" borderId="0" xfId="0" applyFont="1" applyFill="1"/>
    <xf numFmtId="39" fontId="12" fillId="5" borderId="0" xfId="0" applyNumberFormat="1" applyFont="1" applyFill="1"/>
    <xf numFmtId="10" fontId="11" fillId="5" borderId="0" xfId="0" applyNumberFormat="1" applyFont="1" applyFill="1"/>
    <xf numFmtId="4" fontId="9" fillId="0" borderId="0" xfId="0" applyNumberFormat="1" applyFont="1"/>
    <xf numFmtId="4" fontId="13" fillId="0" borderId="0" xfId="0" applyNumberFormat="1" applyFont="1"/>
    <xf numFmtId="0" fontId="11"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0</v>
    <v>AMAZON.COM, INC. (XNAS:AMZN)</v>
    <v>2</v>
    <v>3</v>
    <v>Finance</v>
    <v>4</v>
    <v>en-GB</v>
    <v>a1nhlh</v>
    <v>268435456</v>
    <v>1</v>
    <v>Powered by Refinitiv</v>
    <v>170.83150000000001</v>
    <v>81.430000000000007</v>
    <v>1.2336</v>
    <v>7.76</v>
    <v>7.3799000000000003E-2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1544000</v>
    <v>Nasdaq Stock Market</v>
    <v>XNAS</v>
    <v>XNAS</v>
    <v>410 Terry Ave N, SEATTLE, WA, 98109 US</v>
    <v>114</v>
    <v>Diversified Retail</v>
    <v>Stock</v>
    <v>44960.041665995312</v>
    <v>0</v>
    <v>108.88</v>
    <v>1072704000000</v>
    <v>AMAZON.COM, INC.</v>
    <v>AMAZON.COM, INC.</v>
    <v>110.245</v>
    <v>97.036199999999994</v>
    <v>105.15</v>
    <v>112.91</v>
    <v>10201650000</v>
    <v>AMZN</v>
    <v>AMAZON.COM, INC. (XNAS:AMZN)</v>
    <v>182874</v>
    <v>73486328</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F027E-8B9D-F845-AC8B-5CCFBBA4DA7E}">
  <dimension ref="A3:P122"/>
  <sheetViews>
    <sheetView showGridLines="0" tabSelected="1" topLeftCell="A19" zoomScale="160" zoomScaleNormal="160" workbookViewId="0">
      <pane xSplit="2" topLeftCell="C1" activePane="topRight" state="frozen"/>
      <selection pane="topRight" activeCell="G125" sqref="G125"/>
    </sheetView>
  </sheetViews>
  <sheetFormatPr baseColWidth="10" defaultRowHeight="16" x14ac:dyDescent="0.2"/>
  <cols>
    <col min="1" max="1" width="3.83203125" customWidth="1"/>
    <col min="2" max="2" width="27.83203125" customWidth="1"/>
    <col min="5" max="5" width="10.83203125" customWidth="1"/>
    <col min="9" max="9" width="10.83203125" customWidth="1"/>
    <col min="12" max="12" width="13.33203125" bestFit="1" customWidth="1"/>
  </cols>
  <sheetData>
    <row r="3" spans="1:12" x14ac:dyDescent="0.2">
      <c r="C3" t="s">
        <v>0</v>
      </c>
      <c r="D3" s="1" t="e" vm="1">
        <v>#VALUE!</v>
      </c>
      <c r="F3" t="s">
        <v>2</v>
      </c>
      <c r="H3" s="3" cm="1">
        <f t="array" ref="H3">_FV(D3,"Price")</f>
        <v>112.91</v>
      </c>
    </row>
    <row r="4" spans="1:12" x14ac:dyDescent="0.2">
      <c r="C4" t="s">
        <v>1</v>
      </c>
      <c r="D4" s="2">
        <v>44960</v>
      </c>
      <c r="F4" t="s">
        <v>3</v>
      </c>
      <c r="H4" s="3">
        <f ca="1">L108</f>
        <v>42.884429610109301</v>
      </c>
      <c r="J4" t="s">
        <v>4</v>
      </c>
      <c r="L4" s="14">
        <f ca="1">H4/H3-1</f>
        <v>-0.62018926924002038</v>
      </c>
    </row>
    <row r="5" spans="1:12" x14ac:dyDescent="0.2">
      <c r="L5" s="4"/>
    </row>
    <row r="6" spans="1:12" x14ac:dyDescent="0.2">
      <c r="L6" s="4"/>
    </row>
    <row r="7" spans="1:12" x14ac:dyDescent="0.2">
      <c r="A7" s="5" t="s">
        <v>6</v>
      </c>
      <c r="B7" s="7" t="s">
        <v>7</v>
      </c>
      <c r="C7" s="6"/>
      <c r="D7" s="6"/>
      <c r="E7" s="6"/>
      <c r="F7" s="6"/>
      <c r="G7" s="6"/>
      <c r="H7" s="6"/>
      <c r="I7" s="6"/>
      <c r="J7" s="6"/>
      <c r="K7" s="6"/>
      <c r="L7" s="6"/>
    </row>
    <row r="9" spans="1:12" x14ac:dyDescent="0.2">
      <c r="B9" s="8" t="s">
        <v>8</v>
      </c>
      <c r="C9" s="8" t="s">
        <v>9</v>
      </c>
      <c r="E9" s="8" t="s">
        <v>10</v>
      </c>
      <c r="F9" s="8"/>
      <c r="G9" s="8" t="s">
        <v>11</v>
      </c>
      <c r="H9" s="8"/>
      <c r="I9" s="8" t="s">
        <v>12</v>
      </c>
    </row>
    <row r="11" spans="1:12" x14ac:dyDescent="0.2">
      <c r="B11" s="8" t="s">
        <v>13</v>
      </c>
      <c r="C11" s="1">
        <v>2</v>
      </c>
      <c r="E11" s="14">
        <v>0.8</v>
      </c>
      <c r="G11" s="14">
        <v>0.08</v>
      </c>
      <c r="I11" s="14">
        <v>1.2</v>
      </c>
    </row>
    <row r="12" spans="1:12" x14ac:dyDescent="0.2">
      <c r="B12" s="8" t="s">
        <v>14</v>
      </c>
      <c r="C12" s="1">
        <v>2</v>
      </c>
      <c r="E12" s="14">
        <v>0.8</v>
      </c>
      <c r="G12" s="14">
        <v>0.1</v>
      </c>
      <c r="I12" s="14">
        <v>1.2</v>
      </c>
    </row>
    <row r="13" spans="1:12" x14ac:dyDescent="0.2">
      <c r="B13" s="8" t="s">
        <v>15</v>
      </c>
      <c r="C13" s="1">
        <v>2</v>
      </c>
      <c r="E13" s="14">
        <v>0.8</v>
      </c>
      <c r="G13" s="14">
        <v>0.15</v>
      </c>
      <c r="I13" s="14">
        <v>1.2</v>
      </c>
    </row>
    <row r="15" spans="1:12" x14ac:dyDescent="0.2">
      <c r="B15" s="8" t="s">
        <v>16</v>
      </c>
      <c r="C15" s="1">
        <v>2</v>
      </c>
      <c r="E15" s="14">
        <v>0.8</v>
      </c>
      <c r="G15" s="14">
        <v>0.06</v>
      </c>
      <c r="I15" s="14">
        <v>1.2</v>
      </c>
    </row>
    <row r="16" spans="1:12" x14ac:dyDescent="0.2">
      <c r="B16" s="8" t="s">
        <v>17</v>
      </c>
      <c r="C16" s="1">
        <v>2</v>
      </c>
      <c r="E16" s="15">
        <f>G16+0.005</f>
        <v>9.2296002897037266E-2</v>
      </c>
      <c r="G16" s="15">
        <f>AMZN_WACC!D23</f>
        <v>8.7296002897037261E-2</v>
      </c>
      <c r="I16" s="15">
        <f>G16-0.005</f>
        <v>8.2296002897037257E-2</v>
      </c>
    </row>
    <row r="17" spans="1:12" x14ac:dyDescent="0.2">
      <c r="B17" s="8" t="s">
        <v>18</v>
      </c>
      <c r="C17" s="1">
        <v>2</v>
      </c>
      <c r="E17" s="15">
        <f>G17-0.005</f>
        <v>0.02</v>
      </c>
      <c r="G17" s="15">
        <v>2.5000000000000001E-2</v>
      </c>
      <c r="I17" s="15">
        <f>G17+0.005</f>
        <v>3.0000000000000002E-2</v>
      </c>
    </row>
    <row r="19" spans="1:12" x14ac:dyDescent="0.2">
      <c r="B19" s="8" t="s">
        <v>17</v>
      </c>
      <c r="C19" s="15">
        <f>CHOOSE(C16,E16,G16,I16)</f>
        <v>8.7296002897037261E-2</v>
      </c>
    </row>
    <row r="20" spans="1:12" x14ac:dyDescent="0.2">
      <c r="B20" s="8" t="s">
        <v>18</v>
      </c>
      <c r="C20" s="15">
        <f>CHOOSE(C17,E17,G17,I17)</f>
        <v>2.5000000000000001E-2</v>
      </c>
    </row>
    <row r="22" spans="1:12" x14ac:dyDescent="0.2">
      <c r="A22" s="5" t="s">
        <v>6</v>
      </c>
      <c r="B22" s="7" t="s">
        <v>19</v>
      </c>
      <c r="C22" s="7">
        <v>2018</v>
      </c>
      <c r="D22" s="7">
        <v>2019</v>
      </c>
      <c r="E22" s="7">
        <v>2020</v>
      </c>
      <c r="F22" s="7">
        <v>2021</v>
      </c>
      <c r="G22" s="7">
        <v>2022</v>
      </c>
      <c r="H22" s="7">
        <v>2023</v>
      </c>
      <c r="I22" s="7">
        <v>2024</v>
      </c>
      <c r="J22" s="7">
        <v>2025</v>
      </c>
      <c r="K22" s="7">
        <v>2026</v>
      </c>
      <c r="L22" s="7">
        <v>2027</v>
      </c>
    </row>
    <row r="24" spans="1:12" x14ac:dyDescent="0.2">
      <c r="B24" s="8" t="str">
        <f>B11</f>
        <v xml:space="preserve">North America </v>
      </c>
      <c r="C24" s="10">
        <v>141366</v>
      </c>
      <c r="D24" s="10">
        <v>170773</v>
      </c>
      <c r="E24" s="10">
        <v>236282</v>
      </c>
      <c r="F24" s="10">
        <v>279833</v>
      </c>
      <c r="G24" s="10">
        <v>315880</v>
      </c>
      <c r="H24" s="10">
        <f ca="1">G24*(1+H25)</f>
        <v>389241.74023454648</v>
      </c>
      <c r="I24" s="10">
        <f t="shared" ref="I24:L24" ca="1" si="0">H24*(1+I25)</f>
        <v>464826.33626706828</v>
      </c>
      <c r="J24" s="10">
        <f t="shared" ca="1" si="0"/>
        <v>537396.32547721767</v>
      </c>
      <c r="K24" s="10">
        <f t="shared" ca="1" si="0"/>
        <v>600842.08806322969</v>
      </c>
      <c r="L24" s="10">
        <f t="shared" ca="1" si="0"/>
        <v>648909.45510828809</v>
      </c>
    </row>
    <row r="25" spans="1:12" x14ac:dyDescent="0.2">
      <c r="B25" s="9" t="s">
        <v>20</v>
      </c>
      <c r="D25" s="13">
        <f>D24/C24-1</f>
        <v>0.20802031605902416</v>
      </c>
      <c r="E25" s="13">
        <f t="shared" ref="E25:G25" si="1">E24/D24-1</f>
        <v>0.38360279435273736</v>
      </c>
      <c r="F25" s="13">
        <f t="shared" si="1"/>
        <v>0.1843178913332375</v>
      </c>
      <c r="G25" s="13">
        <f t="shared" si="1"/>
        <v>0.12881611532592663</v>
      </c>
      <c r="H25" s="13">
        <f ca="1">OFFSET(H25,$C$11,0)</f>
        <v>0.23224560033730049</v>
      </c>
      <c r="I25" s="13">
        <f t="shared" ref="I25:L25" ca="1" si="2">OFFSET(I25,$C$11,0)</f>
        <v>0.19418420025297536</v>
      </c>
      <c r="J25" s="13">
        <f t="shared" ca="1" si="2"/>
        <v>0.15612280016865024</v>
      </c>
      <c r="K25" s="13">
        <f t="shared" ca="1" si="2"/>
        <v>0.11806140008432511</v>
      </c>
      <c r="L25" s="13">
        <f t="shared" ca="1" si="2"/>
        <v>0.08</v>
      </c>
    </row>
    <row r="26" spans="1:12" x14ac:dyDescent="0.2">
      <c r="B26" t="s">
        <v>21</v>
      </c>
      <c r="H26" s="15">
        <f t="shared" ref="H26:K26" si="3">H27*$E$11</f>
        <v>0.18579648026984041</v>
      </c>
      <c r="I26" s="15">
        <f t="shared" si="3"/>
        <v>0.1553473602023803</v>
      </c>
      <c r="J26" s="15">
        <f t="shared" si="3"/>
        <v>0.12489824013492019</v>
      </c>
      <c r="K26" s="15">
        <f t="shared" si="3"/>
        <v>9.4449120067460091E-2</v>
      </c>
      <c r="L26" s="15">
        <f>L27*$E$11</f>
        <v>6.4000000000000001E-2</v>
      </c>
    </row>
    <row r="27" spans="1:12" x14ac:dyDescent="0.2">
      <c r="B27" t="s">
        <v>22</v>
      </c>
      <c r="H27" s="14">
        <f>AVERAGE(E25:G25)</f>
        <v>0.23224560033730049</v>
      </c>
      <c r="I27" s="14">
        <f>H27-(H27-$L$27)/($L$22-H22)</f>
        <v>0.19418420025297536</v>
      </c>
      <c r="J27" s="14">
        <f t="shared" ref="J27:K27" si="4">I27-(I27-$L$27)/($L$22-I22)</f>
        <v>0.15612280016865024</v>
      </c>
      <c r="K27" s="14">
        <f t="shared" si="4"/>
        <v>0.11806140008432511</v>
      </c>
      <c r="L27" s="14">
        <f>G11</f>
        <v>0.08</v>
      </c>
    </row>
    <row r="28" spans="1:12" x14ac:dyDescent="0.2">
      <c r="B28" t="s">
        <v>23</v>
      </c>
      <c r="H28" s="15">
        <f t="shared" ref="H28:K28" si="5">H27*$I$11</f>
        <v>0.27869472040476057</v>
      </c>
      <c r="I28" s="15">
        <f t="shared" si="5"/>
        <v>0.23302104030357043</v>
      </c>
      <c r="J28" s="15">
        <f t="shared" si="5"/>
        <v>0.18734736020238027</v>
      </c>
      <c r="K28" s="15">
        <f t="shared" si="5"/>
        <v>0.14167368010119014</v>
      </c>
      <c r="L28" s="15">
        <f>L27*$I$11</f>
        <v>9.6000000000000002E-2</v>
      </c>
    </row>
    <row r="29" spans="1:12" x14ac:dyDescent="0.2">
      <c r="B29" s="9" t="s">
        <v>24</v>
      </c>
      <c r="C29" s="13">
        <f>C24/C46</f>
        <v>0.6070154194952917</v>
      </c>
      <c r="D29" s="13">
        <f t="shared" ref="D29:L29" si="6">D24/D46</f>
        <v>0.60876865272598946</v>
      </c>
      <c r="E29" s="13">
        <f t="shared" si="6"/>
        <v>0.61202805752414102</v>
      </c>
      <c r="F29" s="13">
        <f t="shared" si="6"/>
        <v>0.59561493501794294</v>
      </c>
      <c r="G29" s="13">
        <f t="shared" si="6"/>
        <v>0.61457285552245888</v>
      </c>
      <c r="H29" s="13">
        <f t="shared" ca="1" si="6"/>
        <v>0.61414242573482691</v>
      </c>
      <c r="I29" s="13">
        <f t="shared" ca="1" si="6"/>
        <v>0.611008854418717</v>
      </c>
      <c r="J29" s="13">
        <f t="shared" ca="1" si="6"/>
        <v>0.60544058461437711</v>
      </c>
      <c r="K29" s="13">
        <f t="shared" ca="1" si="6"/>
        <v>0.59764992241995063</v>
      </c>
      <c r="L29" s="13">
        <f t="shared" ca="1" si="6"/>
        <v>0.58778196884934364</v>
      </c>
    </row>
    <row r="31" spans="1:12" x14ac:dyDescent="0.2">
      <c r="B31" s="8" t="str">
        <f>B12</f>
        <v xml:space="preserve">International </v>
      </c>
      <c r="C31" s="10">
        <v>65866</v>
      </c>
      <c r="D31" s="10">
        <v>74723</v>
      </c>
      <c r="E31" s="10">
        <v>104412</v>
      </c>
      <c r="F31" s="10">
        <v>127787</v>
      </c>
      <c r="G31" s="10">
        <v>118007</v>
      </c>
      <c r="H31" s="10">
        <f ca="1">G31*(1+H32)</f>
        <v>138042.52005901697</v>
      </c>
      <c r="I31" s="10">
        <f t="shared" ref="I31:L31" ca="1" si="7">H31*(1+I32)</f>
        <v>159071.48318277128</v>
      </c>
      <c r="J31" s="10">
        <f t="shared" ca="1" si="7"/>
        <v>180528.83208461999</v>
      </c>
      <c r="K31" s="10">
        <f t="shared" ca="1" si="7"/>
        <v>201731.15229190694</v>
      </c>
      <c r="L31" s="10">
        <f t="shared" ca="1" si="7"/>
        <v>221904.26752109764</v>
      </c>
    </row>
    <row r="32" spans="1:12" x14ac:dyDescent="0.2">
      <c r="B32" s="9" t="s">
        <v>20</v>
      </c>
      <c r="D32" s="13">
        <f>D31/C31-1</f>
        <v>0.13446998451401337</v>
      </c>
      <c r="E32" s="13">
        <f t="shared" ref="E32:G32" si="8">E31/D31-1</f>
        <v>0.39732077138230526</v>
      </c>
      <c r="F32" s="13">
        <f t="shared" si="8"/>
        <v>0.22387273493468185</v>
      </c>
      <c r="G32" s="13">
        <f t="shared" si="8"/>
        <v>-7.6533606704907386E-2</v>
      </c>
      <c r="H32" s="13">
        <f ca="1">OFFSET(H32,$C$12,0)</f>
        <v>0.16978247103152327</v>
      </c>
      <c r="I32" s="13">
        <f t="shared" ref="I32:L32" ca="1" si="9">OFFSET(I32,$C$12,0)</f>
        <v>0.15233685327364246</v>
      </c>
      <c r="J32" s="13">
        <f t="shared" ca="1" si="9"/>
        <v>0.13489123551576165</v>
      </c>
      <c r="K32" s="13">
        <f t="shared" ca="1" si="9"/>
        <v>0.11744561775788083</v>
      </c>
      <c r="L32" s="13">
        <f t="shared" ca="1" si="9"/>
        <v>0.1</v>
      </c>
    </row>
    <row r="33" spans="2:12" x14ac:dyDescent="0.2">
      <c r="B33" t="s">
        <v>21</v>
      </c>
      <c r="H33" s="15">
        <f t="shared" ref="H33:K33" si="10">H34*$E$12</f>
        <v>0.13582597682521863</v>
      </c>
      <c r="I33" s="15">
        <f t="shared" si="10"/>
        <v>0.12186948261891398</v>
      </c>
      <c r="J33" s="15">
        <f t="shared" si="10"/>
        <v>0.10791298841260932</v>
      </c>
      <c r="K33" s="15">
        <f t="shared" si="10"/>
        <v>9.3956494206304669E-2</v>
      </c>
      <c r="L33" s="15">
        <f>L34*$E$12</f>
        <v>8.0000000000000016E-2</v>
      </c>
    </row>
    <row r="34" spans="2:12" x14ac:dyDescent="0.2">
      <c r="B34" t="s">
        <v>22</v>
      </c>
      <c r="H34" s="14">
        <f>AVERAGE(D32:G32)</f>
        <v>0.16978247103152327</v>
      </c>
      <c r="I34" s="14">
        <f>H34-(H34-$L$34)/($L$22-H22)</f>
        <v>0.15233685327364246</v>
      </c>
      <c r="J34" s="14">
        <f t="shared" ref="J34:K34" si="11">I34-(I34-$L$34)/($L$22-I22)</f>
        <v>0.13489123551576165</v>
      </c>
      <c r="K34" s="14">
        <f t="shared" si="11"/>
        <v>0.11744561775788083</v>
      </c>
      <c r="L34" s="14">
        <f>G12</f>
        <v>0.1</v>
      </c>
    </row>
    <row r="35" spans="2:12" x14ac:dyDescent="0.2">
      <c r="B35" t="s">
        <v>23</v>
      </c>
      <c r="H35" s="15">
        <f t="shared" ref="H35:K35" si="12">H34*$I$13</f>
        <v>0.20373896523782792</v>
      </c>
      <c r="I35" s="15">
        <f t="shared" si="12"/>
        <v>0.18280422392837095</v>
      </c>
      <c r="J35" s="15">
        <f t="shared" si="12"/>
        <v>0.16186948261891398</v>
      </c>
      <c r="K35" s="15">
        <f t="shared" si="12"/>
        <v>0.14093474130945699</v>
      </c>
      <c r="L35" s="15">
        <f>L34*$I$13</f>
        <v>0.12</v>
      </c>
    </row>
    <row r="36" spans="2:12" x14ac:dyDescent="0.2">
      <c r="B36" s="9" t="s">
        <v>24</v>
      </c>
      <c r="C36" s="13">
        <f>C31/C46</f>
        <v>0.28282385878129734</v>
      </c>
      <c r="D36" s="13">
        <f t="shared" ref="D36:L36" si="13">D31/D46</f>
        <v>0.26637126499882363</v>
      </c>
      <c r="E36" s="13">
        <f t="shared" si="13"/>
        <v>0.27045256744995649</v>
      </c>
      <c r="F36" s="13">
        <f t="shared" si="13"/>
        <v>0.27199024311334929</v>
      </c>
      <c r="G36" s="13">
        <f t="shared" si="13"/>
        <v>0.22959319666214642</v>
      </c>
      <c r="H36" s="13">
        <f t="shared" ca="1" si="13"/>
        <v>0.21780235612066787</v>
      </c>
      <c r="I36" s="13">
        <f t="shared" ca="1" si="13"/>
        <v>0.20909762878484567</v>
      </c>
      <c r="J36" s="13">
        <f t="shared" ca="1" si="13"/>
        <v>0.20338710269372073</v>
      </c>
      <c r="K36" s="13">
        <f t="shared" ca="1" si="13"/>
        <v>0.20065939106492453</v>
      </c>
      <c r="L36" s="13">
        <f t="shared" ca="1" si="13"/>
        <v>0.2010008117971655</v>
      </c>
    </row>
    <row r="38" spans="2:12" x14ac:dyDescent="0.2">
      <c r="B38" s="8" t="str">
        <f>B13</f>
        <v>AWS</v>
      </c>
      <c r="C38" s="10">
        <v>25655</v>
      </c>
      <c r="D38" s="10">
        <v>35026</v>
      </c>
      <c r="E38" s="10">
        <v>45370</v>
      </c>
      <c r="F38" s="10">
        <v>62202</v>
      </c>
      <c r="G38" s="10">
        <v>80096</v>
      </c>
      <c r="H38" s="10">
        <f ca="1">G38*(1+H39)</f>
        <v>106512.92407912546</v>
      </c>
      <c r="I38" s="10">
        <f t="shared" ref="I38:L38" ca="1" si="14">H38*(1+I39)</f>
        <v>136854.39044944351</v>
      </c>
      <c r="J38" s="10">
        <f t="shared" ca="1" si="14"/>
        <v>169686.83795627119</v>
      </c>
      <c r="K38" s="10">
        <f t="shared" ca="1" si="14"/>
        <v>202767.9560937036</v>
      </c>
      <c r="L38" s="10">
        <f t="shared" ca="1" si="14"/>
        <v>233183.14950775911</v>
      </c>
    </row>
    <row r="39" spans="2:12" x14ac:dyDescent="0.2">
      <c r="B39" s="9" t="s">
        <v>20</v>
      </c>
      <c r="D39" s="13">
        <f>D38/C38-1</f>
        <v>0.36526992788930035</v>
      </c>
      <c r="E39" s="13">
        <f t="shared" ref="E39:G39" si="15">E38/D38-1</f>
        <v>0.29532347399074976</v>
      </c>
      <c r="F39" s="13">
        <f t="shared" si="15"/>
        <v>0.37099404893101173</v>
      </c>
      <c r="G39" s="13">
        <f t="shared" si="15"/>
        <v>0.28767563743931057</v>
      </c>
      <c r="H39" s="13">
        <f ca="1">OFFSET(H39,$C$13,0)</f>
        <v>0.3298157720625931</v>
      </c>
      <c r="I39" s="13">
        <f t="shared" ref="I39:L39" ca="1" si="16">OFFSET(I39,$C$13,0)</f>
        <v>0.28486182904694485</v>
      </c>
      <c r="J39" s="13">
        <f t="shared" ca="1" si="16"/>
        <v>0.23990788603129656</v>
      </c>
      <c r="K39" s="13">
        <f t="shared" ca="1" si="16"/>
        <v>0.19495394301564828</v>
      </c>
      <c r="L39" s="13">
        <f t="shared" ca="1" si="16"/>
        <v>0.15</v>
      </c>
    </row>
    <row r="40" spans="2:12" x14ac:dyDescent="0.2">
      <c r="B40" t="s">
        <v>21</v>
      </c>
      <c r="H40" s="15">
        <f t="shared" ref="H40:K40" si="17">H41*$E$13</f>
        <v>0.26385261765007451</v>
      </c>
      <c r="I40" s="15">
        <f t="shared" si="17"/>
        <v>0.22788946323755588</v>
      </c>
      <c r="J40" s="15">
        <f t="shared" si="17"/>
        <v>0.19192630882503725</v>
      </c>
      <c r="K40" s="15">
        <f t="shared" si="17"/>
        <v>0.15596315441251862</v>
      </c>
      <c r="L40" s="15">
        <f>L41*$E$13</f>
        <v>0.12</v>
      </c>
    </row>
    <row r="41" spans="2:12" x14ac:dyDescent="0.2">
      <c r="B41" t="s">
        <v>22</v>
      </c>
      <c r="H41" s="14">
        <f>AVERAGE(D39:G39)</f>
        <v>0.3298157720625931</v>
      </c>
      <c r="I41" s="14">
        <f>H41-(H41-$L$41)/($L$22-H22)</f>
        <v>0.28486182904694485</v>
      </c>
      <c r="J41" s="14">
        <f t="shared" ref="J41:K41" si="18">I41-(I41-$L$41)/($L$22-I22)</f>
        <v>0.23990788603129656</v>
      </c>
      <c r="K41" s="14">
        <f t="shared" si="18"/>
        <v>0.19495394301564828</v>
      </c>
      <c r="L41" s="14">
        <f>G13</f>
        <v>0.15</v>
      </c>
    </row>
    <row r="42" spans="2:12" x14ac:dyDescent="0.2">
      <c r="B42" t="s">
        <v>23</v>
      </c>
      <c r="H42" s="15">
        <f t="shared" ref="H42:K42" si="19">H41*$I$13</f>
        <v>0.3957789264751117</v>
      </c>
      <c r="I42" s="15">
        <f t="shared" si="19"/>
        <v>0.34183419485633382</v>
      </c>
      <c r="J42" s="15">
        <f t="shared" si="19"/>
        <v>0.28788946323755588</v>
      </c>
      <c r="K42" s="15">
        <f t="shared" si="19"/>
        <v>0.23394473161877793</v>
      </c>
      <c r="L42" s="15">
        <f>L41*$I$13</f>
        <v>0.18</v>
      </c>
    </row>
    <row r="43" spans="2:12" x14ac:dyDescent="0.2">
      <c r="B43" s="9" t="s">
        <v>24</v>
      </c>
      <c r="C43" s="13">
        <f>C38/C46</f>
        <v>0.11016072172341093</v>
      </c>
      <c r="D43" s="13">
        <f t="shared" ref="D43:L43" si="20">D38/D46</f>
        <v>0.12486008227518697</v>
      </c>
      <c r="E43" s="13">
        <f t="shared" si="20"/>
        <v>0.11751937502590244</v>
      </c>
      <c r="F43" s="13">
        <f t="shared" si="20"/>
        <v>0.13239482186870771</v>
      </c>
      <c r="G43" s="13">
        <f t="shared" si="20"/>
        <v>0.15583394781539467</v>
      </c>
      <c r="H43" s="13">
        <f t="shared" ca="1" si="20"/>
        <v>0.16805521814450528</v>
      </c>
      <c r="I43" s="13">
        <f t="shared" ca="1" si="20"/>
        <v>0.17989351679643736</v>
      </c>
      <c r="J43" s="13">
        <f t="shared" ca="1" si="20"/>
        <v>0.19117231269190219</v>
      </c>
      <c r="K43" s="13">
        <f t="shared" ca="1" si="20"/>
        <v>0.20169068651512487</v>
      </c>
      <c r="L43" s="13">
        <f t="shared" ca="1" si="20"/>
        <v>0.21121721935349083</v>
      </c>
    </row>
    <row r="45" spans="2:12" x14ac:dyDescent="0.2">
      <c r="B45" s="11"/>
      <c r="C45" s="11"/>
      <c r="D45" s="11"/>
      <c r="E45" s="11"/>
      <c r="F45" s="11"/>
      <c r="G45" s="11"/>
      <c r="H45" s="11"/>
      <c r="I45" s="11"/>
      <c r="J45" s="11"/>
      <c r="K45" s="11"/>
      <c r="L45" s="11"/>
    </row>
    <row r="46" spans="2:12" x14ac:dyDescent="0.2">
      <c r="B46" s="8" t="s">
        <v>25</v>
      </c>
      <c r="C46" s="12">
        <f>SUM(C24,C31,C38)</f>
        <v>232887</v>
      </c>
      <c r="D46" s="12">
        <f t="shared" ref="D46:L46" si="21">SUM(D24,D31,D38)</f>
        <v>280522</v>
      </c>
      <c r="E46" s="12">
        <f t="shared" si="21"/>
        <v>386064</v>
      </c>
      <c r="F46" s="12">
        <f t="shared" si="21"/>
        <v>469822</v>
      </c>
      <c r="G46" s="12">
        <f t="shared" si="21"/>
        <v>513983</v>
      </c>
      <c r="H46" s="12">
        <f t="shared" ca="1" si="21"/>
        <v>633797.18437268888</v>
      </c>
      <c r="I46" s="12">
        <f t="shared" ca="1" si="21"/>
        <v>760752.20989928301</v>
      </c>
      <c r="J46" s="12">
        <f t="shared" ca="1" si="21"/>
        <v>887611.99551810883</v>
      </c>
      <c r="K46" s="12">
        <f t="shared" ca="1" si="21"/>
        <v>1005341.1964488402</v>
      </c>
      <c r="L46" s="12">
        <f t="shared" ca="1" si="21"/>
        <v>1103996.8721371449</v>
      </c>
    </row>
    <row r="47" spans="2:12" s="9" customFormat="1" x14ac:dyDescent="0.2">
      <c r="B47" s="9" t="s">
        <v>20</v>
      </c>
      <c r="D47" s="13">
        <f>D46/C46-1</f>
        <v>0.20454125820676983</v>
      </c>
      <c r="E47" s="13">
        <f t="shared" ref="E47:L47" si="22">E46/D46-1</f>
        <v>0.37623430604373276</v>
      </c>
      <c r="F47" s="13">
        <f t="shared" si="22"/>
        <v>0.21695366571345676</v>
      </c>
      <c r="G47" s="13">
        <f t="shared" si="22"/>
        <v>9.399517263985091E-2</v>
      </c>
      <c r="H47" s="13">
        <f t="shared" ca="1" si="22"/>
        <v>0.2331092358554443</v>
      </c>
      <c r="I47" s="13">
        <f t="shared" ca="1" si="22"/>
        <v>0.20030859817127444</v>
      </c>
      <c r="J47" s="13">
        <f t="shared" ca="1" si="22"/>
        <v>0.16675572409526218</v>
      </c>
      <c r="K47" s="13">
        <f t="shared" ca="1" si="22"/>
        <v>0.13263588316200203</v>
      </c>
      <c r="L47" s="13">
        <f t="shared" ca="1" si="22"/>
        <v>9.8131535877357345E-2</v>
      </c>
    </row>
    <row r="49" spans="1:12" x14ac:dyDescent="0.2">
      <c r="A49" s="5" t="s">
        <v>6</v>
      </c>
      <c r="B49" s="7" t="s">
        <v>26</v>
      </c>
      <c r="C49" s="7">
        <v>2018</v>
      </c>
      <c r="D49" s="7">
        <v>2019</v>
      </c>
      <c r="E49" s="7">
        <v>2020</v>
      </c>
      <c r="F49" s="7">
        <v>2021</v>
      </c>
      <c r="G49" s="7">
        <v>2022</v>
      </c>
      <c r="H49" s="7">
        <v>2023</v>
      </c>
      <c r="I49" s="7">
        <v>2024</v>
      </c>
      <c r="J49" s="7">
        <v>2025</v>
      </c>
      <c r="K49" s="7">
        <v>2026</v>
      </c>
      <c r="L49" s="7">
        <v>2027</v>
      </c>
    </row>
    <row r="51" spans="1:12" x14ac:dyDescent="0.2">
      <c r="B51" s="8" t="s">
        <v>27</v>
      </c>
      <c r="C51" s="10">
        <f t="shared" ref="C51:F51" si="23">C46</f>
        <v>232887</v>
      </c>
      <c r="D51" s="10">
        <f t="shared" si="23"/>
        <v>280522</v>
      </c>
      <c r="E51" s="10">
        <f t="shared" si="23"/>
        <v>386064</v>
      </c>
      <c r="F51" s="10">
        <f t="shared" si="23"/>
        <v>469822</v>
      </c>
      <c r="G51" s="10">
        <f>G46</f>
        <v>513983</v>
      </c>
      <c r="H51" s="10">
        <f t="shared" ref="H51:L51" ca="1" si="24">H46</f>
        <v>633797.18437268888</v>
      </c>
      <c r="I51" s="10">
        <f t="shared" ca="1" si="24"/>
        <v>760752.20989928301</v>
      </c>
      <c r="J51" s="10">
        <f t="shared" ca="1" si="24"/>
        <v>887611.99551810883</v>
      </c>
      <c r="K51" s="10">
        <f t="shared" ca="1" si="24"/>
        <v>1005341.1964488402</v>
      </c>
      <c r="L51" s="10">
        <f t="shared" ca="1" si="24"/>
        <v>1103996.8721371449</v>
      </c>
    </row>
    <row r="52" spans="1:12" x14ac:dyDescent="0.2">
      <c r="B52" s="9" t="s">
        <v>20</v>
      </c>
      <c r="D52" s="13">
        <f>D51/C51-1</f>
        <v>0.20454125820676983</v>
      </c>
      <c r="E52" s="13">
        <f t="shared" ref="E52:G52" si="25">E51/D51-1</f>
        <v>0.37623430604373276</v>
      </c>
      <c r="F52" s="13">
        <f t="shared" si="25"/>
        <v>0.21695366571345676</v>
      </c>
      <c r="G52" s="13">
        <f t="shared" si="25"/>
        <v>9.399517263985091E-2</v>
      </c>
      <c r="H52" s="13">
        <f t="shared" ref="H52" ca="1" si="26">H51/G51-1</f>
        <v>0.2331092358554443</v>
      </c>
      <c r="I52" s="13">
        <f t="shared" ref="I52" ca="1" si="27">I51/H51-1</f>
        <v>0.20030859817127444</v>
      </c>
      <c r="J52" s="13">
        <f t="shared" ref="J52" ca="1" si="28">J51/I51-1</f>
        <v>0.16675572409526218</v>
      </c>
      <c r="K52" s="13">
        <f t="shared" ref="K52" ca="1" si="29">K51/J51-1</f>
        <v>0.13263588316200203</v>
      </c>
      <c r="L52" s="13">
        <f t="shared" ref="L52" ca="1" si="30">L51/K51-1</f>
        <v>9.8131535877357345E-2</v>
      </c>
    </row>
    <row r="54" spans="1:12" x14ac:dyDescent="0.2">
      <c r="B54" s="8" t="s">
        <v>16</v>
      </c>
      <c r="C54" s="10">
        <v>12421</v>
      </c>
      <c r="D54" s="10">
        <v>14541</v>
      </c>
      <c r="E54" s="10">
        <v>22899</v>
      </c>
      <c r="F54" s="10">
        <v>24879</v>
      </c>
      <c r="G54" s="10">
        <v>12248</v>
      </c>
      <c r="H54" s="10">
        <f ca="1">H51*H55</f>
        <v>28752.77528646959</v>
      </c>
      <c r="I54" s="10">
        <f t="shared" ref="I54:L54" ca="1" si="31">I51*I55</f>
        <v>30975.185733916365</v>
      </c>
      <c r="J54" s="10">
        <f t="shared" ca="1" si="31"/>
        <v>32519.736292926711</v>
      </c>
      <c r="K54" s="10">
        <f t="shared" ca="1" si="31"/>
        <v>41125.073518269521</v>
      </c>
      <c r="L54" s="10">
        <f t="shared" ca="1" si="31"/>
        <v>43519.718848476594</v>
      </c>
    </row>
    <row r="55" spans="1:12" s="9" customFormat="1" x14ac:dyDescent="0.2">
      <c r="B55" s="9" t="s">
        <v>24</v>
      </c>
      <c r="C55" s="13">
        <f t="shared" ref="C55:F55" si="32">C54/C51</f>
        <v>5.3334879147397665E-2</v>
      </c>
      <c r="D55" s="13">
        <f t="shared" si="32"/>
        <v>5.1835506662579051E-2</v>
      </c>
      <c r="E55" s="13">
        <f t="shared" si="32"/>
        <v>5.9313999751336569E-2</v>
      </c>
      <c r="F55" s="13">
        <f t="shared" si="32"/>
        <v>5.2954097509269465E-2</v>
      </c>
      <c r="G55" s="13">
        <f>G54/G51</f>
        <v>2.3829581912242232E-2</v>
      </c>
      <c r="H55" s="13">
        <f>AVERAGE(E55:G55)</f>
        <v>4.536589305761609E-2</v>
      </c>
      <c r="I55" s="13">
        <f t="shared" ref="I55:L55" si="33">AVERAGE(F55:H55)</f>
        <v>4.0716524159709257E-2</v>
      </c>
      <c r="J55" s="13">
        <f t="shared" si="33"/>
        <v>3.6637333043189196E-2</v>
      </c>
      <c r="K55" s="13">
        <f t="shared" si="33"/>
        <v>4.0906583420171512E-2</v>
      </c>
      <c r="L55" s="13">
        <f t="shared" si="33"/>
        <v>3.9420146874356653E-2</v>
      </c>
    </row>
    <row r="57" spans="1:12" x14ac:dyDescent="0.2">
      <c r="B57" s="8" t="s">
        <v>28</v>
      </c>
      <c r="C57" s="10">
        <v>1197</v>
      </c>
      <c r="D57" s="10">
        <v>2374</v>
      </c>
      <c r="E57" s="10">
        <v>2863</v>
      </c>
      <c r="F57" s="10">
        <v>4791</v>
      </c>
      <c r="G57" s="10">
        <v>-3217</v>
      </c>
      <c r="H57" s="10">
        <f ca="1">H54*H58</f>
        <v>5750.5550572939183</v>
      </c>
      <c r="I57" s="10">
        <f t="shared" ref="I57:L57" ca="1" si="34">I54*I58</f>
        <v>6195.0371467832738</v>
      </c>
      <c r="J57" s="10">
        <f t="shared" ca="1" si="34"/>
        <v>6503.9472585853428</v>
      </c>
      <c r="K57" s="10">
        <f t="shared" ca="1" si="34"/>
        <v>8225.0147036539038</v>
      </c>
      <c r="L57" s="10">
        <f t="shared" ca="1" si="34"/>
        <v>8703.9437696953191</v>
      </c>
    </row>
    <row r="58" spans="1:12" x14ac:dyDescent="0.2">
      <c r="B58" s="9" t="s">
        <v>29</v>
      </c>
      <c r="C58" s="13">
        <f>C57/C54</f>
        <v>9.6369052411239026E-2</v>
      </c>
      <c r="D58" s="13">
        <f t="shared" ref="D58:G58" si="35">D57/D54</f>
        <v>0.16326249914036173</v>
      </c>
      <c r="E58" s="13">
        <f t="shared" si="35"/>
        <v>0.12502729376828683</v>
      </c>
      <c r="F58" s="13">
        <f t="shared" si="35"/>
        <v>0.1925720487157844</v>
      </c>
      <c r="G58" s="13">
        <f t="shared" si="35"/>
        <v>-0.2626551273677335</v>
      </c>
      <c r="H58" s="13">
        <v>0.2</v>
      </c>
      <c r="I58" s="13">
        <v>0.2</v>
      </c>
      <c r="J58" s="13">
        <v>0.2</v>
      </c>
      <c r="K58" s="13">
        <v>0.2</v>
      </c>
      <c r="L58" s="13">
        <v>0.2</v>
      </c>
    </row>
    <row r="60" spans="1:12" x14ac:dyDescent="0.2">
      <c r="A60" s="5" t="s">
        <v>6</v>
      </c>
      <c r="B60" s="7" t="s">
        <v>30</v>
      </c>
      <c r="C60" s="7">
        <v>2018</v>
      </c>
      <c r="D60" s="7">
        <v>2019</v>
      </c>
      <c r="E60" s="7">
        <v>2020</v>
      </c>
      <c r="F60" s="7">
        <v>2021</v>
      </c>
      <c r="G60" s="7">
        <v>2022</v>
      </c>
      <c r="H60" s="7">
        <v>2023</v>
      </c>
      <c r="I60" s="7">
        <v>2024</v>
      </c>
      <c r="J60" s="7">
        <v>2025</v>
      </c>
      <c r="K60" s="7">
        <v>2026</v>
      </c>
      <c r="L60" s="7">
        <v>2027</v>
      </c>
    </row>
    <row r="62" spans="1:12" x14ac:dyDescent="0.2">
      <c r="B62" s="8" t="s">
        <v>31</v>
      </c>
      <c r="C62" s="10">
        <v>15341</v>
      </c>
      <c r="D62" s="10">
        <v>21789</v>
      </c>
      <c r="E62" s="10">
        <v>25251</v>
      </c>
      <c r="F62" s="10">
        <v>34433</v>
      </c>
      <c r="G62" s="10">
        <v>41921</v>
      </c>
      <c r="H62" s="10">
        <f ca="1">H51*H63</f>
        <v>46532.708103101606</v>
      </c>
      <c r="I62" s="10">
        <f t="shared" ref="I62:L62" ca="1" si="36">I51*I63</f>
        <v>57885.495448287358</v>
      </c>
      <c r="J62" s="10">
        <f t="shared" ca="1" si="36"/>
        <v>68366.776687278121</v>
      </c>
      <c r="K62" s="10">
        <f t="shared" ca="1" si="36"/>
        <v>75913.987001069079</v>
      </c>
      <c r="L62" s="10">
        <f t="shared" ca="1" si="36"/>
        <v>84133.302909530088</v>
      </c>
    </row>
    <row r="63" spans="1:12" s="9" customFormat="1" x14ac:dyDescent="0.2">
      <c r="B63" s="9" t="s">
        <v>32</v>
      </c>
      <c r="C63" s="13">
        <f>C62/C51</f>
        <v>6.5873148780309768E-2</v>
      </c>
      <c r="D63" s="13">
        <f t="shared" ref="D63:G63" si="37">D62/D51</f>
        <v>7.7673052380918428E-2</v>
      </c>
      <c r="E63" s="13">
        <f t="shared" si="37"/>
        <v>6.5406253885366153E-2</v>
      </c>
      <c r="F63" s="13">
        <f t="shared" si="37"/>
        <v>7.3289458560901785E-2</v>
      </c>
      <c r="G63" s="13">
        <f t="shared" si="37"/>
        <v>8.1561063303650122E-2</v>
      </c>
      <c r="H63" s="13">
        <f>AVERAGE(E63:G63)</f>
        <v>7.3418925249972691E-2</v>
      </c>
      <c r="I63" s="13">
        <f t="shared" ref="I63:L63" si="38">AVERAGE(F63:H63)</f>
        <v>7.6089815704841524E-2</v>
      </c>
      <c r="J63" s="13">
        <f t="shared" si="38"/>
        <v>7.7023268086154784E-2</v>
      </c>
      <c r="K63" s="13">
        <f t="shared" si="38"/>
        <v>7.5510669680322995E-2</v>
      </c>
      <c r="L63" s="13">
        <f t="shared" si="38"/>
        <v>7.6207917823773105E-2</v>
      </c>
    </row>
    <row r="64" spans="1:12" x14ac:dyDescent="0.2">
      <c r="B64" s="9" t="s">
        <v>33</v>
      </c>
      <c r="C64" s="13">
        <f>C62/C66</f>
        <v>1.142548596112311</v>
      </c>
      <c r="D64" s="13">
        <f t="shared" ref="D64:L64" si="39">D62/D66</f>
        <v>1.2922721072297016</v>
      </c>
      <c r="E64" s="13">
        <f t="shared" si="39"/>
        <v>0.62907324364723471</v>
      </c>
      <c r="F64" s="13">
        <f t="shared" si="39"/>
        <v>0.56398538974333778</v>
      </c>
      <c r="G64" s="13">
        <f t="shared" si="39"/>
        <v>0.65866918061120272</v>
      </c>
      <c r="H64" s="13">
        <f t="shared" ca="1" si="39"/>
        <v>0.61567462522617533</v>
      </c>
      <c r="I64" s="13">
        <f t="shared" ca="1" si="39"/>
        <v>0.61194006743671125</v>
      </c>
      <c r="J64" s="13">
        <f t="shared" ca="1" si="39"/>
        <v>0.62890075908549481</v>
      </c>
      <c r="K64" s="13">
        <f t="shared" ca="1" si="39"/>
        <v>0.6188311198489681</v>
      </c>
      <c r="L64" s="13">
        <f t="shared" ca="1" si="39"/>
        <v>0.61985165563170175</v>
      </c>
    </row>
    <row r="66" spans="1:12" x14ac:dyDescent="0.2">
      <c r="B66" s="8" t="s">
        <v>34</v>
      </c>
      <c r="C66" s="10">
        <v>13427</v>
      </c>
      <c r="D66" s="10">
        <v>16861</v>
      </c>
      <c r="E66" s="10">
        <v>40140</v>
      </c>
      <c r="F66" s="10">
        <v>61053</v>
      </c>
      <c r="G66" s="10">
        <v>63645</v>
      </c>
      <c r="H66" s="10">
        <f ca="1">H51*H67</f>
        <v>75580.032368570115</v>
      </c>
      <c r="I66" s="10">
        <f t="shared" ref="I66:L66" ca="1" si="40">I51*I67</f>
        <v>94593.406329409961</v>
      </c>
      <c r="J66" s="10">
        <f t="shared" ca="1" si="40"/>
        <v>108708.37043779768</v>
      </c>
      <c r="K66" s="10">
        <f t="shared" ca="1" si="40"/>
        <v>122673.18912403217</v>
      </c>
      <c r="L66" s="10">
        <f t="shared" ca="1" si="40"/>
        <v>135731.35143728601</v>
      </c>
    </row>
    <row r="67" spans="1:12" s="9" customFormat="1" x14ac:dyDescent="0.2">
      <c r="B67" s="9" t="s">
        <v>24</v>
      </c>
      <c r="C67" s="13">
        <f>C66/C51</f>
        <v>5.7654570671613274E-2</v>
      </c>
      <c r="D67" s="13">
        <f t="shared" ref="D67:G67" si="41">D66/D51</f>
        <v>6.0105802753438235E-2</v>
      </c>
      <c r="E67" s="13">
        <f t="shared" si="41"/>
        <v>0.10397239835882134</v>
      </c>
      <c r="F67" s="13">
        <f t="shared" si="41"/>
        <v>0.12994921480901278</v>
      </c>
      <c r="G67" s="13">
        <f t="shared" si="41"/>
        <v>0.12382705264571008</v>
      </c>
      <c r="H67" s="13">
        <f>AVERAGE(E67:G67)</f>
        <v>0.1192495552711814</v>
      </c>
      <c r="I67" s="13">
        <f t="shared" ref="I67:L67" si="42">AVERAGE(F67:H67)</f>
        <v>0.12434194090863476</v>
      </c>
      <c r="J67" s="13">
        <f t="shared" si="42"/>
        <v>0.12247284960850875</v>
      </c>
      <c r="K67" s="13">
        <f t="shared" si="42"/>
        <v>0.12202144859610831</v>
      </c>
      <c r="L67" s="13">
        <f t="shared" si="42"/>
        <v>0.1229454130377506</v>
      </c>
    </row>
    <row r="69" spans="1:12" x14ac:dyDescent="0.2">
      <c r="B69" s="8" t="s">
        <v>35</v>
      </c>
      <c r="C69" s="10">
        <f>-1314-4615+3263+472+1151</f>
        <v>-1043</v>
      </c>
      <c r="D69" s="10">
        <f>-3278-7681+8193-1383+1711</f>
        <v>-2438</v>
      </c>
      <c r="E69" s="10">
        <f>-2849-8169+17480+5754+1265</f>
        <v>13481</v>
      </c>
      <c r="F69" s="10">
        <f>-9487-18163+3602+2123+2314</f>
        <v>-19611</v>
      </c>
      <c r="G69" s="10">
        <f>-2592-21897+2945-1558+2216</f>
        <v>-20886</v>
      </c>
      <c r="H69" s="10">
        <f ca="1">H51*H70</f>
        <v>-10026.216134104348</v>
      </c>
      <c r="I69" s="10">
        <f t="shared" ref="I69:L69" ca="1" si="43">I51*I70</f>
        <v>-24900.993866053021</v>
      </c>
      <c r="J69" s="10">
        <f t="shared" ca="1" si="43"/>
        <v>-26387.798041009821</v>
      </c>
      <c r="K69" s="10">
        <f t="shared" ca="1" si="43"/>
        <v>-26232.813296129993</v>
      </c>
      <c r="L69" s="10">
        <f t="shared" ca="1" si="43"/>
        <v>-32587.960273342876</v>
      </c>
    </row>
    <row r="70" spans="1:12" s="9" customFormat="1" x14ac:dyDescent="0.2">
      <c r="B70" s="9" t="s">
        <v>24</v>
      </c>
      <c r="C70" s="13">
        <f>C69/C51</f>
        <v>-4.4785668586052466E-3</v>
      </c>
      <c r="D70" s="13">
        <f t="shared" ref="D70:G70" si="44">D69/D51</f>
        <v>-8.6909404609977117E-3</v>
      </c>
      <c r="E70" s="13">
        <f t="shared" si="44"/>
        <v>3.4919080774172155E-2</v>
      </c>
      <c r="F70" s="13">
        <f t="shared" si="44"/>
        <v>-4.1741340337404377E-2</v>
      </c>
      <c r="G70" s="13">
        <f t="shared" si="44"/>
        <v>-4.0635585223635799E-2</v>
      </c>
      <c r="H70" s="13">
        <f>AVERAGE(E70:G70)</f>
        <v>-1.5819281595622674E-2</v>
      </c>
      <c r="I70" s="13">
        <f t="shared" ref="I70:L70" si="45">AVERAGE(F70:H70)</f>
        <v>-3.2732069052220952E-2</v>
      </c>
      <c r="J70" s="13">
        <f t="shared" si="45"/>
        <v>-2.9728978623826476E-2</v>
      </c>
      <c r="K70" s="13">
        <f t="shared" si="45"/>
        <v>-2.6093443090556698E-2</v>
      </c>
      <c r="L70" s="13">
        <f t="shared" si="45"/>
        <v>-2.9518163588868041E-2</v>
      </c>
    </row>
    <row r="71" spans="1:12" x14ac:dyDescent="0.2">
      <c r="B71" s="9"/>
      <c r="C71" s="13"/>
      <c r="D71" s="13"/>
      <c r="E71" s="13"/>
      <c r="F71" s="13"/>
      <c r="G71" s="13"/>
      <c r="H71" s="16"/>
      <c r="I71" s="16"/>
      <c r="J71" s="16"/>
      <c r="K71" s="16"/>
      <c r="L71" s="16"/>
    </row>
    <row r="72" spans="1:12" x14ac:dyDescent="0.2">
      <c r="C72" s="13"/>
      <c r="H72">
        <v>1</v>
      </c>
      <c r="I72">
        <v>2</v>
      </c>
      <c r="J72">
        <v>3</v>
      </c>
      <c r="K72">
        <v>4</v>
      </c>
      <c r="L72">
        <v>5</v>
      </c>
    </row>
    <row r="73" spans="1:12" x14ac:dyDescent="0.2">
      <c r="A73" s="5" t="s">
        <v>6</v>
      </c>
      <c r="B73" s="7" t="s">
        <v>36</v>
      </c>
      <c r="C73" s="7">
        <v>2018</v>
      </c>
      <c r="D73" s="7">
        <v>2019</v>
      </c>
      <c r="E73" s="7">
        <v>2020</v>
      </c>
      <c r="F73" s="7">
        <v>2021</v>
      </c>
      <c r="G73" s="7">
        <v>2022</v>
      </c>
      <c r="H73" s="7">
        <v>2023</v>
      </c>
      <c r="I73" s="7">
        <v>2024</v>
      </c>
      <c r="J73" s="7">
        <v>2025</v>
      </c>
      <c r="K73" s="7">
        <v>2026</v>
      </c>
      <c r="L73" s="7">
        <v>2027</v>
      </c>
    </row>
    <row r="75" spans="1:12" x14ac:dyDescent="0.2">
      <c r="B75" s="8" t="s">
        <v>37</v>
      </c>
      <c r="C75" s="10">
        <f>C51</f>
        <v>232887</v>
      </c>
      <c r="D75" s="10">
        <f t="shared" ref="D75:L75" si="46">D51</f>
        <v>280522</v>
      </c>
      <c r="E75" s="10">
        <f t="shared" si="46"/>
        <v>386064</v>
      </c>
      <c r="F75" s="10">
        <f t="shared" si="46"/>
        <v>469822</v>
      </c>
      <c r="G75" s="10">
        <f t="shared" si="46"/>
        <v>513983</v>
      </c>
      <c r="H75" s="10">
        <f t="shared" ca="1" si="46"/>
        <v>633797.18437268888</v>
      </c>
      <c r="I75" s="10">
        <f t="shared" ca="1" si="46"/>
        <v>760752.20989928301</v>
      </c>
      <c r="J75" s="10">
        <f t="shared" ca="1" si="46"/>
        <v>887611.99551810883</v>
      </c>
      <c r="K75" s="10">
        <f t="shared" ca="1" si="46"/>
        <v>1005341.1964488402</v>
      </c>
      <c r="L75" s="10">
        <f t="shared" ca="1" si="46"/>
        <v>1103996.8721371449</v>
      </c>
    </row>
    <row r="76" spans="1:12" x14ac:dyDescent="0.2">
      <c r="B76" s="9" t="s">
        <v>20</v>
      </c>
      <c r="D76" s="13">
        <f>D75/C75-1</f>
        <v>0.20454125820676983</v>
      </c>
      <c r="E76" s="13">
        <f t="shared" ref="E76:L76" si="47">E75/D75-1</f>
        <v>0.37623430604373276</v>
      </c>
      <c r="F76" s="13">
        <f t="shared" si="47"/>
        <v>0.21695366571345676</v>
      </c>
      <c r="G76" s="13">
        <f t="shared" si="47"/>
        <v>9.399517263985091E-2</v>
      </c>
      <c r="H76" s="13">
        <f t="shared" ca="1" si="47"/>
        <v>0.2331092358554443</v>
      </c>
      <c r="I76" s="13">
        <f t="shared" ca="1" si="47"/>
        <v>0.20030859817127444</v>
      </c>
      <c r="J76" s="13">
        <f t="shared" ca="1" si="47"/>
        <v>0.16675572409526218</v>
      </c>
      <c r="K76" s="13">
        <f t="shared" ca="1" si="47"/>
        <v>0.13263588316200203</v>
      </c>
      <c r="L76" s="13">
        <f t="shared" ca="1" si="47"/>
        <v>9.8131535877357345E-2</v>
      </c>
    </row>
    <row r="78" spans="1:12" x14ac:dyDescent="0.2">
      <c r="B78" s="8" t="s">
        <v>16</v>
      </c>
      <c r="C78" s="10">
        <f>C54</f>
        <v>12421</v>
      </c>
      <c r="D78" s="10">
        <f t="shared" ref="D78:G78" si="48">D54</f>
        <v>14541</v>
      </c>
      <c r="E78" s="10">
        <f t="shared" si="48"/>
        <v>22899</v>
      </c>
      <c r="F78" s="10">
        <f t="shared" si="48"/>
        <v>24879</v>
      </c>
      <c r="G78" s="10">
        <f t="shared" si="48"/>
        <v>12248</v>
      </c>
      <c r="H78" s="10">
        <f ca="1">H75*H79</f>
        <v>28752.77528646959</v>
      </c>
      <c r="I78" s="10">
        <f t="shared" ref="I78:L78" ca="1" si="49">I75*I79</f>
        <v>35013.179067018384</v>
      </c>
      <c r="J78" s="10">
        <f t="shared" ca="1" si="49"/>
        <v>41436.343325100483</v>
      </c>
      <c r="K78" s="10">
        <f t="shared" ca="1" si="49"/>
        <v>47594.333373286718</v>
      </c>
      <c r="L78" s="10">
        <f t="shared" ca="1" si="49"/>
        <v>66239.812328228698</v>
      </c>
    </row>
    <row r="79" spans="1:12" x14ac:dyDescent="0.2">
      <c r="B79" s="9" t="s">
        <v>24</v>
      </c>
      <c r="C79" s="13">
        <f>C78/C75</f>
        <v>5.3334879147397665E-2</v>
      </c>
      <c r="D79" s="13">
        <f t="shared" ref="D79:G79" si="50">D78/D75</f>
        <v>5.1835506662579051E-2</v>
      </c>
      <c r="E79" s="13">
        <f t="shared" si="50"/>
        <v>5.9313999751336569E-2</v>
      </c>
      <c r="F79" s="13">
        <f t="shared" si="50"/>
        <v>5.2954097509269465E-2</v>
      </c>
      <c r="G79" s="13">
        <f t="shared" si="50"/>
        <v>2.3829581912242232E-2</v>
      </c>
      <c r="H79" s="13">
        <f ca="1">OFFSET(H79,$C$15,0)</f>
        <v>4.536589305761609E-2</v>
      </c>
      <c r="I79" s="13">
        <f t="shared" ref="I79:L79" ca="1" si="51">OFFSET(I79,$C$15,0)</f>
        <v>4.6024419793212069E-2</v>
      </c>
      <c r="J79" s="13">
        <f t="shared" ca="1" si="51"/>
        <v>4.6682946528808049E-2</v>
      </c>
      <c r="K79" s="13">
        <f t="shared" ca="1" si="51"/>
        <v>4.7341473264404021E-2</v>
      </c>
      <c r="L79" s="13">
        <f t="shared" ca="1" si="51"/>
        <v>0.06</v>
      </c>
    </row>
    <row r="80" spans="1:12" x14ac:dyDescent="0.2">
      <c r="B80" t="s">
        <v>21</v>
      </c>
      <c r="H80" s="15">
        <f t="shared" ref="H80:K80" si="52">H81*$E$15</f>
        <v>3.6292714446092875E-2</v>
      </c>
      <c r="I80" s="15">
        <f t="shared" si="52"/>
        <v>3.6819535834569657E-2</v>
      </c>
      <c r="J80" s="15">
        <f t="shared" si="52"/>
        <v>3.7346357223046439E-2</v>
      </c>
      <c r="K80" s="15">
        <f t="shared" si="52"/>
        <v>3.7873178611523221E-2</v>
      </c>
      <c r="L80" s="15">
        <f>L81*$E$15</f>
        <v>4.8000000000000001E-2</v>
      </c>
    </row>
    <row r="81" spans="2:12" x14ac:dyDescent="0.2">
      <c r="B81" t="s">
        <v>22</v>
      </c>
      <c r="H81" s="14">
        <f>AVERAGE(E79:G79)</f>
        <v>4.536589305761609E-2</v>
      </c>
      <c r="I81" s="14">
        <f>H81-(H81-$L$80)/($L$73-H73)</f>
        <v>4.6024419793212069E-2</v>
      </c>
      <c r="J81" s="14">
        <f t="shared" ref="J81:K81" si="53">I81-(I81-$L$80)/($L$73-I73)</f>
        <v>4.6682946528808049E-2</v>
      </c>
      <c r="K81" s="14">
        <f t="shared" si="53"/>
        <v>4.7341473264404021E-2</v>
      </c>
      <c r="L81" s="14">
        <f>G15</f>
        <v>0.06</v>
      </c>
    </row>
    <row r="82" spans="2:12" x14ac:dyDescent="0.2">
      <c r="B82" t="s">
        <v>23</v>
      </c>
      <c r="H82" s="15">
        <f t="shared" ref="H82:K82" si="54">H81*$I$15</f>
        <v>5.4439071669139305E-2</v>
      </c>
      <c r="I82" s="15">
        <f t="shared" si="54"/>
        <v>5.5229303751854482E-2</v>
      </c>
      <c r="J82" s="15">
        <f t="shared" si="54"/>
        <v>5.6019535834569659E-2</v>
      </c>
      <c r="K82" s="15">
        <f t="shared" si="54"/>
        <v>5.6809767917284822E-2</v>
      </c>
      <c r="L82" s="15">
        <f>L81*$I$15</f>
        <v>7.1999999999999995E-2</v>
      </c>
    </row>
    <row r="84" spans="2:12" x14ac:dyDescent="0.2">
      <c r="B84" s="8" t="s">
        <v>28</v>
      </c>
      <c r="C84" s="10">
        <f>C57</f>
        <v>1197</v>
      </c>
      <c r="D84" s="10">
        <f>D57</f>
        <v>2374</v>
      </c>
      <c r="E84" s="10">
        <f>E57</f>
        <v>2863</v>
      </c>
      <c r="F84" s="10">
        <f>F57</f>
        <v>4791</v>
      </c>
      <c r="G84" s="10">
        <f>G57</f>
        <v>-3217</v>
      </c>
      <c r="H84" s="10">
        <f ca="1">H78*H85</f>
        <v>4887.9717986998303</v>
      </c>
      <c r="I84" s="10">
        <f t="shared" ref="I84:L84" ca="1" si="55">I78*I85</f>
        <v>5952.2404413931254</v>
      </c>
      <c r="J84" s="10">
        <f t="shared" ca="1" si="55"/>
        <v>1068.296232275588</v>
      </c>
      <c r="K84" s="10">
        <f t="shared" ca="1" si="55"/>
        <v>5803.0441881696615</v>
      </c>
      <c r="L84" s="10">
        <f t="shared" ca="1" si="55"/>
        <v>7014.9911417715384</v>
      </c>
    </row>
    <row r="85" spans="2:12" x14ac:dyDescent="0.2">
      <c r="B85" s="9" t="s">
        <v>29</v>
      </c>
      <c r="C85" s="13">
        <f>C84/C78</f>
        <v>9.6369052411239026E-2</v>
      </c>
      <c r="D85" s="13">
        <f t="shared" ref="D85:G85" si="56">D84/D78</f>
        <v>0.16326249914036173</v>
      </c>
      <c r="E85" s="13">
        <f t="shared" si="56"/>
        <v>0.12502729376828683</v>
      </c>
      <c r="F85" s="13">
        <f t="shared" si="56"/>
        <v>0.1925720487157844</v>
      </c>
      <c r="G85" s="13">
        <f t="shared" si="56"/>
        <v>-0.2626551273677335</v>
      </c>
      <c r="H85" s="13">
        <v>0.17</v>
      </c>
      <c r="I85" s="13">
        <v>0.17</v>
      </c>
      <c r="J85" s="13">
        <f t="shared" ref="J85:L85" si="57">AVERAGE(G85:I85)</f>
        <v>2.578162421075551E-2</v>
      </c>
      <c r="K85" s="13">
        <f t="shared" si="57"/>
        <v>0.12192720807025186</v>
      </c>
      <c r="L85" s="13">
        <f t="shared" si="57"/>
        <v>0.10590294409366913</v>
      </c>
    </row>
    <row r="87" spans="2:12" x14ac:dyDescent="0.2">
      <c r="B87" s="11"/>
      <c r="C87" s="11"/>
      <c r="D87" s="11"/>
      <c r="E87" s="11"/>
      <c r="F87" s="11"/>
      <c r="G87" s="11"/>
      <c r="H87" s="11"/>
      <c r="I87" s="11"/>
      <c r="J87" s="11"/>
      <c r="K87" s="11"/>
      <c r="L87" s="11"/>
    </row>
    <row r="88" spans="2:12" x14ac:dyDescent="0.2">
      <c r="B88" s="8" t="s">
        <v>38</v>
      </c>
      <c r="H88" s="12">
        <f ca="1">H78-H84</f>
        <v>23864.803487769761</v>
      </c>
      <c r="I88" s="12">
        <f t="shared" ref="I88:L88" ca="1" si="58">I78-I84</f>
        <v>29060.938625625258</v>
      </c>
      <c r="J88" s="12">
        <f t="shared" ca="1" si="58"/>
        <v>40368.047092824898</v>
      </c>
      <c r="K88" s="12">
        <f t="shared" ca="1" si="58"/>
        <v>41791.289185117057</v>
      </c>
      <c r="L88" s="12">
        <f t="shared" ca="1" si="58"/>
        <v>59224.821186457157</v>
      </c>
    </row>
    <row r="90" spans="2:12" x14ac:dyDescent="0.2">
      <c r="B90" s="8" t="s">
        <v>31</v>
      </c>
      <c r="C90" s="10">
        <f>C62</f>
        <v>15341</v>
      </c>
      <c r="D90" s="10">
        <f t="shared" ref="D90:L90" si="59">D62</f>
        <v>21789</v>
      </c>
      <c r="E90" s="10">
        <f t="shared" si="59"/>
        <v>25251</v>
      </c>
      <c r="F90" s="10">
        <f t="shared" si="59"/>
        <v>34433</v>
      </c>
      <c r="G90" s="10">
        <f t="shared" si="59"/>
        <v>41921</v>
      </c>
      <c r="H90" s="10">
        <f t="shared" ca="1" si="59"/>
        <v>46532.708103101606</v>
      </c>
      <c r="I90" s="10">
        <f t="shared" ca="1" si="59"/>
        <v>57885.495448287358</v>
      </c>
      <c r="J90" s="10">
        <f t="shared" ca="1" si="59"/>
        <v>68366.776687278121</v>
      </c>
      <c r="K90" s="10">
        <f t="shared" ca="1" si="59"/>
        <v>75913.987001069079</v>
      </c>
      <c r="L90" s="10">
        <f t="shared" ca="1" si="59"/>
        <v>84133.302909530088</v>
      </c>
    </row>
    <row r="92" spans="2:12" x14ac:dyDescent="0.2">
      <c r="B92" s="8" t="s">
        <v>34</v>
      </c>
      <c r="C92" s="10">
        <f>C66</f>
        <v>13427</v>
      </c>
      <c r="D92" s="10">
        <f t="shared" ref="D92:L92" si="60">D66</f>
        <v>16861</v>
      </c>
      <c r="E92" s="10">
        <f t="shared" si="60"/>
        <v>40140</v>
      </c>
      <c r="F92" s="10">
        <f t="shared" si="60"/>
        <v>61053</v>
      </c>
      <c r="G92" s="10">
        <f t="shared" si="60"/>
        <v>63645</v>
      </c>
      <c r="H92" s="10">
        <f t="shared" ca="1" si="60"/>
        <v>75580.032368570115</v>
      </c>
      <c r="I92" s="10">
        <f t="shared" ca="1" si="60"/>
        <v>94593.406329409961</v>
      </c>
      <c r="J92" s="10">
        <f t="shared" ca="1" si="60"/>
        <v>108708.37043779768</v>
      </c>
      <c r="K92" s="10">
        <f t="shared" ca="1" si="60"/>
        <v>122673.18912403217</v>
      </c>
      <c r="L92" s="10">
        <f t="shared" ca="1" si="60"/>
        <v>135731.35143728601</v>
      </c>
    </row>
    <row r="94" spans="2:12" x14ac:dyDescent="0.2">
      <c r="B94" s="8" t="s">
        <v>35</v>
      </c>
      <c r="C94" s="10">
        <f>C69</f>
        <v>-1043</v>
      </c>
      <c r="D94" s="10">
        <f t="shared" ref="D94:L94" si="61">D69</f>
        <v>-2438</v>
      </c>
      <c r="E94" s="10">
        <f t="shared" si="61"/>
        <v>13481</v>
      </c>
      <c r="F94" s="10">
        <f t="shared" si="61"/>
        <v>-19611</v>
      </c>
      <c r="G94" s="10">
        <f t="shared" si="61"/>
        <v>-20886</v>
      </c>
      <c r="H94" s="10">
        <f t="shared" ca="1" si="61"/>
        <v>-10026.216134104348</v>
      </c>
      <c r="I94" s="10">
        <f t="shared" ca="1" si="61"/>
        <v>-24900.993866053021</v>
      </c>
      <c r="J94" s="10">
        <f t="shared" ca="1" si="61"/>
        <v>-26387.798041009821</v>
      </c>
      <c r="K94" s="10">
        <f t="shared" ca="1" si="61"/>
        <v>-26232.813296129993</v>
      </c>
      <c r="L94" s="10">
        <f t="shared" ca="1" si="61"/>
        <v>-32587.960273342876</v>
      </c>
    </row>
    <row r="96" spans="2:12" x14ac:dyDescent="0.2">
      <c r="B96" s="11"/>
      <c r="C96" s="11"/>
      <c r="D96" s="11"/>
      <c r="E96" s="11"/>
      <c r="F96" s="11"/>
      <c r="G96" s="11"/>
      <c r="H96" s="11"/>
      <c r="I96" s="11"/>
      <c r="J96" s="11"/>
      <c r="K96" s="11"/>
      <c r="L96" s="11"/>
    </row>
    <row r="97" spans="2:16" x14ac:dyDescent="0.2">
      <c r="B97" s="8" t="s">
        <v>39</v>
      </c>
      <c r="H97" s="12">
        <f ca="1">H88+H90-H92-H94</f>
        <v>4843.6953564055966</v>
      </c>
      <c r="I97" s="12">
        <f t="shared" ref="I97:L97" ca="1" si="62">I88+I90-I92-I94</f>
        <v>17254.021610555679</v>
      </c>
      <c r="J97" s="12">
        <f t="shared" ca="1" si="62"/>
        <v>26414.251383315157</v>
      </c>
      <c r="K97" s="12">
        <f t="shared" ca="1" si="62"/>
        <v>21264.900358283958</v>
      </c>
      <c r="L97" s="12">
        <f t="shared" ca="1" si="62"/>
        <v>40214.732932044106</v>
      </c>
    </row>
    <row r="98" spans="2:16" x14ac:dyDescent="0.2">
      <c r="B98" s="8" t="s">
        <v>40</v>
      </c>
      <c r="H98" s="10">
        <f t="shared" ref="H98:K98" ca="1" si="63">H97/(1+$C$19)^H72</f>
        <v>4454.8083902634153</v>
      </c>
      <c r="I98" s="10">
        <f t="shared" ca="1" si="63"/>
        <v>14594.685965090239</v>
      </c>
      <c r="J98" s="10">
        <f t="shared" ca="1" si="63"/>
        <v>20549.200623777746</v>
      </c>
      <c r="K98" s="10">
        <f t="shared" ca="1" si="63"/>
        <v>15215.008037543412</v>
      </c>
      <c r="L98" s="10">
        <f ca="1">L97/(1+$C$19)^L72</f>
        <v>26463.435959736042</v>
      </c>
    </row>
    <row r="100" spans="2:16" x14ac:dyDescent="0.2">
      <c r="B100" s="8" t="s">
        <v>41</v>
      </c>
      <c r="L100" s="12">
        <f ca="1">L97*(1+C19)/(C19-C20)</f>
        <v>701896.05016637349</v>
      </c>
    </row>
    <row r="101" spans="2:16" x14ac:dyDescent="0.2">
      <c r="B101" s="8" t="s">
        <v>42</v>
      </c>
      <c r="L101" s="12">
        <f ca="1">L100/(1+C19)^L72</f>
        <v>461884.98144093878</v>
      </c>
    </row>
    <row r="103" spans="2:16" x14ac:dyDescent="0.2">
      <c r="B103" s="8" t="s">
        <v>56</v>
      </c>
      <c r="L103" s="10">
        <f ca="1">SUM(L101,H98:L98)</f>
        <v>543162.12041734962</v>
      </c>
    </row>
    <row r="104" spans="2:16" x14ac:dyDescent="0.2">
      <c r="B104" s="8" t="s">
        <v>57</v>
      </c>
      <c r="L104" s="10">
        <v>58660</v>
      </c>
    </row>
    <row r="105" spans="2:16" x14ac:dyDescent="0.2">
      <c r="B105" s="8" t="s">
        <v>58</v>
      </c>
      <c r="L105" s="10">
        <f>AMZN_WACC!D16</f>
        <v>164330</v>
      </c>
    </row>
    <row r="106" spans="2:16" x14ac:dyDescent="0.2">
      <c r="B106" s="8" t="s">
        <v>59</v>
      </c>
      <c r="L106" s="10">
        <f ca="1">L103+L104-L105</f>
        <v>437492.12041734962</v>
      </c>
    </row>
    <row r="107" spans="2:16" x14ac:dyDescent="0.2">
      <c r="B107" s="8" t="s">
        <v>60</v>
      </c>
      <c r="L107" s="10">
        <v>10201.654176</v>
      </c>
    </row>
    <row r="108" spans="2:16" x14ac:dyDescent="0.2">
      <c r="B108" s="8" t="s">
        <v>3</v>
      </c>
      <c r="L108" s="10">
        <f ca="1">L106/L107</f>
        <v>42.884429610109301</v>
      </c>
    </row>
    <row r="111" spans="2:16" ht="21" x14ac:dyDescent="0.25">
      <c r="D111" s="24"/>
      <c r="E111" s="24"/>
      <c r="F111" s="25"/>
      <c r="G111" s="26"/>
      <c r="H111" s="26"/>
      <c r="I111" s="26"/>
      <c r="J111" s="24"/>
      <c r="K111" s="27" t="s">
        <v>61</v>
      </c>
      <c r="L111" s="24"/>
      <c r="M111" s="24"/>
      <c r="N111" s="24"/>
      <c r="O111" s="24"/>
      <c r="P111" s="24"/>
    </row>
    <row r="112" spans="2:16" ht="21" x14ac:dyDescent="0.25">
      <c r="D112" s="24"/>
      <c r="E112" s="28">
        <f ca="1">L108</f>
        <v>42.884429610109301</v>
      </c>
      <c r="F112" s="29">
        <f t="shared" ref="F112:I112" si="64">G112-0.25%</f>
        <v>7.4999999999999997E-3</v>
      </c>
      <c r="G112" s="29">
        <f t="shared" si="64"/>
        <v>0.01</v>
      </c>
      <c r="H112" s="29">
        <f t="shared" si="64"/>
        <v>1.2500000000000001E-2</v>
      </c>
      <c r="I112" s="29">
        <f t="shared" si="64"/>
        <v>1.5000000000000001E-2</v>
      </c>
      <c r="J112" s="29">
        <f>K112-0.25%</f>
        <v>1.7500000000000002E-2</v>
      </c>
      <c r="K112" s="29">
        <v>0.02</v>
      </c>
      <c r="L112" s="29">
        <f>K112+0.25%</f>
        <v>2.2499999999999999E-2</v>
      </c>
      <c r="M112" s="29">
        <f t="shared" ref="M112:P112" si="65">L112+0.25%</f>
        <v>2.4999999999999998E-2</v>
      </c>
      <c r="N112" s="29">
        <f t="shared" si="65"/>
        <v>2.7499999999999997E-2</v>
      </c>
      <c r="O112" s="29">
        <f t="shared" si="65"/>
        <v>2.9999999999999995E-2</v>
      </c>
      <c r="P112" s="29">
        <f t="shared" si="65"/>
        <v>3.2499999999999994E-2</v>
      </c>
    </row>
    <row r="113" spans="4:16" ht="21" x14ac:dyDescent="0.25">
      <c r="D113" s="24"/>
      <c r="E113" s="29">
        <f t="shared" ref="E113:E115" si="66">E114+0.0025</f>
        <v>9.7300000000000011E-2</v>
      </c>
      <c r="F113" s="30">
        <f t="dataTable" ref="F113:P122" dt2D="1" dtr="1" r1="C20" r2="C19" ca="1"/>
        <v>27.633296014556116</v>
      </c>
      <c r="G113" s="30">
        <v>28.500382671129628</v>
      </c>
      <c r="H113" s="30">
        <v>29.41859472018978</v>
      </c>
      <c r="I113" s="30">
        <v>30.392591219375106</v>
      </c>
      <c r="J113" s="30">
        <v>31.427615068133438</v>
      </c>
      <c r="K113" s="31">
        <v>32.529587419398773</v>
      </c>
      <c r="L113" s="30">
        <v>33.705221024090946</v>
      </c>
      <c r="M113" s="30">
        <v>34.962157091071639</v>
      </c>
      <c r="N113" s="30">
        <v>36.309131558265854</v>
      </c>
      <c r="O113" s="30">
        <v>37.756178422725618</v>
      </c>
      <c r="P113" s="30">
        <v>39.314880137838131</v>
      </c>
    </row>
    <row r="114" spans="4:16" ht="21" x14ac:dyDescent="0.25">
      <c r="D114" s="24"/>
      <c r="E114" s="29">
        <f t="shared" si="66"/>
        <v>9.4800000000000009E-2</v>
      </c>
      <c r="F114" s="30">
        <v>28.848312248393949</v>
      </c>
      <c r="G114" s="30">
        <v>29.774940099208322</v>
      </c>
      <c r="H114" s="30">
        <v>30.757863688225264</v>
      </c>
      <c r="I114" s="30">
        <v>31.802373968283376</v>
      </c>
      <c r="J114" s="30">
        <v>32.914446362187412</v>
      </c>
      <c r="K114" s="31">
        <v>34.100855146058308</v>
      </c>
      <c r="L114" s="30">
        <v>35.369311563668539</v>
      </c>
      <c r="M114" s="30">
        <v>36.728631621508725</v>
      </c>
      <c r="N114" s="30">
        <v>38.188941282457392</v>
      </c>
      <c r="O114" s="30">
        <v>39.761929157985435</v>
      </c>
      <c r="P114" s="30">
        <v>41.461160041180257</v>
      </c>
    </row>
    <row r="115" spans="4:16" ht="21" x14ac:dyDescent="0.25">
      <c r="D115" s="24"/>
      <c r="E115" s="29">
        <f t="shared" si="66"/>
        <v>9.2300000000000007E-2</v>
      </c>
      <c r="F115" s="30">
        <v>30.135375672586704</v>
      </c>
      <c r="G115" s="30">
        <v>31.127328861880436</v>
      </c>
      <c r="H115" s="30">
        <v>32.181434506643704</v>
      </c>
      <c r="I115" s="30">
        <v>33.303722922737066</v>
      </c>
      <c r="J115" s="30">
        <v>34.501030617981051</v>
      </c>
      <c r="K115" s="31">
        <v>35.781139675275107</v>
      </c>
      <c r="L115" s="30">
        <v>37.152947089108842</v>
      </c>
      <c r="M115" s="30">
        <v>38.626671844237812</v>
      </c>
      <c r="N115" s="30">
        <v>40.214109929237843</v>
      </c>
      <c r="O115" s="30">
        <v>41.928950749791639</v>
      </c>
      <c r="P115" s="30">
        <v>43.787172909856636</v>
      </c>
    </row>
    <row r="116" spans="4:16" ht="21" x14ac:dyDescent="0.25">
      <c r="D116" s="24"/>
      <c r="E116" s="29">
        <f>E117+0.0025</f>
        <v>8.9800000000000005E-2</v>
      </c>
      <c r="F116" s="30">
        <v>31.501045035858233</v>
      </c>
      <c r="G116" s="30">
        <v>32.564856483253955</v>
      </c>
      <c r="H116" s="30">
        <v>33.697478502926245</v>
      </c>
      <c r="I116" s="30">
        <v>34.905810550651495</v>
      </c>
      <c r="J116" s="30">
        <v>36.197706363779602</v>
      </c>
      <c r="K116" s="31">
        <v>37.582144856931215</v>
      </c>
      <c r="L116" s="30">
        <v>39.069439107374905</v>
      </c>
      <c r="M116" s="30">
        <v>40.671493716649138</v>
      </c>
      <c r="N116" s="30">
        <v>42.402124137261595</v>
      </c>
      <c r="O116" s="30">
        <v>44.277456098059034</v>
      </c>
      <c r="P116" s="30">
        <v>46.316429591212277</v>
      </c>
    </row>
    <row r="117" spans="4:16" ht="21" x14ac:dyDescent="0.25">
      <c r="D117" s="32" t="s">
        <v>17</v>
      </c>
      <c r="E117" s="29">
        <v>8.7300000000000003E-2</v>
      </c>
      <c r="F117" s="31">
        <v>32.952700673282372</v>
      </c>
      <c r="G117" s="31">
        <v>34.095775505632616</v>
      </c>
      <c r="H117" s="31">
        <v>35.315259083460816</v>
      </c>
      <c r="I117" s="31">
        <v>36.619077625177532</v>
      </c>
      <c r="J117" s="31">
        <v>38.016292910570257</v>
      </c>
      <c r="K117" s="31">
        <v>39.51731319487773</v>
      </c>
      <c r="L117" s="31">
        <v>41.134152945566946</v>
      </c>
      <c r="M117" s="31">
        <v>42.880755116054665</v>
      </c>
      <c r="N117" s="31">
        <v>44.773394257318948</v>
      </c>
      <c r="O117" s="31">
        <v>46.831185156110656</v>
      </c>
      <c r="P117" s="31">
        <v>49.076730698952716</v>
      </c>
    </row>
    <row r="118" spans="4:16" ht="21" x14ac:dyDescent="0.25">
      <c r="D118" s="24"/>
      <c r="E118" s="29">
        <f>E117-0.25%</f>
        <v>8.48E-2</v>
      </c>
      <c r="F118" s="30">
        <v>34.498677353455072</v>
      </c>
      <c r="G118" s="30">
        <v>35.729441403631725</v>
      </c>
      <c r="H118" s="30">
        <v>37.045320533350321</v>
      </c>
      <c r="I118" s="30">
        <v>38.455460345713533</v>
      </c>
      <c r="J118" s="30">
        <v>39.970365374448434</v>
      </c>
      <c r="K118" s="31">
        <v>41.602161223301778</v>
      </c>
      <c r="L118" s="30">
        <v>43.364919820859249</v>
      </c>
      <c r="M118" s="30">
        <v>45.275066261021841</v>
      </c>
      <c r="N118" s="30">
        <v>47.351892146224834</v>
      </c>
      <c r="O118" s="30">
        <v>49.618209444311276</v>
      </c>
      <c r="P118" s="30">
        <v>52.101191876058003</v>
      </c>
    </row>
    <row r="119" spans="4:16" ht="21" x14ac:dyDescent="0.25">
      <c r="D119" s="24"/>
      <c r="E119" s="29">
        <f t="shared" ref="E119:E122" si="67">E118-0.25%</f>
        <v>8.2299999999999998E-2</v>
      </c>
      <c r="F119" s="30">
        <v>36.148423765857622</v>
      </c>
      <c r="G119" s="30">
        <v>37.476503260261673</v>
      </c>
      <c r="H119" s="30">
        <v>38.899717388935329</v>
      </c>
      <c r="I119" s="30">
        <v>40.428668079917607</v>
      </c>
      <c r="J119" s="30">
        <v>42.075593361253432</v>
      </c>
      <c r="K119" s="31">
        <v>43.854695631460515</v>
      </c>
      <c r="L119" s="30">
        <v>45.782552272086257</v>
      </c>
      <c r="M119" s="30">
        <v>47.878633750462924</v>
      </c>
      <c r="N119" s="30">
        <v>50.165963538910447</v>
      </c>
      <c r="O119" s="30">
        <v>52.671967303308996</v>
      </c>
      <c r="P119" s="30">
        <v>55.429577871362007</v>
      </c>
    </row>
    <row r="120" spans="4:16" ht="21" x14ac:dyDescent="0.25">
      <c r="D120" s="24"/>
      <c r="E120" s="29">
        <f t="shared" si="67"/>
        <v>7.9799999999999996E-2</v>
      </c>
      <c r="F120" s="30">
        <v>37.912695096580727</v>
      </c>
      <c r="G120" s="30">
        <v>39.349135418929571</v>
      </c>
      <c r="H120" s="30">
        <v>40.892294933131964</v>
      </c>
      <c r="I120" s="30">
        <v>42.554525397504307</v>
      </c>
      <c r="J120" s="30">
        <v>44.350161196095939</v>
      </c>
      <c r="K120" s="31">
        <v>46.295933767145058</v>
      </c>
      <c r="L120" s="30">
        <v>48.411494520659197</v>
      </c>
      <c r="M120" s="30">
        <v>50.720080890369871</v>
      </c>
      <c r="N120" s="30">
        <v>53.249373413972592</v>
      </c>
      <c r="O120" s="30">
        <v>56.032610970065548</v>
      </c>
      <c r="P120" s="30">
        <v>59.110059684307856</v>
      </c>
    </row>
    <row r="121" spans="4:16" ht="21" x14ac:dyDescent="0.25">
      <c r="D121" s="24"/>
      <c r="E121" s="29">
        <f t="shared" si="67"/>
        <v>7.7299999999999994E-2</v>
      </c>
      <c r="F121" s="30">
        <v>39.80378698819252</v>
      </c>
      <c r="G121" s="30">
        <v>41.361320766306108</v>
      </c>
      <c r="H121" s="30">
        <v>43.039034619891417</v>
      </c>
      <c r="I121" s="30">
        <v>44.851396455305405</v>
      </c>
      <c r="J121" s="30">
        <v>46.815293561238946</v>
      </c>
      <c r="K121" s="31">
        <v>48.950560397184141</v>
      </c>
      <c r="L121" s="30">
        <v>51.280650849547698</v>
      </c>
      <c r="M121" s="30">
        <v>53.833503295445055</v>
      </c>
      <c r="N121" s="30">
        <v>56.642666227878294</v>
      </c>
      <c r="O121" s="30">
        <v>59.748780844501091</v>
      </c>
      <c r="P121" s="30">
        <v>63.201560038871961</v>
      </c>
    </row>
    <row r="122" spans="4:16" ht="21" x14ac:dyDescent="0.25">
      <c r="D122" s="24"/>
      <c r="E122" s="29">
        <f t="shared" si="67"/>
        <v>7.4799999999999991E-2</v>
      </c>
      <c r="F122" s="30">
        <v>41.835821644848444</v>
      </c>
      <c r="G122" s="30">
        <v>43.529199589567853</v>
      </c>
      <c r="H122" s="30">
        <v>45.35848266628723</v>
      </c>
      <c r="I122" s="30">
        <v>47.340715833033308</v>
      </c>
      <c r="J122" s="30">
        <v>49.495918735097533</v>
      </c>
      <c r="K122" s="31">
        <v>51.847764237715076</v>
      </c>
      <c r="L122" s="30">
        <v>54.424451566586661</v>
      </c>
      <c r="M122" s="30">
        <v>57.259842442533717</v>
      </c>
      <c r="N122" s="30">
        <v>60.394957512555536</v>
      </c>
      <c r="O122" s="30">
        <v>63.879973818070837</v>
      </c>
      <c r="P122" s="30">
        <v>67.776930585230971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D6739-40AE-E44C-BD82-5E4F8C3D1AB7}">
  <dimension ref="A1:D23"/>
  <sheetViews>
    <sheetView showGridLines="0" zoomScale="130" zoomScaleNormal="130" workbookViewId="0">
      <selection activeCell="D13" sqref="D13"/>
    </sheetView>
  </sheetViews>
  <sheetFormatPr baseColWidth="10" defaultRowHeight="16" x14ac:dyDescent="0.2"/>
  <sheetData>
    <row r="1" spans="1:4" ht="24" x14ac:dyDescent="0.3">
      <c r="A1" s="17" t="s">
        <v>5</v>
      </c>
    </row>
    <row r="3" spans="1:4" ht="19" x14ac:dyDescent="0.25">
      <c r="A3" s="18" t="s">
        <v>43</v>
      </c>
    </row>
    <row r="4" spans="1:4" ht="19" x14ac:dyDescent="0.25">
      <c r="A4" s="18"/>
    </row>
    <row r="5" spans="1:4" ht="19" x14ac:dyDescent="0.25">
      <c r="A5" s="18" t="s">
        <v>44</v>
      </c>
    </row>
    <row r="7" spans="1:4" ht="19" x14ac:dyDescent="0.25">
      <c r="A7" s="19" t="s">
        <v>17</v>
      </c>
    </row>
    <row r="8" spans="1:4" ht="19" x14ac:dyDescent="0.25">
      <c r="A8" s="20"/>
    </row>
    <row r="9" spans="1:4" ht="19" x14ac:dyDescent="0.25">
      <c r="A9" s="20" t="s">
        <v>45</v>
      </c>
      <c r="D9" s="21">
        <v>992110</v>
      </c>
    </row>
    <row r="10" spans="1:4" ht="19" x14ac:dyDescent="0.25">
      <c r="A10" s="20" t="s">
        <v>46</v>
      </c>
      <c r="D10" s="22">
        <f>D9/D21</f>
        <v>0.85790010722562349</v>
      </c>
    </row>
    <row r="11" spans="1:4" ht="19" x14ac:dyDescent="0.25">
      <c r="A11" s="20" t="s">
        <v>47</v>
      </c>
      <c r="D11" s="22">
        <f>D12+D13*D14</f>
        <v>9.4186999999999993E-2</v>
      </c>
    </row>
    <row r="12" spans="1:4" ht="19" x14ac:dyDescent="0.25">
      <c r="A12" s="20" t="s">
        <v>48</v>
      </c>
      <c r="D12" s="22">
        <v>3.44E-2</v>
      </c>
    </row>
    <row r="13" spans="1:4" ht="19" x14ac:dyDescent="0.25">
      <c r="A13" s="20" t="s">
        <v>49</v>
      </c>
      <c r="D13" s="23">
        <v>1.17</v>
      </c>
    </row>
    <row r="14" spans="1:4" ht="19" x14ac:dyDescent="0.25">
      <c r="A14" s="20" t="s">
        <v>50</v>
      </c>
      <c r="D14" s="22">
        <v>5.11E-2</v>
      </c>
    </row>
    <row r="15" spans="1:4" ht="19" x14ac:dyDescent="0.25">
      <c r="A15" s="20"/>
    </row>
    <row r="16" spans="1:4" ht="19" x14ac:dyDescent="0.25">
      <c r="A16" s="20" t="s">
        <v>51</v>
      </c>
      <c r="D16" s="21">
        <v>164330</v>
      </c>
    </row>
    <row r="17" spans="1:4" ht="19" x14ac:dyDescent="0.25">
      <c r="A17" s="20" t="s">
        <v>52</v>
      </c>
      <c r="D17" s="22">
        <f>D16/D9</f>
        <v>0.16563687494330265</v>
      </c>
    </row>
    <row r="18" spans="1:4" ht="19" x14ac:dyDescent="0.25">
      <c r="A18" s="20" t="s">
        <v>53</v>
      </c>
      <c r="D18" s="22">
        <v>4.9000000000000002E-2</v>
      </c>
    </row>
    <row r="19" spans="1:4" ht="19" x14ac:dyDescent="0.25">
      <c r="A19" s="20" t="s">
        <v>54</v>
      </c>
      <c r="D19" s="16">
        <v>0.2</v>
      </c>
    </row>
    <row r="20" spans="1:4" ht="19" x14ac:dyDescent="0.25">
      <c r="A20" s="20"/>
    </row>
    <row r="21" spans="1:4" ht="19" x14ac:dyDescent="0.25">
      <c r="A21" s="20" t="s">
        <v>55</v>
      </c>
      <c r="D21" s="21">
        <f>D9+D16</f>
        <v>1156440</v>
      </c>
    </row>
    <row r="22" spans="1:4" ht="19" x14ac:dyDescent="0.25">
      <c r="A22" s="20"/>
    </row>
    <row r="23" spans="1:4" ht="19" x14ac:dyDescent="0.25">
      <c r="A23" s="20" t="s">
        <v>17</v>
      </c>
      <c r="D23" s="22">
        <f>(D10*D11)+(D17*D18*(1-D19))</f>
        <v>8.7296002897037261E-2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AMZN_DCF</vt:lpstr>
      <vt:lpstr>AMZN_WACC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2023-01-25T12:47:03Z</dcterms:created>
  <dcterms:modified xsi:type="dcterms:W3CDTF">2023-02-03T09:40:28Z</dcterms:modified>
</cp:coreProperties>
</file>