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halilgunputh/Library/Mobile Documents/com~apple~Numbers/Documents/Stock Market Analysis/Company/Coca Cola/"/>
    </mc:Choice>
  </mc:AlternateContent>
  <xr:revisionPtr revIDLastSave="0" documentId="13_ncr:1_{C02AAA06-1D0A-FD44-92C2-B4F7B8557336}" xr6:coauthVersionLast="47" xr6:coauthVersionMax="47" xr10:uidLastSave="{00000000-0000-0000-0000-000000000000}"/>
  <bookViews>
    <workbookView xWindow="28960" yWindow="500" windowWidth="37980" windowHeight="19500" xr2:uid="{0EE15B89-97D0-FD48-8A41-18995EA59900}"/>
  </bookViews>
  <sheets>
    <sheet name="KO_DCF" sheetId="1" r:id="rId1"/>
    <sheet name="KO_WACC"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4" i="1" l="1"/>
  <c r="M141" i="1"/>
  <c r="J22" i="1"/>
  <c r="F22" i="1"/>
  <c r="D25" i="1" s="1"/>
  <c r="D24" i="1"/>
  <c r="J21" i="1"/>
  <c r="F21" i="1"/>
  <c r="H21" i="1"/>
  <c r="D21" i="2"/>
  <c r="D17" i="2"/>
  <c r="D11" i="2"/>
  <c r="D10" i="2"/>
  <c r="D23" i="2" s="1"/>
  <c r="H129" i="1"/>
  <c r="G129" i="1"/>
  <c r="F129" i="1"/>
  <c r="E129" i="1"/>
  <c r="D129" i="1"/>
  <c r="G126" i="1"/>
  <c r="F126" i="1"/>
  <c r="E126" i="1"/>
  <c r="D126" i="1"/>
  <c r="G122" i="1"/>
  <c r="F122" i="1"/>
  <c r="F124" i="1" s="1"/>
  <c r="E122" i="1"/>
  <c r="D122" i="1"/>
  <c r="D124" i="1" s="1"/>
  <c r="G116" i="1"/>
  <c r="F116" i="1"/>
  <c r="E116" i="1"/>
  <c r="D116" i="1"/>
  <c r="I111" i="1"/>
  <c r="M113" i="1"/>
  <c r="J113" i="1" s="1"/>
  <c r="K113" i="1" s="1"/>
  <c r="L113" i="1" s="1"/>
  <c r="I114" i="1"/>
  <c r="I112" i="1"/>
  <c r="G110" i="1"/>
  <c r="F110" i="1"/>
  <c r="E110" i="1"/>
  <c r="D110" i="1"/>
  <c r="H98" i="1"/>
  <c r="H126" i="1" s="1"/>
  <c r="H94" i="1"/>
  <c r="H122" i="1" s="1"/>
  <c r="G96" i="1"/>
  <c r="F96" i="1"/>
  <c r="E96" i="1"/>
  <c r="D96" i="1"/>
  <c r="G90" i="1"/>
  <c r="G117" i="1" s="1"/>
  <c r="F90" i="1"/>
  <c r="F117" i="1" s="1"/>
  <c r="E90" i="1"/>
  <c r="E117" i="1" s="1"/>
  <c r="D90" i="1"/>
  <c r="D117" i="1" s="1"/>
  <c r="H89" i="1"/>
  <c r="H116" i="1" s="1"/>
  <c r="H86" i="1"/>
  <c r="H110" i="1" s="1"/>
  <c r="G83" i="1"/>
  <c r="G87" i="1" s="1"/>
  <c r="F83" i="1"/>
  <c r="F87" i="1" s="1"/>
  <c r="E83" i="1"/>
  <c r="E87" i="1" s="1"/>
  <c r="D83" i="1"/>
  <c r="D87" i="1" s="1"/>
  <c r="G79" i="1"/>
  <c r="F79" i="1"/>
  <c r="E79" i="1"/>
  <c r="I73" i="1"/>
  <c r="I72" i="1" s="1"/>
  <c r="I75" i="1"/>
  <c r="M74" i="1"/>
  <c r="M75" i="1" s="1"/>
  <c r="M67" i="1"/>
  <c r="M68" i="1" s="1"/>
  <c r="I61" i="1"/>
  <c r="I59" i="1"/>
  <c r="I58" i="1" s="1"/>
  <c r="M60" i="1"/>
  <c r="J60" i="1" s="1"/>
  <c r="K60" i="1" s="1"/>
  <c r="L60" i="1" s="1"/>
  <c r="L59" i="1" s="1"/>
  <c r="L58" i="1" s="1"/>
  <c r="M53" i="1"/>
  <c r="M52" i="1" s="1"/>
  <c r="M51" i="1" s="1"/>
  <c r="M46" i="1"/>
  <c r="M47" i="1" s="1"/>
  <c r="M39" i="1"/>
  <c r="M40" i="1" s="1"/>
  <c r="M32" i="1"/>
  <c r="M33" i="1" s="1"/>
  <c r="G29" i="1"/>
  <c r="G34" i="1" s="1"/>
  <c r="H78" i="1"/>
  <c r="H83" i="1" s="1"/>
  <c r="D71" i="1"/>
  <c r="D76" i="1" s="1"/>
  <c r="D64" i="1"/>
  <c r="D69" i="1" s="1"/>
  <c r="D57" i="1"/>
  <c r="D62" i="1" s="1"/>
  <c r="D50" i="1"/>
  <c r="D55" i="1" s="1"/>
  <c r="D43" i="1"/>
  <c r="D48" i="1" s="1"/>
  <c r="D36" i="1"/>
  <c r="D41" i="1" s="1"/>
  <c r="D29" i="1"/>
  <c r="D34" i="1" s="1"/>
  <c r="E71" i="1"/>
  <c r="E76" i="1" s="1"/>
  <c r="E64" i="1"/>
  <c r="E69" i="1" s="1"/>
  <c r="E57" i="1"/>
  <c r="E62" i="1" s="1"/>
  <c r="E50" i="1"/>
  <c r="E55" i="1" s="1"/>
  <c r="E43" i="1"/>
  <c r="E48" i="1" s="1"/>
  <c r="E36" i="1"/>
  <c r="E41" i="1" s="1"/>
  <c r="E29" i="1"/>
  <c r="E34" i="1" s="1"/>
  <c r="F71" i="1"/>
  <c r="F76" i="1" s="1"/>
  <c r="F64" i="1"/>
  <c r="F69" i="1" s="1"/>
  <c r="F57" i="1"/>
  <c r="F62" i="1" s="1"/>
  <c r="F50" i="1"/>
  <c r="F55" i="1" s="1"/>
  <c r="F43" i="1"/>
  <c r="F48" i="1" s="1"/>
  <c r="F36" i="1"/>
  <c r="F41" i="1" s="1"/>
  <c r="F29" i="1"/>
  <c r="F34" i="1" s="1"/>
  <c r="G57" i="1"/>
  <c r="G62" i="1" s="1"/>
  <c r="G71" i="1"/>
  <c r="G72" i="1" s="1"/>
  <c r="G64" i="1"/>
  <c r="G65" i="1" s="1"/>
  <c r="G50" i="1"/>
  <c r="G55" i="1" s="1"/>
  <c r="G43" i="1"/>
  <c r="G48" i="1" s="1"/>
  <c r="G36" i="1"/>
  <c r="B71" i="1"/>
  <c r="B64" i="1"/>
  <c r="B57" i="1"/>
  <c r="B50" i="1"/>
  <c r="B43" i="1"/>
  <c r="B36" i="1"/>
  <c r="B29" i="1"/>
  <c r="H84" i="1" l="1"/>
  <c r="G124" i="1"/>
  <c r="E124" i="1"/>
  <c r="H124" i="1"/>
  <c r="M112" i="1"/>
  <c r="M111" i="1" s="1"/>
  <c r="M114" i="1"/>
  <c r="D95" i="1"/>
  <c r="H96" i="1"/>
  <c r="G102" i="1"/>
  <c r="H90" i="1"/>
  <c r="G95" i="1"/>
  <c r="H99" i="1"/>
  <c r="G99" i="1"/>
  <c r="G107" i="1"/>
  <c r="G111" i="1" s="1"/>
  <c r="D99" i="1"/>
  <c r="D102" i="1"/>
  <c r="D107" i="1"/>
  <c r="H107" i="1"/>
  <c r="H127" i="1" s="1"/>
  <c r="M61" i="1"/>
  <c r="E95" i="1"/>
  <c r="E99" i="1"/>
  <c r="E102" i="1"/>
  <c r="H95" i="1"/>
  <c r="H102" i="1"/>
  <c r="E107" i="1"/>
  <c r="E130" i="1" s="1"/>
  <c r="F95" i="1"/>
  <c r="F99" i="1"/>
  <c r="F102" i="1"/>
  <c r="F107" i="1"/>
  <c r="F130" i="1" s="1"/>
  <c r="M54" i="1"/>
  <c r="J74" i="1"/>
  <c r="J73" i="1" s="1"/>
  <c r="J72" i="1" s="1"/>
  <c r="L61" i="1"/>
  <c r="M73" i="1"/>
  <c r="M72" i="1" s="1"/>
  <c r="H87" i="1"/>
  <c r="I87" i="1" s="1"/>
  <c r="E84" i="1"/>
  <c r="M45" i="1"/>
  <c r="M44" i="1" s="1"/>
  <c r="M31" i="1"/>
  <c r="M30" i="1" s="1"/>
  <c r="J59" i="1"/>
  <c r="J58" i="1" s="1"/>
  <c r="F84" i="1"/>
  <c r="M38" i="1"/>
  <c r="M37" i="1" s="1"/>
  <c r="K59" i="1"/>
  <c r="K58" i="1" s="1"/>
  <c r="J61" i="1"/>
  <c r="M66" i="1"/>
  <c r="M65" i="1" s="1"/>
  <c r="H79" i="1"/>
  <c r="G84" i="1"/>
  <c r="M59" i="1"/>
  <c r="M58" i="1" s="1"/>
  <c r="K61" i="1"/>
  <c r="G76" i="1"/>
  <c r="H76" i="1" s="1"/>
  <c r="H71" i="1" s="1"/>
  <c r="H72" i="1" s="1"/>
  <c r="G69" i="1"/>
  <c r="H69" i="1" s="1"/>
  <c r="H64" i="1" s="1"/>
  <c r="H65" i="1" s="1"/>
  <c r="I67" i="1" s="1"/>
  <c r="H62" i="1"/>
  <c r="H57" i="1" s="1"/>
  <c r="H58" i="1" s="1"/>
  <c r="H55" i="1"/>
  <c r="H50" i="1" s="1"/>
  <c r="H51" i="1" s="1"/>
  <c r="E65" i="1"/>
  <c r="H48" i="1"/>
  <c r="H43" i="1" s="1"/>
  <c r="H44" i="1" s="1"/>
  <c r="F72" i="1"/>
  <c r="E72" i="1"/>
  <c r="G41" i="1"/>
  <c r="H41" i="1" s="1"/>
  <c r="H36" i="1" s="1"/>
  <c r="F65" i="1"/>
  <c r="G58" i="1"/>
  <c r="E58" i="1"/>
  <c r="F58" i="1"/>
  <c r="F51" i="1"/>
  <c r="G51" i="1"/>
  <c r="E44" i="1"/>
  <c r="F44" i="1"/>
  <c r="E51" i="1"/>
  <c r="G44" i="1"/>
  <c r="F37" i="1"/>
  <c r="E37" i="1"/>
  <c r="G37" i="1"/>
  <c r="F30" i="1"/>
  <c r="G30" i="1"/>
  <c r="E30" i="1"/>
  <c r="G123" i="1" l="1"/>
  <c r="G130" i="1"/>
  <c r="H123" i="1"/>
  <c r="G127" i="1"/>
  <c r="H108" i="1"/>
  <c r="H130" i="1"/>
  <c r="I90" i="1"/>
  <c r="H117" i="1"/>
  <c r="F123" i="1"/>
  <c r="F108" i="1"/>
  <c r="F127" i="1"/>
  <c r="E127" i="1"/>
  <c r="E123" i="1"/>
  <c r="D111" i="1"/>
  <c r="D123" i="1"/>
  <c r="D130" i="1"/>
  <c r="D127" i="1"/>
  <c r="I102" i="1"/>
  <c r="J102" i="1" s="1"/>
  <c r="J75" i="1"/>
  <c r="I95" i="1"/>
  <c r="J95" i="1" s="1"/>
  <c r="K95" i="1" s="1"/>
  <c r="L95" i="1" s="1"/>
  <c r="K74" i="1"/>
  <c r="K75" i="1" s="1"/>
  <c r="J90" i="1"/>
  <c r="K90" i="1" s="1"/>
  <c r="L90" i="1" s="1"/>
  <c r="M90" i="1" s="1"/>
  <c r="G108" i="1"/>
  <c r="F111" i="1"/>
  <c r="I99" i="1"/>
  <c r="J99" i="1" s="1"/>
  <c r="I53" i="1"/>
  <c r="I52" i="1" s="1"/>
  <c r="I51" i="1" s="1"/>
  <c r="I50" i="1" s="1"/>
  <c r="E108" i="1"/>
  <c r="E111" i="1"/>
  <c r="H111" i="1"/>
  <c r="I46" i="1"/>
  <c r="J46" i="1" s="1"/>
  <c r="I71" i="1"/>
  <c r="J71" i="1" s="1"/>
  <c r="I66" i="1"/>
  <c r="I65" i="1" s="1"/>
  <c r="I68" i="1"/>
  <c r="J67" i="1"/>
  <c r="J87" i="1"/>
  <c r="K87" i="1" s="1"/>
  <c r="L87" i="1" s="1"/>
  <c r="M87" i="1" s="1"/>
  <c r="K73" i="1"/>
  <c r="K72" i="1" s="1"/>
  <c r="I57" i="1"/>
  <c r="J57" i="1" s="1"/>
  <c r="K57" i="1" s="1"/>
  <c r="L57" i="1" s="1"/>
  <c r="M57" i="1" s="1"/>
  <c r="I54" i="1"/>
  <c r="H37" i="1"/>
  <c r="I39" i="1" s="1"/>
  <c r="L74" i="1" l="1"/>
  <c r="K102" i="1"/>
  <c r="L102" i="1" s="1"/>
  <c r="M102" i="1" s="1"/>
  <c r="I117" i="1"/>
  <c r="J117" i="1" s="1"/>
  <c r="J53" i="1"/>
  <c r="J52" i="1" s="1"/>
  <c r="J51" i="1" s="1"/>
  <c r="J50" i="1" s="1"/>
  <c r="I45" i="1"/>
  <c r="I44" i="1" s="1"/>
  <c r="I43" i="1" s="1"/>
  <c r="I47" i="1"/>
  <c r="K99" i="1"/>
  <c r="M95" i="1"/>
  <c r="I64" i="1"/>
  <c r="K71" i="1"/>
  <c r="I40" i="1"/>
  <c r="I38" i="1"/>
  <c r="I37" i="1" s="1"/>
  <c r="I36" i="1" s="1"/>
  <c r="J39" i="1"/>
  <c r="L73" i="1"/>
  <c r="L72" i="1" s="1"/>
  <c r="L75" i="1"/>
  <c r="J47" i="1"/>
  <c r="K46" i="1"/>
  <c r="J45" i="1"/>
  <c r="J44" i="1" s="1"/>
  <c r="J68" i="1"/>
  <c r="K67" i="1"/>
  <c r="J66" i="1"/>
  <c r="J65" i="1" s="1"/>
  <c r="K53" i="1" l="1"/>
  <c r="J54" i="1"/>
  <c r="K117" i="1"/>
  <c r="J43" i="1"/>
  <c r="J64" i="1"/>
  <c r="L99" i="1"/>
  <c r="M99" i="1" s="1"/>
  <c r="J112" i="1"/>
  <c r="J111" i="1" s="1"/>
  <c r="J114" i="1"/>
  <c r="L71" i="1"/>
  <c r="M71" i="1" s="1"/>
  <c r="K39" i="1"/>
  <c r="J40" i="1"/>
  <c r="J38" i="1"/>
  <c r="J37" i="1" s="1"/>
  <c r="J36" i="1" s="1"/>
  <c r="L46" i="1"/>
  <c r="K45" i="1"/>
  <c r="K44" i="1" s="1"/>
  <c r="K47" i="1"/>
  <c r="L67" i="1"/>
  <c r="K68" i="1"/>
  <c r="K66" i="1"/>
  <c r="K65" i="1" s="1"/>
  <c r="L53" i="1"/>
  <c r="K54" i="1"/>
  <c r="K52" i="1"/>
  <c r="K51" i="1" s="1"/>
  <c r="K50" i="1" s="1"/>
  <c r="L117" i="1" l="1"/>
  <c r="M117" i="1" s="1"/>
  <c r="K43" i="1"/>
  <c r="K64" i="1"/>
  <c r="K114" i="1"/>
  <c r="K112" i="1"/>
  <c r="K111" i="1" s="1"/>
  <c r="L39" i="1"/>
  <c r="K40" i="1"/>
  <c r="K38" i="1"/>
  <c r="K37" i="1" s="1"/>
  <c r="K36" i="1" s="1"/>
  <c r="L68" i="1"/>
  <c r="L66" i="1"/>
  <c r="L65" i="1" s="1"/>
  <c r="L47" i="1"/>
  <c r="L45" i="1"/>
  <c r="L44" i="1" s="1"/>
  <c r="L52" i="1"/>
  <c r="L51" i="1" s="1"/>
  <c r="L50" i="1" s="1"/>
  <c r="M50" i="1" s="1"/>
  <c r="L54" i="1"/>
  <c r="L64" i="1" l="1"/>
  <c r="M64" i="1" s="1"/>
  <c r="L43" i="1"/>
  <c r="M43" i="1" s="1"/>
  <c r="L114" i="1"/>
  <c r="L112" i="1"/>
  <c r="L111" i="1" s="1"/>
  <c r="L38" i="1"/>
  <c r="L37" i="1" s="1"/>
  <c r="L36" i="1" s="1"/>
  <c r="M36" i="1" s="1"/>
  <c r="L40" i="1"/>
  <c r="G2" i="1" l="1" a="1"/>
  <c r="G2" i="1" s="1"/>
  <c r="H29" i="1" l="1"/>
  <c r="H30" i="1" s="1"/>
  <c r="I32" i="1" s="1"/>
  <c r="I33" i="1" l="1"/>
  <c r="I31" i="1"/>
  <c r="I30" i="1" s="1"/>
  <c r="I29" i="1" s="1"/>
  <c r="J32" i="1"/>
  <c r="I78" i="1" l="1"/>
  <c r="K32" i="1"/>
  <c r="J33" i="1"/>
  <c r="J31" i="1"/>
  <c r="J30" i="1" s="1"/>
  <c r="J29" i="1" s="1"/>
  <c r="J78" i="1" l="1"/>
  <c r="L32" i="1"/>
  <c r="K31" i="1"/>
  <c r="K30" i="1" s="1"/>
  <c r="K29" i="1" s="1"/>
  <c r="K33" i="1"/>
  <c r="I83" i="1"/>
  <c r="I79" i="1"/>
  <c r="I107" i="1" l="1"/>
  <c r="I98" i="1"/>
  <c r="I126" i="1" s="1"/>
  <c r="I86" i="1"/>
  <c r="I89" i="1" s="1"/>
  <c r="I94" i="1"/>
  <c r="I84" i="1"/>
  <c r="I101" i="1"/>
  <c r="I129" i="1" s="1"/>
  <c r="K78" i="1"/>
  <c r="J79" i="1"/>
  <c r="J83" i="1"/>
  <c r="L31" i="1"/>
  <c r="L30" i="1" s="1"/>
  <c r="L29" i="1" s="1"/>
  <c r="L33" i="1"/>
  <c r="I130" i="1" l="1"/>
  <c r="I127" i="1"/>
  <c r="L78" i="1"/>
  <c r="M29" i="1"/>
  <c r="M78" i="1" s="1"/>
  <c r="K83" i="1"/>
  <c r="K79" i="1"/>
  <c r="I96" i="1"/>
  <c r="I122" i="1"/>
  <c r="J107" i="1"/>
  <c r="J98" i="1"/>
  <c r="J126" i="1" s="1"/>
  <c r="J84" i="1"/>
  <c r="J86" i="1"/>
  <c r="J89" i="1" s="1"/>
  <c r="J101" i="1"/>
  <c r="J129" i="1" s="1"/>
  <c r="J94" i="1"/>
  <c r="I108" i="1"/>
  <c r="I110" i="1"/>
  <c r="J130" i="1" l="1"/>
  <c r="J127" i="1"/>
  <c r="J122" i="1"/>
  <c r="J96" i="1"/>
  <c r="J110" i="1"/>
  <c r="J108" i="1"/>
  <c r="K101" i="1"/>
  <c r="K129" i="1" s="1"/>
  <c r="K94" i="1"/>
  <c r="K86" i="1"/>
  <c r="K89" i="1" s="1"/>
  <c r="K107" i="1"/>
  <c r="K98" i="1"/>
  <c r="K126" i="1" s="1"/>
  <c r="K84" i="1"/>
  <c r="I116" i="1"/>
  <c r="I120" i="1" s="1"/>
  <c r="I133" i="1" s="1"/>
  <c r="I134" i="1" s="1"/>
  <c r="I123" i="1"/>
  <c r="I124" i="1"/>
  <c r="M83" i="1"/>
  <c r="M79" i="1"/>
  <c r="L83" i="1"/>
  <c r="L79" i="1"/>
  <c r="K127" i="1" l="1"/>
  <c r="K130" i="1"/>
  <c r="K110" i="1"/>
  <c r="K108" i="1"/>
  <c r="M101" i="1"/>
  <c r="M129" i="1" s="1"/>
  <c r="M98" i="1"/>
  <c r="M126" i="1" s="1"/>
  <c r="M86" i="1"/>
  <c r="M89" i="1" s="1"/>
  <c r="M94" i="1"/>
  <c r="M84" i="1"/>
  <c r="M107" i="1"/>
  <c r="J116" i="1"/>
  <c r="J120" i="1" s="1"/>
  <c r="J133" i="1" s="1"/>
  <c r="J134" i="1" s="1"/>
  <c r="L101" i="1"/>
  <c r="L129" i="1" s="1"/>
  <c r="L107" i="1"/>
  <c r="L98" i="1"/>
  <c r="L126" i="1" s="1"/>
  <c r="L94" i="1"/>
  <c r="L86" i="1"/>
  <c r="L89" i="1" s="1"/>
  <c r="L84" i="1"/>
  <c r="K122" i="1"/>
  <c r="K96" i="1"/>
  <c r="J124" i="1"/>
  <c r="J123" i="1"/>
  <c r="M127" i="1" l="1"/>
  <c r="L130" i="1"/>
  <c r="M130" i="1"/>
  <c r="L96" i="1"/>
  <c r="L122" i="1"/>
  <c r="M96" i="1"/>
  <c r="M122" i="1"/>
  <c r="L108" i="1"/>
  <c r="L110" i="1"/>
  <c r="M108" i="1"/>
  <c r="M110" i="1"/>
  <c r="K124" i="1"/>
  <c r="K123" i="1"/>
  <c r="L127" i="1"/>
  <c r="K116" i="1"/>
  <c r="K120" i="1" s="1"/>
  <c r="K133" i="1" s="1"/>
  <c r="K134" i="1" s="1"/>
  <c r="M116" i="1" l="1"/>
  <c r="M120" i="1" s="1"/>
  <c r="M133" i="1" s="1"/>
  <c r="M124" i="1"/>
  <c r="M123" i="1"/>
  <c r="L116" i="1"/>
  <c r="L120" i="1" s="1"/>
  <c r="L133" i="1" s="1"/>
  <c r="L134" i="1" s="1"/>
  <c r="L124" i="1"/>
  <c r="L123" i="1"/>
  <c r="M136" i="1" l="1"/>
  <c r="M137" i="1" s="1"/>
  <c r="M134" i="1"/>
  <c r="M139" i="1" l="1"/>
  <c r="M142" i="1" s="1"/>
  <c r="M144" i="1" s="1"/>
  <c r="G3" i="1" s="1"/>
  <c r="K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<sst xmlns="http://schemas.openxmlformats.org/spreadsheetml/2006/main" count="124" uniqueCount="65">
  <si>
    <t>Ticker</t>
  </si>
  <si>
    <t>Date</t>
  </si>
  <si>
    <t>KO</t>
  </si>
  <si>
    <t xml:space="preserve">Current Share Price </t>
  </si>
  <si>
    <t xml:space="preserve">Implied Share Price </t>
  </si>
  <si>
    <t>Upside/(Downside)</t>
  </si>
  <si>
    <t>X</t>
  </si>
  <si>
    <t xml:space="preserve">Assumptions </t>
  </si>
  <si>
    <t xml:space="preserve">Switches </t>
  </si>
  <si>
    <t xml:space="preserve">Revenue Build </t>
  </si>
  <si>
    <t>EMEA</t>
  </si>
  <si>
    <t>Total Revenues</t>
  </si>
  <si>
    <t>LatAm</t>
  </si>
  <si>
    <t xml:space="preserve">North America </t>
  </si>
  <si>
    <t>APAC</t>
  </si>
  <si>
    <t xml:space="preserve">Global Ventures </t>
  </si>
  <si>
    <t xml:space="preserve">Bottling Investments </t>
  </si>
  <si>
    <t>Corporate</t>
  </si>
  <si>
    <t xml:space="preserve">% Growth </t>
  </si>
  <si>
    <t xml:space="preserve">Conservative </t>
  </si>
  <si>
    <t>Base</t>
  </si>
  <si>
    <t>Optimistic</t>
  </si>
  <si>
    <t>% of Sales</t>
  </si>
  <si>
    <t>% Growth</t>
  </si>
  <si>
    <t>Income Statement</t>
  </si>
  <si>
    <t>Revenue</t>
  </si>
  <si>
    <t>EBIT</t>
  </si>
  <si>
    <t>Taxes</t>
  </si>
  <si>
    <t>% of EBIT</t>
  </si>
  <si>
    <t>Cash Flow Items</t>
  </si>
  <si>
    <t>D&amp;A</t>
  </si>
  <si>
    <t>% of CapEx</t>
  </si>
  <si>
    <t>CapEx</t>
  </si>
  <si>
    <t xml:space="preserve">Change in Net Working Capital </t>
  </si>
  <si>
    <t xml:space="preserve">% of Sales </t>
  </si>
  <si>
    <t>DCF</t>
  </si>
  <si>
    <t xml:space="preserve">Revenue </t>
  </si>
  <si>
    <t xml:space="preserve">  Conservative </t>
  </si>
  <si>
    <t xml:space="preserve">  Base </t>
  </si>
  <si>
    <t xml:space="preserve">  Optimistic </t>
  </si>
  <si>
    <t>EBIAT</t>
  </si>
  <si>
    <t xml:space="preserve">Unlevered Free Cash Flow </t>
  </si>
  <si>
    <t xml:space="preserve">Present Value of Free Cash Flow </t>
  </si>
  <si>
    <t>WACC = % of equity * cost of equity + % of debt * cost of debt * (1-Tax Rate)</t>
  </si>
  <si>
    <t xml:space="preserve">Cost of equity = Risk Free Rate + Beta * Market Risk Premium </t>
  </si>
  <si>
    <t>WACC</t>
  </si>
  <si>
    <t xml:space="preserve">Market Cap </t>
  </si>
  <si>
    <t xml:space="preserve">% of equity </t>
  </si>
  <si>
    <t xml:space="preserve">Cost of Equity </t>
  </si>
  <si>
    <t xml:space="preserve">Risk Free Rate </t>
  </si>
  <si>
    <t xml:space="preserve">Beta </t>
  </si>
  <si>
    <t xml:space="preserve">Market Risk Premium </t>
  </si>
  <si>
    <t xml:space="preserve">Debt </t>
  </si>
  <si>
    <t xml:space="preserve">% of Debt </t>
  </si>
  <si>
    <t xml:space="preserve">Cost of Debt </t>
  </si>
  <si>
    <t xml:space="preserve">Tax Rate </t>
  </si>
  <si>
    <t xml:space="preserve">Total </t>
  </si>
  <si>
    <t>TGV</t>
  </si>
  <si>
    <t xml:space="preserve">Terminal Value </t>
  </si>
  <si>
    <t xml:space="preserve">Present Value of Terminal Value </t>
  </si>
  <si>
    <t xml:space="preserve">Enterprise Value </t>
  </si>
  <si>
    <t xml:space="preserve">(+) Cash </t>
  </si>
  <si>
    <t xml:space="preserve">(-) Debt </t>
  </si>
  <si>
    <t xml:space="preserve">Equity Value </t>
  </si>
  <si>
    <t xml:space="preserve">Shares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</si>
</sst>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8" x14ac:knownFonts="1">
    <font>
      <sz val="12"/>
      <color theme="1"/>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8"/>
      <color theme="1"/>
      <name val="Calibri"/>
      <family val="2"/>
      <scheme val="minor"/>
    </font>
    <font>
      <sz val="14"/>
      <color theme="1"/>
      <name val="Calibri"/>
      <family val="2"/>
      <scheme val="minor"/>
    </font>
    <font>
      <b/>
      <sz val="14"/>
      <color theme="0"/>
      <name val="Calibri"/>
      <family val="2"/>
      <scheme val="minor"/>
    </font>
    <font>
      <b/>
      <sz val="14"/>
      <color theme="1"/>
      <name val="Calibri"/>
      <family val="2"/>
      <scheme val="minor"/>
    </font>
  </fonts>
  <fills count="4">
    <fill>
      <patternFill patternType="none"/>
    </fill>
    <fill>
      <patternFill patternType="gray125"/>
    </fill>
    <fill>
      <patternFill patternType="solid">
        <fgColor theme="8" tint="-0.499984740745262"/>
        <bgColor indexed="64"/>
      </patternFill>
    </fill>
    <fill>
      <patternFill patternType="solid">
        <fgColor theme="7" tint="0.79998168889431442"/>
        <bgColor indexed="64"/>
      </patternFill>
    </fill>
  </fills>
  <borders count="3">
    <border>
      <left/>
      <right/>
      <top/>
      <bottom/>
      <diagonal/>
    </border>
    <border>
      <left/>
      <right/>
      <top style="medium">
        <color auto="1"/>
      </top>
      <bottom/>
      <diagonal/>
    </border>
    <border>
      <left style="hair">
        <color auto="1"/>
      </left>
      <right style="hair">
        <color auto="1"/>
      </right>
      <top style="hair">
        <color auto="1"/>
      </top>
      <bottom style="hair">
        <color auto="1"/>
      </bottom>
      <diagonal/>
    </border>
  </borders>
  <cellStyleXfs count="1">
    <xf numFmtId="0" fontId="0" fillId="0" borderId="0"/>
  </cellStyleXfs>
  <cellXfs count="28">
    <xf numFmtId="0" fontId="0" fillId="0" borderId="0" xfId="0"/>
    <xf numFmtId="164" fontId="0" fillId="0" borderId="0" xfId="0" applyNumberFormat="1"/>
    <xf numFmtId="0" fontId="2" fillId="2" borderId="0" xfId="0" applyFont="1" applyFill="1"/>
    <xf numFmtId="0" fontId="1" fillId="0" borderId="0" xfId="0" applyFont="1"/>
    <xf numFmtId="37" fontId="0" fillId="0" borderId="0" xfId="0" applyNumberFormat="1"/>
    <xf numFmtId="37" fontId="1" fillId="0" borderId="0" xfId="0" applyNumberFormat="1" applyFont="1"/>
    <xf numFmtId="0" fontId="1" fillId="0" borderId="1" xfId="0" applyFont="1" applyBorder="1"/>
    <xf numFmtId="37" fontId="1" fillId="0" borderId="1" xfId="0" applyNumberFormat="1" applyFont="1" applyBorder="1"/>
    <xf numFmtId="0" fontId="0" fillId="0" borderId="0" xfId="0" applyFont="1" applyAlignment="1">
      <alignment horizontal="right"/>
    </xf>
    <xf numFmtId="0" fontId="0" fillId="0" borderId="0" xfId="0" applyFont="1"/>
    <xf numFmtId="0" fontId="3" fillId="0" borderId="0" xfId="0" applyFont="1"/>
    <xf numFmtId="9" fontId="0" fillId="0" borderId="0" xfId="0" applyNumberFormat="1"/>
    <xf numFmtId="9" fontId="3" fillId="0" borderId="0" xfId="0" applyNumberFormat="1" applyFont="1"/>
    <xf numFmtId="37" fontId="0" fillId="3" borderId="2" xfId="0" applyNumberFormat="1" applyFill="1" applyBorder="1"/>
    <xf numFmtId="9" fontId="0" fillId="3" borderId="2" xfId="0" applyNumberFormat="1" applyFill="1" applyBorder="1"/>
    <xf numFmtId="10" fontId="0" fillId="3" borderId="2" xfId="0" applyNumberFormat="1" applyFill="1" applyBorder="1"/>
    <xf numFmtId="10" fontId="0" fillId="3" borderId="2" xfId="0" applyNumberFormat="1" applyFont="1" applyFill="1" applyBorder="1" applyAlignment="1">
      <alignment horizontal="right"/>
    </xf>
    <xf numFmtId="10" fontId="0" fillId="0" borderId="0" xfId="0" applyNumberFormat="1"/>
    <xf numFmtId="0" fontId="4" fillId="0" borderId="0" xfId="0" applyFont="1"/>
    <xf numFmtId="0" fontId="5" fillId="0" borderId="0" xfId="0" applyFont="1"/>
    <xf numFmtId="0" fontId="6" fillId="2" borderId="0" xfId="0" applyFont="1" applyFill="1"/>
    <xf numFmtId="0" fontId="7" fillId="0" borderId="0" xfId="0" applyFont="1"/>
    <xf numFmtId="3" fontId="0" fillId="0" borderId="0" xfId="0" applyNumberFormat="1"/>
    <xf numFmtId="2" fontId="0" fillId="0" borderId="0" xfId="0" applyNumberFormat="1"/>
    <xf numFmtId="0" fontId="0" fillId="3" borderId="2" xfId="0" applyFill="1" applyBorder="1"/>
    <xf numFmtId="14" fontId="0" fillId="3" borderId="2" xfId="0" applyNumberFormat="1" applyFill="1" applyBorder="1"/>
    <xf numFmtId="164" fontId="0" fillId="3" borderId="2" xfId="0" applyNumberFormat="1" applyFill="1" applyBorder="1"/>
    <xf numFmtId="9" fontId="3"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https://www.bing.com/financeapi/forcetrigger?t=a1wljc&amp;q=XNYS%3aKO&amp;form=skydnc</v>
    <v>Learn more on Bing</v>
  </rv>
  <rv s="1">
    <v>0</v>
    <v>THE COCA-COLA COMPANY (XNYS:KO)</v>
    <v>2</v>
    <v>3</v>
    <v>Finance</v>
    <v>4</v>
    <v>en-GB</v>
    <v>a1wljc</v>
    <v>268435456</v>
    <v>1</v>
    <v>Powered by Refinitiv</v>
    <v>67.2</v>
    <v>54.015000000000001</v>
    <v>0.57320000000000004</v>
    <v>-0.36</v>
    <v>-5.9450000000000006E-3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60.35</v>
    <v>Beverages</v>
    <v>Stock</v>
    <v>44951.618871828126</v>
    <v>0</v>
    <v>60.11</v>
    <v>260292437470</v>
    <v>THE COCA-COLA COMPANY</v>
    <v>THE COCA-COLA COMPANY</v>
    <v>60.19</v>
    <v>26.545400000000001</v>
    <v>60.55</v>
    <v>60.19</v>
    <v>4324513000</v>
    <v>KO</v>
    <v>THE COCA-COLA COMPANY (XNYS:KO)</v>
    <v>995117</v>
    <v>12168125</v>
    <v>1919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59538-E7C6-5D4E-9E9E-903C31600ACE}">
  <dimension ref="A2:M144"/>
  <sheetViews>
    <sheetView showGridLines="0" tabSelected="1" zoomScale="150" zoomScaleNormal="160" workbookViewId="0">
      <pane xSplit="2" topLeftCell="C1" activePane="topRight" state="frozen"/>
      <selection pane="topRight" activeCell="G18" sqref="G18"/>
    </sheetView>
  </sheetViews>
  <sheetFormatPr baseColWidth="10" defaultRowHeight="16" x14ac:dyDescent="0.2"/>
  <cols>
    <col min="1" max="1" width="2.5" customWidth="1"/>
    <col min="2" max="2" width="27.5" customWidth="1"/>
  </cols>
  <sheetData>
    <row r="2" spans="1:13" x14ac:dyDescent="0.2">
      <c r="B2" s="3" t="s">
        <v>0</v>
      </c>
      <c r="C2" s="24" t="e" vm="1">
        <v>#VALUE!</v>
      </c>
      <c r="E2" s="3" t="s">
        <v>3</v>
      </c>
      <c r="G2" s="26" cm="1">
        <f t="array" ref="G2">_FV(C2,"Price")</f>
        <v>60.19</v>
      </c>
      <c r="H2" s="1"/>
    </row>
    <row r="3" spans="1:13" x14ac:dyDescent="0.2">
      <c r="B3" s="3" t="s">
        <v>1</v>
      </c>
      <c r="C3" s="25">
        <v>44945</v>
      </c>
      <c r="E3" s="3" t="s">
        <v>4</v>
      </c>
      <c r="G3" s="26">
        <f ca="1">M144</f>
        <v>63.495915510510834</v>
      </c>
      <c r="I3" s="3" t="s">
        <v>5</v>
      </c>
      <c r="K3" s="14">
        <f ca="1">G3/G2-1</f>
        <v>5.4924663740003821E-2</v>
      </c>
    </row>
    <row r="6" spans="1:13" x14ac:dyDescent="0.2">
      <c r="A6" t="s">
        <v>6</v>
      </c>
      <c r="B6" s="2" t="s">
        <v>7</v>
      </c>
      <c r="C6" s="2"/>
      <c r="D6" s="2"/>
      <c r="E6" s="2"/>
      <c r="F6" s="2"/>
      <c r="G6" s="2"/>
      <c r="H6" s="2"/>
      <c r="I6" s="2"/>
      <c r="J6" s="2"/>
      <c r="K6" s="2"/>
      <c r="L6" s="2"/>
      <c r="M6" s="2"/>
    </row>
    <row r="8" spans="1:13" x14ac:dyDescent="0.2">
      <c r="B8" s="3" t="s">
        <v>8</v>
      </c>
    </row>
    <row r="9" spans="1:13" x14ac:dyDescent="0.2">
      <c r="B9" s="3"/>
      <c r="F9" s="3" t="s">
        <v>19</v>
      </c>
      <c r="H9" s="3" t="s">
        <v>20</v>
      </c>
      <c r="J9" s="3" t="s">
        <v>21</v>
      </c>
    </row>
    <row r="10" spans="1:13" x14ac:dyDescent="0.2">
      <c r="B10" s="3"/>
      <c r="F10" s="3"/>
      <c r="H10" s="3"/>
      <c r="J10" s="3"/>
    </row>
    <row r="11" spans="1:13" x14ac:dyDescent="0.2">
      <c r="B11" s="3" t="s">
        <v>10</v>
      </c>
      <c r="D11" s="13">
        <v>2</v>
      </c>
      <c r="F11" s="14">
        <v>0.8</v>
      </c>
      <c r="H11" s="14">
        <v>0.15</v>
      </c>
      <c r="J11" s="14">
        <v>1.2</v>
      </c>
    </row>
    <row r="12" spans="1:13" x14ac:dyDescent="0.2">
      <c r="B12" s="3" t="s">
        <v>12</v>
      </c>
      <c r="D12" s="13">
        <v>2</v>
      </c>
      <c r="F12" s="14">
        <v>0.8</v>
      </c>
      <c r="H12" s="14">
        <v>0.15</v>
      </c>
      <c r="J12" s="14">
        <v>1.2</v>
      </c>
    </row>
    <row r="13" spans="1:13" x14ac:dyDescent="0.2">
      <c r="B13" s="3" t="s">
        <v>13</v>
      </c>
      <c r="D13" s="13">
        <v>2</v>
      </c>
      <c r="F13" s="14">
        <v>0.8</v>
      </c>
      <c r="H13" s="14">
        <v>0.1</v>
      </c>
      <c r="J13" s="14">
        <v>1.2</v>
      </c>
    </row>
    <row r="14" spans="1:13" x14ac:dyDescent="0.2">
      <c r="B14" s="3" t="s">
        <v>14</v>
      </c>
      <c r="D14" s="13">
        <v>2</v>
      </c>
      <c r="F14" s="14">
        <v>0.8</v>
      </c>
      <c r="H14" s="14">
        <v>0.15</v>
      </c>
      <c r="J14" s="14">
        <v>1.2</v>
      </c>
    </row>
    <row r="15" spans="1:13" x14ac:dyDescent="0.2">
      <c r="B15" s="3" t="s">
        <v>15</v>
      </c>
      <c r="D15" s="13">
        <v>2</v>
      </c>
      <c r="F15" s="14">
        <v>0.8</v>
      </c>
      <c r="H15" s="14">
        <v>0.05</v>
      </c>
      <c r="J15" s="14">
        <v>1.2</v>
      </c>
    </row>
    <row r="16" spans="1:13" x14ac:dyDescent="0.2">
      <c r="B16" s="3" t="s">
        <v>16</v>
      </c>
      <c r="D16" s="13">
        <v>2</v>
      </c>
      <c r="F16" s="14">
        <v>0.8</v>
      </c>
      <c r="H16" s="14">
        <v>0.15</v>
      </c>
      <c r="J16" s="14">
        <v>1.2</v>
      </c>
    </row>
    <row r="17" spans="1:13" x14ac:dyDescent="0.2">
      <c r="B17" s="3" t="s">
        <v>17</v>
      </c>
      <c r="D17" s="13">
        <v>2</v>
      </c>
      <c r="F17" s="14">
        <v>0.8</v>
      </c>
      <c r="H17" s="14">
        <v>0.02</v>
      </c>
      <c r="J17" s="14">
        <v>1.2</v>
      </c>
    </row>
    <row r="18" spans="1:13" x14ac:dyDescent="0.2">
      <c r="B18" s="3"/>
    </row>
    <row r="19" spans="1:13" x14ac:dyDescent="0.2">
      <c r="B19" s="3" t="s">
        <v>26</v>
      </c>
      <c r="D19" s="13">
        <v>2</v>
      </c>
      <c r="F19" s="14">
        <v>0.8</v>
      </c>
      <c r="H19" s="14">
        <v>0.25</v>
      </c>
      <c r="J19" s="14">
        <v>1.2</v>
      </c>
    </row>
    <row r="20" spans="1:13" x14ac:dyDescent="0.2">
      <c r="B20" s="3"/>
    </row>
    <row r="21" spans="1:13" x14ac:dyDescent="0.2">
      <c r="B21" s="3" t="s">
        <v>45</v>
      </c>
      <c r="D21" s="13">
        <v>2</v>
      </c>
      <c r="F21" s="15">
        <f>H21*1.2</f>
        <v>7.3075130019174331E-2</v>
      </c>
      <c r="G21" s="17"/>
      <c r="H21" s="15">
        <f>KO_WACC!D23</f>
        <v>6.0895941682645283E-2</v>
      </c>
      <c r="I21" s="17"/>
      <c r="J21" s="15">
        <f>H21/1.2</f>
        <v>5.0746618068871069E-2</v>
      </c>
    </row>
    <row r="22" spans="1:13" x14ac:dyDescent="0.2">
      <c r="B22" s="3" t="s">
        <v>57</v>
      </c>
      <c r="D22" s="13">
        <v>2</v>
      </c>
      <c r="F22" s="15">
        <f>H22*0.8</f>
        <v>8.0000000000000002E-3</v>
      </c>
      <c r="G22" s="17"/>
      <c r="H22" s="15">
        <v>0.01</v>
      </c>
      <c r="I22" s="17"/>
      <c r="J22" s="15">
        <f>H22*1.2</f>
        <v>1.2E-2</v>
      </c>
    </row>
    <row r="24" spans="1:13" x14ac:dyDescent="0.2">
      <c r="B24" s="3" t="s">
        <v>45</v>
      </c>
      <c r="D24" s="15">
        <f>CHOOSE(D21,F21,H21,J21)</f>
        <v>6.0895941682645283E-2</v>
      </c>
    </row>
    <row r="25" spans="1:13" x14ac:dyDescent="0.2">
      <c r="B25" s="3" t="s">
        <v>57</v>
      </c>
      <c r="D25" s="15">
        <f>CHOOSE(D22,F22,H22,J22)</f>
        <v>0.01</v>
      </c>
    </row>
    <row r="27" spans="1:13" x14ac:dyDescent="0.2">
      <c r="A27" t="s">
        <v>6</v>
      </c>
      <c r="B27" s="2" t="s">
        <v>9</v>
      </c>
      <c r="C27" s="2"/>
      <c r="D27" s="2">
        <v>2018</v>
      </c>
      <c r="E27" s="2">
        <v>2019</v>
      </c>
      <c r="F27" s="2">
        <v>2020</v>
      </c>
      <c r="G27" s="2">
        <v>2021</v>
      </c>
      <c r="H27" s="2">
        <v>2022</v>
      </c>
      <c r="I27" s="2">
        <v>2023</v>
      </c>
      <c r="J27" s="2">
        <v>2024</v>
      </c>
      <c r="K27" s="2">
        <v>2025</v>
      </c>
      <c r="L27" s="2">
        <v>2026</v>
      </c>
      <c r="M27" s="2">
        <v>2027</v>
      </c>
    </row>
    <row r="29" spans="1:13" s="4" customFormat="1" x14ac:dyDescent="0.2">
      <c r="A29"/>
      <c r="B29" s="3" t="str">
        <f>B11</f>
        <v>EMEA</v>
      </c>
      <c r="C29"/>
      <c r="D29" s="4">
        <f>D78*0.191</f>
        <v>6084.4960000000001</v>
      </c>
      <c r="E29" s="4">
        <f>E78*0.173</f>
        <v>6447.0179999999991</v>
      </c>
      <c r="F29" s="4">
        <f>F78*0.168</f>
        <v>5546.3520000000008</v>
      </c>
      <c r="G29" s="4">
        <f>G78*0.17</f>
        <v>6571.35</v>
      </c>
      <c r="H29" s="4">
        <f>H78*H34</f>
        <v>7467.1862222222217</v>
      </c>
      <c r="I29" s="4">
        <f ca="1">H29*(1+I30)</f>
        <v>8666.1562101682648</v>
      </c>
      <c r="J29" s="4">
        <f t="shared" ref="J29:M29" ca="1" si="0">I29*(1+J30)</f>
        <v>10034.749169478302</v>
      </c>
      <c r="K29" s="4">
        <f t="shared" ca="1" si="0"/>
        <v>11592.970935314563</v>
      </c>
      <c r="L29" s="4">
        <f t="shared" ca="1" si="0"/>
        <v>13362.536988339321</v>
      </c>
      <c r="M29" s="4">
        <f t="shared" ca="1" si="0"/>
        <v>15366.917536590219</v>
      </c>
    </row>
    <row r="30" spans="1:13" s="4" customFormat="1" x14ac:dyDescent="0.2">
      <c r="A30"/>
      <c r="B30" s="10" t="s">
        <v>18</v>
      </c>
      <c r="C30"/>
      <c r="E30" s="12">
        <f>E29/D29-1</f>
        <v>5.958127016600856E-2</v>
      </c>
      <c r="F30" s="12">
        <f t="shared" ref="F30:M30" si="1">F29/E29-1</f>
        <v>-0.13970272767968051</v>
      </c>
      <c r="G30" s="12">
        <f t="shared" si="1"/>
        <v>0.18480579667500363</v>
      </c>
      <c r="H30" s="12">
        <f t="shared" si="1"/>
        <v>0.13632453334888894</v>
      </c>
      <c r="I30" s="12">
        <f ca="1">OFFSET(I30,$D$11,0)</f>
        <v>0.16056516501194629</v>
      </c>
      <c r="J30" s="12">
        <f t="shared" ref="J30:M30" ca="1" si="2">OFFSET(J30,$D$11,0)</f>
        <v>0.15792387375895972</v>
      </c>
      <c r="K30" s="12">
        <f t="shared" ca="1" si="2"/>
        <v>0.15528258250597315</v>
      </c>
      <c r="L30" s="12">
        <f t="shared" ca="1" si="2"/>
        <v>0.15264129125298659</v>
      </c>
      <c r="M30" s="12">
        <f t="shared" ca="1" si="2"/>
        <v>0.15</v>
      </c>
    </row>
    <row r="31" spans="1:13" s="4" customFormat="1" x14ac:dyDescent="0.2">
      <c r="A31"/>
      <c r="B31" s="9" t="s">
        <v>19</v>
      </c>
      <c r="C31"/>
      <c r="H31"/>
      <c r="I31" s="15">
        <f t="shared" ref="I31:L31" si="3">I32*$F$11</f>
        <v>0.12845213200955705</v>
      </c>
      <c r="J31" s="15">
        <f t="shared" si="3"/>
        <v>0.12633909900716778</v>
      </c>
      <c r="K31" s="15">
        <f t="shared" si="3"/>
        <v>0.12422606600477853</v>
      </c>
      <c r="L31" s="15">
        <f t="shared" si="3"/>
        <v>0.12211303300238928</v>
      </c>
      <c r="M31" s="15">
        <f>M32*$F$11</f>
        <v>0.12</v>
      </c>
    </row>
    <row r="32" spans="1:13" s="4" customFormat="1" x14ac:dyDescent="0.2">
      <c r="A32"/>
      <c r="B32" s="9" t="s">
        <v>20</v>
      </c>
      <c r="C32"/>
      <c r="H32"/>
      <c r="I32" s="15">
        <f>AVERAGE(G30:H30)</f>
        <v>0.16056516501194629</v>
      </c>
      <c r="J32" s="15">
        <f>I32-(I32-$M$32)/($M$27-I27)</f>
        <v>0.15792387375895972</v>
      </c>
      <c r="K32" s="15">
        <f t="shared" ref="K32:L32" si="4">J32-(J32-$M$32)/($M$27-J27)</f>
        <v>0.15528258250597315</v>
      </c>
      <c r="L32" s="15">
        <f t="shared" si="4"/>
        <v>0.15264129125298659</v>
      </c>
      <c r="M32" s="15">
        <f>H11</f>
        <v>0.15</v>
      </c>
    </row>
    <row r="33" spans="2:13" s="8" customFormat="1" x14ac:dyDescent="0.2">
      <c r="B33" s="9" t="s">
        <v>21</v>
      </c>
      <c r="I33" s="16">
        <f t="shared" ref="I33:L33" si="5">I32*$J$11</f>
        <v>0.19267819801433553</v>
      </c>
      <c r="J33" s="16">
        <f t="shared" si="5"/>
        <v>0.18950864851075166</v>
      </c>
      <c r="K33" s="16">
        <f t="shared" si="5"/>
        <v>0.18633909900716777</v>
      </c>
      <c r="L33" s="16">
        <f t="shared" si="5"/>
        <v>0.18316954950358391</v>
      </c>
      <c r="M33" s="16">
        <f>M32*$J$11</f>
        <v>0.18</v>
      </c>
    </row>
    <row r="34" spans="2:13" s="8" customFormat="1" x14ac:dyDescent="0.2">
      <c r="B34" s="10" t="s">
        <v>22</v>
      </c>
      <c r="D34" s="12">
        <f>D29/D78</f>
        <v>0.191</v>
      </c>
      <c r="E34" s="12">
        <f>E29/E78</f>
        <v>0.17299999999999999</v>
      </c>
      <c r="F34" s="12">
        <f>F29/F78</f>
        <v>0.16800000000000001</v>
      </c>
      <c r="G34" s="12">
        <f>G29/G78</f>
        <v>0.17</v>
      </c>
      <c r="H34" s="27">
        <f>AVERAGE(E34:G34)</f>
        <v>0.17033333333333334</v>
      </c>
    </row>
    <row r="35" spans="2:13" s="8" customFormat="1" x14ac:dyDescent="0.2"/>
    <row r="36" spans="2:13" x14ac:dyDescent="0.2">
      <c r="B36" s="3" t="str">
        <f t="shared" ref="B36" si="6">B12</f>
        <v>LatAm</v>
      </c>
      <c r="D36" s="4">
        <f>D78*0.116</f>
        <v>3695.2960000000003</v>
      </c>
      <c r="E36" s="4">
        <f>E78*0.11</f>
        <v>4099.26</v>
      </c>
      <c r="F36" s="4">
        <f>F78*0.106</f>
        <v>3499.4839999999999</v>
      </c>
      <c r="G36" s="4">
        <f>G78*0.107</f>
        <v>4136.085</v>
      </c>
      <c r="H36" s="4">
        <f>H78*H41</f>
        <v>4719.9631111111112</v>
      </c>
      <c r="I36" s="4">
        <f ca="1">H36*(1+I37)</f>
        <v>5482.4251828724555</v>
      </c>
      <c r="J36" s="4">
        <f t="shared" ref="J36:M36" ca="1" si="7">I36*(1+J37)</f>
        <v>6352.2386801621806</v>
      </c>
      <c r="K36" s="4">
        <f t="shared" ca="1" si="7"/>
        <v>7341.7263817621333</v>
      </c>
      <c r="L36" s="4">
        <f t="shared" ca="1" si="7"/>
        <v>8464.1659205194337</v>
      </c>
      <c r="M36" s="4">
        <f t="shared" ca="1" si="7"/>
        <v>9733.7908085973486</v>
      </c>
    </row>
    <row r="37" spans="2:13" x14ac:dyDescent="0.2">
      <c r="B37" s="10" t="s">
        <v>18</v>
      </c>
      <c r="D37" s="4"/>
      <c r="E37" s="12">
        <f>E36/D36-1</f>
        <v>0.10931844160792537</v>
      </c>
      <c r="F37" s="12">
        <f t="shared" ref="F37:M37" si="8">F36/E36-1</f>
        <v>-0.14631323702326771</v>
      </c>
      <c r="G37" s="12">
        <f t="shared" si="8"/>
        <v>0.18191281914705137</v>
      </c>
      <c r="H37" s="12">
        <f t="shared" si="8"/>
        <v>0.14116685491500092</v>
      </c>
      <c r="I37" s="12">
        <f ca="1">OFFSET(I37,$D$12,0)</f>
        <v>0.16153983703102615</v>
      </c>
      <c r="J37" s="12">
        <f t="shared" ref="J37:M37" ca="1" si="9">OFFSET(J37,$D$12,0)</f>
        <v>0.15865487777326961</v>
      </c>
      <c r="K37" s="12">
        <f t="shared" ca="1" si="9"/>
        <v>0.15576991851551308</v>
      </c>
      <c r="L37" s="12">
        <f t="shared" ca="1" si="9"/>
        <v>0.15288495925775653</v>
      </c>
      <c r="M37" s="12">
        <f t="shared" ca="1" si="9"/>
        <v>0.15</v>
      </c>
    </row>
    <row r="38" spans="2:13" x14ac:dyDescent="0.2">
      <c r="B38" s="9" t="s">
        <v>19</v>
      </c>
      <c r="D38" s="4"/>
      <c r="E38" s="4"/>
      <c r="F38" s="4"/>
      <c r="G38" s="4"/>
      <c r="I38" s="15">
        <f t="shared" ref="I38:L38" si="10">I39*$F$11</f>
        <v>0.12923186962482092</v>
      </c>
      <c r="J38" s="15">
        <f t="shared" si="10"/>
        <v>0.12692390221861569</v>
      </c>
      <c r="K38" s="15">
        <f t="shared" si="10"/>
        <v>0.12461593481241047</v>
      </c>
      <c r="L38" s="15">
        <f t="shared" si="10"/>
        <v>0.12230796740620523</v>
      </c>
      <c r="M38" s="15">
        <f>M39*$F$11</f>
        <v>0.12</v>
      </c>
    </row>
    <row r="39" spans="2:13" x14ac:dyDescent="0.2">
      <c r="B39" s="9" t="s">
        <v>20</v>
      </c>
      <c r="D39" s="4"/>
      <c r="E39" s="4"/>
      <c r="F39" s="4"/>
      <c r="G39" s="4"/>
      <c r="I39" s="15">
        <f>AVERAGE(G37:H37)</f>
        <v>0.16153983703102615</v>
      </c>
      <c r="J39" s="15">
        <f>I39-(I39-$M$39)/($M$27-I27)</f>
        <v>0.15865487777326961</v>
      </c>
      <c r="K39" s="15">
        <f t="shared" ref="K39:L39" si="11">J39-(J39-$M$39)/($M$27-J27)</f>
        <v>0.15576991851551308</v>
      </c>
      <c r="L39" s="15">
        <f t="shared" si="11"/>
        <v>0.15288495925775653</v>
      </c>
      <c r="M39" s="15">
        <f>H12</f>
        <v>0.15</v>
      </c>
    </row>
    <row r="40" spans="2:13" x14ac:dyDescent="0.2">
      <c r="B40" s="9" t="s">
        <v>21</v>
      </c>
      <c r="D40" s="4"/>
      <c r="E40" s="4"/>
      <c r="F40" s="4"/>
      <c r="G40" s="4"/>
      <c r="I40" s="16">
        <f t="shared" ref="I40:L40" si="12">I39*$J$11</f>
        <v>0.19384780443723137</v>
      </c>
      <c r="J40" s="16">
        <f t="shared" si="12"/>
        <v>0.19038585332792354</v>
      </c>
      <c r="K40" s="16">
        <f t="shared" si="12"/>
        <v>0.18692390221861568</v>
      </c>
      <c r="L40" s="16">
        <f t="shared" si="12"/>
        <v>0.18346195110930782</v>
      </c>
      <c r="M40" s="16">
        <f>M39*$J$11</f>
        <v>0.18</v>
      </c>
    </row>
    <row r="41" spans="2:13" x14ac:dyDescent="0.2">
      <c r="B41" s="10" t="s">
        <v>22</v>
      </c>
      <c r="D41" s="12">
        <f>D36/D78</f>
        <v>0.11600000000000001</v>
      </c>
      <c r="E41" s="12">
        <f>E36/E78</f>
        <v>0.11</v>
      </c>
      <c r="F41" s="12">
        <f>F36/F78</f>
        <v>0.106</v>
      </c>
      <c r="G41" s="12">
        <f>G36/G78</f>
        <v>0.107</v>
      </c>
      <c r="H41" s="11">
        <f>AVERAGE(E41:G41)</f>
        <v>0.10766666666666667</v>
      </c>
    </row>
    <row r="42" spans="2:13" x14ac:dyDescent="0.2">
      <c r="B42" s="3"/>
      <c r="D42" s="4"/>
      <c r="E42" s="4"/>
      <c r="F42" s="4"/>
      <c r="G42" s="4"/>
    </row>
    <row r="43" spans="2:13" x14ac:dyDescent="0.2">
      <c r="B43" s="3" t="str">
        <f>B13</f>
        <v xml:space="preserve">North America </v>
      </c>
      <c r="D43" s="4">
        <f>D78*0.331</f>
        <v>10544.336000000001</v>
      </c>
      <c r="E43" s="4">
        <f>E78*0.319</f>
        <v>11887.853999999999</v>
      </c>
      <c r="F43" s="4">
        <f>F78*0.347</f>
        <v>11455.857999999998</v>
      </c>
      <c r="G43" s="4">
        <f>G78*0.341</f>
        <v>13181.355000000001</v>
      </c>
      <c r="H43" s="4">
        <f>H78*H48</f>
        <v>14715.179111111109</v>
      </c>
      <c r="I43" s="4">
        <f ca="1">H43*(1+I44)</f>
        <v>16679.541678069763</v>
      </c>
      <c r="J43" s="4">
        <f t="shared" ref="J43:M43" ca="1" si="13">I43*(1+J44)</f>
        <v>18766.472549249786</v>
      </c>
      <c r="K43" s="4">
        <f t="shared" ca="1" si="13"/>
        <v>20957.385625717627</v>
      </c>
      <c r="L43" s="4">
        <f t="shared" ca="1" si="13"/>
        <v>23228.601758561916</v>
      </c>
      <c r="M43" s="4">
        <f t="shared" ca="1" si="13"/>
        <v>25551.461934418108</v>
      </c>
    </row>
    <row r="44" spans="2:13" x14ac:dyDescent="0.2">
      <c r="B44" s="10" t="s">
        <v>18</v>
      </c>
      <c r="D44" s="4"/>
      <c r="E44" s="12">
        <f>E43/D43-1</f>
        <v>0.12741608385772207</v>
      </c>
      <c r="F44" s="12">
        <f t="shared" ref="F44:G44" si="14">F43/E43-1</f>
        <v>-3.6339275364586476E-2</v>
      </c>
      <c r="G44" s="12">
        <f t="shared" si="14"/>
        <v>0.15062136768804257</v>
      </c>
      <c r="H44" s="12">
        <f t="shared" ref="H44" si="15">H43/G43-1</f>
        <v>0.11636315925874907</v>
      </c>
      <c r="I44" s="12">
        <f ca="1">OFFSET(I44,$D$13,0)</f>
        <v>0.13349226347339582</v>
      </c>
      <c r="J44" s="12">
        <f t="shared" ref="J44:M44" ca="1" si="16">OFFSET(J44,$D$13,0)</f>
        <v>0.12511919760504686</v>
      </c>
      <c r="K44" s="12">
        <f t="shared" ca="1" si="16"/>
        <v>0.11674613173669791</v>
      </c>
      <c r="L44" s="12">
        <f t="shared" ca="1" si="16"/>
        <v>0.10837306586834897</v>
      </c>
      <c r="M44" s="12">
        <f t="shared" ca="1" si="16"/>
        <v>0.1</v>
      </c>
    </row>
    <row r="45" spans="2:13" x14ac:dyDescent="0.2">
      <c r="B45" s="9" t="s">
        <v>19</v>
      </c>
      <c r="D45" s="4"/>
      <c r="E45" s="4"/>
      <c r="F45" s="4"/>
      <c r="G45" s="4"/>
      <c r="I45" s="15">
        <f t="shared" ref="I45:L45" si="17">I46*$F$13</f>
        <v>0.10679381077871666</v>
      </c>
      <c r="J45" s="15">
        <f t="shared" si="17"/>
        <v>0.10009535808403749</v>
      </c>
      <c r="K45" s="15">
        <f t="shared" si="17"/>
        <v>9.339690538935834E-2</v>
      </c>
      <c r="L45" s="15">
        <f t="shared" si="17"/>
        <v>8.6698452694679184E-2</v>
      </c>
      <c r="M45" s="15">
        <f>M46*$F$13</f>
        <v>8.0000000000000016E-2</v>
      </c>
    </row>
    <row r="46" spans="2:13" x14ac:dyDescent="0.2">
      <c r="B46" s="9" t="s">
        <v>20</v>
      </c>
      <c r="D46" s="4"/>
      <c r="E46" s="4"/>
      <c r="F46" s="4"/>
      <c r="G46" s="4"/>
      <c r="I46" s="15">
        <f>AVERAGE(G44:H44)</f>
        <v>0.13349226347339582</v>
      </c>
      <c r="J46" s="15">
        <f>I46-(I46-$M$46)/($M$27-I27)</f>
        <v>0.12511919760504686</v>
      </c>
      <c r="K46" s="15">
        <f t="shared" ref="K46:L46" si="18">J46-(J46-$M$46)/($M$27-J27)</f>
        <v>0.11674613173669791</v>
      </c>
      <c r="L46" s="15">
        <f t="shared" si="18"/>
        <v>0.10837306586834897</v>
      </c>
      <c r="M46" s="15">
        <f>H13</f>
        <v>0.1</v>
      </c>
    </row>
    <row r="47" spans="2:13" x14ac:dyDescent="0.2">
      <c r="B47" s="9" t="s">
        <v>21</v>
      </c>
      <c r="D47" s="4"/>
      <c r="E47" s="4"/>
      <c r="F47" s="4"/>
      <c r="G47" s="4"/>
      <c r="I47" s="16">
        <f t="shared" ref="I47:L47" si="19">I46*$J$13</f>
        <v>0.16019071616807498</v>
      </c>
      <c r="J47" s="16">
        <f t="shared" si="19"/>
        <v>0.15014303712605623</v>
      </c>
      <c r="K47" s="16">
        <f t="shared" si="19"/>
        <v>0.1400953580840375</v>
      </c>
      <c r="L47" s="16">
        <f t="shared" si="19"/>
        <v>0.13004767904201875</v>
      </c>
      <c r="M47" s="16">
        <f>M46*$J$13</f>
        <v>0.12</v>
      </c>
    </row>
    <row r="48" spans="2:13" x14ac:dyDescent="0.2">
      <c r="B48" s="10" t="s">
        <v>22</v>
      </c>
      <c r="D48" s="12">
        <f>D43/D$78</f>
        <v>0.33100000000000002</v>
      </c>
      <c r="E48" s="12">
        <f>E43/E$78</f>
        <v>0.31900000000000001</v>
      </c>
      <c r="F48" s="12">
        <f>F43/F$78</f>
        <v>0.34699999999999998</v>
      </c>
      <c r="G48" s="12">
        <f>G43/G$78</f>
        <v>0.34100000000000003</v>
      </c>
      <c r="H48" s="11">
        <f>AVERAGE(E48:G48)</f>
        <v>0.33566666666666661</v>
      </c>
    </row>
    <row r="49" spans="2:13" x14ac:dyDescent="0.2">
      <c r="B49" s="3"/>
    </row>
    <row r="50" spans="2:13" x14ac:dyDescent="0.2">
      <c r="B50" s="3" t="str">
        <f>B14</f>
        <v>APAC</v>
      </c>
      <c r="D50" s="4">
        <f>D78*0.14</f>
        <v>4459.84</v>
      </c>
      <c r="E50" s="4">
        <f>E78*0.127</f>
        <v>4732.7820000000002</v>
      </c>
      <c r="F50" s="4">
        <f>F78*0.128</f>
        <v>4225.7920000000004</v>
      </c>
      <c r="G50" s="4">
        <f>G78*0.121</f>
        <v>4677.2550000000001</v>
      </c>
      <c r="H50" s="4">
        <f>H78*H55</f>
        <v>5494.4462222222219</v>
      </c>
      <c r="I50" s="4">
        <f ca="1">H50*(1+I51)</f>
        <v>6267.9299323998221</v>
      </c>
      <c r="J50" s="4">
        <f t="shared" ref="J50:M50" ca="1" si="20">I50*(1+J51)</f>
        <v>7164.7557857840029</v>
      </c>
      <c r="K50" s="4">
        <f t="shared" ca="1" si="20"/>
        <v>8206.423701784357</v>
      </c>
      <c r="L50" s="4">
        <f t="shared" ca="1" si="20"/>
        <v>9418.4623287259401</v>
      </c>
      <c r="M50" s="4">
        <f t="shared" ca="1" si="20"/>
        <v>10831.23167803483</v>
      </c>
    </row>
    <row r="51" spans="2:13" x14ac:dyDescent="0.2">
      <c r="B51" s="10" t="s">
        <v>18</v>
      </c>
      <c r="D51" s="4"/>
      <c r="E51" s="12">
        <f>E50/D50-1</f>
        <v>6.1199953361555481E-2</v>
      </c>
      <c r="F51" s="12">
        <f t="shared" ref="F51:G51" si="21">F50/E50-1</f>
        <v>-0.10712304095138969</v>
      </c>
      <c r="G51" s="12">
        <f t="shared" si="21"/>
        <v>0.10683512108499427</v>
      </c>
      <c r="H51" s="12">
        <f t="shared" ref="H51" si="22">H50/G50-1</f>
        <v>0.17471598666786869</v>
      </c>
      <c r="I51" s="12">
        <f ca="1">OFFSET(I51,$D$14,0)</f>
        <v>0.14077555387643148</v>
      </c>
      <c r="J51" s="12">
        <f t="shared" ref="J51:M51" ca="1" si="23">OFFSET(J51,$D$14,0)</f>
        <v>0.14308166540732362</v>
      </c>
      <c r="K51" s="12">
        <f t="shared" ca="1" si="23"/>
        <v>0.14538777693821575</v>
      </c>
      <c r="L51" s="12">
        <f t="shared" ca="1" si="23"/>
        <v>0.14769388846910786</v>
      </c>
      <c r="M51" s="12">
        <f t="shared" ca="1" si="23"/>
        <v>0.15</v>
      </c>
    </row>
    <row r="52" spans="2:13" x14ac:dyDescent="0.2">
      <c r="B52" s="9" t="s">
        <v>19</v>
      </c>
      <c r="D52" s="4"/>
      <c r="E52" s="4"/>
      <c r="F52" s="4"/>
      <c r="G52" s="4"/>
      <c r="I52" s="15">
        <f t="shared" ref="I52:L52" si="24">I53*$F$14</f>
        <v>0.11262044310114519</v>
      </c>
      <c r="J52" s="15">
        <f t="shared" si="24"/>
        <v>0.1144653323258589</v>
      </c>
      <c r="K52" s="15">
        <f t="shared" si="24"/>
        <v>0.11631022155057261</v>
      </c>
      <c r="L52" s="15">
        <f t="shared" si="24"/>
        <v>0.11815511077528629</v>
      </c>
      <c r="M52" s="15">
        <f>M53*$F$14</f>
        <v>0.12</v>
      </c>
    </row>
    <row r="53" spans="2:13" x14ac:dyDescent="0.2">
      <c r="B53" s="9" t="s">
        <v>20</v>
      </c>
      <c r="D53" s="4"/>
      <c r="E53" s="4"/>
      <c r="F53" s="4"/>
      <c r="G53" s="4"/>
      <c r="I53" s="15">
        <f>AVERAGE(G51:H51)</f>
        <v>0.14077555387643148</v>
      </c>
      <c r="J53" s="15">
        <f>I53-(I53-$M$53)/($M$27-I27)</f>
        <v>0.14308166540732362</v>
      </c>
      <c r="K53" s="15">
        <f t="shared" ref="K53:L53" si="25">J53-(J53-$M$53)/($M$27-J27)</f>
        <v>0.14538777693821575</v>
      </c>
      <c r="L53" s="15">
        <f t="shared" si="25"/>
        <v>0.14769388846910786</v>
      </c>
      <c r="M53" s="15">
        <f>H14</f>
        <v>0.15</v>
      </c>
    </row>
    <row r="54" spans="2:13" x14ac:dyDescent="0.2">
      <c r="B54" s="9" t="s">
        <v>21</v>
      </c>
      <c r="I54" s="16">
        <f t="shared" ref="I54:L54" si="26">I53*$J$14</f>
        <v>0.16893066465171777</v>
      </c>
      <c r="J54" s="16">
        <f t="shared" si="26"/>
        <v>0.17169799848878833</v>
      </c>
      <c r="K54" s="16">
        <f t="shared" si="26"/>
        <v>0.1744653323258589</v>
      </c>
      <c r="L54" s="16">
        <f t="shared" si="26"/>
        <v>0.17723266616292943</v>
      </c>
      <c r="M54" s="16">
        <f>M53*$J$14</f>
        <v>0.18</v>
      </c>
    </row>
    <row r="55" spans="2:13" x14ac:dyDescent="0.2">
      <c r="B55" s="10" t="s">
        <v>22</v>
      </c>
      <c r="D55" s="12">
        <f>D50/D$78</f>
        <v>0.14000000000000001</v>
      </c>
      <c r="E55" s="12">
        <f t="shared" ref="E55:G55" si="27">E50/E$78</f>
        <v>0.127</v>
      </c>
      <c r="F55" s="12">
        <f t="shared" si="27"/>
        <v>0.128</v>
      </c>
      <c r="G55" s="12">
        <f t="shared" si="27"/>
        <v>0.121</v>
      </c>
      <c r="H55" s="11">
        <f>AVERAGE(E55:G55)</f>
        <v>0.12533333333333332</v>
      </c>
    </row>
    <row r="56" spans="2:13" x14ac:dyDescent="0.2">
      <c r="B56" s="3"/>
    </row>
    <row r="57" spans="2:13" x14ac:dyDescent="0.2">
      <c r="B57" s="3" t="str">
        <f>B15</f>
        <v xml:space="preserve">Global Ventures </v>
      </c>
      <c r="D57" s="4">
        <f>D78*0.022</f>
        <v>700.83199999999999</v>
      </c>
      <c r="E57" s="4">
        <f>E78*0.069</f>
        <v>2571.3540000000003</v>
      </c>
      <c r="F57" s="4">
        <f>F78*0.06</f>
        <v>1980.84</v>
      </c>
      <c r="G57" s="4">
        <f>G78*0.073</f>
        <v>2821.8149999999996</v>
      </c>
      <c r="H57" s="4">
        <f>H78*H62</f>
        <v>2951.8035555555557</v>
      </c>
      <c r="I57" s="4">
        <f ca="1">H57*(1+I58)</f>
        <v>3246.9839111111114</v>
      </c>
      <c r="J57" s="4">
        <f t="shared" ref="J57:M57" ca="1" si="28">I57*(1+J58)</f>
        <v>3531.0950033333334</v>
      </c>
      <c r="K57" s="4">
        <f t="shared" ca="1" si="28"/>
        <v>3795.9271285833333</v>
      </c>
      <c r="L57" s="4">
        <f t="shared" ca="1" si="28"/>
        <v>4033.1725741197915</v>
      </c>
      <c r="M57" s="4">
        <f t="shared" ca="1" si="28"/>
        <v>4234.8312028257815</v>
      </c>
    </row>
    <row r="58" spans="2:13" x14ac:dyDescent="0.2">
      <c r="B58" s="10" t="s">
        <v>18</v>
      </c>
      <c r="D58" s="4"/>
      <c r="E58" s="12">
        <f>E57/D57-1</f>
        <v>2.6690019862106755</v>
      </c>
      <c r="F58" s="12">
        <f t="shared" ref="F58:G58" si="29">F57/E57-1</f>
        <v>-0.22965099321213656</v>
      </c>
      <c r="G58" s="12">
        <f t="shared" si="29"/>
        <v>0.42455473435512192</v>
      </c>
      <c r="H58" s="12">
        <f t="shared" ref="H58" si="30">H57/G57-1</f>
        <v>4.606558387263382E-2</v>
      </c>
      <c r="I58" s="12">
        <f ca="1">OFFSET(I58,$D$15,0)</f>
        <v>0.1</v>
      </c>
      <c r="J58" s="12">
        <f t="shared" ref="J58:M58" ca="1" si="31">OFFSET(J58,$D$15,0)</f>
        <v>8.7500000000000008E-2</v>
      </c>
      <c r="K58" s="12">
        <f t="shared" ca="1" si="31"/>
        <v>7.5000000000000011E-2</v>
      </c>
      <c r="L58" s="12">
        <f t="shared" ca="1" si="31"/>
        <v>6.25E-2</v>
      </c>
      <c r="M58" s="12">
        <f t="shared" ca="1" si="31"/>
        <v>0.05</v>
      </c>
    </row>
    <row r="59" spans="2:13" x14ac:dyDescent="0.2">
      <c r="B59" s="9" t="s">
        <v>19</v>
      </c>
      <c r="D59" s="4"/>
      <c r="E59" s="4"/>
      <c r="F59" s="4"/>
      <c r="G59" s="4"/>
      <c r="I59" s="15">
        <f t="shared" ref="I59:L59" si="32">I60*$F$15</f>
        <v>8.0000000000000016E-2</v>
      </c>
      <c r="J59" s="15">
        <f t="shared" si="32"/>
        <v>7.0000000000000007E-2</v>
      </c>
      <c r="K59" s="15">
        <f t="shared" si="32"/>
        <v>6.0000000000000012E-2</v>
      </c>
      <c r="L59" s="15">
        <f t="shared" si="32"/>
        <v>0.05</v>
      </c>
      <c r="M59" s="15">
        <f>M60*$F$15</f>
        <v>4.0000000000000008E-2</v>
      </c>
    </row>
    <row r="60" spans="2:13" x14ac:dyDescent="0.2">
      <c r="B60" s="9" t="s">
        <v>20</v>
      </c>
      <c r="D60" s="4"/>
      <c r="E60" s="4"/>
      <c r="F60" s="4"/>
      <c r="G60" s="4"/>
      <c r="I60" s="15">
        <v>0.1</v>
      </c>
      <c r="J60" s="15">
        <f>I60-(I60-$M$60)/($M$27-I27)</f>
        <v>8.7500000000000008E-2</v>
      </c>
      <c r="K60" s="15">
        <f t="shared" ref="K60:L60" si="33">J60-(J60-$M$60)/($M$27-J27)</f>
        <v>7.5000000000000011E-2</v>
      </c>
      <c r="L60" s="15">
        <f t="shared" si="33"/>
        <v>6.25E-2</v>
      </c>
      <c r="M60" s="15">
        <f>H15</f>
        <v>0.05</v>
      </c>
    </row>
    <row r="61" spans="2:13" x14ac:dyDescent="0.2">
      <c r="B61" s="9" t="s">
        <v>21</v>
      </c>
      <c r="D61" s="4"/>
      <c r="E61" s="4"/>
      <c r="F61" s="4"/>
      <c r="G61" s="4"/>
      <c r="I61" s="16">
        <f t="shared" ref="I61:L61" si="34">I60*$J$15</f>
        <v>0.12</v>
      </c>
      <c r="J61" s="16">
        <f t="shared" si="34"/>
        <v>0.10500000000000001</v>
      </c>
      <c r="K61" s="16">
        <f t="shared" si="34"/>
        <v>9.0000000000000011E-2</v>
      </c>
      <c r="L61" s="16">
        <f t="shared" si="34"/>
        <v>7.4999999999999997E-2</v>
      </c>
      <c r="M61" s="16">
        <f>M60*$J$15</f>
        <v>0.06</v>
      </c>
    </row>
    <row r="62" spans="2:13" x14ac:dyDescent="0.2">
      <c r="B62" s="10" t="s">
        <v>22</v>
      </c>
      <c r="D62" s="12">
        <f>D57/D$78</f>
        <v>2.1999999999999999E-2</v>
      </c>
      <c r="E62" s="12">
        <f t="shared" ref="E62:G62" si="35">E57/E$78</f>
        <v>6.9000000000000006E-2</v>
      </c>
      <c r="F62" s="12">
        <f t="shared" si="35"/>
        <v>0.06</v>
      </c>
      <c r="G62" s="12">
        <f t="shared" si="35"/>
        <v>7.2999999999999995E-2</v>
      </c>
      <c r="H62" s="11">
        <f>AVERAGE(E62:G62)</f>
        <v>6.7333333333333342E-2</v>
      </c>
    </row>
    <row r="63" spans="2:13" x14ac:dyDescent="0.2">
      <c r="B63" s="3"/>
    </row>
    <row r="64" spans="2:13" x14ac:dyDescent="0.2">
      <c r="B64" s="3" t="str">
        <f>B16</f>
        <v xml:space="preserve">Bottling Investments </v>
      </c>
      <c r="D64" s="4">
        <f>D78*0.197</f>
        <v>6275.6320000000005</v>
      </c>
      <c r="E64" s="4">
        <f>E78*0.199</f>
        <v>7415.9340000000002</v>
      </c>
      <c r="F64" s="4">
        <f>F78*0.19</f>
        <v>6272.66</v>
      </c>
      <c r="G64" s="4">
        <f>G78*0.186</f>
        <v>7189.83</v>
      </c>
      <c r="H64" s="4">
        <f>H78*H69</f>
        <v>8402.4111111111106</v>
      </c>
      <c r="I64" s="4">
        <f ca="1">H64*(1+I65)</f>
        <v>9725.2419311943722</v>
      </c>
      <c r="J64" s="4">
        <f t="shared" ref="J64:M64" ca="1" si="36">I64*(1+J65)</f>
        <v>11238.256193848742</v>
      </c>
      <c r="K64" s="4">
        <f t="shared" ca="1" si="36"/>
        <v>12965.770985747682</v>
      </c>
      <c r="L64" s="4">
        <f t="shared" ca="1" si="36"/>
        <v>14934.735690599618</v>
      </c>
      <c r="M64" s="4">
        <f t="shared" ca="1" si="36"/>
        <v>17174.946044189561</v>
      </c>
    </row>
    <row r="65" spans="2:13" x14ac:dyDescent="0.2">
      <c r="B65" s="10" t="s">
        <v>18</v>
      </c>
      <c r="D65" s="4"/>
      <c r="E65" s="12">
        <f>E64/D64-1</f>
        <v>0.1817031336445476</v>
      </c>
      <c r="F65" s="12">
        <f t="shared" ref="F65:G65" si="37">F64/E64-1</f>
        <v>-0.15416453274799913</v>
      </c>
      <c r="G65" s="12">
        <f t="shared" si="37"/>
        <v>0.14621707537153306</v>
      </c>
      <c r="H65" s="12">
        <f t="shared" ref="H65" si="38">H64/G64-1</f>
        <v>0.16865226453352999</v>
      </c>
      <c r="I65" s="12">
        <f ca="1">OFFSET(I65,$D$16,0)</f>
        <v>0.15743466995253153</v>
      </c>
      <c r="J65" s="12">
        <f t="shared" ref="J65:M65" ca="1" si="39">OFFSET(J65,$D$16,0)</f>
        <v>0.15557600246439865</v>
      </c>
      <c r="K65" s="12">
        <f t="shared" ca="1" si="39"/>
        <v>0.15371733497626577</v>
      </c>
      <c r="L65" s="12">
        <f t="shared" ca="1" si="39"/>
        <v>0.15185866748813287</v>
      </c>
      <c r="M65" s="12">
        <f t="shared" ca="1" si="39"/>
        <v>0.15</v>
      </c>
    </row>
    <row r="66" spans="2:13" x14ac:dyDescent="0.2">
      <c r="B66" s="9" t="s">
        <v>19</v>
      </c>
      <c r="D66" s="4"/>
      <c r="E66" s="4"/>
      <c r="F66" s="4"/>
      <c r="G66" s="4"/>
      <c r="I66" s="15">
        <f t="shared" ref="I66:L66" si="40">I67*$F$16</f>
        <v>0.12594773596202521</v>
      </c>
      <c r="J66" s="15">
        <f t="shared" si="40"/>
        <v>0.12446080197151893</v>
      </c>
      <c r="K66" s="15">
        <f t="shared" si="40"/>
        <v>0.12297386798101262</v>
      </c>
      <c r="L66" s="15">
        <f t="shared" si="40"/>
        <v>0.12148693399050631</v>
      </c>
      <c r="M66" s="15">
        <f>M67*$F$16</f>
        <v>0.12</v>
      </c>
    </row>
    <row r="67" spans="2:13" x14ac:dyDescent="0.2">
      <c r="B67" s="9" t="s">
        <v>20</v>
      </c>
      <c r="D67" s="4"/>
      <c r="E67" s="4"/>
      <c r="F67" s="4"/>
      <c r="G67" s="4"/>
      <c r="I67" s="15">
        <f>AVERAGE(G65:H65)</f>
        <v>0.15743466995253153</v>
      </c>
      <c r="J67" s="15">
        <f>I67-(I67-$M$67)/($M$27-I27)</f>
        <v>0.15557600246439865</v>
      </c>
      <c r="K67" s="15">
        <f t="shared" ref="K67:L67" si="41">J67-(J67-$M$67)/($M$27-J27)</f>
        <v>0.15371733497626577</v>
      </c>
      <c r="L67" s="15">
        <f t="shared" si="41"/>
        <v>0.15185866748813287</v>
      </c>
      <c r="M67" s="15">
        <f>H16</f>
        <v>0.15</v>
      </c>
    </row>
    <row r="68" spans="2:13" x14ac:dyDescent="0.2">
      <c r="B68" s="9" t="s">
        <v>21</v>
      </c>
      <c r="D68" s="4"/>
      <c r="E68" s="4"/>
      <c r="F68" s="4"/>
      <c r="G68" s="4"/>
      <c r="I68" s="16">
        <f t="shared" ref="I68:L68" si="42">I67*$J$16</f>
        <v>0.18892160394303784</v>
      </c>
      <c r="J68" s="16">
        <f t="shared" si="42"/>
        <v>0.18669120295727837</v>
      </c>
      <c r="K68" s="16">
        <f t="shared" si="42"/>
        <v>0.18446080197151893</v>
      </c>
      <c r="L68" s="16">
        <f t="shared" si="42"/>
        <v>0.18223040098575943</v>
      </c>
      <c r="M68" s="16">
        <f>M67*$J$16</f>
        <v>0.18</v>
      </c>
    </row>
    <row r="69" spans="2:13" x14ac:dyDescent="0.2">
      <c r="B69" s="10" t="s">
        <v>22</v>
      </c>
      <c r="D69" s="12">
        <f>D64/D$78</f>
        <v>0.19700000000000001</v>
      </c>
      <c r="E69" s="12">
        <f t="shared" ref="E69:G69" si="43">E64/E$78</f>
        <v>0.19900000000000001</v>
      </c>
      <c r="F69" s="12">
        <f t="shared" si="43"/>
        <v>0.19</v>
      </c>
      <c r="G69" s="12">
        <f t="shared" si="43"/>
        <v>0.186</v>
      </c>
      <c r="H69" s="11">
        <f>AVERAGE(E69:G69)</f>
        <v>0.19166666666666665</v>
      </c>
    </row>
    <row r="70" spans="2:13" x14ac:dyDescent="0.2">
      <c r="B70" s="9"/>
    </row>
    <row r="71" spans="2:13" x14ac:dyDescent="0.2">
      <c r="B71" s="3" t="str">
        <f>B17</f>
        <v>Corporate</v>
      </c>
      <c r="D71" s="4">
        <f>D78*0.003</f>
        <v>95.567999999999998</v>
      </c>
      <c r="E71" s="4">
        <f>E78*0.003</f>
        <v>111.798</v>
      </c>
      <c r="F71" s="4">
        <f>F78*0.001</f>
        <v>33.014000000000003</v>
      </c>
      <c r="G71" s="4">
        <f>G78*0.002</f>
        <v>77.31</v>
      </c>
      <c r="H71" s="4">
        <f>H78*H76</f>
        <v>87.677333333333337</v>
      </c>
      <c r="I71" s="4">
        <f ca="1">H71*(1+I72)</f>
        <v>96.445066666666676</v>
      </c>
      <c r="J71" s="4">
        <f t="shared" ref="J71:M71" ca="1" si="44">I71*(1+J72)</f>
        <v>104.16067200000002</v>
      </c>
      <c r="K71" s="4">
        <f t="shared" ca="1" si="44"/>
        <v>110.41031232000003</v>
      </c>
      <c r="L71" s="4">
        <f t="shared" ca="1" si="44"/>
        <v>114.82672481280004</v>
      </c>
      <c r="M71" s="4">
        <f t="shared" ca="1" si="44"/>
        <v>117.12325930905604</v>
      </c>
    </row>
    <row r="72" spans="2:13" x14ac:dyDescent="0.2">
      <c r="B72" s="10" t="s">
        <v>18</v>
      </c>
      <c r="D72" s="4"/>
      <c r="E72" s="12">
        <f>E71/D71-1</f>
        <v>0.16982672024108503</v>
      </c>
      <c r="F72" s="12">
        <f t="shared" ref="F72:G72" si="45">F71/E71-1</f>
        <v>-0.70469954739798557</v>
      </c>
      <c r="G72" s="12">
        <f t="shared" si="45"/>
        <v>1.3417338098988307</v>
      </c>
      <c r="H72" s="12">
        <f t="shared" ref="H72" si="46">H71/G71-1</f>
        <v>0.13410080627775622</v>
      </c>
      <c r="I72" s="12">
        <f ca="1">OFFSET(I72,$D$17,0)</f>
        <v>0.1</v>
      </c>
      <c r="J72" s="12">
        <f t="shared" ref="J72:M72" ca="1" si="47">OFFSET(J72,$D$17,0)</f>
        <v>0.08</v>
      </c>
      <c r="K72" s="12">
        <f t="shared" ca="1" si="47"/>
        <v>0.06</v>
      </c>
      <c r="L72" s="12">
        <f t="shared" ca="1" si="47"/>
        <v>0.04</v>
      </c>
      <c r="M72" s="12">
        <f t="shared" ca="1" si="47"/>
        <v>0.02</v>
      </c>
    </row>
    <row r="73" spans="2:13" x14ac:dyDescent="0.2">
      <c r="B73" s="9" t="s">
        <v>19</v>
      </c>
      <c r="D73" s="4"/>
      <c r="E73" s="4"/>
      <c r="F73" s="4"/>
      <c r="G73" s="4"/>
      <c r="I73" s="15">
        <f t="shared" ref="I73:L73" si="48">I74*$F$17</f>
        <v>8.0000000000000016E-2</v>
      </c>
      <c r="J73" s="15">
        <f t="shared" si="48"/>
        <v>6.4000000000000001E-2</v>
      </c>
      <c r="K73" s="15">
        <f t="shared" si="48"/>
        <v>4.8000000000000001E-2</v>
      </c>
      <c r="L73" s="15">
        <f t="shared" si="48"/>
        <v>3.2000000000000001E-2</v>
      </c>
      <c r="M73" s="15">
        <f>M74*$F$17</f>
        <v>1.6E-2</v>
      </c>
    </row>
    <row r="74" spans="2:13" x14ac:dyDescent="0.2">
      <c r="B74" s="9" t="s">
        <v>20</v>
      </c>
      <c r="D74" s="4"/>
      <c r="E74" s="4"/>
      <c r="F74" s="4"/>
      <c r="G74" s="4"/>
      <c r="I74" s="15">
        <v>0.1</v>
      </c>
      <c r="J74" s="15">
        <f>I74-(I74-$M$74)/($M$27-I27)</f>
        <v>0.08</v>
      </c>
      <c r="K74" s="15">
        <f t="shared" ref="K74:L74" si="49">J74-(J74-$M$74)/($M$27-J27)</f>
        <v>0.06</v>
      </c>
      <c r="L74" s="15">
        <f t="shared" si="49"/>
        <v>0.04</v>
      </c>
      <c r="M74" s="15">
        <f>H17</f>
        <v>0.02</v>
      </c>
    </row>
    <row r="75" spans="2:13" x14ac:dyDescent="0.2">
      <c r="B75" s="9" t="s">
        <v>21</v>
      </c>
      <c r="I75" s="16">
        <f t="shared" ref="I75:L75" si="50">I74*$J$17</f>
        <v>0.12</v>
      </c>
      <c r="J75" s="16">
        <f t="shared" si="50"/>
        <v>9.6000000000000002E-2</v>
      </c>
      <c r="K75" s="16">
        <f t="shared" si="50"/>
        <v>7.1999999999999995E-2</v>
      </c>
      <c r="L75" s="16">
        <f t="shared" si="50"/>
        <v>4.8000000000000001E-2</v>
      </c>
      <c r="M75" s="16">
        <f>M74*$J$17</f>
        <v>2.4E-2</v>
      </c>
    </row>
    <row r="76" spans="2:13" x14ac:dyDescent="0.2">
      <c r="B76" s="10" t="s">
        <v>22</v>
      </c>
      <c r="D76" s="12">
        <f>D71/D$78</f>
        <v>3.0000000000000001E-3</v>
      </c>
      <c r="E76" s="12">
        <f t="shared" ref="E76:G76" si="51">E71/E$78</f>
        <v>3.0000000000000001E-3</v>
      </c>
      <c r="F76" s="12">
        <f t="shared" si="51"/>
        <v>1E-3</v>
      </c>
      <c r="G76" s="12">
        <f t="shared" si="51"/>
        <v>2E-3</v>
      </c>
      <c r="H76" s="11">
        <f>AVERAGE(E76:G76)</f>
        <v>2E-3</v>
      </c>
    </row>
    <row r="77" spans="2:13" ht="17" thickBot="1" x14ac:dyDescent="0.25"/>
    <row r="78" spans="2:13" s="3" customFormat="1" x14ac:dyDescent="0.2">
      <c r="B78" s="6" t="s">
        <v>11</v>
      </c>
      <c r="C78" s="6"/>
      <c r="D78" s="7">
        <v>31856</v>
      </c>
      <c r="E78" s="7">
        <v>37266</v>
      </c>
      <c r="F78" s="7">
        <v>33014</v>
      </c>
      <c r="G78" s="7">
        <v>38655</v>
      </c>
      <c r="H78" s="7">
        <f>(32879/3)*4</f>
        <v>43838.666666666664</v>
      </c>
      <c r="I78" s="7">
        <f ca="1">SUM(I29,I36,I43,I50,I57,I64,I71)</f>
        <v>50164.723912482463</v>
      </c>
      <c r="J78" s="7">
        <f t="shared" ref="J78:M78" ca="1" si="52">SUM(J29,J36,J43,J50,J57,J64,J71)</f>
        <v>57191.728053856343</v>
      </c>
      <c r="K78" s="7">
        <f t="shared" ca="1" si="52"/>
        <v>64970.615071229688</v>
      </c>
      <c r="L78" s="7">
        <f t="shared" ca="1" si="52"/>
        <v>73556.501985678813</v>
      </c>
      <c r="M78" s="7">
        <f t="shared" ca="1" si="52"/>
        <v>83010.302463964908</v>
      </c>
    </row>
    <row r="79" spans="2:13" x14ac:dyDescent="0.2">
      <c r="B79" s="10" t="s">
        <v>23</v>
      </c>
      <c r="E79" s="12">
        <f>E78/D78-1</f>
        <v>0.16982672024108481</v>
      </c>
      <c r="F79" s="12">
        <f t="shared" ref="F79:M79" si="53">F78/E78-1</f>
        <v>-0.11409864219395693</v>
      </c>
      <c r="G79" s="12">
        <f t="shared" si="53"/>
        <v>0.17086690494941537</v>
      </c>
      <c r="H79" s="12">
        <f t="shared" si="53"/>
        <v>0.13410080627775622</v>
      </c>
      <c r="I79" s="12">
        <f t="shared" ca="1" si="53"/>
        <v>0.14430313982669341</v>
      </c>
      <c r="J79" s="12">
        <f t="shared" ca="1" si="53"/>
        <v>0.1400785969366285</v>
      </c>
      <c r="K79" s="12">
        <f t="shared" ca="1" si="53"/>
        <v>0.13601419789323588</v>
      </c>
      <c r="L79" s="12">
        <f t="shared" ca="1" si="53"/>
        <v>0.13215030987525833</v>
      </c>
      <c r="M79" s="12">
        <f t="shared" ca="1" si="53"/>
        <v>0.12852433466896929</v>
      </c>
    </row>
    <row r="81" spans="1:13" x14ac:dyDescent="0.2">
      <c r="A81" t="s">
        <v>6</v>
      </c>
      <c r="B81" s="2" t="s">
        <v>24</v>
      </c>
      <c r="C81" s="2"/>
      <c r="D81" s="2">
        <v>2018</v>
      </c>
      <c r="E81" s="2">
        <v>2019</v>
      </c>
      <c r="F81" s="2">
        <v>2020</v>
      </c>
      <c r="G81" s="2">
        <v>2021</v>
      </c>
      <c r="H81" s="2">
        <v>2022</v>
      </c>
      <c r="I81" s="2">
        <v>2023</v>
      </c>
      <c r="J81" s="2">
        <v>2024</v>
      </c>
      <c r="K81" s="2">
        <v>2025</v>
      </c>
      <c r="L81" s="2">
        <v>2026</v>
      </c>
      <c r="M81" s="2">
        <v>2027</v>
      </c>
    </row>
    <row r="83" spans="1:13" x14ac:dyDescent="0.2">
      <c r="B83" s="3" t="s">
        <v>25</v>
      </c>
      <c r="D83" s="4">
        <f>D78</f>
        <v>31856</v>
      </c>
      <c r="E83" s="4">
        <f t="shared" ref="E83:M83" si="54">E78</f>
        <v>37266</v>
      </c>
      <c r="F83" s="4">
        <f t="shared" si="54"/>
        <v>33014</v>
      </c>
      <c r="G83" s="4">
        <f t="shared" si="54"/>
        <v>38655</v>
      </c>
      <c r="H83" s="4">
        <f t="shared" si="54"/>
        <v>43838.666666666664</v>
      </c>
      <c r="I83" s="4">
        <f t="shared" ca="1" si="54"/>
        <v>50164.723912482463</v>
      </c>
      <c r="J83" s="4">
        <f t="shared" ca="1" si="54"/>
        <v>57191.728053856343</v>
      </c>
      <c r="K83" s="4">
        <f t="shared" ca="1" si="54"/>
        <v>64970.615071229688</v>
      </c>
      <c r="L83" s="4">
        <f t="shared" ca="1" si="54"/>
        <v>73556.501985678813</v>
      </c>
      <c r="M83" s="4">
        <f t="shared" ca="1" si="54"/>
        <v>83010.302463964908</v>
      </c>
    </row>
    <row r="84" spans="1:13" s="10" customFormat="1" x14ac:dyDescent="0.2">
      <c r="B84" s="10" t="s">
        <v>18</v>
      </c>
      <c r="E84" s="12">
        <f>E83/D83-1</f>
        <v>0.16982672024108481</v>
      </c>
      <c r="F84" s="12">
        <f t="shared" ref="F84:M84" si="55">F83/E83-1</f>
        <v>-0.11409864219395693</v>
      </c>
      <c r="G84" s="12">
        <f t="shared" si="55"/>
        <v>0.17086690494941537</v>
      </c>
      <c r="H84" s="12">
        <f t="shared" si="55"/>
        <v>0.13410080627775622</v>
      </c>
      <c r="I84" s="12">
        <f t="shared" ca="1" si="55"/>
        <v>0.14430313982669341</v>
      </c>
      <c r="J84" s="12">
        <f t="shared" ca="1" si="55"/>
        <v>0.1400785969366285</v>
      </c>
      <c r="K84" s="12">
        <f t="shared" ca="1" si="55"/>
        <v>0.13601419789323588</v>
      </c>
      <c r="L84" s="12">
        <f t="shared" ca="1" si="55"/>
        <v>0.13215030987525833</v>
      </c>
      <c r="M84" s="12">
        <f t="shared" ca="1" si="55"/>
        <v>0.12852433466896929</v>
      </c>
    </row>
    <row r="86" spans="1:13" x14ac:dyDescent="0.2">
      <c r="B86" s="3" t="s">
        <v>26</v>
      </c>
      <c r="D86" s="4">
        <v>9152</v>
      </c>
      <c r="E86" s="4">
        <v>10086</v>
      </c>
      <c r="F86" s="4">
        <v>8997</v>
      </c>
      <c r="G86" s="4">
        <v>10308</v>
      </c>
      <c r="H86" s="4">
        <f>(8834/3)*4</f>
        <v>11778.666666666666</v>
      </c>
      <c r="I86" s="4">
        <f ca="1">I83*I87</f>
        <v>13508.851027422323</v>
      </c>
      <c r="J86" s="4">
        <f t="shared" ref="J86:M86" ca="1" si="56">J83*J87</f>
        <v>15339.558383135134</v>
      </c>
      <c r="K86" s="4">
        <f t="shared" ca="1" si="56"/>
        <v>17459.442366095656</v>
      </c>
      <c r="L86" s="4">
        <f t="shared" ca="1" si="56"/>
        <v>19767.844719005887</v>
      </c>
      <c r="M86" s="4">
        <f t="shared" ca="1" si="56"/>
        <v>22293.381085380573</v>
      </c>
    </row>
    <row r="87" spans="1:13" s="10" customFormat="1" x14ac:dyDescent="0.2">
      <c r="B87" s="10" t="s">
        <v>22</v>
      </c>
      <c r="D87" s="12">
        <f t="shared" ref="D87:G87" si="57">D86/D83</f>
        <v>0.287292817679558</v>
      </c>
      <c r="E87" s="12">
        <f t="shared" si="57"/>
        <v>0.27064884881661566</v>
      </c>
      <c r="F87" s="12">
        <f t="shared" si="57"/>
        <v>0.27252074877324772</v>
      </c>
      <c r="G87" s="12">
        <f t="shared" si="57"/>
        <v>0.26666666666666666</v>
      </c>
      <c r="H87" s="12">
        <f>H86/H83</f>
        <v>0.26868213753459658</v>
      </c>
      <c r="I87" s="12">
        <f>AVERAGE(F87:H87)</f>
        <v>0.26928985099150365</v>
      </c>
      <c r="J87" s="12">
        <f t="shared" ref="J87:M87" si="58">AVERAGE(G87:I87)</f>
        <v>0.26821288506425561</v>
      </c>
      <c r="K87" s="12">
        <f t="shared" si="58"/>
        <v>0.26872829119678526</v>
      </c>
      <c r="L87" s="12">
        <f t="shared" si="58"/>
        <v>0.26874367575084818</v>
      </c>
      <c r="M87" s="12">
        <f t="shared" si="58"/>
        <v>0.26856161733729639</v>
      </c>
    </row>
    <row r="89" spans="1:13" x14ac:dyDescent="0.2">
      <c r="B89" s="3" t="s">
        <v>27</v>
      </c>
      <c r="D89" s="4">
        <v>1749</v>
      </c>
      <c r="E89" s="4">
        <v>1801</v>
      </c>
      <c r="F89" s="4">
        <v>1981</v>
      </c>
      <c r="G89" s="4">
        <v>2621</v>
      </c>
      <c r="H89" s="4">
        <f>(1671/3)*4</f>
        <v>2228</v>
      </c>
      <c r="I89" s="4">
        <f ca="1">I86*I90</f>
        <v>2844.1971197650073</v>
      </c>
      <c r="J89" s="4">
        <f t="shared" ref="J89:M89" ca="1" si="59">J86*J90</f>
        <v>3352.2756429516539</v>
      </c>
      <c r="K89" s="4">
        <f t="shared" ca="1" si="59"/>
        <v>3808.3637556616882</v>
      </c>
      <c r="L89" s="4">
        <f t="shared" ca="1" si="59"/>
        <v>4133.2736055234473</v>
      </c>
      <c r="M89" s="4">
        <f t="shared" ca="1" si="59"/>
        <v>4772.4457845431716</v>
      </c>
    </row>
    <row r="90" spans="1:13" s="10" customFormat="1" x14ac:dyDescent="0.2">
      <c r="B90" s="10" t="s">
        <v>28</v>
      </c>
      <c r="D90" s="12">
        <f t="shared" ref="D90:G90" si="60">D89/D86</f>
        <v>0.19110576923076922</v>
      </c>
      <c r="E90" s="12">
        <f t="shared" si="60"/>
        <v>0.17856434661907594</v>
      </c>
      <c r="F90" s="12">
        <f t="shared" si="60"/>
        <v>0.22018450594642658</v>
      </c>
      <c r="G90" s="12">
        <f t="shared" si="60"/>
        <v>0.25426852929763288</v>
      </c>
      <c r="H90" s="12">
        <f>H89/H86</f>
        <v>0.18915553543128821</v>
      </c>
      <c r="I90" s="12">
        <f>AVERAGE(E90:H90)</f>
        <v>0.21054322932360592</v>
      </c>
      <c r="J90" s="12">
        <f t="shared" ref="J90:M90" si="61">AVERAGE(F90:I90)</f>
        <v>0.21853794999973838</v>
      </c>
      <c r="K90" s="12">
        <f t="shared" si="61"/>
        <v>0.21812631101306634</v>
      </c>
      <c r="L90" s="12">
        <f t="shared" si="61"/>
        <v>0.20909075644192471</v>
      </c>
      <c r="M90" s="12">
        <f t="shared" si="61"/>
        <v>0.21407456169458383</v>
      </c>
    </row>
    <row r="92" spans="1:13" x14ac:dyDescent="0.2">
      <c r="A92" t="s">
        <v>6</v>
      </c>
      <c r="B92" s="2" t="s">
        <v>29</v>
      </c>
      <c r="C92" s="2"/>
      <c r="D92" s="2">
        <v>2018</v>
      </c>
      <c r="E92" s="2">
        <v>2019</v>
      </c>
      <c r="F92" s="2">
        <v>2020</v>
      </c>
      <c r="G92" s="2">
        <v>2021</v>
      </c>
      <c r="H92" s="2">
        <v>2022</v>
      </c>
      <c r="I92" s="2">
        <v>2023</v>
      </c>
      <c r="J92" s="2">
        <v>2024</v>
      </c>
      <c r="K92" s="2">
        <v>2025</v>
      </c>
      <c r="L92" s="2">
        <v>2026</v>
      </c>
      <c r="M92" s="2">
        <v>2027</v>
      </c>
    </row>
    <row r="94" spans="1:13" x14ac:dyDescent="0.2">
      <c r="B94" s="3" t="s">
        <v>30</v>
      </c>
      <c r="D94" s="4">
        <v>1086</v>
      </c>
      <c r="E94" s="4">
        <v>1365</v>
      </c>
      <c r="F94" s="4">
        <v>1536</v>
      </c>
      <c r="G94" s="4">
        <v>1452</v>
      </c>
      <c r="H94" s="4">
        <f>(953/3)*2</f>
        <v>635.33333333333337</v>
      </c>
      <c r="I94" s="4">
        <f ca="1">I83*I95</f>
        <v>1648.4346897150776</v>
      </c>
      <c r="J94" s="4">
        <f t="shared" ref="J94:M94" ca="1" si="62">J83*J95</f>
        <v>1618.8314383461927</v>
      </c>
      <c r="K94" s="4">
        <f t="shared" ca="1" si="62"/>
        <v>1638.5223404537342</v>
      </c>
      <c r="L94" s="4">
        <f t="shared" ca="1" si="62"/>
        <v>2118.06475092455</v>
      </c>
      <c r="M94" s="4">
        <f t="shared" ca="1" si="62"/>
        <v>2277.798580054749</v>
      </c>
    </row>
    <row r="95" spans="1:13" s="10" customFormat="1" x14ac:dyDescent="0.2">
      <c r="B95" s="10" t="s">
        <v>22</v>
      </c>
      <c r="D95" s="12">
        <f>D94/D83</f>
        <v>3.4090909090909088E-2</v>
      </c>
      <c r="E95" s="12">
        <f t="shared" ref="E95:G95" si="63">E94/E83</f>
        <v>3.6628562228304622E-2</v>
      </c>
      <c r="F95" s="12">
        <f t="shared" si="63"/>
        <v>4.6525716362755196E-2</v>
      </c>
      <c r="G95" s="12">
        <f t="shared" si="63"/>
        <v>3.7563057819169576E-2</v>
      </c>
      <c r="H95" s="12">
        <f t="shared" ref="H95" si="64">H94/H83</f>
        <v>1.4492533227896228E-2</v>
      </c>
      <c r="I95" s="12">
        <f>AVERAGE(F95:H95)</f>
        <v>3.286043580327367E-2</v>
      </c>
      <c r="J95" s="12">
        <f t="shared" ref="J95:M95" si="65">AVERAGE(G95:I95)</f>
        <v>2.8305342283446489E-2</v>
      </c>
      <c r="K95" s="12">
        <f t="shared" si="65"/>
        <v>2.5219437104872126E-2</v>
      </c>
      <c r="L95" s="12">
        <f t="shared" si="65"/>
        <v>2.8795071730530763E-2</v>
      </c>
      <c r="M95" s="12">
        <f t="shared" si="65"/>
        <v>2.743995037294979E-2</v>
      </c>
    </row>
    <row r="96" spans="1:13" s="10" customFormat="1" x14ac:dyDescent="0.2">
      <c r="B96" s="10" t="s">
        <v>31</v>
      </c>
      <c r="D96" s="12">
        <f>D94/D98</f>
        <v>0.70155038759689925</v>
      </c>
      <c r="E96" s="12">
        <f t="shared" ref="E96:M96" si="66">E94/E98</f>
        <v>0.66455696202531644</v>
      </c>
      <c r="F96" s="12">
        <f t="shared" si="66"/>
        <v>1.3050127442650807</v>
      </c>
      <c r="G96" s="12">
        <f t="shared" si="66"/>
        <v>1.0621799561082663</v>
      </c>
      <c r="H96" s="12">
        <f t="shared" si="66"/>
        <v>0.61404639175257736</v>
      </c>
      <c r="I96" s="12">
        <f t="shared" ca="1" si="66"/>
        <v>1.0418946002191294</v>
      </c>
      <c r="J96" s="12">
        <f t="shared" ca="1" si="66"/>
        <v>0.93824756296040779</v>
      </c>
      <c r="K96" s="12">
        <f t="shared" ca="1" si="66"/>
        <v>0.88687251668198064</v>
      </c>
      <c r="L96" s="12">
        <f t="shared" ca="1" si="66"/>
        <v>0.95830458445100664</v>
      </c>
      <c r="M96" s="12">
        <f t="shared" ca="1" si="66"/>
        <v>0.9285665409010514</v>
      </c>
    </row>
    <row r="98" spans="1:13" x14ac:dyDescent="0.2">
      <c r="B98" s="3" t="s">
        <v>32</v>
      </c>
      <c r="D98" s="4">
        <v>1548</v>
      </c>
      <c r="E98" s="4">
        <v>2054</v>
      </c>
      <c r="F98" s="4">
        <v>1177</v>
      </c>
      <c r="G98" s="4">
        <v>1367</v>
      </c>
      <c r="H98" s="4">
        <f>(776/3)*4</f>
        <v>1034.6666666666667</v>
      </c>
      <c r="I98" s="4">
        <f ca="1">I83*I99</f>
        <v>1582.1511018181511</v>
      </c>
      <c r="J98" s="4">
        <f t="shared" ref="J98:M98" ca="1" si="67">J83*J99</f>
        <v>1725.3777171969102</v>
      </c>
      <c r="K98" s="4">
        <f t="shared" ca="1" si="67"/>
        <v>1847.528601499424</v>
      </c>
      <c r="L98" s="4">
        <f t="shared" ca="1" si="67"/>
        <v>2210.2208267509714</v>
      </c>
      <c r="M98" s="4">
        <f t="shared" ca="1" si="67"/>
        <v>2453.0267673057074</v>
      </c>
    </row>
    <row r="99" spans="1:13" s="10" customFormat="1" x14ac:dyDescent="0.2">
      <c r="B99" s="10" t="s">
        <v>22</v>
      </c>
      <c r="D99" s="12">
        <f>D98/D83</f>
        <v>4.859367152184832E-2</v>
      </c>
      <c r="E99" s="12">
        <f t="shared" ref="E99:H99" si="68">E98/E83</f>
        <v>5.5117265067353621E-2</v>
      </c>
      <c r="F99" s="12">
        <f t="shared" si="68"/>
        <v>3.5651541770158113E-2</v>
      </c>
      <c r="G99" s="12">
        <f t="shared" si="68"/>
        <v>3.5364118484025354E-2</v>
      </c>
      <c r="H99" s="12">
        <f t="shared" si="68"/>
        <v>2.3601691048997845E-2</v>
      </c>
      <c r="I99" s="12">
        <f>AVERAGE(F99:H99)</f>
        <v>3.1539117101060436E-2</v>
      </c>
      <c r="J99" s="12">
        <f t="shared" ref="J99:M99" si="69">AVERAGE(G99:I99)</f>
        <v>3.0168308878027877E-2</v>
      </c>
      <c r="K99" s="12">
        <f t="shared" si="69"/>
        <v>2.8436372342695387E-2</v>
      </c>
      <c r="L99" s="12">
        <f t="shared" si="69"/>
        <v>3.0047932773927904E-2</v>
      </c>
      <c r="M99" s="12">
        <f t="shared" si="69"/>
        <v>2.9550871331550391E-2</v>
      </c>
    </row>
    <row r="101" spans="1:13" x14ac:dyDescent="0.2">
      <c r="B101" s="3" t="s">
        <v>33</v>
      </c>
      <c r="D101" s="4">
        <v>-1240</v>
      </c>
      <c r="E101" s="4">
        <v>366</v>
      </c>
      <c r="F101" s="4">
        <v>690</v>
      </c>
      <c r="G101" s="4">
        <v>1325</v>
      </c>
      <c r="H101" s="4">
        <v>-1259</v>
      </c>
      <c r="I101" s="4">
        <f ca="1">I83*I102</f>
        <v>442.4339488034571</v>
      </c>
      <c r="J101" s="4">
        <f t="shared" ref="J101:M101" ca="1" si="70">J83*J102</f>
        <v>274.10598888569638</v>
      </c>
      <c r="K101" s="4">
        <f t="shared" ca="1" si="70"/>
        <v>-327.1608397426113</v>
      </c>
      <c r="L101" s="4">
        <f t="shared" ca="1" si="70"/>
        <v>210.2945731796905</v>
      </c>
      <c r="M101" s="4">
        <f t="shared" ca="1" si="70"/>
        <v>72.390202301819286</v>
      </c>
    </row>
    <row r="102" spans="1:13" s="10" customFormat="1" x14ac:dyDescent="0.2">
      <c r="B102" s="10" t="s">
        <v>34</v>
      </c>
      <c r="D102" s="12">
        <f>D101/D83</f>
        <v>-3.8925163234555499E-2</v>
      </c>
      <c r="E102" s="12">
        <f t="shared" ref="E102:H102" si="71">E101/E83</f>
        <v>9.8212848172597005E-3</v>
      </c>
      <c r="F102" s="12">
        <f t="shared" si="71"/>
        <v>2.0900224147331434E-2</v>
      </c>
      <c r="G102" s="12">
        <f t="shared" si="71"/>
        <v>3.4277583753718796E-2</v>
      </c>
      <c r="H102" s="12">
        <f t="shared" si="71"/>
        <v>-2.871893914048481E-2</v>
      </c>
      <c r="I102" s="12">
        <f>AVERAGE(F102:H102)</f>
        <v>8.8196229201884732E-3</v>
      </c>
      <c r="J102" s="12">
        <f t="shared" ref="J102:M102" si="72">AVERAGE(G102:I102)</f>
        <v>4.792755844474153E-3</v>
      </c>
      <c r="K102" s="12">
        <f t="shared" si="72"/>
        <v>-5.035520125274061E-3</v>
      </c>
      <c r="L102" s="12">
        <f t="shared" si="72"/>
        <v>2.8589528797961887E-3</v>
      </c>
      <c r="M102" s="12">
        <f t="shared" si="72"/>
        <v>8.7206286633209357E-4</v>
      </c>
    </row>
    <row r="103" spans="1:13" s="10" customFormat="1" x14ac:dyDescent="0.2">
      <c r="D103" s="12"/>
      <c r="E103" s="12"/>
      <c r="F103" s="12"/>
      <c r="G103" s="12"/>
      <c r="H103" s="12"/>
      <c r="I103" s="12"/>
      <c r="J103" s="12"/>
      <c r="K103" s="12"/>
      <c r="L103" s="12"/>
      <c r="M103" s="12"/>
    </row>
    <row r="104" spans="1:13" x14ac:dyDescent="0.2">
      <c r="D104" s="11"/>
      <c r="I104">
        <v>1</v>
      </c>
      <c r="J104">
        <v>2</v>
      </c>
      <c r="K104">
        <v>3</v>
      </c>
      <c r="L104">
        <v>4</v>
      </c>
      <c r="M104">
        <v>5</v>
      </c>
    </row>
    <row r="105" spans="1:13" x14ac:dyDescent="0.2">
      <c r="A105" t="s">
        <v>6</v>
      </c>
      <c r="B105" s="2" t="s">
        <v>35</v>
      </c>
      <c r="C105" s="2"/>
      <c r="D105" s="2">
        <v>2018</v>
      </c>
      <c r="E105" s="2">
        <v>2019</v>
      </c>
      <c r="F105" s="2">
        <v>2020</v>
      </c>
      <c r="G105" s="2">
        <v>2021</v>
      </c>
      <c r="H105" s="2">
        <v>2022</v>
      </c>
      <c r="I105" s="2">
        <v>2023</v>
      </c>
      <c r="J105" s="2">
        <v>2024</v>
      </c>
      <c r="K105" s="2">
        <v>2025</v>
      </c>
      <c r="L105" s="2">
        <v>2026</v>
      </c>
      <c r="M105" s="2">
        <v>2027</v>
      </c>
    </row>
    <row r="107" spans="1:13" x14ac:dyDescent="0.2">
      <c r="B107" s="3" t="s">
        <v>36</v>
      </c>
      <c r="D107" s="4">
        <f>D83</f>
        <v>31856</v>
      </c>
      <c r="E107" s="4">
        <f t="shared" ref="E107:M107" si="73">E83</f>
        <v>37266</v>
      </c>
      <c r="F107" s="4">
        <f t="shared" si="73"/>
        <v>33014</v>
      </c>
      <c r="G107" s="4">
        <f t="shared" si="73"/>
        <v>38655</v>
      </c>
      <c r="H107" s="4">
        <f t="shared" si="73"/>
        <v>43838.666666666664</v>
      </c>
      <c r="I107" s="4">
        <f t="shared" ca="1" si="73"/>
        <v>50164.723912482463</v>
      </c>
      <c r="J107" s="4">
        <f t="shared" ca="1" si="73"/>
        <v>57191.728053856343</v>
      </c>
      <c r="K107" s="4">
        <f t="shared" ca="1" si="73"/>
        <v>64970.615071229688</v>
      </c>
      <c r="L107" s="4">
        <f t="shared" ca="1" si="73"/>
        <v>73556.501985678813</v>
      </c>
      <c r="M107" s="4">
        <f t="shared" ca="1" si="73"/>
        <v>83010.302463964908</v>
      </c>
    </row>
    <row r="108" spans="1:13" x14ac:dyDescent="0.2">
      <c r="B108" s="10" t="s">
        <v>18</v>
      </c>
      <c r="E108" s="12">
        <f>E107/D107-1</f>
        <v>0.16982672024108481</v>
      </c>
      <c r="F108" s="12">
        <f t="shared" ref="F108:M108" si="74">F107/E107-1</f>
        <v>-0.11409864219395693</v>
      </c>
      <c r="G108" s="12">
        <f t="shared" si="74"/>
        <v>0.17086690494941537</v>
      </c>
      <c r="H108" s="12">
        <f t="shared" si="74"/>
        <v>0.13410080627775622</v>
      </c>
      <c r="I108" s="12">
        <f t="shared" ca="1" si="74"/>
        <v>0.14430313982669341</v>
      </c>
      <c r="J108" s="12">
        <f t="shared" ca="1" si="74"/>
        <v>0.1400785969366285</v>
      </c>
      <c r="K108" s="12">
        <f t="shared" ca="1" si="74"/>
        <v>0.13601419789323588</v>
      </c>
      <c r="L108" s="12">
        <f t="shared" ca="1" si="74"/>
        <v>0.13215030987525833</v>
      </c>
      <c r="M108" s="12">
        <f t="shared" ca="1" si="74"/>
        <v>0.12852433466896929</v>
      </c>
    </row>
    <row r="110" spans="1:13" x14ac:dyDescent="0.2">
      <c r="B110" s="3" t="s">
        <v>26</v>
      </c>
      <c r="D110" s="4">
        <f>D86</f>
        <v>9152</v>
      </c>
      <c r="E110" s="4">
        <f t="shared" ref="E110:H110" si="75">E86</f>
        <v>10086</v>
      </c>
      <c r="F110" s="4">
        <f t="shared" si="75"/>
        <v>8997</v>
      </c>
      <c r="G110" s="4">
        <f t="shared" si="75"/>
        <v>10308</v>
      </c>
      <c r="H110" s="4">
        <f t="shared" si="75"/>
        <v>11778.666666666666</v>
      </c>
      <c r="I110" s="4">
        <f ca="1">I107*I111</f>
        <v>13544.475456370266</v>
      </c>
      <c r="J110" s="4">
        <f t="shared" ref="J110:M110" ca="1" si="76">J107*J111</f>
        <v>15155.807934271932</v>
      </c>
      <c r="K110" s="4">
        <f t="shared" ca="1" si="76"/>
        <v>16892.35991851972</v>
      </c>
      <c r="L110" s="4">
        <f t="shared" ca="1" si="76"/>
        <v>18756.908006348098</v>
      </c>
      <c r="M110" s="4">
        <f t="shared" ca="1" si="76"/>
        <v>20752.575615991227</v>
      </c>
    </row>
    <row r="111" spans="1:13" x14ac:dyDescent="0.2">
      <c r="B111" s="10" t="s">
        <v>34</v>
      </c>
      <c r="D111" s="12">
        <f>D110/D107</f>
        <v>0.287292817679558</v>
      </c>
      <c r="E111" s="12">
        <f t="shared" ref="E111:H111" si="77">E110/E107</f>
        <v>0.27064884881661566</v>
      </c>
      <c r="F111" s="12">
        <f t="shared" si="77"/>
        <v>0.27252074877324772</v>
      </c>
      <c r="G111" s="12">
        <f t="shared" si="77"/>
        <v>0.26666666666666666</v>
      </c>
      <c r="H111" s="12">
        <f t="shared" si="77"/>
        <v>0.26868213753459658</v>
      </c>
      <c r="I111" s="12">
        <f ca="1">OFFSET(I111,$D$19,0)</f>
        <v>0.27</v>
      </c>
      <c r="J111" s="12">
        <f t="shared" ref="J111:M111" ca="1" si="78">OFFSET(J111,$D$19,0)</f>
        <v>0.26500000000000001</v>
      </c>
      <c r="K111" s="12">
        <f t="shared" ca="1" si="78"/>
        <v>0.26</v>
      </c>
      <c r="L111" s="12">
        <f t="shared" ca="1" si="78"/>
        <v>0.255</v>
      </c>
      <c r="M111" s="12">
        <f t="shared" ca="1" si="78"/>
        <v>0.25</v>
      </c>
    </row>
    <row r="112" spans="1:13" x14ac:dyDescent="0.2">
      <c r="B112" t="s">
        <v>37</v>
      </c>
      <c r="I112" s="15">
        <f t="shared" ref="I112" si="79">I113*$F$17</f>
        <v>0.21600000000000003</v>
      </c>
      <c r="J112" s="15">
        <f t="shared" ref="J112" si="80">J113*$F$17</f>
        <v>0.21200000000000002</v>
      </c>
      <c r="K112" s="15">
        <f t="shared" ref="K112" si="81">K113*$F$17</f>
        <v>0.20800000000000002</v>
      </c>
      <c r="L112" s="15">
        <f t="shared" ref="L112" si="82">L113*$F$17</f>
        <v>0.20400000000000001</v>
      </c>
      <c r="M112" s="15">
        <f>M113*$F$19</f>
        <v>0.2</v>
      </c>
    </row>
    <row r="113" spans="2:13" x14ac:dyDescent="0.2">
      <c r="B113" t="s">
        <v>38</v>
      </c>
      <c r="I113" s="15">
        <v>0.27</v>
      </c>
      <c r="J113" s="15">
        <f>I113-(I113-$M$113)/($M$105-I105)</f>
        <v>0.26500000000000001</v>
      </c>
      <c r="K113" s="15">
        <f t="shared" ref="K113:L113" si="83">J113-(J113-$M$113)/($M$105-J105)</f>
        <v>0.26</v>
      </c>
      <c r="L113" s="15">
        <f t="shared" si="83"/>
        <v>0.255</v>
      </c>
      <c r="M113" s="15">
        <f>H19</f>
        <v>0.25</v>
      </c>
    </row>
    <row r="114" spans="2:13" x14ac:dyDescent="0.2">
      <c r="B114" t="s">
        <v>39</v>
      </c>
      <c r="I114" s="16">
        <f t="shared" ref="I114" si="84">I113*$J$17</f>
        <v>0.32400000000000001</v>
      </c>
      <c r="J114" s="16">
        <f t="shared" ref="J114" si="85">J113*$J$17</f>
        <v>0.318</v>
      </c>
      <c r="K114" s="16">
        <f t="shared" ref="K114" si="86">K113*$J$17</f>
        <v>0.312</v>
      </c>
      <c r="L114" s="16">
        <f t="shared" ref="L114" si="87">L113*$J$17</f>
        <v>0.30599999999999999</v>
      </c>
      <c r="M114" s="16">
        <f>M113*$J$19</f>
        <v>0.3</v>
      </c>
    </row>
    <row r="116" spans="2:13" x14ac:dyDescent="0.2">
      <c r="B116" s="3" t="s">
        <v>27</v>
      </c>
      <c r="D116" s="4">
        <f>D89</f>
        <v>1749</v>
      </c>
      <c r="E116" s="4">
        <f t="shared" ref="E116:H116" si="88">E89</f>
        <v>1801</v>
      </c>
      <c r="F116" s="4">
        <f t="shared" si="88"/>
        <v>1981</v>
      </c>
      <c r="G116" s="4">
        <f t="shared" si="88"/>
        <v>2621</v>
      </c>
      <c r="H116" s="4">
        <f t="shared" si="88"/>
        <v>2228</v>
      </c>
      <c r="I116" s="4">
        <f ca="1">I110*I117</f>
        <v>2996.0766660497329</v>
      </c>
      <c r="J116" s="4">
        <f t="shared" ref="J116:M116" ca="1" si="89">J110*J117</f>
        <v>3357.6526573432639</v>
      </c>
      <c r="K116" s="4">
        <f t="shared" ca="1" si="89"/>
        <v>3558.0980164082239</v>
      </c>
      <c r="L116" s="4">
        <f t="shared" ca="1" si="89"/>
        <v>4085.1215811104676</v>
      </c>
      <c r="M116" s="4">
        <f t="shared" ca="1" si="89"/>
        <v>4496.1754454430557</v>
      </c>
    </row>
    <row r="117" spans="2:13" x14ac:dyDescent="0.2">
      <c r="B117" s="10" t="s">
        <v>28</v>
      </c>
      <c r="D117" s="11">
        <f>D90</f>
        <v>0.19110576923076922</v>
      </c>
      <c r="E117" s="11">
        <f t="shared" ref="E117:H117" si="90">E90</f>
        <v>0.17856434661907594</v>
      </c>
      <c r="F117" s="11">
        <f t="shared" si="90"/>
        <v>0.22018450594642658</v>
      </c>
      <c r="G117" s="11">
        <f t="shared" si="90"/>
        <v>0.25426852929763288</v>
      </c>
      <c r="H117" s="11">
        <f t="shared" si="90"/>
        <v>0.18915553543128821</v>
      </c>
      <c r="I117" s="11">
        <f>AVERAGE(F117:H117)</f>
        <v>0.22120285689178254</v>
      </c>
      <c r="J117" s="11">
        <f t="shared" ref="J117:M117" si="91">AVERAGE(G117:I117)</f>
        <v>0.22154230720690124</v>
      </c>
      <c r="K117" s="11">
        <f t="shared" si="91"/>
        <v>0.21063356650999066</v>
      </c>
      <c r="L117" s="11">
        <f t="shared" si="91"/>
        <v>0.21779291020289149</v>
      </c>
      <c r="M117" s="11">
        <f t="shared" si="91"/>
        <v>0.21665626130659446</v>
      </c>
    </row>
    <row r="118" spans="2:13" ht="17" thickBot="1" x14ac:dyDescent="0.25"/>
    <row r="119" spans="2:13" s="3" customFormat="1" x14ac:dyDescent="0.2">
      <c r="B119" s="6"/>
      <c r="C119" s="6"/>
      <c r="D119" s="7"/>
      <c r="E119" s="7"/>
      <c r="F119" s="7"/>
      <c r="G119" s="7"/>
      <c r="H119" s="7"/>
      <c r="I119" s="7"/>
      <c r="J119" s="7"/>
      <c r="K119" s="7"/>
      <c r="L119" s="7"/>
      <c r="M119" s="7"/>
    </row>
    <row r="120" spans="2:13" x14ac:dyDescent="0.2">
      <c r="B120" s="3" t="s">
        <v>40</v>
      </c>
      <c r="I120" s="5">
        <f ca="1">I110-I116</f>
        <v>10548.398790320534</v>
      </c>
      <c r="J120" s="5">
        <f t="shared" ref="J120:M120" ca="1" si="92">J110-J116</f>
        <v>11798.155276928668</v>
      </c>
      <c r="K120" s="5">
        <f t="shared" ca="1" si="92"/>
        <v>13334.261902111495</v>
      </c>
      <c r="L120" s="5">
        <f t="shared" ca="1" si="92"/>
        <v>14671.786425237631</v>
      </c>
      <c r="M120" s="5">
        <f t="shared" ca="1" si="92"/>
        <v>16256.400170548171</v>
      </c>
    </row>
    <row r="122" spans="2:13" x14ac:dyDescent="0.2">
      <c r="B122" s="3" t="s">
        <v>30</v>
      </c>
      <c r="D122" s="4">
        <f>D94</f>
        <v>1086</v>
      </c>
      <c r="E122" s="4">
        <f t="shared" ref="E122:M122" si="93">E94</f>
        <v>1365</v>
      </c>
      <c r="F122" s="4">
        <f t="shared" si="93"/>
        <v>1536</v>
      </c>
      <c r="G122" s="4">
        <f t="shared" si="93"/>
        <v>1452</v>
      </c>
      <c r="H122" s="4">
        <f t="shared" si="93"/>
        <v>635.33333333333337</v>
      </c>
      <c r="I122" s="4">
        <f t="shared" ca="1" si="93"/>
        <v>1648.4346897150776</v>
      </c>
      <c r="J122" s="4">
        <f t="shared" ca="1" si="93"/>
        <v>1618.8314383461927</v>
      </c>
      <c r="K122" s="4">
        <f t="shared" ca="1" si="93"/>
        <v>1638.5223404537342</v>
      </c>
      <c r="L122" s="4">
        <f t="shared" ca="1" si="93"/>
        <v>2118.06475092455</v>
      </c>
      <c r="M122" s="4">
        <f t="shared" ca="1" si="93"/>
        <v>2277.798580054749</v>
      </c>
    </row>
    <row r="123" spans="2:13" x14ac:dyDescent="0.2">
      <c r="B123" s="10" t="s">
        <v>22</v>
      </c>
      <c r="D123" s="11">
        <f>D122/D107</f>
        <v>3.4090909090909088E-2</v>
      </c>
      <c r="E123" s="11">
        <f t="shared" ref="E123:M123" si="94">E122/E107</f>
        <v>3.6628562228304622E-2</v>
      </c>
      <c r="F123" s="11">
        <f t="shared" si="94"/>
        <v>4.6525716362755196E-2</v>
      </c>
      <c r="G123" s="11">
        <f t="shared" si="94"/>
        <v>3.7563057819169576E-2</v>
      </c>
      <c r="H123" s="11">
        <f t="shared" si="94"/>
        <v>1.4492533227896228E-2</v>
      </c>
      <c r="I123" s="11">
        <f t="shared" ca="1" si="94"/>
        <v>3.286043580327367E-2</v>
      </c>
      <c r="J123" s="11">
        <f t="shared" ca="1" si="94"/>
        <v>2.8305342283446489E-2</v>
      </c>
      <c r="K123" s="11">
        <f t="shared" ca="1" si="94"/>
        <v>2.5219437104872126E-2</v>
      </c>
      <c r="L123" s="11">
        <f t="shared" ca="1" si="94"/>
        <v>2.8795071730530763E-2</v>
      </c>
      <c r="M123" s="11">
        <f t="shared" ca="1" si="94"/>
        <v>2.7439950372949794E-2</v>
      </c>
    </row>
    <row r="124" spans="2:13" x14ac:dyDescent="0.2">
      <c r="B124" s="10" t="s">
        <v>31</v>
      </c>
      <c r="D124" s="11">
        <f>D122/D126</f>
        <v>0.70155038759689925</v>
      </c>
      <c r="E124" s="11">
        <f t="shared" ref="E124:M124" si="95">E122/E126</f>
        <v>0.66455696202531644</v>
      </c>
      <c r="F124" s="11">
        <f t="shared" si="95"/>
        <v>1.3050127442650807</v>
      </c>
      <c r="G124" s="11">
        <f t="shared" si="95"/>
        <v>1.0621799561082663</v>
      </c>
      <c r="H124" s="11">
        <f t="shared" si="95"/>
        <v>0.61404639175257736</v>
      </c>
      <c r="I124" s="11">
        <f t="shared" ca="1" si="95"/>
        <v>1.0418946002191294</v>
      </c>
      <c r="J124" s="11">
        <f t="shared" ca="1" si="95"/>
        <v>0.93824756296040779</v>
      </c>
      <c r="K124" s="11">
        <f t="shared" ca="1" si="95"/>
        <v>0.88687251668198064</v>
      </c>
      <c r="L124" s="11">
        <f t="shared" ca="1" si="95"/>
        <v>0.95830458445100664</v>
      </c>
      <c r="M124" s="11">
        <f t="shared" ca="1" si="95"/>
        <v>0.9285665409010514</v>
      </c>
    </row>
    <row r="126" spans="2:13" x14ac:dyDescent="0.2">
      <c r="B126" s="3" t="s">
        <v>32</v>
      </c>
      <c r="D126" s="4">
        <f>D98</f>
        <v>1548</v>
      </c>
      <c r="E126" s="4">
        <f t="shared" ref="E126:M126" si="96">E98</f>
        <v>2054</v>
      </c>
      <c r="F126" s="4">
        <f t="shared" si="96"/>
        <v>1177</v>
      </c>
      <c r="G126" s="4">
        <f t="shared" si="96"/>
        <v>1367</v>
      </c>
      <c r="H126" s="4">
        <f t="shared" si="96"/>
        <v>1034.6666666666667</v>
      </c>
      <c r="I126" s="4">
        <f t="shared" ca="1" si="96"/>
        <v>1582.1511018181511</v>
      </c>
      <c r="J126" s="4">
        <f t="shared" ca="1" si="96"/>
        <v>1725.3777171969102</v>
      </c>
      <c r="K126" s="4">
        <f t="shared" ca="1" si="96"/>
        <v>1847.528601499424</v>
      </c>
      <c r="L126" s="4">
        <f t="shared" ca="1" si="96"/>
        <v>2210.2208267509714</v>
      </c>
      <c r="M126" s="4">
        <f t="shared" ca="1" si="96"/>
        <v>2453.0267673057074</v>
      </c>
    </row>
    <row r="127" spans="2:13" x14ac:dyDescent="0.2">
      <c r="B127" s="10" t="s">
        <v>34</v>
      </c>
      <c r="D127" s="11">
        <f>D126/D107</f>
        <v>4.859367152184832E-2</v>
      </c>
      <c r="E127" s="11">
        <f t="shared" ref="E127:M127" si="97">E126/E107</f>
        <v>5.5117265067353621E-2</v>
      </c>
      <c r="F127" s="11">
        <f t="shared" si="97"/>
        <v>3.5651541770158113E-2</v>
      </c>
      <c r="G127" s="11">
        <f t="shared" si="97"/>
        <v>3.5364118484025354E-2</v>
      </c>
      <c r="H127" s="11">
        <f t="shared" si="97"/>
        <v>2.3601691048997845E-2</v>
      </c>
      <c r="I127" s="11">
        <f t="shared" ca="1" si="97"/>
        <v>3.1539117101060436E-2</v>
      </c>
      <c r="J127" s="11">
        <f t="shared" ca="1" si="97"/>
        <v>3.0168308878027877E-2</v>
      </c>
      <c r="K127" s="11">
        <f t="shared" ca="1" si="97"/>
        <v>2.8436372342695387E-2</v>
      </c>
      <c r="L127" s="11">
        <f t="shared" ca="1" si="97"/>
        <v>3.0047932773927904E-2</v>
      </c>
      <c r="M127" s="11">
        <f t="shared" ca="1" si="97"/>
        <v>2.9550871331550391E-2</v>
      </c>
    </row>
    <row r="129" spans="2:13" x14ac:dyDescent="0.2">
      <c r="B129" s="3" t="s">
        <v>33</v>
      </c>
      <c r="D129" s="4">
        <f>D101</f>
        <v>-1240</v>
      </c>
      <c r="E129" s="4">
        <f t="shared" ref="E129:M129" si="98">E101</f>
        <v>366</v>
      </c>
      <c r="F129" s="4">
        <f t="shared" si="98"/>
        <v>690</v>
      </c>
      <c r="G129" s="4">
        <f t="shared" si="98"/>
        <v>1325</v>
      </c>
      <c r="H129" s="4">
        <f t="shared" si="98"/>
        <v>-1259</v>
      </c>
      <c r="I129" s="4">
        <f t="shared" ca="1" si="98"/>
        <v>442.4339488034571</v>
      </c>
      <c r="J129" s="4">
        <f t="shared" ca="1" si="98"/>
        <v>274.10598888569638</v>
      </c>
      <c r="K129" s="4">
        <f t="shared" ca="1" si="98"/>
        <v>-327.1608397426113</v>
      </c>
      <c r="L129" s="4">
        <f t="shared" ca="1" si="98"/>
        <v>210.2945731796905</v>
      </c>
      <c r="M129" s="4">
        <f t="shared" ca="1" si="98"/>
        <v>72.390202301819286</v>
      </c>
    </row>
    <row r="130" spans="2:13" x14ac:dyDescent="0.2">
      <c r="B130" s="10" t="s">
        <v>34</v>
      </c>
      <c r="D130" s="11">
        <f>D129/D107</f>
        <v>-3.8925163234555499E-2</v>
      </c>
      <c r="E130" s="11">
        <f t="shared" ref="E130:M130" si="99">E129/E107</f>
        <v>9.8212848172597005E-3</v>
      </c>
      <c r="F130" s="11">
        <f t="shared" si="99"/>
        <v>2.0900224147331434E-2</v>
      </c>
      <c r="G130" s="11">
        <f t="shared" si="99"/>
        <v>3.4277583753718796E-2</v>
      </c>
      <c r="H130" s="11">
        <f t="shared" si="99"/>
        <v>-2.871893914048481E-2</v>
      </c>
      <c r="I130" s="11">
        <f t="shared" ca="1" si="99"/>
        <v>8.8196229201884732E-3</v>
      </c>
      <c r="J130" s="11">
        <f t="shared" ca="1" si="99"/>
        <v>4.792755844474153E-3</v>
      </c>
      <c r="K130" s="11">
        <f t="shared" ca="1" si="99"/>
        <v>-5.035520125274061E-3</v>
      </c>
      <c r="L130" s="11">
        <f t="shared" ca="1" si="99"/>
        <v>2.8589528797961887E-3</v>
      </c>
      <c r="M130" s="11">
        <f t="shared" ca="1" si="99"/>
        <v>8.7206286633209357E-4</v>
      </c>
    </row>
    <row r="131" spans="2:13" ht="17" thickBot="1" x14ac:dyDescent="0.25"/>
    <row r="132" spans="2:13" s="3" customFormat="1" x14ac:dyDescent="0.2">
      <c r="B132" s="6"/>
      <c r="C132" s="6"/>
      <c r="D132" s="7"/>
      <c r="E132" s="7"/>
      <c r="F132" s="7"/>
      <c r="G132" s="7"/>
      <c r="H132" s="7"/>
      <c r="I132" s="7"/>
      <c r="J132" s="7"/>
      <c r="K132" s="7"/>
      <c r="L132" s="7"/>
      <c r="M132" s="7"/>
    </row>
    <row r="133" spans="2:13" x14ac:dyDescent="0.2">
      <c r="B133" s="3" t="s">
        <v>41</v>
      </c>
      <c r="I133" s="5">
        <f ca="1">I120+I122-I126-I129</f>
        <v>10172.248429414003</v>
      </c>
      <c r="J133" s="5">
        <f t="shared" ref="J133:M133" ca="1" si="100">J120+J122-J126-J129</f>
        <v>11417.503009192254</v>
      </c>
      <c r="K133" s="5">
        <f t="shared" ca="1" si="100"/>
        <v>13452.416480808417</v>
      </c>
      <c r="L133" s="5">
        <f t="shared" ca="1" si="100"/>
        <v>14369.335776231521</v>
      </c>
      <c r="M133" s="5">
        <f t="shared" ca="1" si="100"/>
        <v>16008.781780995394</v>
      </c>
    </row>
    <row r="134" spans="2:13" x14ac:dyDescent="0.2">
      <c r="B134" s="3" t="s">
        <v>42</v>
      </c>
      <c r="I134" s="4">
        <f t="shared" ref="I134:L134" ca="1" si="101">I133/(1+$D$24)^I104</f>
        <v>9588.3564351091773</v>
      </c>
      <c r="J134" s="4">
        <f t="shared" ca="1" si="101"/>
        <v>10144.381154741868</v>
      </c>
      <c r="K134" s="4">
        <f t="shared" ca="1" si="101"/>
        <v>11266.316309456241</v>
      </c>
      <c r="L134" s="4">
        <f t="shared" ca="1" si="101"/>
        <v>11343.459922687864</v>
      </c>
      <c r="M134" s="4">
        <f ca="1">M133/(1+$D$24)^M104</f>
        <v>11912.264949517423</v>
      </c>
    </row>
    <row r="135" spans="2:13" x14ac:dyDescent="0.2">
      <c r="M135" s="4"/>
    </row>
    <row r="136" spans="2:13" x14ac:dyDescent="0.2">
      <c r="B136" s="3" t="s">
        <v>58</v>
      </c>
      <c r="M136" s="5">
        <f ca="1">M133*(1+D24)/(D24-D25)</f>
        <v>333693.63177599368</v>
      </c>
    </row>
    <row r="137" spans="2:13" x14ac:dyDescent="0.2">
      <c r="B137" s="3" t="s">
        <v>59</v>
      </c>
      <c r="M137" s="5">
        <f ca="1">M136/(1+D24)^M104</f>
        <v>248304.15006351485</v>
      </c>
    </row>
    <row r="139" spans="2:13" x14ac:dyDescent="0.2">
      <c r="B139" s="3" t="s">
        <v>60</v>
      </c>
      <c r="M139" s="4">
        <f ca="1">SUM(M137,I134:M134)</f>
        <v>302558.92883502744</v>
      </c>
    </row>
    <row r="140" spans="2:13" x14ac:dyDescent="0.2">
      <c r="B140" s="3" t="s">
        <v>61</v>
      </c>
      <c r="M140" s="4">
        <v>13220</v>
      </c>
    </row>
    <row r="141" spans="2:13" x14ac:dyDescent="0.2">
      <c r="B141" s="3" t="s">
        <v>62</v>
      </c>
      <c r="M141" s="4">
        <f>KO_WACC!D16</f>
        <v>41190</v>
      </c>
    </row>
    <row r="142" spans="2:13" x14ac:dyDescent="0.2">
      <c r="B142" s="3" t="s">
        <v>63</v>
      </c>
      <c r="M142" s="4">
        <f ca="1">M139+M140-M141</f>
        <v>274588.92883502744</v>
      </c>
    </row>
    <row r="143" spans="2:13" x14ac:dyDescent="0.2">
      <c r="B143" s="3" t="s">
        <v>64</v>
      </c>
      <c r="M143" s="4">
        <v>4324.5132640000002</v>
      </c>
    </row>
    <row r="144" spans="2:13" x14ac:dyDescent="0.2">
      <c r="B144" s="3" t="s">
        <v>4</v>
      </c>
      <c r="M144" s="4">
        <f ca="1">M142/M143</f>
        <v>63.495915510510834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AC2FA-61CC-074B-AAEF-E14CE1ACDD59}">
  <dimension ref="A1:D23"/>
  <sheetViews>
    <sheetView showGridLines="0" zoomScale="140" zoomScaleNormal="140" workbookViewId="0">
      <selection sqref="A1:D23"/>
    </sheetView>
  </sheetViews>
  <sheetFormatPr baseColWidth="10" defaultRowHeight="16" x14ac:dyDescent="0.2"/>
  <sheetData>
    <row r="1" spans="1:4" ht="24" x14ac:dyDescent="0.3">
      <c r="A1" s="18" t="s">
        <v>2</v>
      </c>
    </row>
    <row r="3" spans="1:4" ht="19" x14ac:dyDescent="0.25">
      <c r="A3" s="19" t="s">
        <v>43</v>
      </c>
    </row>
    <row r="4" spans="1:4" ht="19" x14ac:dyDescent="0.25">
      <c r="A4" s="19"/>
    </row>
    <row r="5" spans="1:4" ht="19" x14ac:dyDescent="0.25">
      <c r="A5" s="19" t="s">
        <v>44</v>
      </c>
    </row>
    <row r="7" spans="1:4" ht="19" x14ac:dyDescent="0.25">
      <c r="A7" s="20" t="s">
        <v>45</v>
      </c>
    </row>
    <row r="8" spans="1:4" ht="19" x14ac:dyDescent="0.25">
      <c r="A8" s="21"/>
    </row>
    <row r="9" spans="1:4" ht="19" x14ac:dyDescent="0.25">
      <c r="A9" s="21" t="s">
        <v>46</v>
      </c>
      <c r="D9" s="22">
        <v>265650</v>
      </c>
    </row>
    <row r="10" spans="1:4" ht="19" x14ac:dyDescent="0.25">
      <c r="A10" s="21" t="s">
        <v>47</v>
      </c>
      <c r="D10" s="17">
        <f>D9/D21</f>
        <v>0.8657606570199452</v>
      </c>
    </row>
    <row r="11" spans="1:4" ht="19" x14ac:dyDescent="0.25">
      <c r="A11" s="21" t="s">
        <v>48</v>
      </c>
      <c r="D11" s="17">
        <f>D12+D13*D14</f>
        <v>6.4037999999999998E-2</v>
      </c>
    </row>
    <row r="12" spans="1:4" ht="19" x14ac:dyDescent="0.25">
      <c r="A12" s="21" t="s">
        <v>49</v>
      </c>
      <c r="D12" s="17">
        <v>3.44E-2</v>
      </c>
    </row>
    <row r="13" spans="1:4" ht="19" x14ac:dyDescent="0.25">
      <c r="A13" s="21" t="s">
        <v>50</v>
      </c>
      <c r="D13" s="23">
        <v>0.57999999999999996</v>
      </c>
    </row>
    <row r="14" spans="1:4" ht="19" x14ac:dyDescent="0.25">
      <c r="A14" s="21" t="s">
        <v>51</v>
      </c>
      <c r="D14" s="17">
        <v>5.11E-2</v>
      </c>
    </row>
    <row r="15" spans="1:4" ht="19" x14ac:dyDescent="0.25">
      <c r="A15" s="21"/>
    </row>
    <row r="16" spans="1:4" ht="19" x14ac:dyDescent="0.25">
      <c r="A16" s="21" t="s">
        <v>52</v>
      </c>
      <c r="D16" s="22">
        <v>41190</v>
      </c>
    </row>
    <row r="17" spans="1:4" ht="19" x14ac:dyDescent="0.25">
      <c r="A17" s="21" t="s">
        <v>53</v>
      </c>
      <c r="D17" s="17">
        <f>D16/D9</f>
        <v>0.15505364201016375</v>
      </c>
    </row>
    <row r="18" spans="1:4" ht="19" x14ac:dyDescent="0.25">
      <c r="A18" s="21" t="s">
        <v>54</v>
      </c>
      <c r="D18" s="17">
        <v>4.4499999999999998E-2</v>
      </c>
    </row>
    <row r="19" spans="1:4" ht="19" x14ac:dyDescent="0.25">
      <c r="A19" s="21" t="s">
        <v>55</v>
      </c>
      <c r="D19" s="11">
        <v>0.20949999999999999</v>
      </c>
    </row>
    <row r="20" spans="1:4" ht="19" x14ac:dyDescent="0.25">
      <c r="A20" s="21"/>
    </row>
    <row r="21" spans="1:4" ht="19" x14ac:dyDescent="0.25">
      <c r="A21" s="21" t="s">
        <v>56</v>
      </c>
      <c r="D21" s="22">
        <f>D9+D16</f>
        <v>306840</v>
      </c>
    </row>
    <row r="22" spans="1:4" ht="19" x14ac:dyDescent="0.25">
      <c r="A22" s="21"/>
    </row>
    <row r="23" spans="1:4" ht="19" x14ac:dyDescent="0.25">
      <c r="A23" s="21" t="s">
        <v>45</v>
      </c>
      <c r="D23" s="17">
        <f>(D10*D11)+(D17*D18*(1-D19))</f>
        <v>6.0895941682645283E-2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KO_DCF</vt:lpstr>
      <vt:lpstr>KO_WACC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Shalil Gunputh</dc:creator>
  <cp:lastModifiedBy>Shalil Gunputh</cp:lastModifiedBy>
  <dcterms:created xsi:type="dcterms:W3CDTF">2023-01-19T11:10:56Z</dcterms:created>
  <dcterms:modified xsi:type="dcterms:W3CDTF">2023-01-25T14:51:37Z</dcterms:modified>
</cp:coreProperties>
</file>