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date1904="1"/>
  <mc:AlternateContent xmlns:mc="http://schemas.openxmlformats.org/markup-compatibility/2006">
    <mc:Choice Requires="x15">
      <x15ac:absPath xmlns:x15ac="http://schemas.microsoft.com/office/spreadsheetml/2010/11/ac" url="/Users/shalilgunputh/Library/Mobile Documents/com~apple~Numbers/Documents/"/>
    </mc:Choice>
  </mc:AlternateContent>
  <bookViews>
    <workbookView xWindow="28800" yWindow="500" windowWidth="38340" windowHeight="19440" activeTab="1"/>
  </bookViews>
  <sheets>
    <sheet name="Export Summary" sheetId="1" r:id="rId1"/>
    <sheet name="Main - Microsoft DCF" sheetId="2" r:id="rId2"/>
    <sheet name="MSFT Quarter Dates" sheetId="4" r:id="rId3"/>
    <sheet name="WACC - WACC" sheetId="5" r:id="rId4"/>
  </sheets>
  <calcPr calcId="150001" calcMode="autoNoTable"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5" i="5" l="1"/>
  <c r="B20" i="5"/>
  <c r="B9" i="5"/>
  <c r="B10" i="5"/>
  <c r="B16" i="5"/>
  <c r="K74" i="2"/>
  <c r="K23" i="2"/>
  <c r="K22" i="2"/>
  <c r="K21" i="2"/>
  <c r="K29" i="2"/>
  <c r="K28" i="2"/>
  <c r="K27" i="2"/>
  <c r="K35" i="2"/>
  <c r="K34" i="2"/>
  <c r="K33" i="2"/>
  <c r="K39" i="2"/>
  <c r="K43" i="2"/>
  <c r="K47" i="2"/>
  <c r="K71" i="2"/>
  <c r="K70" i="2"/>
  <c r="K69" i="2"/>
  <c r="K65" i="2"/>
  <c r="K68" i="2"/>
  <c r="K75" i="2"/>
  <c r="B18" i="5"/>
  <c r="B22" i="5"/>
  <c r="K77" i="2"/>
  <c r="J79" i="2"/>
  <c r="J39" i="2"/>
  <c r="J65" i="2"/>
  <c r="J80" i="2"/>
  <c r="I79" i="2"/>
  <c r="I39" i="2"/>
  <c r="I65" i="2"/>
  <c r="I80" i="2"/>
  <c r="H79" i="2"/>
  <c r="H39" i="2"/>
  <c r="H65" i="2"/>
  <c r="H80" i="2"/>
  <c r="K80" i="2"/>
  <c r="K79" i="2"/>
  <c r="J82" i="2"/>
  <c r="J83" i="2"/>
  <c r="I82" i="2"/>
  <c r="I83" i="2"/>
  <c r="H82" i="2"/>
  <c r="H83" i="2"/>
  <c r="K83" i="2"/>
  <c r="K82" i="2"/>
  <c r="J85" i="2"/>
  <c r="J86" i="2"/>
  <c r="I85" i="2"/>
  <c r="I86" i="2"/>
  <c r="H85" i="2"/>
  <c r="H86" i="2"/>
  <c r="K86" i="2"/>
  <c r="K85" i="2"/>
  <c r="K88" i="2"/>
  <c r="I14" i="2"/>
  <c r="F14" i="2"/>
  <c r="C17" i="2"/>
  <c r="K89" i="2"/>
  <c r="L23" i="2"/>
  <c r="L22" i="2"/>
  <c r="L21" i="2"/>
  <c r="L29" i="2"/>
  <c r="L28" i="2"/>
  <c r="L27" i="2"/>
  <c r="L35" i="2"/>
  <c r="L34" i="2"/>
  <c r="L33" i="2"/>
  <c r="L39" i="2"/>
  <c r="L43" i="2"/>
  <c r="L47" i="2"/>
  <c r="L71" i="2"/>
  <c r="L70" i="2"/>
  <c r="L69" i="2"/>
  <c r="L65" i="2"/>
  <c r="L68" i="2"/>
  <c r="L74" i="2"/>
  <c r="L77" i="2"/>
  <c r="L80" i="2"/>
  <c r="L79" i="2"/>
  <c r="L83" i="2"/>
  <c r="L82" i="2"/>
  <c r="L86" i="2"/>
  <c r="L85" i="2"/>
  <c r="L88" i="2"/>
  <c r="L89" i="2"/>
  <c r="M23" i="2"/>
  <c r="M22" i="2"/>
  <c r="M21" i="2"/>
  <c r="M29" i="2"/>
  <c r="M28" i="2"/>
  <c r="M27" i="2"/>
  <c r="M35" i="2"/>
  <c r="M34" i="2"/>
  <c r="M33" i="2"/>
  <c r="M39" i="2"/>
  <c r="M43" i="2"/>
  <c r="M47" i="2"/>
  <c r="M71" i="2"/>
  <c r="M70" i="2"/>
  <c r="M69" i="2"/>
  <c r="M65" i="2"/>
  <c r="M68" i="2"/>
  <c r="L75" i="2"/>
  <c r="M75" i="2"/>
  <c r="M74" i="2"/>
  <c r="M77" i="2"/>
  <c r="M80" i="2"/>
  <c r="M79" i="2"/>
  <c r="M83" i="2"/>
  <c r="M82" i="2"/>
  <c r="M86" i="2"/>
  <c r="M85" i="2"/>
  <c r="M88" i="2"/>
  <c r="M89" i="2"/>
  <c r="N23" i="2"/>
  <c r="N22" i="2"/>
  <c r="N21" i="2"/>
  <c r="N29" i="2"/>
  <c r="N28" i="2"/>
  <c r="N27" i="2"/>
  <c r="N35" i="2"/>
  <c r="N34" i="2"/>
  <c r="N33" i="2"/>
  <c r="N39" i="2"/>
  <c r="N43" i="2"/>
  <c r="N47" i="2"/>
  <c r="N71" i="2"/>
  <c r="N70" i="2"/>
  <c r="N69" i="2"/>
  <c r="N65" i="2"/>
  <c r="N68" i="2"/>
  <c r="N75" i="2"/>
  <c r="N74" i="2"/>
  <c r="N77" i="2"/>
  <c r="N80" i="2"/>
  <c r="N79" i="2"/>
  <c r="N83" i="2"/>
  <c r="N82" i="2"/>
  <c r="N86" i="2"/>
  <c r="N85" i="2"/>
  <c r="N88" i="2"/>
  <c r="N89" i="2"/>
  <c r="T71" i="2"/>
  <c r="O71" i="2"/>
  <c r="O70" i="2"/>
  <c r="O69" i="2"/>
  <c r="T24" i="2"/>
  <c r="O24" i="2"/>
  <c r="O23" i="2"/>
  <c r="O22" i="2"/>
  <c r="O21" i="2"/>
  <c r="O30" i="2"/>
  <c r="O29" i="2"/>
  <c r="O28" i="2"/>
  <c r="O27" i="2"/>
  <c r="T36" i="2"/>
  <c r="O36" i="2"/>
  <c r="O35" i="2"/>
  <c r="O34" i="2"/>
  <c r="O33" i="2"/>
  <c r="O39" i="2"/>
  <c r="O65" i="2"/>
  <c r="O68" i="2"/>
  <c r="O75" i="2"/>
  <c r="O74" i="2"/>
  <c r="O77" i="2"/>
  <c r="O80" i="2"/>
  <c r="O79" i="2"/>
  <c r="O83" i="2"/>
  <c r="O82" i="2"/>
  <c r="O86" i="2"/>
  <c r="O85" i="2"/>
  <c r="O88" i="2"/>
  <c r="O89" i="2"/>
  <c r="P71" i="2"/>
  <c r="P70" i="2"/>
  <c r="P69" i="2"/>
  <c r="P24" i="2"/>
  <c r="P23" i="2"/>
  <c r="P22" i="2"/>
  <c r="P21" i="2"/>
  <c r="P30" i="2"/>
  <c r="P29" i="2"/>
  <c r="P28" i="2"/>
  <c r="P27" i="2"/>
  <c r="P36" i="2"/>
  <c r="P35" i="2"/>
  <c r="P34" i="2"/>
  <c r="P33" i="2"/>
  <c r="P39" i="2"/>
  <c r="P65" i="2"/>
  <c r="P68" i="2"/>
  <c r="P75" i="2"/>
  <c r="P74" i="2"/>
  <c r="P77" i="2"/>
  <c r="P80" i="2"/>
  <c r="P79" i="2"/>
  <c r="P83" i="2"/>
  <c r="P82" i="2"/>
  <c r="P86" i="2"/>
  <c r="P85" i="2"/>
  <c r="P88" i="2"/>
  <c r="P89" i="2"/>
  <c r="Q71" i="2"/>
  <c r="Q70" i="2"/>
  <c r="Q69" i="2"/>
  <c r="Q24" i="2"/>
  <c r="Q23" i="2"/>
  <c r="Q22" i="2"/>
  <c r="Q21" i="2"/>
  <c r="Q30" i="2"/>
  <c r="Q29" i="2"/>
  <c r="Q28" i="2"/>
  <c r="Q27" i="2"/>
  <c r="Q36" i="2"/>
  <c r="Q35" i="2"/>
  <c r="Q34" i="2"/>
  <c r="Q33" i="2"/>
  <c r="Q39" i="2"/>
  <c r="Q65" i="2"/>
  <c r="Q68" i="2"/>
  <c r="Q75" i="2"/>
  <c r="Q74" i="2"/>
  <c r="Q77" i="2"/>
  <c r="Q80" i="2"/>
  <c r="Q79" i="2"/>
  <c r="Q83" i="2"/>
  <c r="Q82" i="2"/>
  <c r="Q86" i="2"/>
  <c r="Q85" i="2"/>
  <c r="Q88" i="2"/>
  <c r="Q89" i="2"/>
  <c r="R71" i="2"/>
  <c r="R70" i="2"/>
  <c r="R69" i="2"/>
  <c r="R24" i="2"/>
  <c r="R23" i="2"/>
  <c r="R22" i="2"/>
  <c r="R21" i="2"/>
  <c r="R30" i="2"/>
  <c r="R29" i="2"/>
  <c r="R28" i="2"/>
  <c r="R27" i="2"/>
  <c r="R36" i="2"/>
  <c r="R35" i="2"/>
  <c r="R34" i="2"/>
  <c r="R33" i="2"/>
  <c r="R39" i="2"/>
  <c r="R65" i="2"/>
  <c r="R68" i="2"/>
  <c r="R75" i="2"/>
  <c r="R74" i="2"/>
  <c r="R77" i="2"/>
  <c r="R80" i="2"/>
  <c r="R79" i="2"/>
  <c r="R83" i="2"/>
  <c r="R82" i="2"/>
  <c r="R86" i="2"/>
  <c r="R85" i="2"/>
  <c r="R88" i="2"/>
  <c r="R89" i="2"/>
  <c r="S71" i="2"/>
  <c r="S70" i="2"/>
  <c r="S69" i="2"/>
  <c r="S24" i="2"/>
  <c r="S23" i="2"/>
  <c r="S22" i="2"/>
  <c r="S21" i="2"/>
  <c r="S30" i="2"/>
  <c r="S29" i="2"/>
  <c r="S28" i="2"/>
  <c r="S27" i="2"/>
  <c r="S36" i="2"/>
  <c r="S35" i="2"/>
  <c r="S34" i="2"/>
  <c r="S33" i="2"/>
  <c r="S39" i="2"/>
  <c r="S65" i="2"/>
  <c r="S68" i="2"/>
  <c r="S75" i="2"/>
  <c r="S74" i="2"/>
  <c r="S77" i="2"/>
  <c r="S80" i="2"/>
  <c r="S79" i="2"/>
  <c r="S83" i="2"/>
  <c r="S82" i="2"/>
  <c r="S86" i="2"/>
  <c r="S85" i="2"/>
  <c r="S88" i="2"/>
  <c r="S89" i="2"/>
  <c r="T70" i="2"/>
  <c r="T69" i="2"/>
  <c r="T23" i="2"/>
  <c r="T22" i="2"/>
  <c r="T21" i="2"/>
  <c r="T29" i="2"/>
  <c r="T28" i="2"/>
  <c r="T27" i="2"/>
  <c r="T35" i="2"/>
  <c r="T34" i="2"/>
  <c r="T33" i="2"/>
  <c r="T39" i="2"/>
  <c r="T65" i="2"/>
  <c r="T68" i="2"/>
  <c r="T75" i="2"/>
  <c r="T74" i="2"/>
  <c r="T77" i="2"/>
  <c r="T80" i="2"/>
  <c r="T79" i="2"/>
  <c r="T83" i="2"/>
  <c r="T82" i="2"/>
  <c r="T86" i="2"/>
  <c r="T85" i="2"/>
  <c r="T88" i="2"/>
  <c r="T89" i="2"/>
  <c r="F15" i="2"/>
  <c r="C18" i="2"/>
  <c r="T91" i="2"/>
  <c r="T92" i="2"/>
  <c r="T94" i="2"/>
  <c r="T96" i="2"/>
  <c r="T97" i="2"/>
  <c r="T99" i="2"/>
  <c r="G85" i="2"/>
  <c r="G39" i="2"/>
  <c r="G65" i="2"/>
  <c r="G86" i="2"/>
  <c r="F85" i="2"/>
  <c r="F39" i="2"/>
  <c r="F65" i="2"/>
  <c r="F86" i="2"/>
  <c r="E85" i="2"/>
  <c r="E39" i="2"/>
  <c r="E65" i="2"/>
  <c r="E86" i="2"/>
  <c r="G82" i="2"/>
  <c r="G83" i="2"/>
  <c r="F82" i="2"/>
  <c r="F83" i="2"/>
  <c r="E82" i="2"/>
  <c r="E83" i="2"/>
  <c r="G79" i="2"/>
  <c r="G80" i="2"/>
  <c r="F79" i="2"/>
  <c r="F80" i="2"/>
  <c r="E79" i="2"/>
  <c r="E80" i="2"/>
  <c r="J74" i="2"/>
  <c r="J68" i="2"/>
  <c r="J75" i="2"/>
  <c r="I74" i="2"/>
  <c r="I68" i="2"/>
  <c r="I75" i="2"/>
  <c r="H74" i="2"/>
  <c r="H68" i="2"/>
  <c r="H75" i="2"/>
  <c r="G74" i="2"/>
  <c r="G68" i="2"/>
  <c r="G75" i="2"/>
  <c r="F74" i="2"/>
  <c r="F68" i="2"/>
  <c r="F75" i="2"/>
  <c r="E74" i="2"/>
  <c r="E68" i="2"/>
  <c r="E75" i="2"/>
  <c r="T72" i="2"/>
  <c r="S72" i="2"/>
  <c r="R72" i="2"/>
  <c r="Q72" i="2"/>
  <c r="P72" i="2"/>
  <c r="O72" i="2"/>
  <c r="N72" i="2"/>
  <c r="M72" i="2"/>
  <c r="L72" i="2"/>
  <c r="K72" i="2"/>
  <c r="J69" i="2"/>
  <c r="I69" i="2"/>
  <c r="H69" i="2"/>
  <c r="G69" i="2"/>
  <c r="F69" i="2"/>
  <c r="E69" i="2"/>
  <c r="T66" i="2"/>
  <c r="S66" i="2"/>
  <c r="R66" i="2"/>
  <c r="Q66" i="2"/>
  <c r="P66" i="2"/>
  <c r="O66" i="2"/>
  <c r="N66" i="2"/>
  <c r="M66" i="2"/>
  <c r="L66" i="2"/>
  <c r="K66" i="2"/>
  <c r="J66" i="2"/>
  <c r="I66" i="2"/>
  <c r="H66" i="2"/>
  <c r="G66" i="2"/>
  <c r="F66" i="2"/>
  <c r="J43" i="2"/>
  <c r="I43" i="2"/>
  <c r="J62" i="2"/>
  <c r="H43" i="2"/>
  <c r="I62" i="2"/>
  <c r="G43" i="2"/>
  <c r="H62" i="2"/>
  <c r="F43" i="2"/>
  <c r="G62" i="2"/>
  <c r="E43" i="2"/>
  <c r="F62" i="2"/>
  <c r="J61" i="2"/>
  <c r="I61" i="2"/>
  <c r="H61" i="2"/>
  <c r="G61" i="2"/>
  <c r="F61" i="2"/>
  <c r="E61" i="2"/>
  <c r="N58" i="2"/>
  <c r="M58" i="2"/>
  <c r="L58" i="2"/>
  <c r="K58" i="2"/>
  <c r="J58" i="2"/>
  <c r="I58" i="2"/>
  <c r="H58" i="2"/>
  <c r="G58" i="2"/>
  <c r="F58" i="2"/>
  <c r="E58" i="2"/>
  <c r="N55" i="2"/>
  <c r="M55" i="2"/>
  <c r="L55" i="2"/>
  <c r="K55" i="2"/>
  <c r="J55" i="2"/>
  <c r="I55" i="2"/>
  <c r="H55" i="2"/>
  <c r="G55" i="2"/>
  <c r="F55" i="2"/>
  <c r="E55" i="2"/>
  <c r="N54" i="2"/>
  <c r="M54" i="2"/>
  <c r="L54" i="2"/>
  <c r="K54" i="2"/>
  <c r="J54" i="2"/>
  <c r="I54" i="2"/>
  <c r="H54" i="2"/>
  <c r="G54" i="2"/>
  <c r="F54" i="2"/>
  <c r="E54" i="2"/>
  <c r="N50" i="2"/>
  <c r="M50" i="2"/>
  <c r="L50" i="2"/>
  <c r="K50" i="2"/>
  <c r="J50" i="2"/>
  <c r="I50" i="2"/>
  <c r="H50" i="2"/>
  <c r="G50" i="2"/>
  <c r="F50" i="2"/>
  <c r="E50" i="2"/>
  <c r="J47" i="2"/>
  <c r="I47" i="2"/>
  <c r="H47" i="2"/>
  <c r="G47" i="2"/>
  <c r="F47" i="2"/>
  <c r="E47" i="2"/>
  <c r="N44" i="2"/>
  <c r="M44" i="2"/>
  <c r="L44" i="2"/>
  <c r="K44" i="2"/>
  <c r="J44" i="2"/>
  <c r="I44" i="2"/>
  <c r="H44" i="2"/>
  <c r="G44" i="2"/>
  <c r="F44" i="2"/>
  <c r="T40" i="2"/>
  <c r="S40" i="2"/>
  <c r="R40" i="2"/>
  <c r="Q40" i="2"/>
  <c r="P40" i="2"/>
  <c r="O40" i="2"/>
  <c r="N40" i="2"/>
  <c r="M40" i="2"/>
  <c r="L40" i="2"/>
  <c r="K40" i="2"/>
  <c r="J40" i="2"/>
  <c r="I40" i="2"/>
  <c r="H40" i="2"/>
  <c r="G40" i="2"/>
  <c r="F40" i="2"/>
  <c r="T37" i="2"/>
  <c r="S37" i="2"/>
  <c r="R37" i="2"/>
  <c r="Q37" i="2"/>
  <c r="P37" i="2"/>
  <c r="O37" i="2"/>
  <c r="N37" i="2"/>
  <c r="M37" i="2"/>
  <c r="L37" i="2"/>
  <c r="J34" i="2"/>
  <c r="I34" i="2"/>
  <c r="H34" i="2"/>
  <c r="G34" i="2"/>
  <c r="F34" i="2"/>
  <c r="T31" i="2"/>
  <c r="S31" i="2"/>
  <c r="R31" i="2"/>
  <c r="Q31" i="2"/>
  <c r="P31" i="2"/>
  <c r="O31" i="2"/>
  <c r="N31" i="2"/>
  <c r="M31" i="2"/>
  <c r="L31" i="2"/>
  <c r="K31" i="2"/>
  <c r="J28" i="2"/>
  <c r="I28" i="2"/>
  <c r="H28" i="2"/>
  <c r="G28" i="2"/>
  <c r="F28" i="2"/>
  <c r="T25" i="2"/>
  <c r="S25" i="2"/>
  <c r="R25" i="2"/>
  <c r="Q25" i="2"/>
  <c r="P25" i="2"/>
  <c r="O25" i="2"/>
  <c r="N25" i="2"/>
  <c r="M25" i="2"/>
  <c r="L25" i="2"/>
  <c r="J22" i="2"/>
  <c r="I22" i="2"/>
  <c r="H22" i="2"/>
  <c r="G22" i="2"/>
  <c r="F22" i="2"/>
  <c r="L15" i="2"/>
  <c r="L14" i="2"/>
  <c r="F4" i="2"/>
  <c r="I5" i="2"/>
</calcChain>
</file>

<file path=xl/sharedStrings.xml><?xml version="1.0" encoding="utf-8"?>
<sst xmlns="http://schemas.openxmlformats.org/spreadsheetml/2006/main" count="148" uniqueCount="83">
  <si>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</si>
  <si>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</si>
  <si>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</si>
  <si>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</si>
  <si>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Main</t>
  </si>
  <si>
    <t>Microsoft DCF</t>
  </si>
  <si>
    <t>Main - Microsoft DCF</t>
  </si>
  <si>
    <t>Ticker</t>
  </si>
  <si>
    <t>MSFT</t>
  </si>
  <si>
    <t>Implied Share Price</t>
  </si>
  <si>
    <t>Date</t>
  </si>
  <si>
    <t>08/29/2022</t>
  </si>
  <si>
    <t xml:space="preserve">Current Share Price </t>
  </si>
  <si>
    <t>Upside (Downside)</t>
  </si>
  <si>
    <t>X</t>
  </si>
  <si>
    <t xml:space="preserve">Assumptions </t>
  </si>
  <si>
    <t>Switches</t>
  </si>
  <si>
    <t xml:space="preserve">Conservative </t>
  </si>
  <si>
    <t>Street/ Base</t>
  </si>
  <si>
    <t>Optimistic</t>
  </si>
  <si>
    <t>Productivity</t>
  </si>
  <si>
    <t>Intelligent Cloud</t>
  </si>
  <si>
    <t xml:space="preserve">More Personal </t>
  </si>
  <si>
    <t>EBIT</t>
  </si>
  <si>
    <t>EBIT 2031</t>
  </si>
  <si>
    <t>Step</t>
  </si>
  <si>
    <t>WACC</t>
  </si>
  <si>
    <t>TGV</t>
  </si>
  <si>
    <t>Revenue Build</t>
  </si>
  <si>
    <t>Productivity &amp;  Business Processes</t>
  </si>
  <si>
    <t>% growth</t>
  </si>
  <si>
    <t xml:space="preserve">   Conservative Case</t>
  </si>
  <si>
    <t xml:space="preserve">   Street/Base Case</t>
  </si>
  <si>
    <t xml:space="preserve">   Optimistic Case</t>
  </si>
  <si>
    <t>More Personal Computing</t>
  </si>
  <si>
    <t>Total</t>
  </si>
  <si>
    <t>x</t>
  </si>
  <si>
    <t>Income Statement</t>
  </si>
  <si>
    <t>Revenue</t>
  </si>
  <si>
    <t>% of sales</t>
  </si>
  <si>
    <t>Taxes</t>
  </si>
  <si>
    <t>% of EBIT</t>
  </si>
  <si>
    <t>Cash Flow Items</t>
  </si>
  <si>
    <t>D&amp;A</t>
  </si>
  <si>
    <t>% of CapEx</t>
  </si>
  <si>
    <t>Capital Expenditures</t>
  </si>
  <si>
    <t xml:space="preserve">Change in Net Working Capital </t>
  </si>
  <si>
    <t>% change in sales</t>
  </si>
  <si>
    <t>DCF</t>
  </si>
  <si>
    <t>EBIAT</t>
  </si>
  <si>
    <t xml:space="preserve"> </t>
  </si>
  <si>
    <t>Unlevered Free Cash Flow</t>
  </si>
  <si>
    <t>Present Value of Free Cash Flow</t>
  </si>
  <si>
    <t>Terminal Value</t>
  </si>
  <si>
    <t>Present Value of Terminal Value</t>
  </si>
  <si>
    <t>Enterprise Value</t>
  </si>
  <si>
    <t>(+) Cash</t>
  </si>
  <si>
    <t>(-) Debt</t>
  </si>
  <si>
    <t>Equity Value</t>
  </si>
  <si>
    <t>Shares</t>
  </si>
  <si>
    <t>Model</t>
  </si>
  <si>
    <t>Table 1</t>
  </si>
  <si>
    <t>MSFT Quarter Dates</t>
  </si>
  <si>
    <t>Date Ended</t>
  </si>
  <si>
    <t>Earnings Release</t>
  </si>
  <si>
    <t>Q1</t>
  </si>
  <si>
    <t>Q2</t>
  </si>
  <si>
    <t>Q3</t>
  </si>
  <si>
    <t>FY</t>
  </si>
  <si>
    <t>WACC - WACC</t>
  </si>
  <si>
    <t>WACC = % of equity x cost of equity + % of debt x cost of debt x (1-Tax Rate</t>
  </si>
  <si>
    <t xml:space="preserve">Cost of equity = Risk free rate + Beta x Market Risk Premium </t>
  </si>
  <si>
    <t xml:space="preserve">Market Cap </t>
  </si>
  <si>
    <t xml:space="preserve">% of Equity </t>
  </si>
  <si>
    <t>Cost of Equity</t>
  </si>
  <si>
    <t>Risk Free Rate</t>
  </si>
  <si>
    <t>Beta</t>
  </si>
  <si>
    <t>Market Risk Premium</t>
  </si>
  <si>
    <t>Debt</t>
  </si>
  <si>
    <t>% of Debt</t>
  </si>
  <si>
    <t>Cost of Debt</t>
  </si>
  <si>
    <t>Tax Rate</t>
  </si>
  <si>
    <t xml:space="preserve">Total </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</si>
</sst>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409]0.00"/>
    <numFmt numFmtId="165" formatCode="0%_);\(0%\)"/>
    <numFmt numFmtId="166" formatCode="#,##0.00%"/>
    <numFmt numFmtId="167" formatCode="#,##0%"/>
    <numFmt numFmtId="168" formatCode="#,##0.0#########"/>
    <numFmt numFmtId="169" formatCode="0_);\(0\)"/>
    <numFmt numFmtId="170" formatCode="#,##0%_);\(#,##0%\)"/>
    <numFmt numFmtId="171" formatCode="dd/mm/yy"/>
  </numFmts>
  <fonts count="18" x14ac:knownFonts="1">
    <font>
      <sz val="10"/>
      <color indexed="8"/>
      <name val="Helvetica Neue"/>
    </font>
    <font>
      <sz val="12"/>
      <color indexed="8"/>
      <name val="Helvetica Neue"/>
    </font>
    <font>
      <sz val="14"/>
      <color indexed="8"/>
      <name val="Helvetica Neue"/>
    </font>
    <font>
      <u/>
      <sz val="12"/>
      <color indexed="11"/>
      <name val="Helvetica Neue"/>
    </font>
    <font>
      <b/>
      <sz val="13"/>
      <color indexed="8"/>
      <name val="Calibri"/>
    </font>
    <font>
      <b/>
      <sz val="12"/>
      <color indexed="8"/>
      <name val="Calibri"/>
    </font>
    <font>
      <sz val="12"/>
      <color indexed="8"/>
      <name val="Calibri"/>
    </font>
    <font>
      <b/>
      <sz val="12"/>
      <color indexed="12"/>
      <name val="Calibri"/>
    </font>
    <font>
      <sz val="12"/>
      <color indexed="12"/>
      <name val="Calibri"/>
    </font>
    <font>
      <i/>
      <sz val="12"/>
      <color indexed="8"/>
      <name val="Calibri"/>
    </font>
    <font>
      <sz val="12"/>
      <color indexed="19"/>
      <name val="Calibri"/>
    </font>
    <font>
      <b/>
      <i/>
      <sz val="12"/>
      <color indexed="8"/>
      <name val="Calibri"/>
    </font>
    <font>
      <i/>
      <sz val="12"/>
      <color indexed="20"/>
      <name val="Calibri"/>
    </font>
    <font>
      <i/>
      <sz val="12"/>
      <color indexed="19"/>
      <name val="Calibri"/>
    </font>
    <font>
      <i/>
      <sz val="12"/>
      <color indexed="21"/>
      <name val="Calibri"/>
    </font>
    <font>
      <sz val="12"/>
      <color indexed="21"/>
      <name val="Calibri"/>
    </font>
    <font>
      <b/>
      <sz val="12"/>
      <color indexed="21"/>
      <name val="Calibri"/>
    </font>
    <font>
      <b/>
      <sz val="10"/>
      <color indexed="8"/>
      <name val="Helvetica Neue"/>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7"/>
        <bgColor auto="1"/>
      </patternFill>
    </fill>
    <fill>
      <patternFill patternType="solid">
        <fgColor indexed="18"/>
        <bgColor auto="1"/>
      </patternFill>
    </fill>
    <fill>
      <patternFill patternType="solid">
        <fgColor indexed="22"/>
        <bgColor auto="1"/>
      </patternFill>
    </fill>
    <fill>
      <patternFill patternType="solid">
        <fgColor indexed="23"/>
        <bgColor auto="1"/>
      </patternFill>
    </fill>
  </fills>
  <borders count="52">
    <border>
      <left/>
      <right/>
      <top/>
      <bottom/>
      <diagonal/>
    </border>
    <border>
      <left/>
      <right style="thin">
        <color indexed="13"/>
      </right>
      <top/>
      <bottom style="thin">
        <color indexed="13"/>
      </bottom>
      <diagonal/>
    </border>
    <border>
      <left style="thin">
        <color indexed="13"/>
      </left>
      <right style="thin">
        <color indexed="15"/>
      </right>
      <top/>
      <bottom style="thin">
        <color indexed="13"/>
      </bottom>
      <diagonal/>
    </border>
    <border>
      <left style="thin">
        <color indexed="15"/>
      </left>
      <right/>
      <top/>
      <bottom style="hair">
        <color indexed="16"/>
      </bottom>
      <diagonal/>
    </border>
    <border>
      <left/>
      <right/>
      <top/>
      <bottom/>
      <diagonal/>
    </border>
    <border>
      <left/>
      <right/>
      <top/>
      <bottom style="hair">
        <color indexed="16"/>
      </bottom>
      <diagonal/>
    </border>
    <border>
      <left/>
      <right style="thin">
        <color indexed="13"/>
      </right>
      <top style="thin">
        <color indexed="13"/>
      </top>
      <bottom style="thin">
        <color indexed="13"/>
      </bottom>
      <diagonal/>
    </border>
    <border>
      <left style="thin">
        <color indexed="13"/>
      </left>
      <right style="hair">
        <color indexed="16"/>
      </right>
      <top style="thin">
        <color indexed="13"/>
      </top>
      <bottom style="thin">
        <color indexed="13"/>
      </bottom>
      <diagonal/>
    </border>
    <border>
      <left style="hair">
        <color indexed="16"/>
      </left>
      <right style="hair">
        <color indexed="16"/>
      </right>
      <top style="hair">
        <color indexed="16"/>
      </top>
      <bottom style="hair">
        <color indexed="16"/>
      </bottom>
      <diagonal/>
    </border>
    <border>
      <left style="hair">
        <color indexed="16"/>
      </left>
      <right/>
      <top/>
      <bottom/>
      <diagonal/>
    </border>
    <border>
      <left/>
      <right style="hair">
        <color indexed="16"/>
      </right>
      <top/>
      <bottom/>
      <diagonal/>
    </border>
    <border>
      <left style="thin">
        <color indexed="13"/>
      </left>
      <right style="thin">
        <color indexed="15"/>
      </right>
      <top style="thin">
        <color indexed="13"/>
      </top>
      <bottom style="thin">
        <color indexed="13"/>
      </bottom>
      <diagonal/>
    </border>
    <border>
      <left style="thin">
        <color indexed="15"/>
      </left>
      <right/>
      <top style="hair">
        <color indexed="16"/>
      </top>
      <bottom/>
      <diagonal/>
    </border>
    <border>
      <left/>
      <right/>
      <top style="hair">
        <color indexed="16"/>
      </top>
      <bottom/>
      <diagonal/>
    </border>
    <border>
      <left style="thin">
        <color indexed="15"/>
      </left>
      <right/>
      <top/>
      <bottom/>
      <diagonal/>
    </border>
    <border>
      <left style="thin">
        <color indexed="15"/>
      </left>
      <right/>
      <top/>
      <bottom style="dotted">
        <color indexed="16"/>
      </bottom>
      <diagonal/>
    </border>
    <border>
      <left/>
      <right/>
      <top/>
      <bottom style="dotted">
        <color indexed="16"/>
      </bottom>
      <diagonal/>
    </border>
    <border>
      <left style="thin">
        <color indexed="13"/>
      </left>
      <right style="dotted">
        <color indexed="16"/>
      </right>
      <top style="thin">
        <color indexed="13"/>
      </top>
      <bottom style="thin">
        <color indexed="13"/>
      </bottom>
      <diagonal/>
    </border>
    <border>
      <left style="dotted">
        <color indexed="16"/>
      </left>
      <right style="dotted">
        <color indexed="16"/>
      </right>
      <top style="dotted">
        <color indexed="16"/>
      </top>
      <bottom style="dotted">
        <color indexed="16"/>
      </bottom>
      <diagonal/>
    </border>
    <border>
      <left style="dotted">
        <color indexed="16"/>
      </left>
      <right/>
      <top/>
      <bottom/>
      <diagonal/>
    </border>
    <border>
      <left/>
      <right style="dotted">
        <color indexed="16"/>
      </right>
      <top/>
      <bottom/>
      <diagonal/>
    </border>
    <border>
      <left style="thin">
        <color indexed="15"/>
      </left>
      <right/>
      <top style="dotted">
        <color indexed="16"/>
      </top>
      <bottom style="dotted">
        <color indexed="16"/>
      </bottom>
      <diagonal/>
    </border>
    <border>
      <left/>
      <right/>
      <top style="dotted">
        <color indexed="16"/>
      </top>
      <bottom style="dotted">
        <color indexed="16"/>
      </bottom>
      <diagonal/>
    </border>
    <border>
      <left/>
      <right/>
      <top style="dotted">
        <color indexed="16"/>
      </top>
      <bottom/>
      <diagonal/>
    </border>
    <border>
      <left style="thin">
        <color indexed="15"/>
      </left>
      <right/>
      <top style="dotted">
        <color indexed="16"/>
      </top>
      <bottom/>
      <diagonal/>
    </border>
    <border>
      <left/>
      <right style="thin">
        <color indexed="13"/>
      </right>
      <top style="thin">
        <color indexed="13"/>
      </top>
      <bottom/>
      <diagonal/>
    </border>
    <border>
      <left/>
      <right/>
      <top/>
      <bottom/>
      <diagonal/>
    </border>
    <border>
      <left/>
      <right style="thin">
        <color indexed="15"/>
      </right>
      <top style="thin">
        <color indexed="13"/>
      </top>
      <bottom style="thin">
        <color indexed="16"/>
      </bottom>
      <diagonal/>
    </border>
    <border>
      <left style="thin">
        <color indexed="15"/>
      </left>
      <right/>
      <top/>
      <bottom style="thin">
        <color indexed="16"/>
      </bottom>
      <diagonal/>
    </border>
    <border>
      <left/>
      <right/>
      <top/>
      <bottom style="thin">
        <color indexed="16"/>
      </bottom>
      <diagonal/>
    </border>
    <border>
      <left/>
      <right/>
      <top style="dotted">
        <color indexed="16"/>
      </top>
      <bottom style="thin">
        <color indexed="16"/>
      </bottom>
      <diagonal/>
    </border>
    <border>
      <left/>
      <right/>
      <top style="thin">
        <color indexed="16"/>
      </top>
      <bottom/>
      <diagonal/>
    </border>
    <border>
      <left/>
      <right/>
      <top style="thin">
        <color indexed="16"/>
      </top>
      <bottom/>
      <diagonal/>
    </border>
    <border>
      <left/>
      <right/>
      <top style="thin">
        <color indexed="16"/>
      </top>
      <bottom/>
      <diagonal/>
    </border>
    <border>
      <left/>
      <right style="thin">
        <color indexed="13"/>
      </right>
      <top/>
      <bottom style="thin">
        <color indexed="13"/>
      </bottom>
      <diagonal/>
    </border>
    <border>
      <left style="thin">
        <color indexed="13"/>
      </left>
      <right style="thin">
        <color indexed="15"/>
      </right>
      <top/>
      <bottom style="thin">
        <color indexed="13"/>
      </bottom>
      <diagonal/>
    </border>
    <border>
      <left style="thin">
        <color indexed="15"/>
      </left>
      <right/>
      <top/>
      <bottom/>
      <diagonal/>
    </border>
    <border>
      <left/>
      <right/>
      <top/>
      <bottom/>
      <diagonal/>
    </border>
    <border>
      <left/>
      <right style="thin">
        <color indexed="13"/>
      </right>
      <top style="thin">
        <color indexed="13"/>
      </top>
      <bottom style="thin">
        <color indexed="16"/>
      </bottom>
      <diagonal/>
    </border>
    <border>
      <left style="thin">
        <color indexed="13"/>
      </left>
      <right style="thin">
        <color indexed="15"/>
      </right>
      <top style="thin">
        <color indexed="13"/>
      </top>
      <bottom style="thin">
        <color indexed="16"/>
      </bottom>
      <diagonal/>
    </border>
    <border>
      <left/>
      <right/>
      <top style="hair">
        <color indexed="16"/>
      </top>
      <bottom style="thin">
        <color indexed="16"/>
      </bottom>
      <diagonal/>
    </border>
    <border>
      <left/>
      <right style="thin">
        <color indexed="13"/>
      </right>
      <top style="thin">
        <color indexed="16"/>
      </top>
      <bottom style="thin">
        <color indexed="13"/>
      </bottom>
      <diagonal/>
    </border>
    <border>
      <left style="thin">
        <color indexed="13"/>
      </left>
      <right style="thin">
        <color indexed="15"/>
      </right>
      <top style="thin">
        <color indexed="16"/>
      </top>
      <bottom style="thin">
        <color indexed="13"/>
      </bottom>
      <diagonal/>
    </border>
    <border>
      <left style="thin">
        <color indexed="15"/>
      </left>
      <right/>
      <top style="thin">
        <color indexed="16"/>
      </top>
      <bottom/>
      <diagonal/>
    </border>
    <border>
      <left/>
      <right style="thin">
        <color indexed="13"/>
      </right>
      <top style="thin">
        <color indexed="13"/>
      </top>
      <bottom/>
      <diagonal/>
    </border>
    <border>
      <left style="thin">
        <color indexed="13"/>
      </left>
      <right style="thin">
        <color indexed="15"/>
      </right>
      <top style="thin">
        <color indexed="13"/>
      </top>
      <bottom/>
      <diagonal/>
    </border>
    <border>
      <left style="thin">
        <color indexed="13"/>
      </left>
      <right style="thin">
        <color indexed="13"/>
      </right>
      <top style="thin">
        <color indexed="13"/>
      </top>
      <bottom style="thin">
        <color indexed="15"/>
      </bottom>
      <diagonal/>
    </border>
    <border>
      <left style="thin">
        <color indexed="13"/>
      </left>
      <right style="thin">
        <color indexed="15"/>
      </right>
      <top style="thin">
        <color indexed="15"/>
      </top>
      <bottom style="thin">
        <color indexed="13"/>
      </bottom>
      <diagonal/>
    </border>
    <border>
      <left style="thin">
        <color indexed="15"/>
      </left>
      <right style="thin">
        <color indexed="13"/>
      </right>
      <top style="thin">
        <color indexed="15"/>
      </top>
      <bottom style="thin">
        <color indexed="13"/>
      </bottom>
      <diagonal/>
    </border>
    <border>
      <left style="thin">
        <color indexed="13"/>
      </left>
      <right style="thin">
        <color indexed="13"/>
      </right>
      <top style="thin">
        <color indexed="15"/>
      </top>
      <bottom style="thin">
        <color indexed="13"/>
      </bottom>
      <diagonal/>
    </border>
    <border>
      <left style="thin">
        <color indexed="15"/>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fillId="0" borderId="0" applyNumberFormat="0" applyFill="0" applyBorder="0" applyProtection="0">
      <alignment vertical="top" wrapText="1"/>
    </xf>
  </cellStyleXfs>
  <cellXfs count="172">
    <xf numFmtId="0" fontId="0" fillId="0" borderId="0" xfId="0" applyFont="1" applyAlignment="1">
      <alignment vertical="top" wrapText="1"/>
    </xf>
    <xf numFmtId="0" fontId="2" fillId="0" borderId="0" xfId="0" applyFont="1" applyAlignment="1">
      <alignment horizontal="left" vertical="top" wrapText="1"/>
    </xf>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3" fillId="3" borderId="0" xfId="0" applyFont="1" applyFill="1" applyAlignment="1">
      <alignment horizontal="left" vertical="top" wrapText="1"/>
    </xf>
    <xf numFmtId="0" fontId="0" fillId="0" borderId="0" xfId="0" applyNumberFormat="1" applyFont="1" applyAlignment="1">
      <alignment vertical="top" wrapText="1"/>
    </xf>
    <xf numFmtId="0" fontId="5" fillId="4" borderId="1" xfId="0" applyFont="1" applyFill="1" applyBorder="1" applyAlignment="1">
      <alignment vertical="top" wrapText="1"/>
    </xf>
    <xf numFmtId="0" fontId="5" fillId="5" borderId="2" xfId="0" applyFont="1" applyFill="1" applyBorder="1" applyAlignment="1">
      <alignment vertical="top" wrapText="1"/>
    </xf>
    <xf numFmtId="0" fontId="6" fillId="0" borderId="3" xfId="0" applyFont="1" applyBorder="1" applyAlignment="1">
      <alignment vertical="top" wrapText="1"/>
    </xf>
    <xf numFmtId="0" fontId="6" fillId="0" borderId="4" xfId="0" applyFont="1" applyBorder="1" applyAlignment="1">
      <alignment vertical="top" wrapText="1"/>
    </xf>
    <xf numFmtId="0" fontId="6" fillId="0" borderId="5" xfId="0" applyFont="1" applyBorder="1" applyAlignment="1">
      <alignment vertical="top" wrapText="1"/>
    </xf>
    <xf numFmtId="0" fontId="5" fillId="4" borderId="6" xfId="0" applyFont="1" applyFill="1" applyBorder="1" applyAlignment="1">
      <alignment vertical="top" wrapText="1"/>
    </xf>
    <xf numFmtId="49" fontId="5" fillId="5" borderId="7" xfId="0" applyNumberFormat="1" applyFont="1" applyFill="1" applyBorder="1" applyAlignment="1">
      <alignment vertical="top" wrapText="1"/>
    </xf>
    <xf numFmtId="49" fontId="6" fillId="6" borderId="8" xfId="0" applyNumberFormat="1" applyFont="1" applyFill="1" applyBorder="1" applyAlignment="1">
      <alignment vertical="top" wrapText="1"/>
    </xf>
    <xf numFmtId="0" fontId="6" fillId="0" borderId="9" xfId="0" applyFont="1" applyBorder="1" applyAlignment="1">
      <alignment vertical="top" wrapText="1"/>
    </xf>
    <xf numFmtId="49" fontId="6" fillId="0" borderId="10" xfId="0" applyNumberFormat="1" applyFont="1" applyBorder="1" applyAlignment="1">
      <alignment vertical="top"/>
    </xf>
    <xf numFmtId="164" fontId="6" fillId="6" borderId="8" xfId="0" applyNumberFormat="1" applyFont="1" applyFill="1" applyBorder="1" applyAlignment="1">
      <alignment horizontal="right" vertical="top" wrapText="1"/>
    </xf>
    <xf numFmtId="165" fontId="6" fillId="6" borderId="8" xfId="0" applyNumberFormat="1" applyFont="1" applyFill="1" applyBorder="1" applyAlignment="1">
      <alignment horizontal="right" vertical="top" wrapText="1"/>
    </xf>
    <xf numFmtId="0" fontId="5" fillId="5" borderId="11" xfId="0" applyFont="1" applyFill="1" applyBorder="1" applyAlignment="1">
      <alignment vertical="top" wrapText="1"/>
    </xf>
    <xf numFmtId="0" fontId="6" fillId="0" borderId="12" xfId="0" applyFont="1" applyBorder="1" applyAlignment="1">
      <alignment vertical="top" wrapText="1"/>
    </xf>
    <xf numFmtId="0" fontId="6" fillId="0" borderId="13" xfId="0" applyFont="1" applyBorder="1" applyAlignment="1">
      <alignment vertical="top" wrapText="1"/>
    </xf>
    <xf numFmtId="49" fontId="5" fillId="4" borderId="6" xfId="0" applyNumberFormat="1" applyFont="1" applyFill="1" applyBorder="1" applyAlignment="1">
      <alignment vertical="top" wrapText="1"/>
    </xf>
    <xf numFmtId="49" fontId="7" fillId="7" borderId="11" xfId="0" applyNumberFormat="1" applyFont="1" applyFill="1" applyBorder="1" applyAlignment="1">
      <alignment vertical="top" wrapText="1"/>
    </xf>
    <xf numFmtId="0" fontId="8" fillId="7" borderId="14" xfId="0" applyFont="1" applyFill="1" applyBorder="1" applyAlignment="1">
      <alignment vertical="top" wrapText="1"/>
    </xf>
    <xf numFmtId="0" fontId="8" fillId="7" borderId="4" xfId="0" applyFont="1" applyFill="1" applyBorder="1" applyAlignment="1">
      <alignment vertical="top" wrapText="1"/>
    </xf>
    <xf numFmtId="0" fontId="6" fillId="7" borderId="4" xfId="0" applyFont="1" applyFill="1" applyBorder="1" applyAlignment="1">
      <alignment vertical="top" wrapText="1"/>
    </xf>
    <xf numFmtId="49" fontId="5" fillId="5" borderId="11" xfId="0" applyNumberFormat="1" applyFont="1" applyFill="1" applyBorder="1" applyAlignment="1">
      <alignment vertical="top" wrapText="1"/>
    </xf>
    <xf numFmtId="0" fontId="5" fillId="0" borderId="15" xfId="0" applyFont="1" applyBorder="1" applyAlignment="1">
      <alignment vertical="top" wrapText="1"/>
    </xf>
    <xf numFmtId="0" fontId="5" fillId="0" borderId="4" xfId="0" applyFont="1" applyBorder="1" applyAlignment="1">
      <alignment vertical="top" wrapText="1"/>
    </xf>
    <xf numFmtId="49" fontId="5" fillId="0" borderId="4" xfId="0" applyNumberFormat="1" applyFont="1" applyBorder="1" applyAlignment="1">
      <alignment vertical="top" wrapText="1"/>
    </xf>
    <xf numFmtId="0" fontId="5" fillId="0" borderId="16" xfId="0" applyFont="1" applyBorder="1" applyAlignment="1">
      <alignment vertical="top" wrapText="1"/>
    </xf>
    <xf numFmtId="0" fontId="6" fillId="0" borderId="16" xfId="0" applyFont="1" applyBorder="1" applyAlignment="1">
      <alignment vertical="top" wrapText="1"/>
    </xf>
    <xf numFmtId="49" fontId="5" fillId="5" borderId="17" xfId="0" applyNumberFormat="1" applyFont="1" applyFill="1" applyBorder="1" applyAlignment="1">
      <alignment vertical="top" wrapText="1"/>
    </xf>
    <xf numFmtId="0" fontId="6" fillId="6" borderId="18" xfId="0" applyNumberFormat="1" applyFont="1" applyFill="1" applyBorder="1" applyAlignment="1">
      <alignment horizontal="center" vertical="top" wrapText="1"/>
    </xf>
    <xf numFmtId="0" fontId="9" fillId="0" borderId="19" xfId="0" applyFont="1" applyBorder="1" applyAlignment="1">
      <alignment horizontal="left" vertical="top" wrapText="1"/>
    </xf>
    <xf numFmtId="49" fontId="6" fillId="0" borderId="20" xfId="0" applyNumberFormat="1" applyFont="1" applyBorder="1" applyAlignment="1">
      <alignment vertical="top" wrapText="1"/>
    </xf>
    <xf numFmtId="9" fontId="9" fillId="6" borderId="18" xfId="0" applyNumberFormat="1" applyFont="1" applyFill="1" applyBorder="1" applyAlignment="1">
      <alignment horizontal="center" vertical="top" wrapText="1"/>
    </xf>
    <xf numFmtId="0" fontId="6" fillId="0" borderId="19" xfId="0" applyFont="1" applyBorder="1" applyAlignment="1">
      <alignment vertical="top" wrapText="1"/>
    </xf>
    <xf numFmtId="0" fontId="6" fillId="0" borderId="19" xfId="0" applyFont="1" applyBorder="1" applyAlignment="1">
      <alignment horizontal="left" vertical="top" wrapText="1"/>
    </xf>
    <xf numFmtId="0" fontId="6" fillId="0" borderId="21" xfId="0" applyFont="1" applyBorder="1" applyAlignment="1">
      <alignment vertical="top" wrapText="1"/>
    </xf>
    <xf numFmtId="0" fontId="6" fillId="0" borderId="22" xfId="0" applyFont="1" applyBorder="1" applyAlignment="1">
      <alignment vertical="top" wrapText="1"/>
    </xf>
    <xf numFmtId="49" fontId="6" fillId="0" borderId="16" xfId="0" applyNumberFormat="1" applyFont="1" applyBorder="1" applyAlignment="1">
      <alignment vertical="top" wrapText="1"/>
    </xf>
    <xf numFmtId="10" fontId="9" fillId="6" borderId="18" xfId="0" applyNumberFormat="1" applyFont="1" applyFill="1" applyBorder="1" applyAlignment="1">
      <alignment horizontal="center" vertical="top" wrapText="1"/>
    </xf>
    <xf numFmtId="0" fontId="6" fillId="0" borderId="20" xfId="0" applyFont="1" applyBorder="1" applyAlignment="1">
      <alignment vertical="top" wrapText="1"/>
    </xf>
    <xf numFmtId="10" fontId="9" fillId="6" borderId="23" xfId="0" applyNumberFormat="1" applyFont="1" applyFill="1" applyBorder="1" applyAlignment="1">
      <alignment horizontal="center" vertical="top" wrapText="1"/>
    </xf>
    <xf numFmtId="0" fontId="6" fillId="0" borderId="23" xfId="0" applyFont="1" applyBorder="1" applyAlignment="1">
      <alignment vertical="top" wrapText="1"/>
    </xf>
    <xf numFmtId="10" fontId="6" fillId="6" borderId="18" xfId="0" applyNumberFormat="1" applyFont="1" applyFill="1" applyBorder="1" applyAlignment="1">
      <alignment horizontal="center" vertical="top" wrapText="1"/>
    </xf>
    <xf numFmtId="0" fontId="6" fillId="0" borderId="24" xfId="0" applyFont="1" applyBorder="1" applyAlignment="1">
      <alignment vertical="top" wrapText="1"/>
    </xf>
    <xf numFmtId="0" fontId="8" fillId="7" borderId="4" xfId="0" applyNumberFormat="1" applyFont="1" applyFill="1" applyBorder="1" applyAlignment="1">
      <alignment vertical="top" wrapText="1"/>
    </xf>
    <xf numFmtId="0" fontId="6" fillId="0" borderId="14" xfId="0" applyFont="1" applyBorder="1" applyAlignment="1">
      <alignment vertical="top" wrapText="1"/>
    </xf>
    <xf numFmtId="3" fontId="10" fillId="0" borderId="4" xfId="0" applyNumberFormat="1" applyFont="1" applyBorder="1" applyAlignment="1">
      <alignment vertical="top" wrapText="1"/>
    </xf>
    <xf numFmtId="3" fontId="6" fillId="0" borderId="4" xfId="0" applyNumberFormat="1" applyFont="1" applyBorder="1" applyAlignment="1">
      <alignment vertical="top" wrapText="1"/>
    </xf>
    <xf numFmtId="0" fontId="11" fillId="4" borderId="6" xfId="0" applyFont="1" applyFill="1" applyBorder="1" applyAlignment="1">
      <alignment horizontal="left" vertical="top" wrapText="1"/>
    </xf>
    <xf numFmtId="49" fontId="11" fillId="5" borderId="11" xfId="0" applyNumberFormat="1" applyFont="1" applyFill="1" applyBorder="1" applyAlignment="1">
      <alignment horizontal="left" vertical="top" wrapText="1"/>
    </xf>
    <xf numFmtId="0" fontId="9" fillId="0" borderId="14" xfId="0" applyFont="1" applyBorder="1" applyAlignment="1">
      <alignment horizontal="left" vertical="top" wrapText="1"/>
    </xf>
    <xf numFmtId="0" fontId="9" fillId="0" borderId="4" xfId="0" applyFont="1" applyBorder="1" applyAlignment="1">
      <alignment horizontal="left" vertical="top" wrapText="1"/>
    </xf>
    <xf numFmtId="0" fontId="9" fillId="0" borderId="4" xfId="0" applyFont="1" applyBorder="1" applyAlignment="1">
      <alignment horizontal="center" vertical="top" wrapText="1"/>
    </xf>
    <xf numFmtId="10" fontId="9" fillId="0" borderId="4" xfId="0" applyNumberFormat="1" applyFont="1" applyBorder="1" applyAlignment="1">
      <alignment horizontal="right" vertical="top" wrapText="1"/>
    </xf>
    <xf numFmtId="9" fontId="9" fillId="0" borderId="16" xfId="0" applyNumberFormat="1" applyFont="1" applyBorder="1" applyAlignment="1">
      <alignment horizontal="right" vertical="top" wrapText="1"/>
    </xf>
    <xf numFmtId="0" fontId="5" fillId="4" borderId="6" xfId="0" applyFont="1" applyFill="1" applyBorder="1" applyAlignment="1">
      <alignment horizontal="left" vertical="top" wrapText="1"/>
    </xf>
    <xf numFmtId="49" fontId="5" fillId="5" borderId="11" xfId="0" applyNumberFormat="1" applyFont="1" applyFill="1" applyBorder="1" applyAlignment="1">
      <alignment horizontal="left" vertical="top" wrapText="1"/>
    </xf>
    <xf numFmtId="0" fontId="6" fillId="0" borderId="14" xfId="0" applyFont="1" applyBorder="1" applyAlignment="1">
      <alignment horizontal="left" vertical="top" wrapText="1"/>
    </xf>
    <xf numFmtId="0" fontId="6" fillId="0" borderId="4" xfId="0" applyFont="1" applyBorder="1" applyAlignment="1">
      <alignment horizontal="left" vertical="top" wrapText="1"/>
    </xf>
    <xf numFmtId="0" fontId="6" fillId="4" borderId="4" xfId="0" applyFont="1" applyFill="1" applyBorder="1" applyAlignment="1">
      <alignment horizontal="right" vertical="top" wrapText="1"/>
    </xf>
    <xf numFmtId="0" fontId="6" fillId="4" borderId="20" xfId="0" applyFont="1" applyFill="1" applyBorder="1" applyAlignment="1">
      <alignment horizontal="right" vertical="top" wrapText="1"/>
    </xf>
    <xf numFmtId="9" fontId="12" fillId="6" borderId="18" xfId="0" applyNumberFormat="1" applyFont="1" applyFill="1" applyBorder="1" applyAlignment="1">
      <alignment horizontal="right" vertical="top" wrapText="1"/>
    </xf>
    <xf numFmtId="9" fontId="9" fillId="6" borderId="18" xfId="0" applyNumberFormat="1" applyFont="1" applyFill="1" applyBorder="1" applyAlignment="1">
      <alignment horizontal="right" vertical="top" wrapText="1"/>
    </xf>
    <xf numFmtId="9" fontId="13" fillId="6" borderId="18" xfId="0" applyNumberFormat="1" applyFont="1" applyFill="1" applyBorder="1" applyAlignment="1">
      <alignment horizontal="right" vertical="top" wrapText="1"/>
    </xf>
    <xf numFmtId="9" fontId="14" fillId="6" borderId="18" xfId="0" applyNumberFormat="1" applyFont="1" applyFill="1" applyBorder="1" applyAlignment="1">
      <alignment horizontal="right" vertical="top" wrapText="1"/>
    </xf>
    <xf numFmtId="0" fontId="10" fillId="0" borderId="4" xfId="0" applyFont="1" applyBorder="1" applyAlignment="1">
      <alignment vertical="top" wrapText="1"/>
    </xf>
    <xf numFmtId="0" fontId="10" fillId="0" borderId="23" xfId="0" applyFont="1" applyBorder="1" applyAlignment="1">
      <alignment vertical="top" wrapText="1"/>
    </xf>
    <xf numFmtId="0" fontId="11" fillId="4" borderId="6" xfId="0" applyFont="1" applyFill="1" applyBorder="1" applyAlignment="1">
      <alignment vertical="top" wrapText="1"/>
    </xf>
    <xf numFmtId="49" fontId="11" fillId="5" borderId="11" xfId="0" applyNumberFormat="1" applyFont="1" applyFill="1" applyBorder="1" applyAlignment="1">
      <alignment vertical="top" wrapText="1"/>
    </xf>
    <xf numFmtId="0" fontId="9" fillId="0" borderId="14" xfId="0" applyFont="1" applyBorder="1" applyAlignment="1">
      <alignment vertical="top" wrapText="1"/>
    </xf>
    <xf numFmtId="0" fontId="9" fillId="0" borderId="4" xfId="0" applyFont="1" applyBorder="1" applyAlignment="1">
      <alignment vertical="top" wrapText="1"/>
    </xf>
    <xf numFmtId="10" fontId="9" fillId="0" borderId="4" xfId="0" applyNumberFormat="1" applyFont="1" applyBorder="1" applyAlignment="1">
      <alignment vertical="top" wrapText="1"/>
    </xf>
    <xf numFmtId="0" fontId="10" fillId="0" borderId="20" xfId="0" applyFont="1" applyBorder="1" applyAlignment="1">
      <alignment vertical="top" wrapText="1"/>
    </xf>
    <xf numFmtId="0" fontId="5" fillId="4" borderId="25" xfId="0" applyFont="1" applyFill="1" applyBorder="1" applyAlignment="1">
      <alignment horizontal="left" vertical="top" wrapText="1"/>
    </xf>
    <xf numFmtId="0" fontId="5" fillId="4" borderId="26" xfId="0" applyFont="1" applyFill="1" applyBorder="1" applyAlignment="1">
      <alignment vertical="top" wrapText="1"/>
    </xf>
    <xf numFmtId="0" fontId="5" fillId="5" borderId="27" xfId="0" applyFont="1" applyFill="1" applyBorder="1" applyAlignment="1">
      <alignment vertical="top" wrapText="1"/>
    </xf>
    <xf numFmtId="0" fontId="6" fillId="0" borderId="28" xfId="0" applyFont="1" applyBorder="1" applyAlignment="1">
      <alignment vertical="top" wrapText="1"/>
    </xf>
    <xf numFmtId="0" fontId="6" fillId="0" borderId="29" xfId="0" applyFont="1" applyBorder="1" applyAlignment="1">
      <alignment vertical="top" wrapText="1"/>
    </xf>
    <xf numFmtId="0" fontId="10" fillId="0" borderId="29" xfId="0" applyFont="1" applyBorder="1" applyAlignment="1">
      <alignment vertical="top" wrapText="1"/>
    </xf>
    <xf numFmtId="0" fontId="10" fillId="0" borderId="30" xfId="0" applyFont="1" applyBorder="1" applyAlignment="1">
      <alignment vertical="top" wrapText="1"/>
    </xf>
    <xf numFmtId="49" fontId="5" fillId="5" borderId="31" xfId="0" applyNumberFormat="1" applyFont="1" applyFill="1" applyBorder="1" applyAlignment="1">
      <alignment vertical="top" wrapText="1"/>
    </xf>
    <xf numFmtId="0" fontId="5" fillId="0" borderId="31" xfId="0" applyFont="1" applyBorder="1" applyAlignment="1">
      <alignment vertical="top" wrapText="1"/>
    </xf>
    <xf numFmtId="3" fontId="5" fillId="0" borderId="32" xfId="0" applyNumberFormat="1" applyFont="1" applyBorder="1" applyAlignment="1">
      <alignment vertical="top" wrapText="1"/>
    </xf>
    <xf numFmtId="3" fontId="5" fillId="0" borderId="33" xfId="0" applyNumberFormat="1" applyFont="1" applyBorder="1" applyAlignment="1">
      <alignment vertical="top" wrapText="1"/>
    </xf>
    <xf numFmtId="0" fontId="11" fillId="4" borderId="34" xfId="0" applyFont="1" applyFill="1" applyBorder="1" applyAlignment="1">
      <alignment vertical="top" wrapText="1"/>
    </xf>
    <xf numFmtId="49" fontId="11" fillId="5" borderId="35" xfId="0" applyNumberFormat="1" applyFont="1" applyFill="1" applyBorder="1" applyAlignment="1">
      <alignment vertical="top" wrapText="1"/>
    </xf>
    <xf numFmtId="0" fontId="9" fillId="0" borderId="36" xfId="0" applyFont="1" applyBorder="1" applyAlignment="1">
      <alignment vertical="top" wrapText="1"/>
    </xf>
    <xf numFmtId="0" fontId="9" fillId="0" borderId="37" xfId="0" applyFont="1" applyBorder="1" applyAlignment="1">
      <alignment vertical="top" wrapText="1"/>
    </xf>
    <xf numFmtId="166" fontId="6" fillId="0" borderId="4" xfId="0" applyNumberFormat="1" applyFont="1" applyBorder="1" applyAlignment="1">
      <alignment vertical="top" wrapText="1"/>
    </xf>
    <xf numFmtId="49" fontId="6" fillId="0" borderId="4" xfId="0" applyNumberFormat="1" applyFont="1" applyBorder="1" applyAlignment="1">
      <alignment horizontal="right" vertical="top" wrapText="1"/>
    </xf>
    <xf numFmtId="0" fontId="8" fillId="0" borderId="4" xfId="0" applyFont="1" applyBorder="1" applyAlignment="1">
      <alignment vertical="top" wrapText="1"/>
    </xf>
    <xf numFmtId="3" fontId="15" fillId="0" borderId="4" xfId="0" applyNumberFormat="1" applyFont="1" applyBorder="1" applyAlignment="1">
      <alignment vertical="top" wrapText="1"/>
    </xf>
    <xf numFmtId="0" fontId="15" fillId="0" borderId="4" xfId="0" applyFont="1" applyBorder="1" applyAlignment="1">
      <alignment vertical="top" wrapText="1"/>
    </xf>
    <xf numFmtId="3" fontId="10" fillId="8" borderId="4" xfId="0" applyNumberFormat="1" applyFont="1" applyFill="1" applyBorder="1" applyAlignment="1">
      <alignment vertical="top" wrapText="1"/>
    </xf>
    <xf numFmtId="0" fontId="11" fillId="5" borderId="11" xfId="0" applyFont="1" applyFill="1" applyBorder="1" applyAlignment="1">
      <alignment vertical="top" wrapText="1"/>
    </xf>
    <xf numFmtId="37" fontId="10" fillId="0" borderId="4" xfId="0" applyNumberFormat="1" applyFont="1" applyBorder="1" applyAlignment="1">
      <alignment vertical="top" wrapText="1"/>
    </xf>
    <xf numFmtId="0" fontId="6" fillId="0" borderId="4" xfId="0" applyNumberFormat="1" applyFont="1" applyBorder="1" applyAlignment="1">
      <alignment vertical="top" wrapText="1"/>
    </xf>
    <xf numFmtId="167" fontId="6" fillId="0" borderId="16" xfId="0" applyNumberFormat="1" applyFont="1" applyBorder="1" applyAlignment="1">
      <alignment vertical="top" wrapText="1"/>
    </xf>
    <xf numFmtId="3" fontId="15" fillId="0" borderId="5" xfId="0" applyNumberFormat="1" applyFont="1" applyBorder="1" applyAlignment="1">
      <alignment vertical="top" wrapText="1"/>
    </xf>
    <xf numFmtId="3" fontId="6" fillId="0" borderId="5" xfId="0" applyNumberFormat="1" applyFont="1" applyBorder="1" applyAlignment="1">
      <alignment vertical="top" wrapText="1"/>
    </xf>
    <xf numFmtId="167" fontId="6" fillId="0" borderId="4" xfId="0" applyNumberFormat="1" applyFont="1" applyBorder="1" applyAlignment="1">
      <alignment vertical="top" wrapText="1"/>
    </xf>
    <xf numFmtId="167" fontId="6" fillId="0" borderId="10" xfId="0" applyNumberFormat="1" applyFont="1" applyBorder="1" applyAlignment="1">
      <alignment vertical="top" wrapText="1"/>
    </xf>
    <xf numFmtId="167" fontId="6" fillId="6" borderId="8" xfId="0" applyNumberFormat="1" applyFont="1" applyFill="1" applyBorder="1" applyAlignment="1">
      <alignment vertical="top" wrapText="1"/>
    </xf>
    <xf numFmtId="0" fontId="5" fillId="4" borderId="38" xfId="0" applyFont="1" applyFill="1" applyBorder="1" applyAlignment="1">
      <alignment vertical="top" wrapText="1"/>
    </xf>
    <xf numFmtId="0" fontId="11" fillId="5" borderId="39" xfId="0" applyFont="1" applyFill="1" applyBorder="1" applyAlignment="1">
      <alignment vertical="top" wrapText="1"/>
    </xf>
    <xf numFmtId="0" fontId="6" fillId="0" borderId="40" xfId="0" applyFont="1" applyBorder="1" applyAlignment="1">
      <alignment vertical="top" wrapText="1"/>
    </xf>
    <xf numFmtId="0" fontId="5" fillId="4" borderId="41" xfId="0" applyFont="1" applyFill="1" applyBorder="1" applyAlignment="1">
      <alignment vertical="top" wrapText="1"/>
    </xf>
    <xf numFmtId="49" fontId="5" fillId="5" borderId="42" xfId="0" applyNumberFormat="1" applyFont="1" applyFill="1" applyBorder="1" applyAlignment="1">
      <alignment vertical="top" wrapText="1"/>
    </xf>
    <xf numFmtId="0" fontId="6" fillId="0" borderId="43" xfId="0" applyFont="1" applyBorder="1" applyAlignment="1">
      <alignment vertical="top" wrapText="1"/>
    </xf>
    <xf numFmtId="0" fontId="6" fillId="0" borderId="33" xfId="0" applyFont="1" applyBorder="1" applyAlignment="1">
      <alignment vertical="top" wrapText="1"/>
    </xf>
    <xf numFmtId="0" fontId="15" fillId="0" borderId="33" xfId="0" applyFont="1" applyBorder="1" applyAlignment="1">
      <alignment vertical="top" wrapText="1"/>
    </xf>
    <xf numFmtId="168" fontId="5" fillId="0" borderId="33" xfId="0" applyNumberFormat="1" applyFont="1" applyBorder="1" applyAlignment="1">
      <alignment vertical="top" wrapText="1"/>
    </xf>
    <xf numFmtId="49" fontId="15" fillId="0" borderId="4" xfId="0" applyNumberFormat="1" applyFont="1" applyBorder="1" applyAlignment="1">
      <alignment vertical="top" wrapText="1"/>
    </xf>
    <xf numFmtId="3" fontId="6" fillId="0" borderId="16" xfId="0" applyNumberFormat="1" applyFont="1" applyBorder="1" applyAlignment="1">
      <alignment vertical="top" wrapText="1"/>
    </xf>
    <xf numFmtId="167" fontId="6" fillId="0" borderId="20" xfId="0" applyNumberFormat="1" applyFont="1" applyBorder="1" applyAlignment="1">
      <alignment vertical="top" wrapText="1"/>
    </xf>
    <xf numFmtId="0" fontId="15" fillId="0" borderId="23" xfId="0" applyFont="1" applyBorder="1" applyAlignment="1">
      <alignment vertical="top" wrapText="1"/>
    </xf>
    <xf numFmtId="0" fontId="15" fillId="0" borderId="4" xfId="0" applyNumberFormat="1" applyFont="1" applyBorder="1" applyAlignment="1">
      <alignment vertical="top" wrapText="1"/>
    </xf>
    <xf numFmtId="169" fontId="6" fillId="0" borderId="16" xfId="0" applyNumberFormat="1" applyFont="1" applyBorder="1" applyAlignment="1">
      <alignment vertical="top" wrapText="1"/>
    </xf>
    <xf numFmtId="170" fontId="6" fillId="0" borderId="4" xfId="0" applyNumberFormat="1" applyFont="1" applyBorder="1" applyAlignment="1">
      <alignment vertical="top" wrapText="1"/>
    </xf>
    <xf numFmtId="170" fontId="6" fillId="0" borderId="20" xfId="0" applyNumberFormat="1" applyFont="1" applyBorder="1" applyAlignment="1">
      <alignment vertical="top" wrapText="1"/>
    </xf>
    <xf numFmtId="165" fontId="12" fillId="6" borderId="18" xfId="0" applyNumberFormat="1" applyFont="1" applyFill="1" applyBorder="1" applyAlignment="1">
      <alignment horizontal="right" vertical="top" wrapText="1"/>
    </xf>
    <xf numFmtId="165" fontId="14" fillId="6" borderId="18" xfId="0" applyNumberFormat="1" applyFont="1" applyFill="1" applyBorder="1" applyAlignment="1">
      <alignment horizontal="right" vertical="top" wrapText="1"/>
    </xf>
    <xf numFmtId="0" fontId="5" fillId="5" borderId="39" xfId="0" applyFont="1" applyFill="1" applyBorder="1" applyAlignment="1">
      <alignment vertical="top" wrapText="1"/>
    </xf>
    <xf numFmtId="0" fontId="15" fillId="0" borderId="29" xfId="0" applyFont="1" applyBorder="1" applyAlignment="1">
      <alignment vertical="top" wrapText="1"/>
    </xf>
    <xf numFmtId="0" fontId="15" fillId="0" borderId="30" xfId="0" applyFont="1" applyBorder="1" applyAlignment="1">
      <alignment vertical="top" wrapText="1"/>
    </xf>
    <xf numFmtId="0" fontId="6" fillId="0" borderId="30" xfId="0" applyFont="1" applyBorder="1" applyAlignment="1">
      <alignment vertical="top" wrapText="1"/>
    </xf>
    <xf numFmtId="0" fontId="5" fillId="0" borderId="43" xfId="0" applyFont="1" applyBorder="1" applyAlignment="1">
      <alignment vertical="top" wrapText="1"/>
    </xf>
    <xf numFmtId="0" fontId="5" fillId="0" borderId="33" xfId="0" applyFont="1" applyBorder="1" applyAlignment="1">
      <alignment vertical="top" wrapText="1"/>
    </xf>
    <xf numFmtId="0" fontId="16" fillId="0" borderId="33" xfId="0" applyFont="1" applyBorder="1" applyAlignment="1">
      <alignment vertical="top" wrapText="1"/>
    </xf>
    <xf numFmtId="37" fontId="5" fillId="0" borderId="33" xfId="0" applyNumberFormat="1" applyFont="1" applyBorder="1" applyAlignment="1">
      <alignment vertical="top" wrapText="1"/>
    </xf>
    <xf numFmtId="49" fontId="5" fillId="5" borderId="39" xfId="0" applyNumberFormat="1" applyFont="1" applyFill="1" applyBorder="1" applyAlignment="1">
      <alignment vertical="top" wrapText="1"/>
    </xf>
    <xf numFmtId="0" fontId="5" fillId="0" borderId="28" xfId="0" applyFont="1" applyBorder="1" applyAlignment="1">
      <alignment vertical="top" wrapText="1"/>
    </xf>
    <xf numFmtId="0" fontId="5" fillId="0" borderId="29" xfId="0" applyFont="1" applyBorder="1" applyAlignment="1">
      <alignment vertical="top" wrapText="1"/>
    </xf>
    <xf numFmtId="0" fontId="16" fillId="0" borderId="29" xfId="0" applyFont="1" applyBorder="1" applyAlignment="1">
      <alignment vertical="top" wrapText="1"/>
    </xf>
    <xf numFmtId="3" fontId="5" fillId="0" borderId="29" xfId="0" applyNumberFormat="1" applyFont="1" applyBorder="1" applyAlignment="1">
      <alignment vertical="top" wrapText="1"/>
    </xf>
    <xf numFmtId="0" fontId="5" fillId="5" borderId="42" xfId="0" applyFont="1" applyFill="1" applyBorder="1" applyAlignment="1">
      <alignment vertical="top" wrapText="1"/>
    </xf>
    <xf numFmtId="4" fontId="6" fillId="0" borderId="4" xfId="0" applyNumberFormat="1" applyFont="1" applyBorder="1" applyAlignment="1">
      <alignment vertical="top" wrapText="1"/>
    </xf>
    <xf numFmtId="0" fontId="5" fillId="4" borderId="44" xfId="0" applyFont="1" applyFill="1" applyBorder="1" applyAlignment="1">
      <alignment vertical="top" wrapText="1"/>
    </xf>
    <xf numFmtId="0" fontId="5" fillId="5" borderId="45" xfId="0" applyFont="1" applyFill="1" applyBorder="1" applyAlignment="1">
      <alignment vertical="top" wrapText="1"/>
    </xf>
    <xf numFmtId="0" fontId="17" fillId="9" borderId="46" xfId="0" applyFont="1" applyFill="1" applyBorder="1" applyAlignment="1">
      <alignment vertical="top" wrapText="1"/>
    </xf>
    <xf numFmtId="0" fontId="17" fillId="5" borderId="47" xfId="0" applyFont="1" applyFill="1" applyBorder="1" applyAlignment="1">
      <alignment vertical="top" wrapText="1"/>
    </xf>
    <xf numFmtId="0" fontId="0" fillId="0" borderId="48" xfId="0" applyFont="1" applyBorder="1" applyAlignment="1">
      <alignment vertical="top" wrapText="1"/>
    </xf>
    <xf numFmtId="0" fontId="0" fillId="0" borderId="49" xfId="0" applyFont="1" applyBorder="1" applyAlignment="1">
      <alignment vertical="top" wrapText="1"/>
    </xf>
    <xf numFmtId="0" fontId="17" fillId="5" borderId="11" xfId="0" applyFont="1" applyFill="1" applyBorder="1" applyAlignment="1">
      <alignment vertical="top" wrapText="1"/>
    </xf>
    <xf numFmtId="0" fontId="0" fillId="0" borderId="50" xfId="0" applyFont="1" applyBorder="1" applyAlignment="1">
      <alignment vertical="top" wrapText="1"/>
    </xf>
    <xf numFmtId="0" fontId="0" fillId="0" borderId="51" xfId="0" applyFont="1" applyBorder="1" applyAlignment="1">
      <alignment vertical="top" wrapText="1"/>
    </xf>
    <xf numFmtId="0" fontId="0" fillId="0" borderId="0" xfId="0" applyNumberFormat="1" applyFont="1" applyAlignment="1">
      <alignment vertical="top" wrapText="1"/>
    </xf>
    <xf numFmtId="49" fontId="17" fillId="9" borderId="46" xfId="0" applyNumberFormat="1" applyFont="1" applyFill="1" applyBorder="1" applyAlignment="1">
      <alignment vertical="top" wrapText="1"/>
    </xf>
    <xf numFmtId="49" fontId="17" fillId="5" borderId="11" xfId="0" applyNumberFormat="1" applyFont="1" applyFill="1" applyBorder="1" applyAlignment="1">
      <alignment vertical="top" wrapText="1"/>
    </xf>
    <xf numFmtId="171" fontId="0" fillId="0" borderId="50" xfId="0" applyNumberFormat="1" applyFont="1" applyBorder="1" applyAlignment="1">
      <alignment vertical="top" wrapText="1"/>
    </xf>
    <xf numFmtId="171" fontId="0" fillId="0" borderId="51" xfId="0" applyNumberFormat="1" applyFont="1" applyBorder="1" applyAlignment="1">
      <alignment vertical="top" wrapText="1"/>
    </xf>
    <xf numFmtId="0" fontId="0" fillId="0" borderId="0" xfId="0" applyNumberFormat="1" applyFont="1" applyAlignment="1">
      <alignment vertical="top" wrapText="1"/>
    </xf>
    <xf numFmtId="49" fontId="6" fillId="0" borderId="4" xfId="0" applyNumberFormat="1" applyFont="1" applyBorder="1" applyAlignment="1">
      <alignment vertical="top" wrapText="1"/>
    </xf>
    <xf numFmtId="49" fontId="0" fillId="0" borderId="4" xfId="0" applyNumberFormat="1" applyFont="1" applyBorder="1" applyAlignment="1">
      <alignment vertical="top" wrapText="1"/>
    </xf>
    <xf numFmtId="49" fontId="6" fillId="0" borderId="4" xfId="0" applyNumberFormat="1" applyFont="1" applyBorder="1" applyAlignment="1">
      <alignment vertical="top"/>
    </xf>
    <xf numFmtId="49" fontId="7" fillId="7" borderId="4" xfId="0" applyNumberFormat="1" applyFont="1" applyFill="1" applyBorder="1" applyAlignment="1">
      <alignment vertical="top" wrapText="1"/>
    </xf>
    <xf numFmtId="10" fontId="6" fillId="0" borderId="16" xfId="0" applyNumberFormat="1" applyFont="1" applyBorder="1" applyAlignment="1">
      <alignment vertical="top" wrapText="1"/>
    </xf>
    <xf numFmtId="10" fontId="9" fillId="6" borderId="18" xfId="0" applyNumberFormat="1" applyFont="1" applyFill="1" applyBorder="1" applyAlignment="1">
      <alignment horizontal="right" vertical="top" wrapText="1"/>
    </xf>
    <xf numFmtId="49" fontId="0" fillId="0" borderId="19" xfId="0" applyNumberFormat="1" applyFont="1" applyBorder="1" applyAlignment="1">
      <alignment vertical="top" wrapText="1"/>
    </xf>
    <xf numFmtId="2" fontId="9" fillId="6" borderId="18" xfId="0" applyNumberFormat="1" applyFont="1" applyFill="1" applyBorder="1" applyAlignment="1">
      <alignment horizontal="right" vertical="top" wrapText="1"/>
    </xf>
    <xf numFmtId="10" fontId="9" fillId="6" borderId="23" xfId="0" applyNumberFormat="1" applyFont="1" applyFill="1" applyBorder="1" applyAlignment="1">
      <alignment horizontal="right" vertical="top" wrapText="1"/>
    </xf>
    <xf numFmtId="166" fontId="6" fillId="0" borderId="16" xfId="0" applyNumberFormat="1" applyFont="1" applyBorder="1" applyAlignment="1">
      <alignment vertical="top" wrapText="1"/>
    </xf>
    <xf numFmtId="10" fontId="6" fillId="0" borderId="4" xfId="0" applyNumberFormat="1" applyFont="1" applyBorder="1" applyAlignment="1">
      <alignment vertical="top" wrapText="1"/>
    </xf>
    <xf numFmtId="0" fontId="1" fillId="0" borderId="0" xfId="0" applyFont="1" applyAlignment="1">
      <alignment horizontal="left" vertical="top" wrapText="1"/>
    </xf>
    <xf numFmtId="0" fontId="0" fillId="0" borderId="0" xfId="0" applyFont="1" applyAlignment="1">
      <alignment vertical="top" wrapText="1"/>
    </xf>
    <xf numFmtId="0" fontId="4" fillId="0" borderId="0" xfId="0" applyFont="1" applyAlignment="1">
      <alignment horizontal="left" vertical="center"/>
    </xf>
    <xf numFmtId="0" fontId="1" fillId="0" borderId="0" xfId="0" applyFont="1" applyAlignment="1">
      <alignment horizontal="center" vertical="center"/>
    </xf>
    <xf numFmtId="0" fontId="5" fillId="0" borderId="0" xfId="0" applyFont="1" applyAlignment="1">
      <alignment horizontal="left" vertical="center"/>
    </xf>
  </cellXfs>
  <cellStyles count="1">
    <cellStyle name="Normal" xfId="0" builtinId="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EFEFE"/>
      <rgbColor rgb="FFA5A5A5"/>
      <rgbColor rgb="FFDBDBDB"/>
      <rgbColor rgb="FF3F3F3F"/>
      <rgbColor rgb="FF515151"/>
      <rgbColor rgb="FFFAF4CF"/>
      <rgbColor rgb="FF004C7F"/>
      <rgbColor rgb="FF017000"/>
      <rgbColor rgb="FFB41700"/>
      <rgbColor rgb="FF98185E"/>
      <rgbColor rgb="FFF1F1F1"/>
      <rgbColor rgb="FFBDC0BF"/>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364724</xdr:colOff>
      <xdr:row>12</xdr:row>
      <xdr:rowOff>230214</xdr:rowOff>
    </xdr:from>
    <xdr:to>
      <xdr:col>6</xdr:col>
      <xdr:colOff>123530</xdr:colOff>
      <xdr:row>17</xdr:row>
      <xdr:rowOff>130465</xdr:rowOff>
    </xdr:to>
    <xdr:sp macro="" textlink="">
      <xdr:nvSpPr>
        <xdr:cNvPr id="2" name="Shape 2"/>
        <xdr:cNvSpPr txBox="1"/>
      </xdr:nvSpPr>
      <xdr:spPr>
        <a:xfrm>
          <a:off x="364724" y="3385529"/>
          <a:ext cx="7226407" cy="11639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sz="1100" b="0" i="0" u="none" strike="noStrike" cap="none" spc="0" baseline="0">
              <a:solidFill>
                <a:srgbClr val="000000"/>
              </a:solidFill>
              <a:uFillTx/>
              <a:latin typeface="+mn-lt"/>
              <a:ea typeface="+mn-ea"/>
              <a:cs typeface="+mn-cs"/>
              <a:sym typeface="Helvetica Neue"/>
            </a:defRPr>
          </a:pPr>
          <a:r>
            <a:rPr sz="1100" b="0" i="0" u="none" strike="noStrike" cap="none" spc="0" baseline="0">
              <a:solidFill>
                <a:srgbClr val="000000"/>
              </a:solidFill>
              <a:uFillTx/>
              <a:latin typeface="+mn-lt"/>
              <a:ea typeface="+mn-ea"/>
              <a:cs typeface="+mn-cs"/>
              <a:sym typeface="Helvetica Neue"/>
            </a:rPr>
            <a:t>Notes -</a:t>
          </a:r>
        </a:p>
        <a:p>
          <a:pPr marL="0" marR="0" indent="0" algn="l" defTabSz="457200" rtl="0" latinLnBrk="0">
            <a:lnSpc>
              <a:spcPct val="100000"/>
            </a:lnSpc>
            <a:spcBef>
              <a:spcPts val="0"/>
            </a:spcBef>
            <a:spcAft>
              <a:spcPts val="0"/>
            </a:spcAft>
            <a:buClrTx/>
            <a:buSzTx/>
            <a:buFontTx/>
            <a:buNone/>
            <a:tabLst/>
            <a:defRPr sz="1100" b="0" i="0" u="none" strike="noStrike" cap="none" spc="0" baseline="0">
              <a:solidFill>
                <a:srgbClr val="000000"/>
              </a:solidFill>
              <a:uFillTx/>
              <a:latin typeface="+mn-lt"/>
              <a:ea typeface="+mn-ea"/>
              <a:cs typeface="+mn-cs"/>
              <a:sym typeface="Helvetica Neue"/>
            </a:defRPr>
          </a:pPr>
          <a:endParaRPr sz="1100" b="0" i="0" u="none" strike="noStrike" cap="none" spc="0" baseline="0">
            <a:solidFill>
              <a:srgbClr val="000000"/>
            </a:solidFill>
            <a:uFillTx/>
            <a:latin typeface="+mn-lt"/>
            <a:ea typeface="+mn-ea"/>
            <a:cs typeface="+mn-cs"/>
            <a:sym typeface="Helvetica Neue"/>
          </a:endParaRPr>
        </a:p>
        <a:p>
          <a:pPr marL="152400" marR="0" indent="-152400" algn="l" defTabSz="457200" rtl="0" latinLnBrk="0">
            <a:lnSpc>
              <a:spcPct val="100000"/>
            </a:lnSpc>
            <a:spcBef>
              <a:spcPts val="0"/>
            </a:spcBef>
            <a:spcAft>
              <a:spcPts val="0"/>
            </a:spcAft>
            <a:buClrTx/>
            <a:buSzPct val="120000"/>
            <a:buFontTx/>
            <a:buChar char="-"/>
            <a:tabLst/>
            <a:defRPr sz="1100" b="0" i="0" u="none" strike="noStrike" cap="none" spc="0" baseline="0">
              <a:solidFill>
                <a:srgbClr val="000000"/>
              </a:solidFill>
              <a:uFillTx/>
              <a:latin typeface="+mn-lt"/>
              <a:ea typeface="+mn-ea"/>
              <a:cs typeface="+mn-cs"/>
              <a:sym typeface="Helvetica Neue"/>
            </a:defRPr>
          </a:pPr>
          <a:r>
            <a:rPr sz="1100" b="0" i="0" u="none" strike="noStrike" cap="none" spc="0" baseline="0">
              <a:solidFill>
                <a:srgbClr val="000000"/>
              </a:solidFill>
              <a:uFillTx/>
              <a:latin typeface="+mn-lt"/>
              <a:ea typeface="+mn-ea"/>
              <a:cs typeface="+mn-cs"/>
              <a:sym typeface="Helvetica Neue"/>
            </a:rPr>
            <a:t>Green means from another page such as BamSEC</a:t>
          </a:r>
        </a:p>
        <a:p>
          <a:pPr marL="152400" marR="0" indent="-152400" algn="l" defTabSz="457200" rtl="0" latinLnBrk="0">
            <a:lnSpc>
              <a:spcPct val="100000"/>
            </a:lnSpc>
            <a:spcBef>
              <a:spcPts val="0"/>
            </a:spcBef>
            <a:spcAft>
              <a:spcPts val="0"/>
            </a:spcAft>
            <a:buClrTx/>
            <a:buSzPct val="120000"/>
            <a:buFontTx/>
            <a:buChar char="-"/>
            <a:tabLst/>
            <a:defRPr sz="1100" b="0" i="0" u="none" strike="noStrike" cap="none" spc="0" baseline="0">
              <a:solidFill>
                <a:srgbClr val="000000"/>
              </a:solidFill>
              <a:uFillTx/>
              <a:latin typeface="+mn-lt"/>
              <a:ea typeface="+mn-ea"/>
              <a:cs typeface="+mn-cs"/>
              <a:sym typeface="Helvetica Neue"/>
            </a:defRPr>
          </a:pPr>
          <a:r>
            <a:rPr sz="1100" b="0" i="0" u="none" strike="noStrike" cap="none" spc="0" baseline="0">
              <a:solidFill>
                <a:srgbClr val="000000"/>
              </a:solidFill>
              <a:uFillTx/>
              <a:latin typeface="+mn-lt"/>
              <a:ea typeface="+mn-ea"/>
              <a:cs typeface="+mn-cs"/>
              <a:sym typeface="Helvetica Neue"/>
            </a:rPr>
            <a:t>Purple linked to same sheet</a:t>
          </a:r>
        </a:p>
        <a:p>
          <a:pPr marL="152400" marR="0" indent="-152400" algn="l" defTabSz="457200" rtl="0" latinLnBrk="0">
            <a:lnSpc>
              <a:spcPct val="100000"/>
            </a:lnSpc>
            <a:spcBef>
              <a:spcPts val="0"/>
            </a:spcBef>
            <a:spcAft>
              <a:spcPts val="0"/>
            </a:spcAft>
            <a:buClrTx/>
            <a:buSzPct val="120000"/>
            <a:buFontTx/>
            <a:buChar char="-"/>
            <a:tabLst/>
            <a:defRPr sz="1100" b="0" i="0" u="none" strike="noStrike" cap="none" spc="0" baseline="0">
              <a:solidFill>
                <a:srgbClr val="000000"/>
              </a:solidFill>
              <a:uFillTx/>
              <a:latin typeface="+mn-lt"/>
              <a:ea typeface="+mn-ea"/>
              <a:cs typeface="+mn-cs"/>
              <a:sym typeface="Helvetica Neue"/>
            </a:defRPr>
          </a:pPr>
          <a:r>
            <a:rPr sz="1100" b="0" i="0" u="none" strike="noStrike" cap="none" spc="0" baseline="0">
              <a:solidFill>
                <a:srgbClr val="000000"/>
              </a:solidFill>
              <a:uFillTx/>
              <a:latin typeface="+mn-lt"/>
              <a:ea typeface="+mn-ea"/>
              <a:cs typeface="+mn-cs"/>
              <a:sym typeface="Helvetica Neue"/>
            </a:rPr>
            <a:t>Black is doing calculations</a:t>
          </a:r>
        </a:p>
        <a:p>
          <a:pPr marL="152400" marR="0" indent="-152400" algn="l" defTabSz="457200" rtl="0" latinLnBrk="0">
            <a:lnSpc>
              <a:spcPct val="100000"/>
            </a:lnSpc>
            <a:spcBef>
              <a:spcPts val="0"/>
            </a:spcBef>
            <a:spcAft>
              <a:spcPts val="0"/>
            </a:spcAft>
            <a:buClrTx/>
            <a:buSzPct val="120000"/>
            <a:buFontTx/>
            <a:buChar char="-"/>
            <a:tabLst/>
            <a:defRPr sz="1100" b="0" i="0" u="none" strike="noStrike" cap="none" spc="0" baseline="0">
              <a:solidFill>
                <a:srgbClr val="000000"/>
              </a:solidFill>
              <a:uFillTx/>
              <a:latin typeface="+mn-lt"/>
              <a:ea typeface="+mn-ea"/>
              <a:cs typeface="+mn-cs"/>
              <a:sym typeface="Helvetica Neue"/>
            </a:defRPr>
          </a:pPr>
          <a:r>
            <a:rPr sz="1100" b="0" i="0" u="none" strike="noStrike" cap="none" spc="0" baseline="0">
              <a:solidFill>
                <a:srgbClr val="000000"/>
              </a:solidFill>
              <a:uFillTx/>
              <a:latin typeface="+mn-lt"/>
              <a:ea typeface="+mn-ea"/>
              <a:cs typeface="+mn-cs"/>
              <a:sym typeface="Helvetica Neue"/>
            </a:rPr>
            <a:t>EBIT is Operating Income </a:t>
          </a:r>
        </a:p>
      </xdr:txBody>
    </xdr:sp>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6"/>
  <sheetViews>
    <sheetView showGridLines="0" workbookViewId="0"/>
  </sheetViews>
  <sheetFormatPr baseColWidth="10" defaultColWidth="10" defaultRowHeight="13" customHeight="1" x14ac:dyDescent="0.15"/>
  <cols>
    <col min="1" max="1" width="2" customWidth="1"/>
    <col min="2" max="4" width="33.6640625" customWidth="1"/>
  </cols>
  <sheetData>
    <row r="3" spans="2:4" ht="0" hidden="1" customHeight="1" x14ac:dyDescent="0.15">
      <c r="B3" s="167" t="s">
        <v>0</v>
      </c>
      <c r="C3" s="168"/>
      <c r="D3" s="168"/>
    </row>
    <row r="7" spans="2:4" ht="18" x14ac:dyDescent="0.15">
      <c r="B7" s="1" t="s">
        <v>1</v>
      </c>
      <c r="C7" s="1" t="s">
        <v>2</v>
      </c>
      <c r="D7" s="1" t="s">
        <v>3</v>
      </c>
    </row>
    <row r="9" spans="2:4" ht="16" x14ac:dyDescent="0.15">
      <c r="B9" s="2" t="s">
        <v>4</v>
      </c>
      <c r="C9" s="2"/>
      <c r="D9" s="2"/>
    </row>
    <row r="10" spans="2:4" ht="16" x14ac:dyDescent="0.15">
      <c r="B10" s="3"/>
      <c r="C10" s="3" t="s">
        <v>5</v>
      </c>
      <c r="D10" s="4" t="s">
        <v>6</v>
      </c>
    </row>
    <row r="11" spans="2:4" ht="16" x14ac:dyDescent="0.15">
      <c r="B11" s="2" t="s">
        <v>60</v>
      </c>
      <c r="C11" s="2"/>
      <c r="D11" s="2"/>
    </row>
    <row r="12" spans="2:4" ht="16" x14ac:dyDescent="0.15">
      <c r="B12" s="3"/>
      <c r="C12" s="3" t="s">
        <v>61</v>
      </c>
      <c r="D12" s="4" t="s">
        <v>60</v>
      </c>
    </row>
    <row r="13" spans="2:4" ht="16" x14ac:dyDescent="0.15">
      <c r="B13" s="2" t="s">
        <v>62</v>
      </c>
      <c r="C13" s="2"/>
      <c r="D13" s="2"/>
    </row>
    <row r="14" spans="2:4" ht="16" x14ac:dyDescent="0.15">
      <c r="B14" s="3"/>
      <c r="C14" s="3" t="s">
        <v>61</v>
      </c>
      <c r="D14" s="4" t="s">
        <v>62</v>
      </c>
    </row>
    <row r="15" spans="2:4" ht="16" x14ac:dyDescent="0.15">
      <c r="B15" s="2" t="s">
        <v>26</v>
      </c>
      <c r="C15" s="2"/>
      <c r="D15" s="2"/>
    </row>
    <row r="16" spans="2:4" ht="16" x14ac:dyDescent="0.15">
      <c r="B16" s="3"/>
      <c r="C16" s="3" t="s">
        <v>26</v>
      </c>
      <c r="D16" s="4" t="s">
        <v>69</v>
      </c>
    </row>
  </sheetData>
  <mergeCells count="1">
    <mergeCell ref="B3:D3"/>
  </mergeCells>
  <hyperlinks>
    <hyperlink ref="D10" location="'Main - Microsoft DCF'!R3C1" display="Main - Microsoft DCF"/>
    <hyperlink ref="D12" location="'Model'!R2C1" display="Model"/>
    <hyperlink ref="D14" location="'MSFT Quarter Dates'!R2C1" display="MSFT Quarter Dates"/>
    <hyperlink ref="D16" location="'WACC - WACC'!R2C1" display="WACC - WAC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T101"/>
  <sheetViews>
    <sheetView showGridLines="0" tabSelected="1" workbookViewId="0">
      <pane xSplit="2" topLeftCell="C1" activePane="topRight" state="frozen"/>
      <selection pane="topRight" activeCell="C15" sqref="C15"/>
    </sheetView>
  </sheetViews>
  <sheetFormatPr baseColWidth="10" defaultColWidth="16.33203125" defaultRowHeight="20" customHeight="1" x14ac:dyDescent="0.15"/>
  <cols>
    <col min="1" max="1" width="2.5" style="5" customWidth="1"/>
    <col min="2" max="2" width="32.5" style="5" customWidth="1"/>
    <col min="3" max="4" width="15.83203125" style="5" customWidth="1"/>
    <col min="5" max="20" width="16.33203125" style="5" customWidth="1"/>
    <col min="21" max="256" width="16.33203125" customWidth="1"/>
  </cols>
  <sheetData>
    <row r="1" spans="1:20" ht="7" customHeight="1" x14ac:dyDescent="0.15"/>
    <row r="2" spans="1:20" ht="29" customHeight="1" x14ac:dyDescent="0.15">
      <c r="A2" s="169" t="s">
        <v>5</v>
      </c>
      <c r="B2" s="169"/>
      <c r="C2" s="169"/>
      <c r="D2" s="169"/>
      <c r="E2" s="169"/>
      <c r="F2" s="169"/>
      <c r="G2" s="169"/>
      <c r="H2" s="169"/>
      <c r="I2" s="169"/>
      <c r="J2" s="169"/>
      <c r="K2" s="169"/>
      <c r="L2" s="169"/>
      <c r="M2" s="169"/>
      <c r="N2" s="169"/>
      <c r="O2" s="169"/>
      <c r="P2" s="169"/>
      <c r="Q2" s="169"/>
      <c r="R2" s="169"/>
      <c r="S2" s="169"/>
      <c r="T2" s="169"/>
    </row>
    <row r="3" spans="1:20" ht="22.5" customHeight="1" x14ac:dyDescent="0.15">
      <c r="A3" s="6"/>
      <c r="B3" s="7"/>
      <c r="C3" s="8"/>
      <c r="D3" s="9"/>
      <c r="E3" s="9"/>
      <c r="F3" s="10"/>
      <c r="G3" s="9"/>
      <c r="H3" s="9"/>
      <c r="I3" s="9"/>
      <c r="J3" s="9"/>
      <c r="K3" s="9"/>
      <c r="L3" s="9"/>
      <c r="M3" s="9"/>
      <c r="N3" s="9"/>
      <c r="O3" s="9"/>
      <c r="P3" s="9"/>
      <c r="Q3" s="9"/>
      <c r="R3" s="9"/>
      <c r="S3" s="9"/>
      <c r="T3" s="9"/>
    </row>
    <row r="4" spans="1:20" ht="23" customHeight="1" x14ac:dyDescent="0.15">
      <c r="A4" s="11"/>
      <c r="B4" s="12" t="s">
        <v>7</v>
      </c>
      <c r="C4" s="13" t="s">
        <v>8</v>
      </c>
      <c r="D4" s="14"/>
      <c r="E4" s="15" t="s">
        <v>9</v>
      </c>
      <c r="F4" s="16">
        <f ca="1">T99</f>
        <v>375.33704880557065</v>
      </c>
      <c r="G4" s="14"/>
      <c r="H4" s="9"/>
      <c r="I4" s="10"/>
      <c r="J4" s="9"/>
      <c r="K4" s="9"/>
      <c r="L4" s="9"/>
      <c r="M4" s="9"/>
      <c r="N4" s="9"/>
      <c r="O4" s="9"/>
      <c r="P4" s="9"/>
      <c r="Q4" s="9"/>
      <c r="R4" s="9"/>
      <c r="S4" s="9"/>
      <c r="T4" s="9"/>
    </row>
    <row r="5" spans="1:20" ht="23" customHeight="1" x14ac:dyDescent="0.15">
      <c r="A5" s="11"/>
      <c r="B5" s="12" t="s">
        <v>10</v>
      </c>
      <c r="C5" s="13" t="s">
        <v>11</v>
      </c>
      <c r="D5" s="14"/>
      <c r="E5" s="15" t="s">
        <v>12</v>
      </c>
      <c r="F5" s="16">
        <v>265.23</v>
      </c>
      <c r="G5" s="14"/>
      <c r="H5" s="15" t="s">
        <v>13</v>
      </c>
      <c r="I5" s="17">
        <f ca="1">F4/F5-1</f>
        <v>0.41513798893628406</v>
      </c>
      <c r="J5" s="14"/>
      <c r="K5" s="9"/>
      <c r="L5" s="9"/>
      <c r="M5" s="9"/>
      <c r="N5" s="9"/>
      <c r="O5" s="9"/>
      <c r="P5" s="9"/>
      <c r="Q5" s="9"/>
      <c r="R5" s="9"/>
      <c r="S5" s="9"/>
      <c r="T5" s="9"/>
    </row>
    <row r="6" spans="1:20" ht="22.75" customHeight="1" x14ac:dyDescent="0.15">
      <c r="A6" s="11"/>
      <c r="B6" s="18"/>
      <c r="C6" s="19"/>
      <c r="D6" s="9"/>
      <c r="E6" s="9"/>
      <c r="F6" s="20"/>
      <c r="G6" s="9"/>
      <c r="H6" s="9"/>
      <c r="I6" s="20"/>
      <c r="J6" s="9"/>
      <c r="K6" s="9"/>
      <c r="L6" s="9"/>
      <c r="M6" s="9"/>
      <c r="N6" s="9"/>
      <c r="O6" s="9"/>
      <c r="P6" s="9"/>
      <c r="Q6" s="9"/>
      <c r="R6" s="9"/>
      <c r="S6" s="9"/>
      <c r="T6" s="9"/>
    </row>
    <row r="7" spans="1:20" ht="22.25" customHeight="1" x14ac:dyDescent="0.15">
      <c r="A7" s="21" t="s">
        <v>14</v>
      </c>
      <c r="B7" s="22" t="s">
        <v>15</v>
      </c>
      <c r="C7" s="23"/>
      <c r="D7" s="24"/>
      <c r="E7" s="25"/>
      <c r="F7" s="25"/>
      <c r="G7" s="25"/>
      <c r="H7" s="25"/>
      <c r="I7" s="25"/>
      <c r="J7" s="25"/>
      <c r="K7" s="25"/>
      <c r="L7" s="25"/>
      <c r="M7" s="25"/>
      <c r="N7" s="25"/>
      <c r="O7" s="25"/>
      <c r="P7" s="25"/>
      <c r="Q7" s="25"/>
      <c r="R7" s="25"/>
      <c r="S7" s="25"/>
      <c r="T7" s="25"/>
    </row>
    <row r="8" spans="1:20" ht="22.75" customHeight="1" x14ac:dyDescent="0.15">
      <c r="A8" s="11"/>
      <c r="B8" s="26" t="s">
        <v>16</v>
      </c>
      <c r="C8" s="27"/>
      <c r="D8" s="28"/>
      <c r="E8" s="29" t="s">
        <v>17</v>
      </c>
      <c r="F8" s="30"/>
      <c r="G8" s="9"/>
      <c r="H8" s="29" t="s">
        <v>18</v>
      </c>
      <c r="I8" s="30"/>
      <c r="J8" s="9"/>
      <c r="K8" s="29" t="s">
        <v>19</v>
      </c>
      <c r="L8" s="31"/>
      <c r="M8" s="9"/>
      <c r="N8" s="9"/>
      <c r="O8" s="9"/>
      <c r="P8" s="9"/>
      <c r="Q8" s="9"/>
      <c r="R8" s="9"/>
      <c r="S8" s="9"/>
      <c r="T8" s="9"/>
    </row>
    <row r="9" spans="1:20" ht="23" customHeight="1" x14ac:dyDescent="0.15">
      <c r="A9" s="11"/>
      <c r="B9" s="32" t="s">
        <v>20</v>
      </c>
      <c r="C9" s="33">
        <v>2</v>
      </c>
      <c r="D9" s="34"/>
      <c r="E9" s="35" t="s">
        <v>20</v>
      </c>
      <c r="F9" s="36">
        <v>0.85</v>
      </c>
      <c r="G9" s="37"/>
      <c r="H9" s="35" t="s">
        <v>20</v>
      </c>
      <c r="I9" s="36">
        <v>0.03</v>
      </c>
      <c r="J9" s="37"/>
      <c r="K9" s="35" t="s">
        <v>20</v>
      </c>
      <c r="L9" s="36">
        <v>1.1499999999999999</v>
      </c>
      <c r="M9" s="37"/>
      <c r="N9" s="9"/>
      <c r="O9" s="9"/>
      <c r="P9" s="9"/>
      <c r="Q9" s="9"/>
      <c r="R9" s="9"/>
      <c r="S9" s="9"/>
      <c r="T9" s="9"/>
    </row>
    <row r="10" spans="1:20" ht="23" customHeight="1" x14ac:dyDescent="0.15">
      <c r="A10" s="11"/>
      <c r="B10" s="32" t="s">
        <v>21</v>
      </c>
      <c r="C10" s="33">
        <v>2</v>
      </c>
      <c r="D10" s="38"/>
      <c r="E10" s="35" t="s">
        <v>21</v>
      </c>
      <c r="F10" s="36">
        <v>0.85</v>
      </c>
      <c r="G10" s="37"/>
      <c r="H10" s="35" t="s">
        <v>21</v>
      </c>
      <c r="I10" s="36">
        <v>0.1</v>
      </c>
      <c r="J10" s="37"/>
      <c r="K10" s="35" t="s">
        <v>21</v>
      </c>
      <c r="L10" s="36">
        <v>1.1499999999999999</v>
      </c>
      <c r="M10" s="37"/>
      <c r="N10" s="9"/>
      <c r="O10" s="9"/>
      <c r="P10" s="9"/>
      <c r="Q10" s="9"/>
      <c r="R10" s="9"/>
      <c r="S10" s="9"/>
      <c r="T10" s="9"/>
    </row>
    <row r="11" spans="1:20" ht="23" customHeight="1" x14ac:dyDescent="0.15">
      <c r="A11" s="11"/>
      <c r="B11" s="32" t="s">
        <v>22</v>
      </c>
      <c r="C11" s="33">
        <v>2</v>
      </c>
      <c r="D11" s="38"/>
      <c r="E11" s="35" t="s">
        <v>22</v>
      </c>
      <c r="F11" s="36">
        <v>0.85</v>
      </c>
      <c r="G11" s="37"/>
      <c r="H11" s="35" t="s">
        <v>22</v>
      </c>
      <c r="I11" s="36">
        <v>0.01</v>
      </c>
      <c r="J11" s="37"/>
      <c r="K11" s="35" t="s">
        <v>22</v>
      </c>
      <c r="L11" s="36">
        <v>1.1499999999999999</v>
      </c>
      <c r="M11" s="37"/>
      <c r="N11" s="9"/>
      <c r="O11" s="9"/>
      <c r="P11" s="9"/>
      <c r="Q11" s="9"/>
      <c r="R11" s="9"/>
      <c r="S11" s="9"/>
      <c r="T11" s="9"/>
    </row>
    <row r="12" spans="1:20" ht="23" customHeight="1" x14ac:dyDescent="0.15">
      <c r="A12" s="11"/>
      <c r="B12" s="18"/>
      <c r="C12" s="39"/>
      <c r="D12" s="9"/>
      <c r="E12" s="9"/>
      <c r="F12" s="40"/>
      <c r="G12" s="9"/>
      <c r="H12" s="9"/>
      <c r="I12" s="40"/>
      <c r="J12" s="9"/>
      <c r="K12" s="9"/>
      <c r="L12" s="40"/>
      <c r="M12" s="9"/>
      <c r="N12" s="9"/>
      <c r="O12" s="9"/>
      <c r="P12" s="9"/>
      <c r="Q12" s="9"/>
      <c r="R12" s="9"/>
      <c r="S12" s="9"/>
      <c r="T12" s="9"/>
    </row>
    <row r="13" spans="1:20" ht="23" customHeight="1" x14ac:dyDescent="0.15">
      <c r="A13" s="11"/>
      <c r="B13" s="32" t="s">
        <v>23</v>
      </c>
      <c r="C13" s="33">
        <v>2</v>
      </c>
      <c r="D13" s="37"/>
      <c r="E13" s="35" t="s">
        <v>24</v>
      </c>
      <c r="F13" s="36">
        <v>0.95</v>
      </c>
      <c r="G13" s="37"/>
      <c r="H13" s="35" t="s">
        <v>24</v>
      </c>
      <c r="I13" s="36">
        <v>0.45</v>
      </c>
      <c r="J13" s="37"/>
      <c r="K13" s="35" t="s">
        <v>24</v>
      </c>
      <c r="L13" s="36">
        <v>1.05</v>
      </c>
      <c r="M13" s="37"/>
      <c r="N13" s="9"/>
      <c r="O13" s="41" t="s">
        <v>25</v>
      </c>
      <c r="P13" s="9"/>
      <c r="Q13" s="9"/>
      <c r="R13" s="9"/>
      <c r="S13" s="9"/>
      <c r="T13" s="9"/>
    </row>
    <row r="14" spans="1:20" ht="23" customHeight="1" x14ac:dyDescent="0.15">
      <c r="A14" s="11"/>
      <c r="B14" s="32" t="s">
        <v>26</v>
      </c>
      <c r="C14" s="33">
        <v>2</v>
      </c>
      <c r="D14" s="37"/>
      <c r="E14" s="35" t="s">
        <v>26</v>
      </c>
      <c r="F14" s="42">
        <f ca="1">I14+O14</f>
        <v>7.9010040271418752E-2</v>
      </c>
      <c r="G14" s="37"/>
      <c r="H14" s="35" t="s">
        <v>26</v>
      </c>
      <c r="I14" s="42">
        <f ca="1">'WACC - WACC'!B22</f>
        <v>7.4010040271418748E-2</v>
      </c>
      <c r="J14" s="37"/>
      <c r="K14" s="35" t="s">
        <v>26</v>
      </c>
      <c r="L14" s="42">
        <f ca="1">I14-O14</f>
        <v>6.9010040271418743E-2</v>
      </c>
      <c r="M14" s="37"/>
      <c r="N14" s="43"/>
      <c r="O14" s="42">
        <v>5.0000000000000001E-3</v>
      </c>
      <c r="P14" s="37"/>
      <c r="Q14" s="9"/>
      <c r="R14" s="9"/>
      <c r="S14" s="9"/>
      <c r="T14" s="9"/>
    </row>
    <row r="15" spans="1:20" ht="23" customHeight="1" x14ac:dyDescent="0.15">
      <c r="A15" s="11"/>
      <c r="B15" s="32" t="s">
        <v>27</v>
      </c>
      <c r="C15" s="33">
        <v>1</v>
      </c>
      <c r="D15" s="37"/>
      <c r="E15" s="35" t="s">
        <v>27</v>
      </c>
      <c r="F15" s="36">
        <f>I15-O15</f>
        <v>0.02</v>
      </c>
      <c r="G15" s="37"/>
      <c r="H15" s="35" t="s">
        <v>27</v>
      </c>
      <c r="I15" s="42">
        <v>2.5000000000000001E-2</v>
      </c>
      <c r="J15" s="37"/>
      <c r="K15" s="35" t="s">
        <v>27</v>
      </c>
      <c r="L15" s="42">
        <f>I15+O15</f>
        <v>3.0000000000000002E-2</v>
      </c>
      <c r="M15" s="37"/>
      <c r="N15" s="9"/>
      <c r="O15" s="44">
        <v>5.0000000000000001E-3</v>
      </c>
      <c r="P15" s="9"/>
      <c r="Q15" s="9"/>
      <c r="R15" s="9"/>
      <c r="S15" s="9"/>
      <c r="T15" s="9"/>
    </row>
    <row r="16" spans="1:20" ht="23" customHeight="1" x14ac:dyDescent="0.15">
      <c r="A16" s="11"/>
      <c r="B16" s="18"/>
      <c r="C16" s="39"/>
      <c r="D16" s="9"/>
      <c r="E16" s="9"/>
      <c r="F16" s="45"/>
      <c r="G16" s="9"/>
      <c r="H16" s="9"/>
      <c r="I16" s="45"/>
      <c r="J16" s="9"/>
      <c r="K16" s="9"/>
      <c r="L16" s="45"/>
      <c r="M16" s="9"/>
      <c r="N16" s="9"/>
      <c r="O16" s="9"/>
      <c r="P16" s="9"/>
      <c r="Q16" s="9"/>
      <c r="R16" s="9"/>
      <c r="S16" s="9"/>
      <c r="T16" s="9"/>
    </row>
    <row r="17" spans="1:20" ht="23" customHeight="1" x14ac:dyDescent="0.15">
      <c r="A17" s="11"/>
      <c r="B17" s="32" t="s">
        <v>26</v>
      </c>
      <c r="C17" s="46">
        <f ca="1">CHOOSE(C14,F14,I14,L14)</f>
        <v>7.4010040271418748E-2</v>
      </c>
      <c r="D17" s="37"/>
      <c r="E17" s="9"/>
      <c r="F17" s="9"/>
      <c r="G17" s="9"/>
      <c r="H17" s="9"/>
      <c r="I17" s="9"/>
      <c r="J17" s="9"/>
      <c r="K17" s="9"/>
      <c r="L17" s="9"/>
      <c r="M17" s="9"/>
      <c r="N17" s="9"/>
      <c r="O17" s="9"/>
      <c r="P17" s="9"/>
      <c r="Q17" s="9"/>
      <c r="R17" s="9"/>
      <c r="S17" s="9"/>
      <c r="T17" s="9"/>
    </row>
    <row r="18" spans="1:20" ht="23" customHeight="1" x14ac:dyDescent="0.15">
      <c r="A18" s="11"/>
      <c r="B18" s="32" t="s">
        <v>27</v>
      </c>
      <c r="C18" s="46">
        <f>CHOOSE(C15,F15,I15,L15)</f>
        <v>0.02</v>
      </c>
      <c r="D18" s="37"/>
      <c r="E18" s="9"/>
      <c r="F18" s="9"/>
      <c r="G18" s="9"/>
      <c r="H18" s="9"/>
      <c r="I18" s="9"/>
      <c r="J18" s="9"/>
      <c r="K18" s="9"/>
      <c r="L18" s="9"/>
      <c r="M18" s="9"/>
      <c r="N18" s="9"/>
      <c r="O18" s="9"/>
      <c r="P18" s="9"/>
      <c r="Q18" s="9"/>
      <c r="R18" s="9"/>
      <c r="S18" s="9"/>
      <c r="T18" s="9"/>
    </row>
    <row r="19" spans="1:20" ht="22.75" customHeight="1" x14ac:dyDescent="0.15">
      <c r="A19" s="11"/>
      <c r="B19" s="18"/>
      <c r="C19" s="47"/>
      <c r="D19" s="9"/>
      <c r="E19" s="9"/>
      <c r="F19" s="9"/>
      <c r="G19" s="9"/>
      <c r="H19" s="9"/>
      <c r="I19" s="9"/>
      <c r="J19" s="9"/>
      <c r="K19" s="9"/>
      <c r="L19" s="9"/>
      <c r="M19" s="9"/>
      <c r="N19" s="9"/>
      <c r="O19" s="9"/>
      <c r="P19" s="9"/>
      <c r="Q19" s="9"/>
      <c r="R19" s="9"/>
      <c r="S19" s="9"/>
      <c r="T19" s="9"/>
    </row>
    <row r="20" spans="1:20" ht="22.25" customHeight="1" x14ac:dyDescent="0.15">
      <c r="A20" s="21" t="s">
        <v>14</v>
      </c>
      <c r="B20" s="22" t="s">
        <v>28</v>
      </c>
      <c r="C20" s="23"/>
      <c r="D20" s="24"/>
      <c r="E20" s="48">
        <v>2016</v>
      </c>
      <c r="F20" s="48">
        <v>2017</v>
      </c>
      <c r="G20" s="48">
        <v>2018</v>
      </c>
      <c r="H20" s="48">
        <v>2019</v>
      </c>
      <c r="I20" s="48">
        <v>2020</v>
      </c>
      <c r="J20" s="48">
        <v>2021</v>
      </c>
      <c r="K20" s="48">
        <v>2022</v>
      </c>
      <c r="L20" s="48">
        <v>2023</v>
      </c>
      <c r="M20" s="48">
        <v>2024</v>
      </c>
      <c r="N20" s="48">
        <v>2025</v>
      </c>
      <c r="O20" s="48">
        <v>2026</v>
      </c>
      <c r="P20" s="48">
        <v>2027</v>
      </c>
      <c r="Q20" s="48">
        <v>2028</v>
      </c>
      <c r="R20" s="48">
        <v>2029</v>
      </c>
      <c r="S20" s="48">
        <v>2030</v>
      </c>
      <c r="T20" s="48">
        <v>2031</v>
      </c>
    </row>
    <row r="21" spans="1:20" ht="22.25" customHeight="1" x14ac:dyDescent="0.15">
      <c r="A21" s="11"/>
      <c r="B21" s="26" t="s">
        <v>29</v>
      </c>
      <c r="C21" s="49"/>
      <c r="D21" s="9"/>
      <c r="E21" s="50">
        <v>28518</v>
      </c>
      <c r="F21" s="50">
        <v>33177</v>
      </c>
      <c r="G21" s="50">
        <v>38534</v>
      </c>
      <c r="H21" s="50">
        <v>43737</v>
      </c>
      <c r="I21" s="50">
        <v>50251</v>
      </c>
      <c r="J21" s="50">
        <v>58703</v>
      </c>
      <c r="K21" s="51">
        <f t="shared" ref="K21:T21" ca="1" si="0">J21*(1+K22)</f>
        <v>67508.45</v>
      </c>
      <c r="L21" s="51">
        <f t="shared" ca="1" si="0"/>
        <v>75609.464000000007</v>
      </c>
      <c r="M21" s="51">
        <f t="shared" ca="1" si="0"/>
        <v>83170.410400000008</v>
      </c>
      <c r="N21" s="51">
        <f t="shared" ca="1" si="0"/>
        <v>92319.155544000023</v>
      </c>
      <c r="O21" s="51">
        <f t="shared" ca="1" si="0"/>
        <v>101243.34057992003</v>
      </c>
      <c r="P21" s="51">
        <f t="shared" ca="1" si="0"/>
        <v>109680.28562824668</v>
      </c>
      <c r="Q21" s="51">
        <f t="shared" ca="1" si="0"/>
        <v>117357.90562222396</v>
      </c>
      <c r="R21" s="51">
        <f t="shared" ca="1" si="0"/>
        <v>124008.18694081665</v>
      </c>
      <c r="S21" s="51">
        <f t="shared" ca="1" si="0"/>
        <v>129381.87504158539</v>
      </c>
      <c r="T21" s="51">
        <f t="shared" ca="1" si="0"/>
        <v>133263.33129283294</v>
      </c>
    </row>
    <row r="22" spans="1:20" ht="22.75" customHeight="1" x14ac:dyDescent="0.15">
      <c r="A22" s="52"/>
      <c r="B22" s="53" t="s">
        <v>30</v>
      </c>
      <c r="C22" s="54"/>
      <c r="D22" s="55"/>
      <c r="E22" s="56"/>
      <c r="F22" s="57">
        <f>F21/E21-1</f>
        <v>0.1633705028403114</v>
      </c>
      <c r="G22" s="57">
        <f>G21/F21-1</f>
        <v>0.16146728155047163</v>
      </c>
      <c r="H22" s="57">
        <f>H21/G21-1</f>
        <v>0.13502361550838216</v>
      </c>
      <c r="I22" s="57">
        <f>I21/H21-1</f>
        <v>0.14893568374602739</v>
      </c>
      <c r="J22" s="57">
        <f>J21/I21-1</f>
        <v>0.16819565779785473</v>
      </c>
      <c r="K22" s="58">
        <f t="shared" ref="K22:T22" ca="1" si="1">OFFSET(K22,$C$9,0)</f>
        <v>0.15</v>
      </c>
      <c r="L22" s="58">
        <f t="shared" ca="1" si="1"/>
        <v>0.12</v>
      </c>
      <c r="M22" s="58">
        <f t="shared" ca="1" si="1"/>
        <v>0.1</v>
      </c>
      <c r="N22" s="58">
        <f t="shared" ca="1" si="1"/>
        <v>0.11</v>
      </c>
      <c r="O22" s="58">
        <f t="shared" ca="1" si="1"/>
        <v>9.6666666666666665E-2</v>
      </c>
      <c r="P22" s="58">
        <f t="shared" ca="1" si="1"/>
        <v>8.3333333333333329E-2</v>
      </c>
      <c r="Q22" s="58">
        <f t="shared" ca="1" si="1"/>
        <v>6.9999999999999993E-2</v>
      </c>
      <c r="R22" s="58">
        <f t="shared" ca="1" si="1"/>
        <v>5.6666666666666664E-2</v>
      </c>
      <c r="S22" s="58">
        <f t="shared" ca="1" si="1"/>
        <v>4.3333333333333335E-2</v>
      </c>
      <c r="T22" s="58">
        <f t="shared" ca="1" si="1"/>
        <v>0.03</v>
      </c>
    </row>
    <row r="23" spans="1:20" ht="23" customHeight="1" x14ac:dyDescent="0.15">
      <c r="A23" s="59"/>
      <c r="B23" s="60" t="s">
        <v>31</v>
      </c>
      <c r="C23" s="61"/>
      <c r="D23" s="62"/>
      <c r="E23" s="63"/>
      <c r="F23" s="63"/>
      <c r="G23" s="63"/>
      <c r="H23" s="63"/>
      <c r="I23" s="63"/>
      <c r="J23" s="64"/>
      <c r="K23" s="65">
        <f>K24</f>
        <v>0.15</v>
      </c>
      <c r="L23" s="66">
        <f t="shared" ref="L23:T23" si="2">L24*$F9</f>
        <v>0.10199999999999999</v>
      </c>
      <c r="M23" s="66">
        <f t="shared" si="2"/>
        <v>8.5000000000000006E-2</v>
      </c>
      <c r="N23" s="66">
        <f t="shared" si="2"/>
        <v>9.35E-2</v>
      </c>
      <c r="O23" s="66">
        <f t="shared" si="2"/>
        <v>8.2166666666666666E-2</v>
      </c>
      <c r="P23" s="66">
        <f t="shared" si="2"/>
        <v>7.0833333333333331E-2</v>
      </c>
      <c r="Q23" s="66">
        <f t="shared" si="2"/>
        <v>5.949999999999999E-2</v>
      </c>
      <c r="R23" s="66">
        <f t="shared" si="2"/>
        <v>4.8166666666666663E-2</v>
      </c>
      <c r="S23" s="66">
        <f t="shared" si="2"/>
        <v>3.6833333333333336E-2</v>
      </c>
      <c r="T23" s="66">
        <f t="shared" si="2"/>
        <v>2.5499999999999998E-2</v>
      </c>
    </row>
    <row r="24" spans="1:20" ht="23" customHeight="1" x14ac:dyDescent="0.15">
      <c r="A24" s="59"/>
      <c r="B24" s="60" t="s">
        <v>32</v>
      </c>
      <c r="C24" s="61"/>
      <c r="D24" s="62"/>
      <c r="E24" s="63"/>
      <c r="F24" s="63"/>
      <c r="G24" s="63"/>
      <c r="H24" s="63"/>
      <c r="I24" s="63"/>
      <c r="J24" s="64"/>
      <c r="K24" s="67">
        <v>0.15</v>
      </c>
      <c r="L24" s="67">
        <v>0.12</v>
      </c>
      <c r="M24" s="67">
        <v>0.1</v>
      </c>
      <c r="N24" s="67">
        <v>0.11</v>
      </c>
      <c r="O24" s="66">
        <f>N24-(N24-T24)/(T20-N20)</f>
        <v>9.6666666666666665E-2</v>
      </c>
      <c r="P24" s="66">
        <f>O24-(O24-T24)/($T20-O20)</f>
        <v>8.3333333333333329E-2</v>
      </c>
      <c r="Q24" s="66">
        <f>P24-(P24-T$24)/($T20-P20)</f>
        <v>6.9999999999999993E-2</v>
      </c>
      <c r="R24" s="66">
        <f>Q24-(Q24-$T24)/($T20-Q20)</f>
        <v>5.6666666666666664E-2</v>
      </c>
      <c r="S24" s="66">
        <f>R24-(R24-$T24)/($T20-R20)</f>
        <v>4.3333333333333335E-2</v>
      </c>
      <c r="T24" s="68">
        <f>I9</f>
        <v>0.03</v>
      </c>
    </row>
    <row r="25" spans="1:20" ht="23" customHeight="1" x14ac:dyDescent="0.15">
      <c r="A25" s="59"/>
      <c r="B25" s="60" t="s">
        <v>33</v>
      </c>
      <c r="C25" s="61"/>
      <c r="D25" s="62"/>
      <c r="E25" s="63"/>
      <c r="F25" s="63"/>
      <c r="G25" s="63"/>
      <c r="H25" s="63"/>
      <c r="I25" s="63"/>
      <c r="J25" s="64"/>
      <c r="K25" s="65">
        <v>0.15</v>
      </c>
      <c r="L25" s="66">
        <f t="shared" ref="L25:T25" si="3">L24*$L9</f>
        <v>0.13799999999999998</v>
      </c>
      <c r="M25" s="66">
        <f t="shared" si="3"/>
        <v>0.11499999999999999</v>
      </c>
      <c r="N25" s="66">
        <f t="shared" si="3"/>
        <v>0.1265</v>
      </c>
      <c r="O25" s="66">
        <f t="shared" si="3"/>
        <v>0.11116666666666665</v>
      </c>
      <c r="P25" s="66">
        <f t="shared" si="3"/>
        <v>9.5833333333333326E-2</v>
      </c>
      <c r="Q25" s="66">
        <f t="shared" si="3"/>
        <v>8.0499999999999988E-2</v>
      </c>
      <c r="R25" s="66">
        <f t="shared" si="3"/>
        <v>6.5166666666666664E-2</v>
      </c>
      <c r="S25" s="66">
        <f t="shared" si="3"/>
        <v>4.9833333333333334E-2</v>
      </c>
      <c r="T25" s="66">
        <f t="shared" si="3"/>
        <v>3.4499999999999996E-2</v>
      </c>
    </row>
    <row r="26" spans="1:20" ht="22.75" customHeight="1" x14ac:dyDescent="0.15">
      <c r="A26" s="11"/>
      <c r="B26" s="18"/>
      <c r="C26" s="49"/>
      <c r="D26" s="9"/>
      <c r="E26" s="69"/>
      <c r="F26" s="69"/>
      <c r="G26" s="69"/>
      <c r="H26" s="69"/>
      <c r="I26" s="69"/>
      <c r="J26" s="69"/>
      <c r="K26" s="70"/>
      <c r="L26" s="70"/>
      <c r="M26" s="70"/>
      <c r="N26" s="70"/>
      <c r="O26" s="70"/>
      <c r="P26" s="70"/>
      <c r="Q26" s="70"/>
      <c r="R26" s="70"/>
      <c r="S26" s="70"/>
      <c r="T26" s="70"/>
    </row>
    <row r="27" spans="1:20" ht="22.25" customHeight="1" x14ac:dyDescent="0.15">
      <c r="A27" s="11"/>
      <c r="B27" s="26" t="s">
        <v>21</v>
      </c>
      <c r="C27" s="49"/>
      <c r="D27" s="9"/>
      <c r="E27" s="50">
        <v>26285</v>
      </c>
      <c r="F27" s="50">
        <v>29849</v>
      </c>
      <c r="G27" s="50">
        <v>35630</v>
      </c>
      <c r="H27" s="50">
        <v>43647</v>
      </c>
      <c r="I27" s="50">
        <v>54338</v>
      </c>
      <c r="J27" s="50">
        <v>67822</v>
      </c>
      <c r="K27" s="51">
        <f t="shared" ref="K27:T27" ca="1" si="4">J27*(1+K28)</f>
        <v>83421.06</v>
      </c>
      <c r="L27" s="51">
        <f t="shared" ca="1" si="4"/>
        <v>100939.48259999999</v>
      </c>
      <c r="M27" s="51">
        <f t="shared" ca="1" si="4"/>
        <v>124155.56359799998</v>
      </c>
      <c r="N27" s="51">
        <f t="shared" ca="1" si="4"/>
        <v>150228.23195357996</v>
      </c>
      <c r="O27" s="51">
        <f t="shared" ca="1" si="4"/>
        <v>180023.49795770666</v>
      </c>
      <c r="P27" s="51">
        <f t="shared" ca="1" si="4"/>
        <v>213627.88424314524</v>
      </c>
      <c r="Q27" s="51">
        <f t="shared" ca="1" si="4"/>
        <v>251012.76398569567</v>
      </c>
      <c r="R27" s="51">
        <f t="shared" ca="1" si="4"/>
        <v>292011.51543669263</v>
      </c>
      <c r="S27" s="51">
        <f t="shared" ca="1" si="4"/>
        <v>336299.92861125764</v>
      </c>
      <c r="T27" s="51">
        <f t="shared" ca="1" si="4"/>
        <v>383381.91861683375</v>
      </c>
    </row>
    <row r="28" spans="1:20" ht="22.75" customHeight="1" x14ac:dyDescent="0.15">
      <c r="A28" s="71"/>
      <c r="B28" s="72" t="s">
        <v>30</v>
      </c>
      <c r="C28" s="73"/>
      <c r="D28" s="74"/>
      <c r="E28" s="74"/>
      <c r="F28" s="75">
        <f>F27/E27-1</f>
        <v>0.13559064105002849</v>
      </c>
      <c r="G28" s="75">
        <f>G27/F27-1</f>
        <v>0.1936748299775537</v>
      </c>
      <c r="H28" s="75">
        <f>H27/G27-1</f>
        <v>0.2250070165590794</v>
      </c>
      <c r="I28" s="75">
        <f>I27/H27-1</f>
        <v>0.24494237862854273</v>
      </c>
      <c r="J28" s="75">
        <f>J27/I27-1</f>
        <v>0.2481504656041813</v>
      </c>
      <c r="K28" s="58">
        <f t="shared" ref="K28:T28" ca="1" si="5">OFFSET(K28,$C$10,0)</f>
        <v>0.23</v>
      </c>
      <c r="L28" s="58">
        <f t="shared" ca="1" si="5"/>
        <v>0.21</v>
      </c>
      <c r="M28" s="58">
        <f t="shared" ca="1" si="5"/>
        <v>0.23</v>
      </c>
      <c r="N28" s="58">
        <f t="shared" ca="1" si="5"/>
        <v>0.21</v>
      </c>
      <c r="O28" s="58">
        <f t="shared" ca="1" si="5"/>
        <v>0.19833333333333333</v>
      </c>
      <c r="P28" s="58">
        <f t="shared" ca="1" si="5"/>
        <v>0.18666666666666668</v>
      </c>
      <c r="Q28" s="58">
        <f t="shared" ca="1" si="5"/>
        <v>0.17500000000000002</v>
      </c>
      <c r="R28" s="58">
        <f t="shared" ca="1" si="5"/>
        <v>0.16333333333333336</v>
      </c>
      <c r="S28" s="58">
        <f t="shared" ca="1" si="5"/>
        <v>0.15166666666666667</v>
      </c>
      <c r="T28" s="58">
        <f t="shared" ca="1" si="5"/>
        <v>0.14000000000000001</v>
      </c>
    </row>
    <row r="29" spans="1:20" ht="23" customHeight="1" x14ac:dyDescent="0.15">
      <c r="A29" s="59"/>
      <c r="B29" s="60" t="s">
        <v>31</v>
      </c>
      <c r="C29" s="61"/>
      <c r="D29" s="62"/>
      <c r="E29" s="69"/>
      <c r="F29" s="69"/>
      <c r="G29" s="69"/>
      <c r="H29" s="69"/>
      <c r="I29" s="69"/>
      <c r="J29" s="76"/>
      <c r="K29" s="65">
        <f>K30</f>
        <v>0.23</v>
      </c>
      <c r="L29" s="66">
        <f t="shared" ref="L29:T29" si="6">L30*$F10</f>
        <v>0.17849999999999999</v>
      </c>
      <c r="M29" s="66">
        <f t="shared" si="6"/>
        <v>0.19550000000000001</v>
      </c>
      <c r="N29" s="66">
        <f t="shared" si="6"/>
        <v>0.17849999999999999</v>
      </c>
      <c r="O29" s="66">
        <f t="shared" si="6"/>
        <v>0.16858333333333334</v>
      </c>
      <c r="P29" s="66">
        <f t="shared" si="6"/>
        <v>0.15866666666666668</v>
      </c>
      <c r="Q29" s="66">
        <f t="shared" si="6"/>
        <v>0.14875000000000002</v>
      </c>
      <c r="R29" s="66">
        <f t="shared" si="6"/>
        <v>0.13883333333333336</v>
      </c>
      <c r="S29" s="66">
        <f t="shared" si="6"/>
        <v>0.12891666666666668</v>
      </c>
      <c r="T29" s="66">
        <f t="shared" si="6"/>
        <v>0.11900000000000001</v>
      </c>
    </row>
    <row r="30" spans="1:20" ht="23" customHeight="1" x14ac:dyDescent="0.15">
      <c r="A30" s="59"/>
      <c r="B30" s="60" t="s">
        <v>32</v>
      </c>
      <c r="C30" s="61"/>
      <c r="D30" s="62"/>
      <c r="E30" s="69"/>
      <c r="F30" s="69"/>
      <c r="G30" s="69"/>
      <c r="H30" s="69"/>
      <c r="I30" s="69"/>
      <c r="J30" s="76"/>
      <c r="K30" s="67">
        <v>0.23</v>
      </c>
      <c r="L30" s="67">
        <v>0.21</v>
      </c>
      <c r="M30" s="67">
        <v>0.23</v>
      </c>
      <c r="N30" s="67">
        <v>0.21</v>
      </c>
      <c r="O30" s="66">
        <f>N30-(N30-$T30)/($T20-N20)</f>
        <v>0.19833333333333333</v>
      </c>
      <c r="P30" s="66">
        <f>O30-(O30-$T30)/($T20-O20)</f>
        <v>0.18666666666666668</v>
      </c>
      <c r="Q30" s="66">
        <f>P30-(P30-$T30)/($T20-P20)</f>
        <v>0.17500000000000002</v>
      </c>
      <c r="R30" s="66">
        <f>Q30-(Q30-$T30)/($T20-Q20)</f>
        <v>0.16333333333333336</v>
      </c>
      <c r="S30" s="66">
        <f>R30-(R30-$T30)/($T20-R20)</f>
        <v>0.15166666666666667</v>
      </c>
      <c r="T30" s="68">
        <v>0.14000000000000001</v>
      </c>
    </row>
    <row r="31" spans="1:20" ht="23" customHeight="1" x14ac:dyDescent="0.15">
      <c r="A31" s="59"/>
      <c r="B31" s="60" t="s">
        <v>33</v>
      </c>
      <c r="C31" s="61"/>
      <c r="D31" s="62"/>
      <c r="E31" s="69"/>
      <c r="F31" s="69"/>
      <c r="G31" s="69"/>
      <c r="H31" s="69"/>
      <c r="I31" s="69"/>
      <c r="J31" s="76"/>
      <c r="K31" s="65">
        <f>K29</f>
        <v>0.23</v>
      </c>
      <c r="L31" s="66">
        <f t="shared" ref="L31:T31" si="7">L30*$L10</f>
        <v>0.24149999999999996</v>
      </c>
      <c r="M31" s="66">
        <f t="shared" si="7"/>
        <v>0.26450000000000001</v>
      </c>
      <c r="N31" s="66">
        <f t="shared" si="7"/>
        <v>0.24149999999999996</v>
      </c>
      <c r="O31" s="66">
        <f t="shared" si="7"/>
        <v>0.2280833333333333</v>
      </c>
      <c r="P31" s="66">
        <f t="shared" si="7"/>
        <v>0.21466666666666667</v>
      </c>
      <c r="Q31" s="66">
        <f t="shared" si="7"/>
        <v>0.20125000000000001</v>
      </c>
      <c r="R31" s="66">
        <f t="shared" si="7"/>
        <v>0.18783333333333335</v>
      </c>
      <c r="S31" s="66">
        <f t="shared" si="7"/>
        <v>0.17441666666666666</v>
      </c>
      <c r="T31" s="66">
        <f t="shared" si="7"/>
        <v>0.161</v>
      </c>
    </row>
    <row r="32" spans="1:20" ht="22.75" customHeight="1" x14ac:dyDescent="0.15">
      <c r="A32" s="11"/>
      <c r="B32" s="18"/>
      <c r="C32" s="49"/>
      <c r="D32" s="9"/>
      <c r="E32" s="69"/>
      <c r="F32" s="69"/>
      <c r="G32" s="69"/>
      <c r="H32" s="69"/>
      <c r="I32" s="69"/>
      <c r="J32" s="69"/>
      <c r="K32" s="70"/>
      <c r="L32" s="70"/>
      <c r="M32" s="70"/>
      <c r="N32" s="70"/>
      <c r="O32" s="70"/>
      <c r="P32" s="70"/>
      <c r="Q32" s="70"/>
      <c r="R32" s="70"/>
      <c r="S32" s="70"/>
      <c r="T32" s="70"/>
    </row>
    <row r="33" spans="1:20" ht="22.25" customHeight="1" x14ac:dyDescent="0.15">
      <c r="A33" s="11"/>
      <c r="B33" s="26" t="s">
        <v>34</v>
      </c>
      <c r="C33" s="49"/>
      <c r="D33" s="9"/>
      <c r="E33" s="50">
        <v>39665</v>
      </c>
      <c r="F33" s="50">
        <v>40539</v>
      </c>
      <c r="G33" s="50">
        <v>44001</v>
      </c>
      <c r="H33" s="50">
        <v>46919</v>
      </c>
      <c r="I33" s="50">
        <v>51263</v>
      </c>
      <c r="J33" s="50">
        <v>57037</v>
      </c>
      <c r="K33" s="51">
        <f t="shared" ref="K33:T33" ca="1" si="8">J33*(1+K34)</f>
        <v>61029.590000000004</v>
      </c>
      <c r="L33" s="51">
        <f t="shared" ca="1" si="8"/>
        <v>63470.773600000008</v>
      </c>
      <c r="M33" s="51">
        <f t="shared" ca="1" si="8"/>
        <v>67913.727752000006</v>
      </c>
      <c r="N33" s="51">
        <f t="shared" ca="1" si="8"/>
        <v>72667.688694640005</v>
      </c>
      <c r="O33" s="51">
        <f t="shared" ca="1" si="8"/>
        <v>77027.750016318416</v>
      </c>
      <c r="P33" s="51">
        <f t="shared" ca="1" si="8"/>
        <v>80879.137517134339</v>
      </c>
      <c r="Q33" s="51">
        <f t="shared" ca="1" si="8"/>
        <v>84114.303017819722</v>
      </c>
      <c r="R33" s="51">
        <f t="shared" ca="1" si="8"/>
        <v>86637.732108354321</v>
      </c>
      <c r="S33" s="51">
        <f t="shared" ca="1" si="8"/>
        <v>88370.486750521406</v>
      </c>
      <c r="T33" s="51">
        <f t="shared" ca="1" si="8"/>
        <v>89254.191618026627</v>
      </c>
    </row>
    <row r="34" spans="1:20" ht="22.75" customHeight="1" x14ac:dyDescent="0.15">
      <c r="A34" s="71"/>
      <c r="B34" s="72" t="s">
        <v>30</v>
      </c>
      <c r="C34" s="73"/>
      <c r="D34" s="74"/>
      <c r="E34" s="74"/>
      <c r="F34" s="57">
        <f>F33/E33-1</f>
        <v>2.2034539266355679E-2</v>
      </c>
      <c r="G34" s="57">
        <f>G33/F33-1</f>
        <v>8.5399245171316585E-2</v>
      </c>
      <c r="H34" s="57">
        <f>H33/G33-1</f>
        <v>6.6316674621031302E-2</v>
      </c>
      <c r="I34" s="57">
        <f>I33/H33-1</f>
        <v>9.2585093458939838E-2</v>
      </c>
      <c r="J34" s="57">
        <f>J33/I33-1</f>
        <v>0.11263484384448819</v>
      </c>
      <c r="K34" s="58">
        <f t="shared" ref="K34:T34" ca="1" si="9">OFFSET(K34,$C$11,0)</f>
        <v>7.0000000000000007E-2</v>
      </c>
      <c r="L34" s="58">
        <f t="shared" ca="1" si="9"/>
        <v>0.04</v>
      </c>
      <c r="M34" s="58">
        <f t="shared" ca="1" si="9"/>
        <v>7.0000000000000007E-2</v>
      </c>
      <c r="N34" s="58">
        <f t="shared" ca="1" si="9"/>
        <v>7.0000000000000007E-2</v>
      </c>
      <c r="O34" s="58">
        <f t="shared" ca="1" si="9"/>
        <v>6.0000000000000005E-2</v>
      </c>
      <c r="P34" s="58">
        <f t="shared" ca="1" si="9"/>
        <v>0.05</v>
      </c>
      <c r="Q34" s="58">
        <f t="shared" ca="1" si="9"/>
        <v>0.04</v>
      </c>
      <c r="R34" s="58">
        <f t="shared" ca="1" si="9"/>
        <v>0.03</v>
      </c>
      <c r="S34" s="58">
        <f t="shared" ca="1" si="9"/>
        <v>0.02</v>
      </c>
      <c r="T34" s="58">
        <f t="shared" ca="1" si="9"/>
        <v>0.01</v>
      </c>
    </row>
    <row r="35" spans="1:20" ht="23" customHeight="1" x14ac:dyDescent="0.15">
      <c r="A35" s="59"/>
      <c r="B35" s="60" t="s">
        <v>31</v>
      </c>
      <c r="C35" s="61"/>
      <c r="D35" s="62"/>
      <c r="E35" s="69"/>
      <c r="F35" s="69"/>
      <c r="G35" s="69"/>
      <c r="H35" s="69"/>
      <c r="I35" s="69"/>
      <c r="J35" s="76"/>
      <c r="K35" s="65">
        <f>K36</f>
        <v>7.0000000000000007E-2</v>
      </c>
      <c r="L35" s="66">
        <f t="shared" ref="L35:T35" si="10">L36*$F11</f>
        <v>3.4000000000000002E-2</v>
      </c>
      <c r="M35" s="66">
        <f t="shared" si="10"/>
        <v>5.9500000000000004E-2</v>
      </c>
      <c r="N35" s="66">
        <f t="shared" si="10"/>
        <v>5.9500000000000004E-2</v>
      </c>
      <c r="O35" s="66">
        <f t="shared" si="10"/>
        <v>5.1000000000000004E-2</v>
      </c>
      <c r="P35" s="66">
        <f t="shared" si="10"/>
        <v>4.2500000000000003E-2</v>
      </c>
      <c r="Q35" s="66">
        <f t="shared" si="10"/>
        <v>3.4000000000000002E-2</v>
      </c>
      <c r="R35" s="66">
        <f t="shared" si="10"/>
        <v>2.5499999999999998E-2</v>
      </c>
      <c r="S35" s="66">
        <f t="shared" si="10"/>
        <v>1.7000000000000001E-2</v>
      </c>
      <c r="T35" s="66">
        <f t="shared" si="10"/>
        <v>8.5000000000000006E-3</v>
      </c>
    </row>
    <row r="36" spans="1:20" ht="23" customHeight="1" x14ac:dyDescent="0.15">
      <c r="A36" s="59"/>
      <c r="B36" s="60" t="s">
        <v>32</v>
      </c>
      <c r="C36" s="61"/>
      <c r="D36" s="62"/>
      <c r="E36" s="69"/>
      <c r="F36" s="69"/>
      <c r="G36" s="69"/>
      <c r="H36" s="69"/>
      <c r="I36" s="69"/>
      <c r="J36" s="76"/>
      <c r="K36" s="67">
        <v>7.0000000000000007E-2</v>
      </c>
      <c r="L36" s="67">
        <v>0.04</v>
      </c>
      <c r="M36" s="67">
        <v>7.0000000000000007E-2</v>
      </c>
      <c r="N36" s="65">
        <v>7.0000000000000007E-2</v>
      </c>
      <c r="O36" s="66">
        <f>N36-(N36-$T36)/($T20-N20)</f>
        <v>6.0000000000000005E-2</v>
      </c>
      <c r="P36" s="66">
        <f>O36-(O36-$T36)/($T20-O20)</f>
        <v>0.05</v>
      </c>
      <c r="Q36" s="66">
        <f>P36-(P36-$T36)/($T20-P20)</f>
        <v>0.04</v>
      </c>
      <c r="R36" s="66">
        <f>Q36-(Q36-$T36)/($T20-Q20)</f>
        <v>0.03</v>
      </c>
      <c r="S36" s="66">
        <f>R36-(R36-$T36)/($T20-R20)</f>
        <v>0.02</v>
      </c>
      <c r="T36" s="68">
        <f>I11</f>
        <v>0.01</v>
      </c>
    </row>
    <row r="37" spans="1:20" ht="23" customHeight="1" x14ac:dyDescent="0.15">
      <c r="A37" s="77"/>
      <c r="B37" s="60" t="s">
        <v>33</v>
      </c>
      <c r="C37" s="61"/>
      <c r="D37" s="62"/>
      <c r="E37" s="69"/>
      <c r="F37" s="69"/>
      <c r="G37" s="69"/>
      <c r="H37" s="69"/>
      <c r="I37" s="69"/>
      <c r="J37" s="76"/>
      <c r="K37" s="65">
        <v>7.0000000000000007E-2</v>
      </c>
      <c r="L37" s="66">
        <f t="shared" ref="L37:T37" si="11">L36*$L11</f>
        <v>4.5999999999999999E-2</v>
      </c>
      <c r="M37" s="66">
        <f t="shared" si="11"/>
        <v>8.0500000000000002E-2</v>
      </c>
      <c r="N37" s="66">
        <f t="shared" si="11"/>
        <v>8.0500000000000002E-2</v>
      </c>
      <c r="O37" s="66">
        <f t="shared" si="11"/>
        <v>6.9000000000000006E-2</v>
      </c>
      <c r="P37" s="66">
        <f t="shared" si="11"/>
        <v>5.7499999999999996E-2</v>
      </c>
      <c r="Q37" s="66">
        <f t="shared" si="11"/>
        <v>4.5999999999999999E-2</v>
      </c>
      <c r="R37" s="66">
        <f t="shared" si="11"/>
        <v>3.4499999999999996E-2</v>
      </c>
      <c r="S37" s="66">
        <f t="shared" si="11"/>
        <v>2.3E-2</v>
      </c>
      <c r="T37" s="66">
        <f t="shared" si="11"/>
        <v>1.15E-2</v>
      </c>
    </row>
    <row r="38" spans="1:20" ht="23" customHeight="1" x14ac:dyDescent="0.15">
      <c r="A38" s="78"/>
      <c r="B38" s="79"/>
      <c r="C38" s="80"/>
      <c r="D38" s="81"/>
      <c r="E38" s="82"/>
      <c r="F38" s="82"/>
      <c r="G38" s="82"/>
      <c r="H38" s="82"/>
      <c r="I38" s="82"/>
      <c r="J38" s="82"/>
      <c r="K38" s="83"/>
      <c r="L38" s="83"/>
      <c r="M38" s="83"/>
      <c r="N38" s="83"/>
      <c r="O38" s="83"/>
      <c r="P38" s="83"/>
      <c r="Q38" s="83"/>
      <c r="R38" s="83"/>
      <c r="S38" s="83"/>
      <c r="T38" s="83"/>
    </row>
    <row r="39" spans="1:20" ht="22.5" customHeight="1" x14ac:dyDescent="0.15">
      <c r="A39" s="78"/>
      <c r="B39" s="84" t="s">
        <v>35</v>
      </c>
      <c r="C39" s="85"/>
      <c r="D39" s="85"/>
      <c r="E39" s="86">
        <f>SUM(E21:E33)</f>
        <v>94468</v>
      </c>
      <c r="F39" s="87">
        <f t="shared" ref="F39:T39" si="12">F21+F27+F33</f>
        <v>103565</v>
      </c>
      <c r="G39" s="87">
        <f t="shared" si="12"/>
        <v>118165</v>
      </c>
      <c r="H39" s="87">
        <f t="shared" si="12"/>
        <v>134303</v>
      </c>
      <c r="I39" s="87">
        <f t="shared" si="12"/>
        <v>155852</v>
      </c>
      <c r="J39" s="87">
        <f t="shared" si="12"/>
        <v>183562</v>
      </c>
      <c r="K39" s="87">
        <f t="shared" ca="1" si="12"/>
        <v>211959.1</v>
      </c>
      <c r="L39" s="87">
        <f t="shared" ca="1" si="12"/>
        <v>240019.72020000001</v>
      </c>
      <c r="M39" s="87">
        <f t="shared" ca="1" si="12"/>
        <v>275239.70175000001</v>
      </c>
      <c r="N39" s="87">
        <f t="shared" ca="1" si="12"/>
        <v>315215.07619221997</v>
      </c>
      <c r="O39" s="87">
        <f t="shared" ca="1" si="12"/>
        <v>358294.58855394507</v>
      </c>
      <c r="P39" s="87">
        <f t="shared" ca="1" si="12"/>
        <v>404187.30738852627</v>
      </c>
      <c r="Q39" s="87">
        <f t="shared" ca="1" si="12"/>
        <v>452484.97262573935</v>
      </c>
      <c r="R39" s="87">
        <f t="shared" ca="1" si="12"/>
        <v>502657.4344858636</v>
      </c>
      <c r="S39" s="87">
        <f t="shared" ca="1" si="12"/>
        <v>554052.29040336446</v>
      </c>
      <c r="T39" s="87">
        <f t="shared" ca="1" si="12"/>
        <v>605899.4415276933</v>
      </c>
    </row>
    <row r="40" spans="1:20" ht="22.25" customHeight="1" x14ac:dyDescent="0.15">
      <c r="A40" s="88"/>
      <c r="B40" s="89" t="s">
        <v>30</v>
      </c>
      <c r="C40" s="90"/>
      <c r="D40" s="91"/>
      <c r="E40" s="9"/>
      <c r="F40" s="92">
        <f t="shared" ref="F40:T40" si="13">F39/E39-1</f>
        <v>9.6297158826269103E-2</v>
      </c>
      <c r="G40" s="92">
        <f t="shared" si="13"/>
        <v>0.14097426736831942</v>
      </c>
      <c r="H40" s="92">
        <f t="shared" si="13"/>
        <v>0.13657174290187446</v>
      </c>
      <c r="I40" s="92">
        <f t="shared" si="13"/>
        <v>0.16045062284535705</v>
      </c>
      <c r="J40" s="92">
        <f t="shared" si="13"/>
        <v>0.17779688422349404</v>
      </c>
      <c r="K40" s="92">
        <f t="shared" ca="1" si="13"/>
        <v>0.15470031923818661</v>
      </c>
      <c r="L40" s="92">
        <f t="shared" ca="1" si="13"/>
        <v>0.13238695672891621</v>
      </c>
      <c r="M40" s="92">
        <f t="shared" ca="1" si="13"/>
        <v>0.14673786604139205</v>
      </c>
      <c r="N40" s="92">
        <f t="shared" ca="1" si="13"/>
        <v>0.14523840197490689</v>
      </c>
      <c r="O40" s="92">
        <f t="shared" ca="1" si="13"/>
        <v>0.13666704296673604</v>
      </c>
      <c r="P40" s="92">
        <f t="shared" ca="1" si="13"/>
        <v>0.1280865530785753</v>
      </c>
      <c r="Q40" s="92">
        <f t="shared" ca="1" si="13"/>
        <v>0.11949327540557042</v>
      </c>
      <c r="R40" s="92">
        <f t="shared" ca="1" si="13"/>
        <v>0.11088205110763538</v>
      </c>
      <c r="S40" s="92">
        <f t="shared" ca="1" si="13"/>
        <v>0.10224628622089194</v>
      </c>
      <c r="T40" s="92">
        <f t="shared" ca="1" si="13"/>
        <v>9.3578082831464737E-2</v>
      </c>
    </row>
    <row r="41" spans="1:20" ht="22.25" customHeight="1" x14ac:dyDescent="0.15">
      <c r="A41" s="11"/>
      <c r="B41" s="18"/>
      <c r="C41" s="49"/>
      <c r="D41" s="9"/>
      <c r="E41" s="9"/>
      <c r="F41" s="9"/>
      <c r="G41" s="9"/>
      <c r="H41" s="9"/>
      <c r="I41" s="9"/>
      <c r="J41" s="9"/>
      <c r="K41" s="9"/>
      <c r="L41" s="9"/>
      <c r="M41" s="93" t="s">
        <v>36</v>
      </c>
      <c r="N41" s="93" t="s">
        <v>36</v>
      </c>
      <c r="O41" s="9"/>
      <c r="P41" s="9"/>
      <c r="Q41" s="9"/>
      <c r="R41" s="9"/>
      <c r="S41" s="9"/>
      <c r="T41" s="9"/>
    </row>
    <row r="42" spans="1:20" ht="22.25" customHeight="1" x14ac:dyDescent="0.15">
      <c r="A42" s="21" t="s">
        <v>14</v>
      </c>
      <c r="B42" s="22" t="s">
        <v>37</v>
      </c>
      <c r="C42" s="23"/>
      <c r="D42" s="24"/>
      <c r="E42" s="48">
        <v>2016</v>
      </c>
      <c r="F42" s="48">
        <v>2017</v>
      </c>
      <c r="G42" s="48">
        <v>2018</v>
      </c>
      <c r="H42" s="48">
        <v>2019</v>
      </c>
      <c r="I42" s="48">
        <v>2020</v>
      </c>
      <c r="J42" s="48">
        <v>2021</v>
      </c>
      <c r="K42" s="48">
        <v>2022</v>
      </c>
      <c r="L42" s="48">
        <v>2023</v>
      </c>
      <c r="M42" s="48">
        <v>2024</v>
      </c>
      <c r="N42" s="48">
        <v>2025</v>
      </c>
      <c r="O42" s="94"/>
      <c r="P42" s="94"/>
      <c r="Q42" s="94"/>
      <c r="R42" s="94"/>
      <c r="S42" s="94"/>
      <c r="T42" s="94"/>
    </row>
    <row r="43" spans="1:20" ht="22.25" customHeight="1" x14ac:dyDescent="0.15">
      <c r="A43" s="11"/>
      <c r="B43" s="26" t="s">
        <v>38</v>
      </c>
      <c r="C43" s="49"/>
      <c r="D43" s="9"/>
      <c r="E43" s="95">
        <f t="shared" ref="E43:N43" si="14">E39</f>
        <v>94468</v>
      </c>
      <c r="F43" s="95">
        <f t="shared" si="14"/>
        <v>103565</v>
      </c>
      <c r="G43" s="95">
        <f t="shared" si="14"/>
        <v>118165</v>
      </c>
      <c r="H43" s="95">
        <f t="shared" si="14"/>
        <v>134303</v>
      </c>
      <c r="I43" s="95">
        <f t="shared" si="14"/>
        <v>155852</v>
      </c>
      <c r="J43" s="95">
        <f t="shared" si="14"/>
        <v>183562</v>
      </c>
      <c r="K43" s="95">
        <f t="shared" ca="1" si="14"/>
        <v>211959.1</v>
      </c>
      <c r="L43" s="95">
        <f t="shared" ca="1" si="14"/>
        <v>240019.72020000001</v>
      </c>
      <c r="M43" s="95">
        <f t="shared" ca="1" si="14"/>
        <v>275239.70175000001</v>
      </c>
      <c r="N43" s="95">
        <f t="shared" ca="1" si="14"/>
        <v>315215.07619221997</v>
      </c>
      <c r="O43" s="96"/>
      <c r="P43" s="96"/>
      <c r="Q43" s="9"/>
      <c r="R43" s="9"/>
      <c r="S43" s="9"/>
      <c r="T43" s="9"/>
    </row>
    <row r="44" spans="1:20" ht="22.25" customHeight="1" x14ac:dyDescent="0.15">
      <c r="A44" s="11"/>
      <c r="B44" s="72" t="s">
        <v>30</v>
      </c>
      <c r="C44" s="49"/>
      <c r="D44" s="9"/>
      <c r="E44" s="9"/>
      <c r="F44" s="92">
        <f t="shared" ref="F44:N44" si="15">F43/E43-1</f>
        <v>9.6297158826269103E-2</v>
      </c>
      <c r="G44" s="92">
        <f t="shared" si="15"/>
        <v>0.14097426736831942</v>
      </c>
      <c r="H44" s="92">
        <f t="shared" si="15"/>
        <v>0.13657174290187446</v>
      </c>
      <c r="I44" s="92">
        <f t="shared" si="15"/>
        <v>0.16045062284535705</v>
      </c>
      <c r="J44" s="92">
        <f t="shared" si="15"/>
        <v>0.17779688422349404</v>
      </c>
      <c r="K44" s="92">
        <f t="shared" ca="1" si="15"/>
        <v>0.15470031923818661</v>
      </c>
      <c r="L44" s="92">
        <f t="shared" ca="1" si="15"/>
        <v>0.13238695672891621</v>
      </c>
      <c r="M44" s="92">
        <f t="shared" ca="1" si="15"/>
        <v>0.14673786604139205</v>
      </c>
      <c r="N44" s="92">
        <f t="shared" ca="1" si="15"/>
        <v>0.14523840197490689</v>
      </c>
      <c r="O44" s="92"/>
      <c r="P44" s="92"/>
      <c r="Q44" s="9"/>
      <c r="R44" s="9"/>
      <c r="S44" s="9"/>
      <c r="T44" s="9"/>
    </row>
    <row r="45" spans="1:20" ht="22.25" customHeight="1" x14ac:dyDescent="0.15">
      <c r="A45" s="11"/>
      <c r="B45" s="18"/>
      <c r="C45" s="49"/>
      <c r="D45" s="9"/>
      <c r="E45" s="9"/>
      <c r="F45" s="9"/>
      <c r="G45" s="9"/>
      <c r="H45" s="9"/>
      <c r="I45" s="9"/>
      <c r="J45" s="9"/>
      <c r="K45" s="9"/>
      <c r="L45" s="9"/>
      <c r="M45" s="9"/>
      <c r="N45" s="9"/>
      <c r="O45" s="9"/>
      <c r="P45" s="9"/>
      <c r="Q45" s="9"/>
      <c r="R45" s="9"/>
      <c r="S45" s="9"/>
      <c r="T45" s="9"/>
    </row>
    <row r="46" spans="1:20" ht="22.25" customHeight="1" x14ac:dyDescent="0.15">
      <c r="A46" s="11"/>
      <c r="B46" s="26" t="s">
        <v>23</v>
      </c>
      <c r="C46" s="49"/>
      <c r="D46" s="9"/>
      <c r="E46" s="50">
        <v>28735</v>
      </c>
      <c r="F46" s="50">
        <v>32222</v>
      </c>
      <c r="G46" s="50">
        <v>39041</v>
      </c>
      <c r="H46" s="50">
        <v>47927</v>
      </c>
      <c r="I46" s="50">
        <v>61580</v>
      </c>
      <c r="J46" s="50">
        <v>77053</v>
      </c>
      <c r="K46" s="50">
        <v>90124</v>
      </c>
      <c r="L46" s="50">
        <v>103886</v>
      </c>
      <c r="M46" s="97">
        <v>120003</v>
      </c>
      <c r="N46" s="97">
        <v>136987</v>
      </c>
      <c r="O46" s="9"/>
      <c r="P46" s="9"/>
      <c r="Q46" s="9"/>
      <c r="R46" s="9"/>
      <c r="S46" s="9"/>
      <c r="T46" s="9"/>
    </row>
    <row r="47" spans="1:20" ht="22.25" customHeight="1" x14ac:dyDescent="0.15">
      <c r="A47" s="11"/>
      <c r="B47" s="72" t="s">
        <v>39</v>
      </c>
      <c r="C47" s="49"/>
      <c r="D47" s="9"/>
      <c r="E47" s="92">
        <f t="shared" ref="E47:N47" si="16">E46/E43</f>
        <v>0.30417707583520348</v>
      </c>
      <c r="F47" s="92">
        <f t="shared" si="16"/>
        <v>0.31112827692753342</v>
      </c>
      <c r="G47" s="92">
        <f t="shared" si="16"/>
        <v>0.33039394067617317</v>
      </c>
      <c r="H47" s="92">
        <f t="shared" si="16"/>
        <v>0.35685725560858655</v>
      </c>
      <c r="I47" s="92">
        <f t="shared" si="16"/>
        <v>0.39511844570489951</v>
      </c>
      <c r="J47" s="92">
        <f t="shared" si="16"/>
        <v>0.41976552881315304</v>
      </c>
      <c r="K47" s="92">
        <f t="shared" ca="1" si="16"/>
        <v>0.42519523813792376</v>
      </c>
      <c r="L47" s="92">
        <f t="shared" ca="1" si="16"/>
        <v>0.43282276936843123</v>
      </c>
      <c r="M47" s="92">
        <f t="shared" ca="1" si="16"/>
        <v>0.43599451400728018</v>
      </c>
      <c r="N47" s="92">
        <f t="shared" ca="1" si="16"/>
        <v>0.43458264006530112</v>
      </c>
      <c r="O47" s="9"/>
      <c r="P47" s="9"/>
      <c r="Q47" s="9"/>
      <c r="R47" s="9"/>
      <c r="S47" s="9"/>
      <c r="T47" s="9"/>
    </row>
    <row r="48" spans="1:20" ht="22.25" customHeight="1" x14ac:dyDescent="0.15">
      <c r="A48" s="11"/>
      <c r="B48" s="18"/>
      <c r="C48" s="49"/>
      <c r="D48" s="9"/>
      <c r="E48" s="9"/>
      <c r="F48" s="9"/>
      <c r="G48" s="9"/>
      <c r="H48" s="9"/>
      <c r="I48" s="9"/>
      <c r="J48" s="9"/>
      <c r="K48" s="9"/>
      <c r="L48" s="9"/>
      <c r="M48" s="9"/>
      <c r="N48" s="9"/>
      <c r="O48" s="9"/>
      <c r="P48" s="9"/>
      <c r="Q48" s="9"/>
      <c r="R48" s="9"/>
      <c r="S48" s="9"/>
      <c r="T48" s="9"/>
    </row>
    <row r="49" spans="1:20" ht="22.25" customHeight="1" x14ac:dyDescent="0.15">
      <c r="A49" s="11"/>
      <c r="B49" s="26" t="s">
        <v>40</v>
      </c>
      <c r="C49" s="49"/>
      <c r="D49" s="9"/>
      <c r="E49" s="50">
        <v>3775</v>
      </c>
      <c r="F49" s="50">
        <v>5198</v>
      </c>
      <c r="G49" s="50">
        <v>5344</v>
      </c>
      <c r="H49" s="50">
        <v>6682</v>
      </c>
      <c r="I49" s="50">
        <v>9309</v>
      </c>
      <c r="J49" s="50">
        <v>10431</v>
      </c>
      <c r="K49" s="50">
        <v>13661</v>
      </c>
      <c r="L49" s="50">
        <v>17630</v>
      </c>
      <c r="M49" s="97">
        <v>20445</v>
      </c>
      <c r="N49" s="97">
        <v>23362</v>
      </c>
      <c r="O49" s="9"/>
      <c r="P49" s="9"/>
      <c r="Q49" s="9"/>
      <c r="R49" s="9"/>
      <c r="S49" s="9"/>
      <c r="T49" s="9"/>
    </row>
    <row r="50" spans="1:20" ht="22.25" customHeight="1" x14ac:dyDescent="0.15">
      <c r="A50" s="11"/>
      <c r="B50" s="72" t="s">
        <v>41</v>
      </c>
      <c r="C50" s="49"/>
      <c r="D50" s="9"/>
      <c r="E50" s="92">
        <f t="shared" ref="E50:N50" si="17">E49/E46</f>
        <v>0.13137289020358447</v>
      </c>
      <c r="F50" s="92">
        <f t="shared" si="17"/>
        <v>0.16131835391968222</v>
      </c>
      <c r="G50" s="92">
        <f t="shared" si="17"/>
        <v>0.13688173970953613</v>
      </c>
      <c r="H50" s="92">
        <f t="shared" si="17"/>
        <v>0.13942036847705885</v>
      </c>
      <c r="I50" s="92">
        <f t="shared" si="17"/>
        <v>0.15116921078272166</v>
      </c>
      <c r="J50" s="92">
        <f t="shared" si="17"/>
        <v>0.13537435271825887</v>
      </c>
      <c r="K50" s="92">
        <f t="shared" si="17"/>
        <v>0.15158004527096</v>
      </c>
      <c r="L50" s="92">
        <f t="shared" si="17"/>
        <v>0.16970525383593554</v>
      </c>
      <c r="M50" s="92">
        <f t="shared" si="17"/>
        <v>0.1703707407314817</v>
      </c>
      <c r="N50" s="92">
        <f t="shared" si="17"/>
        <v>0.17054173023717578</v>
      </c>
      <c r="O50" s="9"/>
      <c r="P50" s="9"/>
      <c r="Q50" s="9"/>
      <c r="R50" s="9"/>
      <c r="S50" s="9"/>
      <c r="T50" s="9"/>
    </row>
    <row r="51" spans="1:20" ht="22.25" customHeight="1" x14ac:dyDescent="0.15">
      <c r="A51" s="11"/>
      <c r="B51" s="98"/>
      <c r="C51" s="49"/>
      <c r="D51" s="9"/>
      <c r="E51" s="9"/>
      <c r="F51" s="9"/>
      <c r="G51" s="9"/>
      <c r="H51" s="9"/>
      <c r="I51" s="9"/>
      <c r="J51" s="9"/>
      <c r="K51" s="9"/>
      <c r="L51" s="9"/>
      <c r="M51" s="9"/>
      <c r="N51" s="9"/>
      <c r="O51" s="9"/>
      <c r="P51" s="9"/>
      <c r="Q51" s="9"/>
      <c r="R51" s="9"/>
      <c r="S51" s="9"/>
      <c r="T51" s="9"/>
    </row>
    <row r="52" spans="1:20" ht="22.25" customHeight="1" x14ac:dyDescent="0.15">
      <c r="A52" s="21" t="s">
        <v>14</v>
      </c>
      <c r="B52" s="22" t="s">
        <v>42</v>
      </c>
      <c r="C52" s="23"/>
      <c r="D52" s="24"/>
      <c r="E52" s="48">
        <v>2016</v>
      </c>
      <c r="F52" s="48">
        <v>2017</v>
      </c>
      <c r="G52" s="48">
        <v>2018</v>
      </c>
      <c r="H52" s="48">
        <v>2019</v>
      </c>
      <c r="I52" s="48">
        <v>2020</v>
      </c>
      <c r="J52" s="48">
        <v>2021</v>
      </c>
      <c r="K52" s="48">
        <v>2022</v>
      </c>
      <c r="L52" s="48">
        <v>2023</v>
      </c>
      <c r="M52" s="48">
        <v>2024</v>
      </c>
      <c r="N52" s="48">
        <v>2025</v>
      </c>
      <c r="O52" s="94"/>
      <c r="P52" s="94"/>
      <c r="Q52" s="94"/>
      <c r="R52" s="94"/>
      <c r="S52" s="94"/>
      <c r="T52" s="94"/>
    </row>
    <row r="53" spans="1:20" ht="22.25" customHeight="1" x14ac:dyDescent="0.15">
      <c r="A53" s="11"/>
      <c r="B53" s="26" t="s">
        <v>43</v>
      </c>
      <c r="C53" s="49"/>
      <c r="D53" s="9"/>
      <c r="E53" s="50">
        <v>7700</v>
      </c>
      <c r="F53" s="50">
        <v>9520</v>
      </c>
      <c r="G53" s="50">
        <v>10972</v>
      </c>
      <c r="H53" s="50">
        <v>12239</v>
      </c>
      <c r="I53" s="50">
        <v>12241</v>
      </c>
      <c r="J53" s="50">
        <v>12551</v>
      </c>
      <c r="K53" s="50">
        <v>15154</v>
      </c>
      <c r="L53" s="50">
        <v>16846</v>
      </c>
      <c r="M53" s="97">
        <v>19451</v>
      </c>
      <c r="N53" s="97">
        <v>23460</v>
      </c>
      <c r="O53" s="9"/>
      <c r="P53" s="9"/>
      <c r="Q53" s="9"/>
      <c r="R53" s="9"/>
      <c r="S53" s="9"/>
      <c r="T53" s="9"/>
    </row>
    <row r="54" spans="1:20" ht="22.25" customHeight="1" x14ac:dyDescent="0.15">
      <c r="A54" s="11"/>
      <c r="B54" s="72" t="s">
        <v>39</v>
      </c>
      <c r="C54" s="49"/>
      <c r="D54" s="9"/>
      <c r="E54" s="92">
        <f t="shared" ref="E54:N54" si="18">E53/E43</f>
        <v>8.1509082440614805E-2</v>
      </c>
      <c r="F54" s="92">
        <f t="shared" si="18"/>
        <v>9.19229469415343E-2</v>
      </c>
      <c r="G54" s="92">
        <f t="shared" si="18"/>
        <v>9.2853213726568781E-2</v>
      </c>
      <c r="H54" s="92">
        <f t="shared" si="18"/>
        <v>9.1129758828916704E-2</v>
      </c>
      <c r="I54" s="92">
        <f t="shared" si="18"/>
        <v>7.8542463362677409E-2</v>
      </c>
      <c r="J54" s="92">
        <f t="shared" si="18"/>
        <v>6.8374718078905217E-2</v>
      </c>
      <c r="K54" s="92">
        <f t="shared" ca="1" si="18"/>
        <v>7.1494925200191919E-2</v>
      </c>
      <c r="L54" s="92">
        <f t="shared" ca="1" si="18"/>
        <v>7.0185899666755799E-2</v>
      </c>
      <c r="M54" s="92">
        <f t="shared" ca="1" si="18"/>
        <v>7.0669310700195886E-2</v>
      </c>
      <c r="N54" s="92">
        <f t="shared" ca="1" si="18"/>
        <v>7.4425374202894898E-2</v>
      </c>
      <c r="O54" s="9"/>
      <c r="P54" s="9"/>
      <c r="Q54" s="9"/>
      <c r="R54" s="9"/>
      <c r="S54" s="9"/>
      <c r="T54" s="9"/>
    </row>
    <row r="55" spans="1:20" ht="22.25" customHeight="1" x14ac:dyDescent="0.15">
      <c r="A55" s="11"/>
      <c r="B55" s="72" t="s">
        <v>44</v>
      </c>
      <c r="C55" s="49"/>
      <c r="D55" s="9"/>
      <c r="E55" s="92">
        <f t="shared" ref="E55:N55" si="19">E53/E57</f>
        <v>0.93367285073360007</v>
      </c>
      <c r="F55" s="92">
        <f t="shared" si="19"/>
        <v>0.96210207175341078</v>
      </c>
      <c r="G55" s="92">
        <f t="shared" si="19"/>
        <v>0.85799186737566469</v>
      </c>
      <c r="H55" s="92">
        <f t="shared" si="19"/>
        <v>0.83440141805290424</v>
      </c>
      <c r="I55" s="92">
        <f t="shared" si="19"/>
        <v>0.6772712183246653</v>
      </c>
      <c r="J55" s="92">
        <f t="shared" si="19"/>
        <v>0.565233055618104</v>
      </c>
      <c r="K55" s="92">
        <f t="shared" si="19"/>
        <v>0.59401826663008117</v>
      </c>
      <c r="L55" s="92">
        <f t="shared" si="19"/>
        <v>0.57899982814916651</v>
      </c>
      <c r="M55" s="92">
        <f t="shared" si="19"/>
        <v>0.5549659048760307</v>
      </c>
      <c r="N55" s="92">
        <f t="shared" si="19"/>
        <v>0.54620381364811066</v>
      </c>
      <c r="O55" s="9"/>
      <c r="P55" s="9"/>
      <c r="Q55" s="9"/>
      <c r="R55" s="9"/>
      <c r="S55" s="9"/>
      <c r="T55" s="9"/>
    </row>
    <row r="56" spans="1:20" ht="22.25" customHeight="1" x14ac:dyDescent="0.15">
      <c r="A56" s="11"/>
      <c r="B56" s="18"/>
      <c r="C56" s="49"/>
      <c r="D56" s="9"/>
      <c r="E56" s="9"/>
      <c r="F56" s="9"/>
      <c r="G56" s="9"/>
      <c r="H56" s="9"/>
      <c r="I56" s="9"/>
      <c r="J56" s="9"/>
      <c r="K56" s="9"/>
      <c r="L56" s="9"/>
      <c r="M56" s="9"/>
      <c r="N56" s="9"/>
      <c r="O56" s="9"/>
      <c r="P56" s="9"/>
      <c r="Q56" s="9"/>
      <c r="R56" s="9"/>
      <c r="S56" s="9"/>
      <c r="T56" s="9"/>
    </row>
    <row r="57" spans="1:20" ht="22.25" customHeight="1" x14ac:dyDescent="0.15">
      <c r="A57" s="11"/>
      <c r="B57" s="26" t="s">
        <v>45</v>
      </c>
      <c r="C57" s="49"/>
      <c r="D57" s="9"/>
      <c r="E57" s="50">
        <v>8247</v>
      </c>
      <c r="F57" s="50">
        <v>9895</v>
      </c>
      <c r="G57" s="50">
        <v>12788</v>
      </c>
      <c r="H57" s="50">
        <v>14668</v>
      </c>
      <c r="I57" s="50">
        <v>18074</v>
      </c>
      <c r="J57" s="50">
        <v>22205</v>
      </c>
      <c r="K57" s="50">
        <v>25511</v>
      </c>
      <c r="L57" s="50">
        <v>29095</v>
      </c>
      <c r="M57" s="97">
        <v>35049</v>
      </c>
      <c r="N57" s="97">
        <v>42951</v>
      </c>
      <c r="O57" s="9"/>
      <c r="P57" s="9"/>
      <c r="Q57" s="9"/>
      <c r="R57" s="9"/>
      <c r="S57" s="9"/>
      <c r="T57" s="9"/>
    </row>
    <row r="58" spans="1:20" ht="22.25" customHeight="1" x14ac:dyDescent="0.15">
      <c r="A58" s="11"/>
      <c r="B58" s="72" t="s">
        <v>39</v>
      </c>
      <c r="C58" s="49"/>
      <c r="D58" s="9"/>
      <c r="E58" s="92">
        <f t="shared" ref="E58:N58" si="20">E57/E43</f>
        <v>8.7299402972435117E-2</v>
      </c>
      <c r="F58" s="92">
        <f t="shared" si="20"/>
        <v>9.5543861343117847E-2</v>
      </c>
      <c r="G58" s="92">
        <f t="shared" si="20"/>
        <v>0.10822155460584776</v>
      </c>
      <c r="H58" s="92">
        <f t="shared" si="20"/>
        <v>0.10921572861365718</v>
      </c>
      <c r="I58" s="92">
        <f t="shared" si="20"/>
        <v>0.1159689962271899</v>
      </c>
      <c r="J58" s="92">
        <f t="shared" si="20"/>
        <v>0.12096730260075615</v>
      </c>
      <c r="K58" s="92">
        <f t="shared" ca="1" si="20"/>
        <v>0.12035812569500437</v>
      </c>
      <c r="L58" s="92">
        <f t="shared" ca="1" si="20"/>
        <v>0.12121920638752581</v>
      </c>
      <c r="M58" s="92">
        <f t="shared" ca="1" si="20"/>
        <v>0.12733991418082183</v>
      </c>
      <c r="N58" s="92">
        <f t="shared" ca="1" si="20"/>
        <v>0.13625934558348418</v>
      </c>
      <c r="O58" s="9"/>
      <c r="P58" s="9"/>
      <c r="Q58" s="9"/>
      <c r="R58" s="9"/>
      <c r="S58" s="9"/>
      <c r="T58" s="9"/>
    </row>
    <row r="59" spans="1:20" ht="22.25" customHeight="1" x14ac:dyDescent="0.15">
      <c r="A59" s="11"/>
      <c r="B59" s="98"/>
      <c r="C59" s="49"/>
      <c r="D59" s="9"/>
      <c r="E59" s="9"/>
      <c r="F59" s="9"/>
      <c r="G59" s="9"/>
      <c r="H59" s="9"/>
      <c r="I59" s="9"/>
      <c r="J59" s="9"/>
      <c r="K59" s="9"/>
      <c r="L59" s="9"/>
      <c r="M59" s="9"/>
      <c r="N59" s="9"/>
      <c r="O59" s="9"/>
      <c r="P59" s="9"/>
      <c r="Q59" s="9"/>
      <c r="R59" s="9"/>
      <c r="S59" s="9"/>
      <c r="T59" s="9"/>
    </row>
    <row r="60" spans="1:20" ht="22.25" customHeight="1" x14ac:dyDescent="0.15">
      <c r="A60" s="11"/>
      <c r="B60" s="26" t="s">
        <v>46</v>
      </c>
      <c r="C60" s="49"/>
      <c r="D60" s="9"/>
      <c r="E60" s="99">
        <v>-212</v>
      </c>
      <c r="F60" s="99">
        <v>11060</v>
      </c>
      <c r="G60" s="99">
        <v>12167</v>
      </c>
      <c r="H60" s="99">
        <v>1192</v>
      </c>
      <c r="I60" s="99">
        <v>-1210</v>
      </c>
      <c r="J60" s="99">
        <v>-4567</v>
      </c>
      <c r="K60" s="9"/>
      <c r="L60" s="9"/>
      <c r="M60" s="9"/>
      <c r="N60" s="9"/>
      <c r="O60" s="9"/>
      <c r="P60" s="9"/>
      <c r="Q60" s="9"/>
      <c r="R60" s="9"/>
      <c r="S60" s="9"/>
      <c r="T60" s="9"/>
    </row>
    <row r="61" spans="1:20" ht="22.25" customHeight="1" x14ac:dyDescent="0.15">
      <c r="A61" s="11"/>
      <c r="B61" s="72" t="s">
        <v>39</v>
      </c>
      <c r="C61" s="49"/>
      <c r="D61" s="9"/>
      <c r="E61" s="92">
        <f>E60/E46</f>
        <v>-7.3777623107708365E-3</v>
      </c>
      <c r="F61" s="92">
        <f>F60/F43</f>
        <v>0.10679283541737074</v>
      </c>
      <c r="G61" s="92">
        <f>G60/G43</f>
        <v>0.10296619134261414</v>
      </c>
      <c r="H61" s="92">
        <f>H60/H43</f>
        <v>8.8754532661221262E-3</v>
      </c>
      <c r="I61" s="92">
        <f>I60/I43</f>
        <v>-7.7637758899468728E-3</v>
      </c>
      <c r="J61" s="92">
        <f>J60/J43</f>
        <v>-2.4879877098745926E-2</v>
      </c>
      <c r="K61" s="9"/>
      <c r="L61" s="9"/>
      <c r="M61" s="9"/>
      <c r="N61" s="9"/>
      <c r="O61" s="9"/>
      <c r="P61" s="9"/>
      <c r="Q61" s="9"/>
      <c r="R61" s="9"/>
      <c r="S61" s="9"/>
      <c r="T61" s="9"/>
    </row>
    <row r="62" spans="1:20" ht="22.25" customHeight="1" x14ac:dyDescent="0.15">
      <c r="A62" s="11"/>
      <c r="B62" s="72" t="s">
        <v>47</v>
      </c>
      <c r="C62" s="49"/>
      <c r="D62" s="9"/>
      <c r="E62" s="9"/>
      <c r="F62" s="92">
        <f>F60/(F43-E43)</f>
        <v>1.2157854237660768</v>
      </c>
      <c r="G62" s="92">
        <f>G60/(G43-F43)</f>
        <v>0.83335616438356164</v>
      </c>
      <c r="H62" s="92">
        <f>H60/(H43-G43)</f>
        <v>7.3862932209691409E-2</v>
      </c>
      <c r="I62" s="92">
        <f>I60/(I43-H43)</f>
        <v>-5.6151097498723837E-2</v>
      </c>
      <c r="J62" s="92">
        <f>J60/(J43-I43)</f>
        <v>-0.1648141465175027</v>
      </c>
      <c r="K62" s="9"/>
      <c r="L62" s="9"/>
      <c r="M62" s="9"/>
      <c r="N62" s="9"/>
      <c r="O62" s="9"/>
      <c r="P62" s="9"/>
      <c r="Q62" s="9"/>
      <c r="R62" s="9"/>
      <c r="S62" s="9"/>
      <c r="T62" s="9"/>
    </row>
    <row r="63" spans="1:20" ht="22.25" customHeight="1" x14ac:dyDescent="0.15">
      <c r="A63" s="11"/>
      <c r="B63" s="18"/>
      <c r="C63" s="49"/>
      <c r="D63" s="9"/>
      <c r="E63" s="9"/>
      <c r="F63" s="9"/>
      <c r="G63" s="9"/>
      <c r="H63" s="9"/>
      <c r="I63" s="9"/>
      <c r="J63" s="9"/>
      <c r="K63" s="100">
        <v>1</v>
      </c>
      <c r="L63" s="100">
        <v>2</v>
      </c>
      <c r="M63" s="100">
        <v>3</v>
      </c>
      <c r="N63" s="100">
        <v>4</v>
      </c>
      <c r="O63" s="100">
        <v>5</v>
      </c>
      <c r="P63" s="100">
        <v>6</v>
      </c>
      <c r="Q63" s="100">
        <v>7</v>
      </c>
      <c r="R63" s="100">
        <v>8</v>
      </c>
      <c r="S63" s="100">
        <v>9</v>
      </c>
      <c r="T63" s="100">
        <v>10</v>
      </c>
    </row>
    <row r="64" spans="1:20" ht="22.25" customHeight="1" x14ac:dyDescent="0.15">
      <c r="A64" s="21" t="s">
        <v>14</v>
      </c>
      <c r="B64" s="22" t="s">
        <v>48</v>
      </c>
      <c r="C64" s="23"/>
      <c r="D64" s="24"/>
      <c r="E64" s="48">
        <v>2016</v>
      </c>
      <c r="F64" s="48">
        <v>2017</v>
      </c>
      <c r="G64" s="48">
        <v>2018</v>
      </c>
      <c r="H64" s="48">
        <v>2019</v>
      </c>
      <c r="I64" s="48">
        <v>2020</v>
      </c>
      <c r="J64" s="48">
        <v>2021</v>
      </c>
      <c r="K64" s="48">
        <v>2022</v>
      </c>
      <c r="L64" s="48">
        <v>2023</v>
      </c>
      <c r="M64" s="48">
        <v>2024</v>
      </c>
      <c r="N64" s="48">
        <v>2025</v>
      </c>
      <c r="O64" s="48">
        <v>2026</v>
      </c>
      <c r="P64" s="48">
        <v>2027</v>
      </c>
      <c r="Q64" s="48">
        <v>2028</v>
      </c>
      <c r="R64" s="48">
        <v>2029</v>
      </c>
      <c r="S64" s="48">
        <v>2030</v>
      </c>
      <c r="T64" s="48">
        <v>2031</v>
      </c>
    </row>
    <row r="65" spans="1:20" ht="22.25" customHeight="1" x14ac:dyDescent="0.15">
      <c r="A65" s="11"/>
      <c r="B65" s="26" t="s">
        <v>38</v>
      </c>
      <c r="C65" s="49"/>
      <c r="D65" s="9"/>
      <c r="E65" s="95">
        <f t="shared" ref="E65:T65" si="21">E39</f>
        <v>94468</v>
      </c>
      <c r="F65" s="95">
        <f t="shared" si="21"/>
        <v>103565</v>
      </c>
      <c r="G65" s="95">
        <f t="shared" si="21"/>
        <v>118165</v>
      </c>
      <c r="H65" s="95">
        <f t="shared" si="21"/>
        <v>134303</v>
      </c>
      <c r="I65" s="95">
        <f t="shared" si="21"/>
        <v>155852</v>
      </c>
      <c r="J65" s="95">
        <f t="shared" si="21"/>
        <v>183562</v>
      </c>
      <c r="K65" s="95">
        <f t="shared" ca="1" si="21"/>
        <v>211959.1</v>
      </c>
      <c r="L65" s="95">
        <f t="shared" ca="1" si="21"/>
        <v>240019.72020000001</v>
      </c>
      <c r="M65" s="95">
        <f t="shared" ca="1" si="21"/>
        <v>275239.70175000001</v>
      </c>
      <c r="N65" s="95">
        <f t="shared" ca="1" si="21"/>
        <v>315215.07619221997</v>
      </c>
      <c r="O65" s="95">
        <f t="shared" ca="1" si="21"/>
        <v>358294.58855394507</v>
      </c>
      <c r="P65" s="95">
        <f t="shared" ca="1" si="21"/>
        <v>404187.30738852627</v>
      </c>
      <c r="Q65" s="95">
        <f t="shared" ca="1" si="21"/>
        <v>452484.97262573935</v>
      </c>
      <c r="R65" s="95">
        <f t="shared" ca="1" si="21"/>
        <v>502657.4344858636</v>
      </c>
      <c r="S65" s="95">
        <f t="shared" ca="1" si="21"/>
        <v>554052.29040336446</v>
      </c>
      <c r="T65" s="95">
        <f t="shared" ca="1" si="21"/>
        <v>605899.4415276933</v>
      </c>
    </row>
    <row r="66" spans="1:20" ht="22.25" customHeight="1" x14ac:dyDescent="0.15">
      <c r="A66" s="11"/>
      <c r="B66" s="72" t="s">
        <v>30</v>
      </c>
      <c r="C66" s="49"/>
      <c r="D66" s="9"/>
      <c r="E66" s="9"/>
      <c r="F66" s="92">
        <f t="shared" ref="F66:T66" si="22">F65/E65-1</f>
        <v>9.6297158826269103E-2</v>
      </c>
      <c r="G66" s="92">
        <f t="shared" si="22"/>
        <v>0.14097426736831942</v>
      </c>
      <c r="H66" s="92">
        <f t="shared" si="22"/>
        <v>0.13657174290187446</v>
      </c>
      <c r="I66" s="92">
        <f t="shared" si="22"/>
        <v>0.16045062284535705</v>
      </c>
      <c r="J66" s="92">
        <f t="shared" si="22"/>
        <v>0.17779688422349404</v>
      </c>
      <c r="K66" s="92">
        <f t="shared" ca="1" si="22"/>
        <v>0.15470031923818661</v>
      </c>
      <c r="L66" s="92">
        <f t="shared" ca="1" si="22"/>
        <v>0.13238695672891621</v>
      </c>
      <c r="M66" s="92">
        <f t="shared" ca="1" si="22"/>
        <v>0.14673786604139205</v>
      </c>
      <c r="N66" s="92">
        <f t="shared" ca="1" si="22"/>
        <v>0.14523840197490689</v>
      </c>
      <c r="O66" s="92">
        <f t="shared" ca="1" si="22"/>
        <v>0.13666704296673604</v>
      </c>
      <c r="P66" s="92">
        <f t="shared" ca="1" si="22"/>
        <v>0.1280865530785753</v>
      </c>
      <c r="Q66" s="92">
        <f t="shared" ca="1" si="22"/>
        <v>0.11949327540557042</v>
      </c>
      <c r="R66" s="92">
        <f t="shared" ca="1" si="22"/>
        <v>0.11088205110763538</v>
      </c>
      <c r="S66" s="92">
        <f t="shared" ca="1" si="22"/>
        <v>0.10224628622089194</v>
      </c>
      <c r="T66" s="92">
        <f t="shared" ca="1" si="22"/>
        <v>9.3578082831464737E-2</v>
      </c>
    </row>
    <row r="67" spans="1:20" ht="22.25" customHeight="1" x14ac:dyDescent="0.15">
      <c r="A67" s="11"/>
      <c r="B67" s="18"/>
      <c r="C67" s="49"/>
      <c r="D67" s="9"/>
      <c r="E67" s="9"/>
      <c r="F67" s="9"/>
      <c r="G67" s="9"/>
      <c r="H67" s="9"/>
      <c r="I67" s="9"/>
      <c r="J67" s="9"/>
      <c r="K67" s="9"/>
      <c r="L67" s="9"/>
      <c r="M67" s="9"/>
      <c r="N67" s="9"/>
      <c r="O67" s="9"/>
      <c r="P67" s="9"/>
      <c r="Q67" s="9"/>
      <c r="R67" s="9"/>
      <c r="S67" s="9"/>
      <c r="T67" s="9"/>
    </row>
    <row r="68" spans="1:20" ht="22.25" customHeight="1" x14ac:dyDescent="0.15">
      <c r="A68" s="11"/>
      <c r="B68" s="26" t="s">
        <v>23</v>
      </c>
      <c r="C68" s="49"/>
      <c r="D68" s="9"/>
      <c r="E68" s="95">
        <f t="shared" ref="E68:J68" si="23">E46</f>
        <v>28735</v>
      </c>
      <c r="F68" s="95">
        <f t="shared" si="23"/>
        <v>32222</v>
      </c>
      <c r="G68" s="95">
        <f t="shared" si="23"/>
        <v>39041</v>
      </c>
      <c r="H68" s="95">
        <f t="shared" si="23"/>
        <v>47927</v>
      </c>
      <c r="I68" s="95">
        <f t="shared" si="23"/>
        <v>61580</v>
      </c>
      <c r="J68" s="95">
        <f t="shared" si="23"/>
        <v>77053</v>
      </c>
      <c r="K68" s="51">
        <f t="shared" ref="K68:T68" ca="1" si="24">K69*K65</f>
        <v>90124</v>
      </c>
      <c r="L68" s="51">
        <f t="shared" ca="1" si="24"/>
        <v>103886</v>
      </c>
      <c r="M68" s="51">
        <f t="shared" ca="1" si="24"/>
        <v>120003</v>
      </c>
      <c r="N68" s="51">
        <f t="shared" ca="1" si="24"/>
        <v>136987</v>
      </c>
      <c r="O68" s="51">
        <f t="shared" ca="1" si="24"/>
        <v>156629.26765394941</v>
      </c>
      <c r="P68" s="51">
        <f t="shared" ca="1" si="24"/>
        <v>177729.9541921397</v>
      </c>
      <c r="Q68" s="51">
        <f t="shared" ca="1" si="24"/>
        <v>200130.17583757601</v>
      </c>
      <c r="R68" s="51">
        <f t="shared" ca="1" si="24"/>
        <v>223612.628654865</v>
      </c>
      <c r="S68" s="51">
        <f t="shared" ca="1" si="24"/>
        <v>247899.86008421518</v>
      </c>
      <c r="T68" s="51">
        <f t="shared" ca="1" si="24"/>
        <v>272654.74868746201</v>
      </c>
    </row>
    <row r="69" spans="1:20" ht="22.75" customHeight="1" x14ac:dyDescent="0.15">
      <c r="A69" s="11"/>
      <c r="B69" s="72" t="s">
        <v>39</v>
      </c>
      <c r="C69" s="49"/>
      <c r="D69" s="9"/>
      <c r="E69" s="92">
        <f t="shared" ref="E69:J69" si="25">E68/E65</f>
        <v>0.30417707583520348</v>
      </c>
      <c r="F69" s="92">
        <f t="shared" si="25"/>
        <v>0.31112827692753342</v>
      </c>
      <c r="G69" s="92">
        <f t="shared" si="25"/>
        <v>0.33039394067617317</v>
      </c>
      <c r="H69" s="92">
        <f t="shared" si="25"/>
        <v>0.35685725560858655</v>
      </c>
      <c r="I69" s="92">
        <f t="shared" si="25"/>
        <v>0.39511844570489951</v>
      </c>
      <c r="J69" s="92">
        <f t="shared" si="25"/>
        <v>0.41976552881315304</v>
      </c>
      <c r="K69" s="101">
        <f t="shared" ref="K69:T69" ca="1" si="26">OFFSET(K69,$C$13,0)</f>
        <v>0.42519523813792376</v>
      </c>
      <c r="L69" s="101">
        <f t="shared" ca="1" si="26"/>
        <v>0.43282276936843123</v>
      </c>
      <c r="M69" s="101">
        <f t="shared" ca="1" si="26"/>
        <v>0.43599451400728018</v>
      </c>
      <c r="N69" s="101">
        <f t="shared" ca="1" si="26"/>
        <v>0.43458264006530112</v>
      </c>
      <c r="O69" s="101">
        <f t="shared" ca="1" si="26"/>
        <v>0.43715220005441757</v>
      </c>
      <c r="P69" s="101">
        <f t="shared" ca="1" si="26"/>
        <v>0.43972176004353408</v>
      </c>
      <c r="Q69" s="101">
        <f t="shared" ca="1" si="26"/>
        <v>0.44229132003265059</v>
      </c>
      <c r="R69" s="101">
        <f t="shared" ca="1" si="26"/>
        <v>0.44486088002176705</v>
      </c>
      <c r="S69" s="101">
        <f t="shared" ca="1" si="26"/>
        <v>0.4474304400108835</v>
      </c>
      <c r="T69" s="101">
        <f t="shared" ca="1" si="26"/>
        <v>0.45</v>
      </c>
    </row>
    <row r="70" spans="1:20" ht="23" customHeight="1" x14ac:dyDescent="0.15">
      <c r="A70" s="11"/>
      <c r="B70" s="60" t="s">
        <v>31</v>
      </c>
      <c r="C70" s="49"/>
      <c r="D70" s="9"/>
      <c r="E70" s="9"/>
      <c r="F70" s="9"/>
      <c r="G70" s="9"/>
      <c r="H70" s="9"/>
      <c r="I70" s="9"/>
      <c r="J70" s="43"/>
      <c r="K70" s="65">
        <f ca="1">K71</f>
        <v>0.42519523813792376</v>
      </c>
      <c r="L70" s="66">
        <f t="shared" ref="L70:T70" ca="1" si="27">L71*$F$13</f>
        <v>0.41118163090000964</v>
      </c>
      <c r="M70" s="66">
        <f t="shared" ca="1" si="27"/>
        <v>0.41419478830691614</v>
      </c>
      <c r="N70" s="66">
        <f t="shared" ca="1" si="27"/>
        <v>0.41285350806203602</v>
      </c>
      <c r="O70" s="66">
        <f t="shared" ca="1" si="27"/>
        <v>0.41529459005169667</v>
      </c>
      <c r="P70" s="66">
        <f t="shared" ca="1" si="27"/>
        <v>0.41773567204135736</v>
      </c>
      <c r="Q70" s="66">
        <f t="shared" ca="1" si="27"/>
        <v>0.42017675403101806</v>
      </c>
      <c r="R70" s="66">
        <f t="shared" ca="1" si="27"/>
        <v>0.42261783602067865</v>
      </c>
      <c r="S70" s="66">
        <f t="shared" ca="1" si="27"/>
        <v>0.42505891801033929</v>
      </c>
      <c r="T70" s="66">
        <f t="shared" si="27"/>
        <v>0.42749999999999999</v>
      </c>
    </row>
    <row r="71" spans="1:20" ht="23" customHeight="1" x14ac:dyDescent="0.15">
      <c r="A71" s="11"/>
      <c r="B71" s="60" t="s">
        <v>32</v>
      </c>
      <c r="C71" s="49"/>
      <c r="D71" s="9"/>
      <c r="E71" s="9"/>
      <c r="F71" s="9"/>
      <c r="G71" s="9"/>
      <c r="H71" s="9"/>
      <c r="I71" s="9"/>
      <c r="J71" s="43"/>
      <c r="K71" s="68">
        <f ca="1">K47</f>
        <v>0.42519523813792376</v>
      </c>
      <c r="L71" s="68">
        <f ca="1">L47</f>
        <v>0.43282276936843123</v>
      </c>
      <c r="M71" s="66">
        <f ca="1">M47</f>
        <v>0.43599451400728018</v>
      </c>
      <c r="N71" s="66">
        <f ca="1">N47</f>
        <v>0.43458264006530112</v>
      </c>
      <c r="O71" s="66">
        <f ca="1">N71+($T$71-N71)/($T$64-N64)</f>
        <v>0.43715220005441757</v>
      </c>
      <c r="P71" s="66">
        <f ca="1">O71+($T$71-O71)/($T$64-O64)</f>
        <v>0.43972176004353408</v>
      </c>
      <c r="Q71" s="66">
        <f ca="1">P71+($T$71-P71)/($T$64-P64)</f>
        <v>0.44229132003265059</v>
      </c>
      <c r="R71" s="66">
        <f ca="1">Q71+($T$71-Q71)/($T$64-Q64)</f>
        <v>0.44486088002176705</v>
      </c>
      <c r="S71" s="66">
        <f ca="1">R71+($T$71-R71)/($T$64-R64)</f>
        <v>0.4474304400108835</v>
      </c>
      <c r="T71" s="66">
        <f>I13</f>
        <v>0.45</v>
      </c>
    </row>
    <row r="72" spans="1:20" ht="23" customHeight="1" x14ac:dyDescent="0.15">
      <c r="A72" s="11"/>
      <c r="B72" s="60" t="s">
        <v>33</v>
      </c>
      <c r="C72" s="49"/>
      <c r="D72" s="9"/>
      <c r="E72" s="9"/>
      <c r="F72" s="9"/>
      <c r="G72" s="9"/>
      <c r="H72" s="9"/>
      <c r="I72" s="9"/>
      <c r="J72" s="43"/>
      <c r="K72" s="65">
        <f ca="1">K71</f>
        <v>0.42519523813792376</v>
      </c>
      <c r="L72" s="66">
        <f t="shared" ref="L72:T72" ca="1" si="28">L71*$L$13</f>
        <v>0.45446390783685281</v>
      </c>
      <c r="M72" s="66">
        <f t="shared" ca="1" si="28"/>
        <v>0.45779423970764421</v>
      </c>
      <c r="N72" s="66">
        <f t="shared" ca="1" si="28"/>
        <v>0.45631177206856621</v>
      </c>
      <c r="O72" s="66">
        <f t="shared" ca="1" si="28"/>
        <v>0.45900981005713848</v>
      </c>
      <c r="P72" s="66">
        <f t="shared" ca="1" si="28"/>
        <v>0.4617078480457108</v>
      </c>
      <c r="Q72" s="66">
        <f t="shared" ca="1" si="28"/>
        <v>0.46440588603428312</v>
      </c>
      <c r="R72" s="66">
        <f t="shared" ca="1" si="28"/>
        <v>0.46710392402285544</v>
      </c>
      <c r="S72" s="66">
        <f t="shared" ca="1" si="28"/>
        <v>0.46980196201142771</v>
      </c>
      <c r="T72" s="66">
        <f t="shared" si="28"/>
        <v>0.47250000000000003</v>
      </c>
    </row>
    <row r="73" spans="1:20" ht="22.75" customHeight="1" x14ac:dyDescent="0.15">
      <c r="A73" s="11"/>
      <c r="B73" s="18"/>
      <c r="C73" s="49"/>
      <c r="D73" s="9"/>
      <c r="E73" s="9"/>
      <c r="F73" s="9"/>
      <c r="G73" s="9"/>
      <c r="H73" s="9"/>
      <c r="I73" s="9"/>
      <c r="J73" s="9"/>
      <c r="K73" s="45"/>
      <c r="L73" s="45"/>
      <c r="M73" s="45"/>
      <c r="N73" s="45"/>
      <c r="O73" s="45"/>
      <c r="P73" s="45"/>
      <c r="Q73" s="45"/>
      <c r="R73" s="45"/>
      <c r="S73" s="45"/>
      <c r="T73" s="45"/>
    </row>
    <row r="74" spans="1:20" ht="22.75" customHeight="1" x14ac:dyDescent="0.15">
      <c r="A74" s="11"/>
      <c r="B74" s="26" t="s">
        <v>40</v>
      </c>
      <c r="C74" s="49"/>
      <c r="D74" s="9"/>
      <c r="E74" s="95">
        <f t="shared" ref="E74:L74" si="29">E49</f>
        <v>3775</v>
      </c>
      <c r="F74" s="95">
        <f t="shared" si="29"/>
        <v>5198</v>
      </c>
      <c r="G74" s="95">
        <f t="shared" si="29"/>
        <v>5344</v>
      </c>
      <c r="H74" s="95">
        <f t="shared" si="29"/>
        <v>6682</v>
      </c>
      <c r="I74" s="95">
        <f t="shared" si="29"/>
        <v>9309</v>
      </c>
      <c r="J74" s="95">
        <f t="shared" si="29"/>
        <v>10431</v>
      </c>
      <c r="K74" s="102">
        <f t="shared" si="29"/>
        <v>13661</v>
      </c>
      <c r="L74" s="102">
        <f t="shared" si="29"/>
        <v>17630</v>
      </c>
      <c r="M74" s="103">
        <f t="shared" ref="M74:T74" ca="1" si="30">M75*M68</f>
        <v>20365.139576073772</v>
      </c>
      <c r="N74" s="103">
        <f t="shared" ca="1" si="30"/>
        <v>23247.413607223301</v>
      </c>
      <c r="O74" s="103">
        <f t="shared" ca="1" si="30"/>
        <v>26580.809625350175</v>
      </c>
      <c r="P74" s="103">
        <f t="shared" ca="1" si="30"/>
        <v>30161.706990426264</v>
      </c>
      <c r="Q74" s="103">
        <f t="shared" ca="1" si="30"/>
        <v>33963.142290746255</v>
      </c>
      <c r="R74" s="103">
        <f t="shared" ca="1" si="30"/>
        <v>37948.23790679466</v>
      </c>
      <c r="S74" s="103">
        <f t="shared" ca="1" si="30"/>
        <v>42069.908681484645</v>
      </c>
      <c r="T74" s="103">
        <f t="shared" ca="1" si="30"/>
        <v>46270.943335578952</v>
      </c>
    </row>
    <row r="75" spans="1:20" ht="23" customHeight="1" x14ac:dyDescent="0.15">
      <c r="A75" s="11"/>
      <c r="B75" s="72" t="s">
        <v>41</v>
      </c>
      <c r="C75" s="49"/>
      <c r="D75" s="9"/>
      <c r="E75" s="104">
        <f t="shared" ref="E75:L75" si="31">E74/E68</f>
        <v>0.13137289020358447</v>
      </c>
      <c r="F75" s="104">
        <f t="shared" si="31"/>
        <v>0.16131835391968222</v>
      </c>
      <c r="G75" s="104">
        <f t="shared" si="31"/>
        <v>0.13688173970953613</v>
      </c>
      <c r="H75" s="104">
        <f t="shared" si="31"/>
        <v>0.13942036847705885</v>
      </c>
      <c r="I75" s="104">
        <f t="shared" si="31"/>
        <v>0.15116921078272166</v>
      </c>
      <c r="J75" s="105">
        <f t="shared" si="31"/>
        <v>0.13537435271825887</v>
      </c>
      <c r="K75" s="106">
        <f t="shared" ca="1" si="31"/>
        <v>0.15158004527096</v>
      </c>
      <c r="L75" s="106">
        <f t="shared" ca="1" si="31"/>
        <v>0.16970525383593554</v>
      </c>
      <c r="M75" s="106">
        <f t="shared" ref="M75:T75" ca="1" si="32">L75</f>
        <v>0.16970525383593554</v>
      </c>
      <c r="N75" s="106">
        <f t="shared" ca="1" si="32"/>
        <v>0.16970525383593554</v>
      </c>
      <c r="O75" s="106">
        <f t="shared" ca="1" si="32"/>
        <v>0.16970525383593554</v>
      </c>
      <c r="P75" s="106">
        <f t="shared" ca="1" si="32"/>
        <v>0.16970525383593554</v>
      </c>
      <c r="Q75" s="106">
        <f t="shared" ca="1" si="32"/>
        <v>0.16970525383593554</v>
      </c>
      <c r="R75" s="106">
        <f t="shared" ca="1" si="32"/>
        <v>0.16970525383593554</v>
      </c>
      <c r="S75" s="106">
        <f t="shared" ca="1" si="32"/>
        <v>0.16970525383593554</v>
      </c>
      <c r="T75" s="106">
        <f t="shared" ca="1" si="32"/>
        <v>0.16970525383593554</v>
      </c>
    </row>
    <row r="76" spans="1:20" ht="23" customHeight="1" x14ac:dyDescent="0.15">
      <c r="A76" s="107"/>
      <c r="B76" s="108"/>
      <c r="C76" s="80"/>
      <c r="D76" s="81"/>
      <c r="E76" s="81"/>
      <c r="F76" s="81"/>
      <c r="G76" s="81"/>
      <c r="H76" s="81"/>
      <c r="I76" s="81"/>
      <c r="J76" s="81"/>
      <c r="K76" s="109"/>
      <c r="L76" s="109"/>
      <c r="M76" s="109"/>
      <c r="N76" s="109"/>
      <c r="O76" s="109"/>
      <c r="P76" s="109"/>
      <c r="Q76" s="109"/>
      <c r="R76" s="109"/>
      <c r="S76" s="109"/>
      <c r="T76" s="109"/>
    </row>
    <row r="77" spans="1:20" ht="22.75" customHeight="1" x14ac:dyDescent="0.15">
      <c r="A77" s="110"/>
      <c r="B77" s="111" t="s">
        <v>49</v>
      </c>
      <c r="C77" s="112"/>
      <c r="D77" s="113"/>
      <c r="E77" s="114"/>
      <c r="F77" s="114"/>
      <c r="G77" s="114"/>
      <c r="H77" s="114"/>
      <c r="I77" s="114"/>
      <c r="J77" s="114"/>
      <c r="K77" s="87">
        <f t="shared" ref="K77:T77" ca="1" si="33">K68-K74</f>
        <v>76463</v>
      </c>
      <c r="L77" s="115">
        <f t="shared" ca="1" si="33"/>
        <v>86256</v>
      </c>
      <c r="M77" s="87">
        <f t="shared" ca="1" si="33"/>
        <v>99637.860423926235</v>
      </c>
      <c r="N77" s="87">
        <f t="shared" ca="1" si="33"/>
        <v>113739.58639277669</v>
      </c>
      <c r="O77" s="87">
        <f t="shared" ca="1" si="33"/>
        <v>130048.45802859924</v>
      </c>
      <c r="P77" s="87">
        <f t="shared" ca="1" si="33"/>
        <v>147568.24720171344</v>
      </c>
      <c r="Q77" s="87">
        <f t="shared" ca="1" si="33"/>
        <v>166167.03354682977</v>
      </c>
      <c r="R77" s="87">
        <f t="shared" ca="1" si="33"/>
        <v>185664.39074807032</v>
      </c>
      <c r="S77" s="87">
        <f t="shared" ca="1" si="33"/>
        <v>205829.95140273054</v>
      </c>
      <c r="T77" s="87">
        <f t="shared" ca="1" si="33"/>
        <v>226383.80535188306</v>
      </c>
    </row>
    <row r="78" spans="1:20" ht="22.25" customHeight="1" x14ac:dyDescent="0.15">
      <c r="A78" s="11"/>
      <c r="B78" s="18"/>
      <c r="C78" s="49"/>
      <c r="D78" s="9"/>
      <c r="E78" s="96"/>
      <c r="F78" s="96"/>
      <c r="G78" s="96"/>
      <c r="H78" s="96"/>
      <c r="I78" s="96"/>
      <c r="J78" s="96"/>
      <c r="K78" s="96"/>
      <c r="L78" s="96"/>
      <c r="M78" s="96"/>
      <c r="N78" s="96"/>
      <c r="O78" s="96"/>
      <c r="P78" s="116" t="s">
        <v>50</v>
      </c>
      <c r="Q78" s="9"/>
      <c r="R78" s="9"/>
      <c r="S78" s="9"/>
      <c r="T78" s="9"/>
    </row>
    <row r="79" spans="1:20" ht="22.75" customHeight="1" x14ac:dyDescent="0.15">
      <c r="A79" s="11"/>
      <c r="B79" s="26" t="s">
        <v>43</v>
      </c>
      <c r="C79" s="49"/>
      <c r="D79" s="9"/>
      <c r="E79" s="95">
        <f t="shared" ref="E79:J79" si="34">E53</f>
        <v>7700</v>
      </c>
      <c r="F79" s="95">
        <f t="shared" si="34"/>
        <v>9520</v>
      </c>
      <c r="G79" s="95">
        <f t="shared" si="34"/>
        <v>10972</v>
      </c>
      <c r="H79" s="95">
        <f t="shared" si="34"/>
        <v>12239</v>
      </c>
      <c r="I79" s="95">
        <f t="shared" si="34"/>
        <v>12241</v>
      </c>
      <c r="J79" s="95">
        <f t="shared" si="34"/>
        <v>12551</v>
      </c>
      <c r="K79" s="117">
        <f t="shared" ref="K79:T79" ca="1" si="35">K80*K65</f>
        <v>16818.738405829597</v>
      </c>
      <c r="L79" s="117">
        <f t="shared" ca="1" si="35"/>
        <v>19045.319999397121</v>
      </c>
      <c r="M79" s="117">
        <f t="shared" ca="1" si="35"/>
        <v>20833.138746548804</v>
      </c>
      <c r="N79" s="117">
        <f t="shared" ca="1" si="35"/>
        <v>23858.910526219064</v>
      </c>
      <c r="O79" s="117">
        <f t="shared" ca="1" si="35"/>
        <v>27119.637276245357</v>
      </c>
      <c r="P79" s="117">
        <f t="shared" ca="1" si="35"/>
        <v>30593.298135700868</v>
      </c>
      <c r="Q79" s="117">
        <f t="shared" ca="1" si="35"/>
        <v>34248.991535394889</v>
      </c>
      <c r="R79" s="117">
        <f t="shared" ca="1" si="35"/>
        <v>38046.589965207524</v>
      </c>
      <c r="S79" s="117">
        <f t="shared" ca="1" si="35"/>
        <v>41936.712492519044</v>
      </c>
      <c r="T79" s="117">
        <f t="shared" ca="1" si="35"/>
        <v>45861.069647823322</v>
      </c>
    </row>
    <row r="80" spans="1:20" ht="23" customHeight="1" x14ac:dyDescent="0.15">
      <c r="A80" s="11"/>
      <c r="B80" s="72" t="s">
        <v>39</v>
      </c>
      <c r="C80" s="49"/>
      <c r="D80" s="9"/>
      <c r="E80" s="104">
        <f t="shared" ref="E80:J80" si="36">E79/E65</f>
        <v>8.1509082440614805E-2</v>
      </c>
      <c r="F80" s="104">
        <f t="shared" si="36"/>
        <v>9.19229469415343E-2</v>
      </c>
      <c r="G80" s="104">
        <f t="shared" si="36"/>
        <v>9.2853213726568781E-2</v>
      </c>
      <c r="H80" s="104">
        <f t="shared" si="36"/>
        <v>9.1129758828916704E-2</v>
      </c>
      <c r="I80" s="104">
        <f t="shared" si="36"/>
        <v>7.8542463362677409E-2</v>
      </c>
      <c r="J80" s="118">
        <f t="shared" si="36"/>
        <v>6.8374718078905217E-2</v>
      </c>
      <c r="K80" s="65">
        <f>AVERAGE(J80,I80,H80)</f>
        <v>7.9348980090166443E-2</v>
      </c>
      <c r="L80" s="68">
        <f>K80</f>
        <v>7.9348980090166443E-2</v>
      </c>
      <c r="M80" s="68">
        <f>AVERAGE(J80:L80)</f>
        <v>7.5690892753079372E-2</v>
      </c>
      <c r="N80" s="68">
        <f t="shared" ref="N80:T80" si="37">M80</f>
        <v>7.5690892753079372E-2</v>
      </c>
      <c r="O80" s="68">
        <f t="shared" si="37"/>
        <v>7.5690892753079372E-2</v>
      </c>
      <c r="P80" s="68">
        <f t="shared" si="37"/>
        <v>7.5690892753079372E-2</v>
      </c>
      <c r="Q80" s="68">
        <f t="shared" si="37"/>
        <v>7.5690892753079372E-2</v>
      </c>
      <c r="R80" s="68">
        <f t="shared" si="37"/>
        <v>7.5690892753079372E-2</v>
      </c>
      <c r="S80" s="68">
        <f t="shared" si="37"/>
        <v>7.5690892753079372E-2</v>
      </c>
      <c r="T80" s="68">
        <f t="shared" si="37"/>
        <v>7.5690892753079372E-2</v>
      </c>
    </row>
    <row r="81" spans="1:20" ht="22.75" customHeight="1" x14ac:dyDescent="0.15">
      <c r="A81" s="11"/>
      <c r="B81" s="18"/>
      <c r="C81" s="49"/>
      <c r="D81" s="9"/>
      <c r="E81" s="96"/>
      <c r="F81" s="96"/>
      <c r="G81" s="96"/>
      <c r="H81" s="96"/>
      <c r="I81" s="96"/>
      <c r="J81" s="96"/>
      <c r="K81" s="119"/>
      <c r="L81" s="119"/>
      <c r="M81" s="119"/>
      <c r="N81" s="119"/>
      <c r="O81" s="119"/>
      <c r="P81" s="119"/>
      <c r="Q81" s="45"/>
      <c r="R81" s="45"/>
      <c r="S81" s="45"/>
      <c r="T81" s="45"/>
    </row>
    <row r="82" spans="1:20" ht="22.75" customHeight="1" x14ac:dyDescent="0.15">
      <c r="A82" s="11"/>
      <c r="B82" s="26" t="s">
        <v>45</v>
      </c>
      <c r="C82" s="49"/>
      <c r="D82" s="9"/>
      <c r="E82" s="95">
        <f t="shared" ref="E82:J82" si="38">E57</f>
        <v>8247</v>
      </c>
      <c r="F82" s="95">
        <f t="shared" si="38"/>
        <v>9895</v>
      </c>
      <c r="G82" s="95">
        <f t="shared" si="38"/>
        <v>12788</v>
      </c>
      <c r="H82" s="95">
        <f t="shared" si="38"/>
        <v>14668</v>
      </c>
      <c r="I82" s="95">
        <f t="shared" si="38"/>
        <v>18074</v>
      </c>
      <c r="J82" s="95">
        <f t="shared" si="38"/>
        <v>22205</v>
      </c>
      <c r="K82" s="117">
        <f t="shared" ref="K82:T82" ca="1" si="39">K83*K65</f>
        <v>24456.69073323251</v>
      </c>
      <c r="L82" s="117">
        <f t="shared" ca="1" si="39"/>
        <v>27694.437591065445</v>
      </c>
      <c r="M82" s="117">
        <f t="shared" ca="1" si="39"/>
        <v>32270.508272707972</v>
      </c>
      <c r="N82" s="117">
        <f t="shared" ca="1" si="39"/>
        <v>36957.425325154087</v>
      </c>
      <c r="O82" s="117">
        <f t="shared" ca="1" si="39"/>
        <v>42008.287360006856</v>
      </c>
      <c r="P82" s="117">
        <f t="shared" ca="1" si="39"/>
        <v>47388.984088684425</v>
      </c>
      <c r="Q82" s="117">
        <f t="shared" ca="1" si="39"/>
        <v>53051.649015583782</v>
      </c>
      <c r="R82" s="117">
        <f t="shared" ca="1" si="39"/>
        <v>58934.124673074082</v>
      </c>
      <c r="S82" s="117">
        <f t="shared" ca="1" si="39"/>
        <v>64959.92005257494</v>
      </c>
      <c r="T82" s="117">
        <f t="shared" ca="1" si="39"/>
        <v>71038.744831980133</v>
      </c>
    </row>
    <row r="83" spans="1:20" ht="23" customHeight="1" x14ac:dyDescent="0.15">
      <c r="A83" s="11"/>
      <c r="B83" s="72" t="s">
        <v>39</v>
      </c>
      <c r="C83" s="49"/>
      <c r="D83" s="9"/>
      <c r="E83" s="104">
        <f t="shared" ref="E83:J83" si="40">E82/E65</f>
        <v>8.7299402972435117E-2</v>
      </c>
      <c r="F83" s="104">
        <f t="shared" si="40"/>
        <v>9.5543861343117847E-2</v>
      </c>
      <c r="G83" s="104">
        <f t="shared" si="40"/>
        <v>0.10822155460584776</v>
      </c>
      <c r="H83" s="104">
        <f t="shared" si="40"/>
        <v>0.10921572861365718</v>
      </c>
      <c r="I83" s="104">
        <f t="shared" si="40"/>
        <v>0.1159689962271899</v>
      </c>
      <c r="J83" s="118">
        <f t="shared" si="40"/>
        <v>0.12096730260075615</v>
      </c>
      <c r="K83" s="65">
        <f>AVERAGE(J83,I83,H83)</f>
        <v>0.11538400914720108</v>
      </c>
      <c r="L83" s="68">
        <f>K83</f>
        <v>0.11538400914720108</v>
      </c>
      <c r="M83" s="68">
        <f>AVERAGE(J83:L83)</f>
        <v>0.11724510696505276</v>
      </c>
      <c r="N83" s="68">
        <f t="shared" ref="N83:T83" si="41">M83</f>
        <v>0.11724510696505276</v>
      </c>
      <c r="O83" s="68">
        <f t="shared" si="41"/>
        <v>0.11724510696505276</v>
      </c>
      <c r="P83" s="68">
        <f t="shared" si="41"/>
        <v>0.11724510696505276</v>
      </c>
      <c r="Q83" s="68">
        <f t="shared" si="41"/>
        <v>0.11724510696505276</v>
      </c>
      <c r="R83" s="68">
        <f t="shared" si="41"/>
        <v>0.11724510696505276</v>
      </c>
      <c r="S83" s="68">
        <f t="shared" si="41"/>
        <v>0.11724510696505276</v>
      </c>
      <c r="T83" s="68">
        <f t="shared" si="41"/>
        <v>0.11724510696505276</v>
      </c>
    </row>
    <row r="84" spans="1:20" ht="22.75" customHeight="1" x14ac:dyDescent="0.15">
      <c r="A84" s="11"/>
      <c r="B84" s="18"/>
      <c r="C84" s="49"/>
      <c r="D84" s="9"/>
      <c r="E84" s="96"/>
      <c r="F84" s="96"/>
      <c r="G84" s="96"/>
      <c r="H84" s="96"/>
      <c r="I84" s="96"/>
      <c r="J84" s="96"/>
      <c r="K84" s="119"/>
      <c r="L84" s="119"/>
      <c r="M84" s="119"/>
      <c r="N84" s="119"/>
      <c r="O84" s="119"/>
      <c r="P84" s="119"/>
      <c r="Q84" s="45"/>
      <c r="R84" s="45"/>
      <c r="S84" s="45"/>
      <c r="T84" s="45"/>
    </row>
    <row r="85" spans="1:20" ht="22.75" customHeight="1" x14ac:dyDescent="0.15">
      <c r="A85" s="11"/>
      <c r="B85" s="26" t="s">
        <v>46</v>
      </c>
      <c r="C85" s="49"/>
      <c r="D85" s="9"/>
      <c r="E85" s="120">
        <f t="shared" ref="E85:J85" si="42">E60</f>
        <v>-212</v>
      </c>
      <c r="F85" s="120">
        <f t="shared" si="42"/>
        <v>11060</v>
      </c>
      <c r="G85" s="120">
        <f t="shared" si="42"/>
        <v>12167</v>
      </c>
      <c r="H85" s="120">
        <f t="shared" si="42"/>
        <v>1192</v>
      </c>
      <c r="I85" s="120">
        <f t="shared" si="42"/>
        <v>-1210</v>
      </c>
      <c r="J85" s="120">
        <f t="shared" si="42"/>
        <v>-4567</v>
      </c>
      <c r="K85" s="121">
        <f t="shared" ref="K85:T85" ca="1" si="43">K86*K65</f>
        <v>-1679.2954072721095</v>
      </c>
      <c r="L85" s="121">
        <f t="shared" ca="1" si="43"/>
        <v>-1901.61221568971</v>
      </c>
      <c r="M85" s="121">
        <f t="shared" ca="1" si="43"/>
        <v>-3736.4104735840019</v>
      </c>
      <c r="N85" s="121">
        <f t="shared" ca="1" si="43"/>
        <v>-4279.0807598896472</v>
      </c>
      <c r="O85" s="121">
        <f t="shared" ca="1" si="43"/>
        <v>-4863.8900739596193</v>
      </c>
      <c r="P85" s="121">
        <f t="shared" ca="1" si="43"/>
        <v>-5486.8889880862034</v>
      </c>
      <c r="Q85" s="121">
        <f t="shared" ca="1" si="43"/>
        <v>-6142.5353250593798</v>
      </c>
      <c r="R85" s="121">
        <f t="shared" ca="1" si="43"/>
        <v>-6823.6322409030699</v>
      </c>
      <c r="S85" s="121">
        <f t="shared" ca="1" si="43"/>
        <v>-7521.3232960725518</v>
      </c>
      <c r="T85" s="121">
        <f t="shared" ca="1" si="43"/>
        <v>-8225.1543104746543</v>
      </c>
    </row>
    <row r="86" spans="1:20" ht="23" customHeight="1" x14ac:dyDescent="0.15">
      <c r="A86" s="11"/>
      <c r="B86" s="72" t="s">
        <v>39</v>
      </c>
      <c r="C86" s="49"/>
      <c r="D86" s="9"/>
      <c r="E86" s="122">
        <f t="shared" ref="E86:J86" si="44">E85/E65</f>
        <v>-2.2441461658974466E-3</v>
      </c>
      <c r="F86" s="122">
        <f t="shared" si="44"/>
        <v>0.10679283541737074</v>
      </c>
      <c r="G86" s="122">
        <f t="shared" si="44"/>
        <v>0.10296619134261414</v>
      </c>
      <c r="H86" s="122">
        <f t="shared" si="44"/>
        <v>8.8754532661221262E-3</v>
      </c>
      <c r="I86" s="122">
        <f t="shared" si="44"/>
        <v>-7.7637758899468728E-3</v>
      </c>
      <c r="J86" s="123">
        <f t="shared" si="44"/>
        <v>-2.4879877098745926E-2</v>
      </c>
      <c r="K86" s="124">
        <f>AVERAGE(J86,I86,H86)</f>
        <v>-7.9227332408568895E-3</v>
      </c>
      <c r="L86" s="125">
        <f>K86</f>
        <v>-7.9227332408568895E-3</v>
      </c>
      <c r="M86" s="125">
        <f>AVERAGE(J86:L86)</f>
        <v>-1.3575114526819901E-2</v>
      </c>
      <c r="N86" s="125">
        <f t="shared" ref="N86:T86" si="45">M86</f>
        <v>-1.3575114526819901E-2</v>
      </c>
      <c r="O86" s="125">
        <f t="shared" si="45"/>
        <v>-1.3575114526819901E-2</v>
      </c>
      <c r="P86" s="125">
        <f t="shared" si="45"/>
        <v>-1.3575114526819901E-2</v>
      </c>
      <c r="Q86" s="125">
        <f t="shared" si="45"/>
        <v>-1.3575114526819901E-2</v>
      </c>
      <c r="R86" s="125">
        <f t="shared" si="45"/>
        <v>-1.3575114526819901E-2</v>
      </c>
      <c r="S86" s="125">
        <f t="shared" si="45"/>
        <v>-1.3575114526819901E-2</v>
      </c>
      <c r="T86" s="125">
        <f t="shared" si="45"/>
        <v>-1.3575114526819901E-2</v>
      </c>
    </row>
    <row r="87" spans="1:20" ht="23" customHeight="1" x14ac:dyDescent="0.15">
      <c r="A87" s="107"/>
      <c r="B87" s="126"/>
      <c r="C87" s="80"/>
      <c r="D87" s="81"/>
      <c r="E87" s="127"/>
      <c r="F87" s="127"/>
      <c r="G87" s="127"/>
      <c r="H87" s="127"/>
      <c r="I87" s="127"/>
      <c r="J87" s="127"/>
      <c r="K87" s="128"/>
      <c r="L87" s="128"/>
      <c r="M87" s="128"/>
      <c r="N87" s="128"/>
      <c r="O87" s="128"/>
      <c r="P87" s="128"/>
      <c r="Q87" s="129"/>
      <c r="R87" s="129"/>
      <c r="S87" s="129"/>
      <c r="T87" s="129"/>
    </row>
    <row r="88" spans="1:20" ht="22.75" customHeight="1" x14ac:dyDescent="0.15">
      <c r="A88" s="110"/>
      <c r="B88" s="111" t="s">
        <v>51</v>
      </c>
      <c r="C88" s="130"/>
      <c r="D88" s="131"/>
      <c r="E88" s="132"/>
      <c r="F88" s="132"/>
      <c r="G88" s="132"/>
      <c r="H88" s="132"/>
      <c r="I88" s="132"/>
      <c r="J88" s="132"/>
      <c r="K88" s="133">
        <f t="shared" ref="K88:T88" ca="1" si="46">K77+K79-K82-K85</f>
        <v>70504.343079869199</v>
      </c>
      <c r="L88" s="133">
        <f t="shared" ca="1" si="46"/>
        <v>79508.494624021376</v>
      </c>
      <c r="M88" s="133">
        <f t="shared" ca="1" si="46"/>
        <v>91936.901371351079</v>
      </c>
      <c r="N88" s="133">
        <f t="shared" ca="1" si="46"/>
        <v>104920.1523537313</v>
      </c>
      <c r="O88" s="133">
        <f t="shared" ca="1" si="46"/>
        <v>120023.69801879737</v>
      </c>
      <c r="P88" s="133">
        <f t="shared" ca="1" si="46"/>
        <v>136259.45023681608</v>
      </c>
      <c r="Q88" s="133">
        <f t="shared" ca="1" si="46"/>
        <v>153506.91139170027</v>
      </c>
      <c r="R88" s="133">
        <f t="shared" ca="1" si="46"/>
        <v>171600.48828110684</v>
      </c>
      <c r="S88" s="133">
        <f t="shared" ca="1" si="46"/>
        <v>190328.0671387472</v>
      </c>
      <c r="T88" s="133">
        <f t="shared" ca="1" si="46"/>
        <v>209431.28447820092</v>
      </c>
    </row>
    <row r="89" spans="1:20" ht="22.75" customHeight="1" x14ac:dyDescent="0.15">
      <c r="A89" s="107"/>
      <c r="B89" s="134" t="s">
        <v>52</v>
      </c>
      <c r="C89" s="135"/>
      <c r="D89" s="136"/>
      <c r="E89" s="137"/>
      <c r="F89" s="137"/>
      <c r="G89" s="137"/>
      <c r="H89" s="137"/>
      <c r="I89" s="137"/>
      <c r="J89" s="137"/>
      <c r="K89" s="138">
        <f t="shared" ref="K89:T89" ca="1" si="47">K88/(1+$C$17)^K63</f>
        <v>65645.888247051829</v>
      </c>
      <c r="L89" s="138">
        <f t="shared" ca="1" si="47"/>
        <v>68928.185828873728</v>
      </c>
      <c r="M89" s="138">
        <f t="shared" ca="1" si="47"/>
        <v>74210.411237490654</v>
      </c>
      <c r="N89" s="138">
        <f t="shared" ca="1" si="47"/>
        <v>78854.330212097746</v>
      </c>
      <c r="O89" s="138">
        <f t="shared" ca="1" si="47"/>
        <v>83989.558214111254</v>
      </c>
      <c r="P89" s="138">
        <f t="shared" ca="1" si="47"/>
        <v>88780.295114872424</v>
      </c>
      <c r="Q89" s="138">
        <f t="shared" ca="1" si="47"/>
        <v>93125.698717705411</v>
      </c>
      <c r="R89" s="138">
        <f t="shared" ca="1" si="47"/>
        <v>96928.566202022907</v>
      </c>
      <c r="S89" s="138">
        <f t="shared" ca="1" si="47"/>
        <v>100098.54508427196</v>
      </c>
      <c r="T89" s="138">
        <f t="shared" ca="1" si="47"/>
        <v>102555.30792613947</v>
      </c>
    </row>
    <row r="90" spans="1:20" ht="22.75" customHeight="1" x14ac:dyDescent="0.15">
      <c r="A90" s="110"/>
      <c r="B90" s="139"/>
      <c r="C90" s="112"/>
      <c r="D90" s="113"/>
      <c r="E90" s="114"/>
      <c r="F90" s="114"/>
      <c r="G90" s="114"/>
      <c r="H90" s="114"/>
      <c r="I90" s="114"/>
      <c r="J90" s="114"/>
      <c r="K90" s="114"/>
      <c r="L90" s="114"/>
      <c r="M90" s="114"/>
      <c r="N90" s="114"/>
      <c r="O90" s="114"/>
      <c r="P90" s="114"/>
      <c r="Q90" s="113"/>
      <c r="R90" s="113"/>
      <c r="S90" s="113"/>
      <c r="T90" s="113"/>
    </row>
    <row r="91" spans="1:20" ht="22.25" customHeight="1" x14ac:dyDescent="0.15">
      <c r="A91" s="11"/>
      <c r="B91" s="26" t="s">
        <v>53</v>
      </c>
      <c r="C91" s="49"/>
      <c r="D91" s="9"/>
      <c r="E91" s="96"/>
      <c r="F91" s="96"/>
      <c r="G91" s="96"/>
      <c r="H91" s="96"/>
      <c r="I91" s="96"/>
      <c r="J91" s="96"/>
      <c r="K91" s="96"/>
      <c r="L91" s="96"/>
      <c r="M91" s="96"/>
      <c r="N91" s="96"/>
      <c r="O91" s="96"/>
      <c r="P91" s="96"/>
      <c r="Q91" s="9"/>
      <c r="R91" s="9"/>
      <c r="S91" s="9"/>
      <c r="T91" s="51">
        <f ca="1">(T88*(1+C18))/($C$17-$C$18)</f>
        <v>3955188.8703332297</v>
      </c>
    </row>
    <row r="92" spans="1:20" ht="22.25" customHeight="1" x14ac:dyDescent="0.15">
      <c r="A92" s="11"/>
      <c r="B92" s="26" t="s">
        <v>54</v>
      </c>
      <c r="C92" s="49"/>
      <c r="D92" s="9"/>
      <c r="E92" s="96"/>
      <c r="F92" s="96"/>
      <c r="G92" s="96"/>
      <c r="H92" s="96"/>
      <c r="I92" s="96"/>
      <c r="J92" s="96"/>
      <c r="K92" s="96"/>
      <c r="L92" s="96"/>
      <c r="M92" s="96"/>
      <c r="N92" s="96"/>
      <c r="O92" s="96"/>
      <c r="P92" s="96"/>
      <c r="Q92" s="9"/>
      <c r="R92" s="9"/>
      <c r="S92" s="9"/>
      <c r="T92" s="51">
        <f ca="1">T91/(1+$C$17)^T63</f>
        <v>1936795.7061127822</v>
      </c>
    </row>
    <row r="93" spans="1:20" ht="22.25" customHeight="1" x14ac:dyDescent="0.15">
      <c r="A93" s="11"/>
      <c r="B93" s="18"/>
      <c r="C93" s="49"/>
      <c r="D93" s="9"/>
      <c r="E93" s="96"/>
      <c r="F93" s="96"/>
      <c r="G93" s="96"/>
      <c r="H93" s="96"/>
      <c r="I93" s="96"/>
      <c r="J93" s="96"/>
      <c r="K93" s="96"/>
      <c r="L93" s="96"/>
      <c r="M93" s="96"/>
      <c r="N93" s="96"/>
      <c r="O93" s="96"/>
      <c r="P93" s="96"/>
      <c r="Q93" s="9"/>
      <c r="R93" s="9"/>
      <c r="S93" s="9"/>
      <c r="T93" s="9"/>
    </row>
    <row r="94" spans="1:20" ht="22.25" customHeight="1" x14ac:dyDescent="0.15">
      <c r="A94" s="11"/>
      <c r="B94" s="26" t="s">
        <v>55</v>
      </c>
      <c r="C94" s="49"/>
      <c r="D94" s="9"/>
      <c r="E94" s="96"/>
      <c r="F94" s="96"/>
      <c r="G94" s="96"/>
      <c r="H94" s="96"/>
      <c r="I94" s="96"/>
      <c r="J94" s="96"/>
      <c r="K94" s="96"/>
      <c r="L94" s="96"/>
      <c r="M94" s="96"/>
      <c r="N94" s="96"/>
      <c r="O94" s="96"/>
      <c r="P94" s="96"/>
      <c r="Q94" s="9"/>
      <c r="R94" s="9"/>
      <c r="S94" s="9"/>
      <c r="T94" s="51">
        <f ca="1">SUM(K89:T89,T92)</f>
        <v>2789912.4928974197</v>
      </c>
    </row>
    <row r="95" spans="1:20" ht="22.25" customHeight="1" x14ac:dyDescent="0.15">
      <c r="A95" s="11"/>
      <c r="B95" s="26" t="s">
        <v>56</v>
      </c>
      <c r="C95" s="49"/>
      <c r="D95" s="9"/>
      <c r="E95" s="96"/>
      <c r="F95" s="96"/>
      <c r="G95" s="96"/>
      <c r="H95" s="96"/>
      <c r="I95" s="96"/>
      <c r="J95" s="96"/>
      <c r="K95" s="96"/>
      <c r="L95" s="96"/>
      <c r="M95" s="96"/>
      <c r="N95" s="96"/>
      <c r="O95" s="96"/>
      <c r="P95" s="96"/>
      <c r="Q95" s="9"/>
      <c r="R95" s="9"/>
      <c r="S95" s="9"/>
      <c r="T95" s="51">
        <v>104693</v>
      </c>
    </row>
    <row r="96" spans="1:20" ht="22.25" customHeight="1" x14ac:dyDescent="0.15">
      <c r="A96" s="11"/>
      <c r="B96" s="26" t="s">
        <v>57</v>
      </c>
      <c r="C96" s="49"/>
      <c r="D96" s="9"/>
      <c r="E96" s="96"/>
      <c r="F96" s="96"/>
      <c r="G96" s="96"/>
      <c r="H96" s="96"/>
      <c r="I96" s="96"/>
      <c r="J96" s="96"/>
      <c r="K96" s="96"/>
      <c r="L96" s="96"/>
      <c r="M96" s="96"/>
      <c r="N96" s="96"/>
      <c r="O96" s="96"/>
      <c r="P96" s="96"/>
      <c r="Q96" s="9"/>
      <c r="R96" s="9"/>
      <c r="S96" s="9"/>
      <c r="T96" s="51">
        <f>'WACC - WACC'!B15</f>
        <v>49926</v>
      </c>
    </row>
    <row r="97" spans="1:20" ht="22.25" customHeight="1" x14ac:dyDescent="0.15">
      <c r="A97" s="11"/>
      <c r="B97" s="26" t="s">
        <v>58</v>
      </c>
      <c r="C97" s="49"/>
      <c r="D97" s="9"/>
      <c r="E97" s="96"/>
      <c r="F97" s="96"/>
      <c r="G97" s="96"/>
      <c r="H97" s="96"/>
      <c r="I97" s="96"/>
      <c r="J97" s="96"/>
      <c r="K97" s="96"/>
      <c r="L97" s="96"/>
      <c r="M97" s="96"/>
      <c r="N97" s="96"/>
      <c r="O97" s="96"/>
      <c r="P97" s="96"/>
      <c r="Q97" s="9"/>
      <c r="R97" s="9"/>
      <c r="S97" s="9"/>
      <c r="T97" s="51">
        <f ca="1">T94+T95-T96</f>
        <v>2844679.4928974197</v>
      </c>
    </row>
    <row r="98" spans="1:20" ht="22.25" customHeight="1" x14ac:dyDescent="0.15">
      <c r="A98" s="11"/>
      <c r="B98" s="26" t="s">
        <v>59</v>
      </c>
      <c r="C98" s="49"/>
      <c r="D98" s="9"/>
      <c r="E98" s="96"/>
      <c r="F98" s="96"/>
      <c r="G98" s="96"/>
      <c r="H98" s="96"/>
      <c r="I98" s="96"/>
      <c r="J98" s="96"/>
      <c r="K98" s="96"/>
      <c r="L98" s="96"/>
      <c r="M98" s="96"/>
      <c r="N98" s="96"/>
      <c r="O98" s="96"/>
      <c r="P98" s="96"/>
      <c r="Q98" s="9"/>
      <c r="R98" s="9"/>
      <c r="S98" s="9"/>
      <c r="T98" s="51">
        <v>7579</v>
      </c>
    </row>
    <row r="99" spans="1:20" ht="22.25" customHeight="1" x14ac:dyDescent="0.15">
      <c r="A99" s="11"/>
      <c r="B99" s="26" t="s">
        <v>9</v>
      </c>
      <c r="C99" s="49"/>
      <c r="D99" s="9"/>
      <c r="E99" s="96"/>
      <c r="F99" s="96"/>
      <c r="G99" s="96"/>
      <c r="H99" s="96"/>
      <c r="I99" s="96"/>
      <c r="J99" s="96"/>
      <c r="K99" s="96"/>
      <c r="L99" s="96"/>
      <c r="M99" s="96"/>
      <c r="N99" s="96"/>
      <c r="O99" s="96"/>
      <c r="P99" s="96"/>
      <c r="Q99" s="9"/>
      <c r="R99" s="9"/>
      <c r="S99" s="9"/>
      <c r="T99" s="140">
        <f ca="1">T97/T98</f>
        <v>375.33704880557065</v>
      </c>
    </row>
    <row r="100" spans="1:20" ht="22.25" customHeight="1" x14ac:dyDescent="0.15">
      <c r="A100" s="11"/>
      <c r="B100" s="18"/>
      <c r="C100" s="49"/>
      <c r="D100" s="9"/>
      <c r="E100" s="96"/>
      <c r="F100" s="96"/>
      <c r="G100" s="96"/>
      <c r="H100" s="96"/>
      <c r="I100" s="96"/>
      <c r="J100" s="96"/>
      <c r="K100" s="96"/>
      <c r="L100" s="96"/>
      <c r="M100" s="96"/>
      <c r="N100" s="96"/>
      <c r="O100" s="96"/>
      <c r="P100" s="96"/>
      <c r="Q100" s="9"/>
      <c r="R100" s="9"/>
      <c r="S100" s="9"/>
      <c r="T100" s="9"/>
    </row>
    <row r="101" spans="1:20" ht="22.25" customHeight="1" x14ac:dyDescent="0.15">
      <c r="A101" s="141"/>
      <c r="B101" s="142"/>
      <c r="C101" s="49"/>
      <c r="D101" s="9"/>
      <c r="E101" s="96"/>
      <c r="F101" s="96"/>
      <c r="G101" s="96"/>
      <c r="H101" s="96"/>
      <c r="I101" s="96"/>
      <c r="J101" s="96"/>
      <c r="K101" s="96"/>
      <c r="L101" s="96"/>
      <c r="M101" s="96"/>
      <c r="N101" s="96"/>
      <c r="O101" s="96"/>
      <c r="P101" s="96"/>
      <c r="Q101" s="9"/>
      <c r="R101" s="9"/>
      <c r="S101" s="9"/>
      <c r="T101" s="9"/>
    </row>
  </sheetData>
  <mergeCells count="1">
    <mergeCell ref="A2:T2"/>
  </mergeCells>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E11"/>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16.33203125" defaultRowHeight="20" customHeight="1" x14ac:dyDescent="0.15"/>
  <cols>
    <col min="1" max="5" width="16.33203125" style="150" customWidth="1"/>
    <col min="6" max="256" width="16.33203125" customWidth="1"/>
  </cols>
  <sheetData>
    <row r="1" spans="1:5" ht="27.75" customHeight="1" x14ac:dyDescent="0.15">
      <c r="A1" s="170" t="s">
        <v>61</v>
      </c>
      <c r="B1" s="170"/>
      <c r="C1" s="170"/>
      <c r="D1" s="170"/>
      <c r="E1" s="170"/>
    </row>
    <row r="2" spans="1:5" ht="20.25" customHeight="1" x14ac:dyDescent="0.15">
      <c r="A2" s="143"/>
      <c r="B2" s="151" t="s">
        <v>63</v>
      </c>
      <c r="C2" s="151" t="s">
        <v>64</v>
      </c>
      <c r="D2" s="143"/>
      <c r="E2" s="143"/>
    </row>
    <row r="3" spans="1:5" ht="20.25" customHeight="1" x14ac:dyDescent="0.15">
      <c r="A3" s="144"/>
      <c r="B3" s="145"/>
      <c r="C3" s="146"/>
      <c r="D3" s="146"/>
      <c r="E3" s="146"/>
    </row>
    <row r="4" spans="1:5" ht="20" customHeight="1" x14ac:dyDescent="0.15">
      <c r="A4" s="152" t="s">
        <v>65</v>
      </c>
      <c r="B4" s="153">
        <v>43007</v>
      </c>
      <c r="C4" s="154">
        <v>43033</v>
      </c>
      <c r="D4" s="149"/>
      <c r="E4" s="149"/>
    </row>
    <row r="5" spans="1:5" ht="20" customHeight="1" x14ac:dyDescent="0.15">
      <c r="A5" s="152" t="s">
        <v>66</v>
      </c>
      <c r="B5" s="153">
        <v>43099</v>
      </c>
      <c r="C5" s="154">
        <v>43124</v>
      </c>
      <c r="D5" s="149"/>
      <c r="E5" s="149"/>
    </row>
    <row r="6" spans="1:5" ht="20" customHeight="1" x14ac:dyDescent="0.15">
      <c r="A6" s="152" t="s">
        <v>67</v>
      </c>
      <c r="B6" s="153">
        <v>43189</v>
      </c>
      <c r="C6" s="154">
        <v>43215</v>
      </c>
      <c r="D6" s="149"/>
      <c r="E6" s="149"/>
    </row>
    <row r="7" spans="1:5" ht="20" customHeight="1" x14ac:dyDescent="0.15">
      <c r="A7" s="152" t="s">
        <v>68</v>
      </c>
      <c r="B7" s="153">
        <v>43280</v>
      </c>
      <c r="C7" s="154">
        <v>43308</v>
      </c>
      <c r="D7" s="149"/>
      <c r="E7" s="149"/>
    </row>
    <row r="8" spans="1:5" ht="20" customHeight="1" x14ac:dyDescent="0.15">
      <c r="A8" s="147"/>
      <c r="B8" s="148"/>
      <c r="C8" s="149"/>
      <c r="D8" s="149"/>
      <c r="E8" s="149"/>
    </row>
    <row r="9" spans="1:5" ht="20" customHeight="1" x14ac:dyDescent="0.15">
      <c r="A9" s="147"/>
      <c r="B9" s="148"/>
      <c r="C9" s="149"/>
      <c r="D9" s="149"/>
      <c r="E9" s="149"/>
    </row>
    <row r="10" spans="1:5" ht="20" customHeight="1" x14ac:dyDescent="0.15">
      <c r="A10" s="147"/>
      <c r="B10" s="148"/>
      <c r="C10" s="149"/>
      <c r="D10" s="149"/>
      <c r="E10" s="149"/>
    </row>
    <row r="11" spans="1:5" ht="20" customHeight="1" x14ac:dyDescent="0.15">
      <c r="A11" s="147"/>
      <c r="B11" s="148"/>
      <c r="C11" s="149"/>
      <c r="D11" s="149"/>
      <c r="E11" s="149"/>
    </row>
  </sheetData>
  <mergeCells count="1">
    <mergeCell ref="A1:E1"/>
  </mergeCells>
  <pageMargins left="1" right="1" top="1" bottom="1" header="0.25" footer="0.25"/>
  <pageSetup orientation="portrait"/>
  <headerFooter>
    <oddFooter>&amp;C&amp;"Helvetica Neue,Regular"&amp;12&amp;K000000&amp;P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E22"/>
  <sheetViews>
    <sheetView showGridLines="0" workbookViewId="0">
      <selection activeCell="B17" sqref="B17"/>
    </sheetView>
  </sheetViews>
  <sheetFormatPr baseColWidth="10" defaultColWidth="16.33203125" defaultRowHeight="20" customHeight="1" x14ac:dyDescent="0.15"/>
  <cols>
    <col min="1" max="1" width="24.5" style="155" customWidth="1"/>
    <col min="2" max="5" width="16.33203125" style="155" customWidth="1"/>
    <col min="6" max="256" width="16.33203125" customWidth="1"/>
  </cols>
  <sheetData>
    <row r="1" spans="1:5" ht="28" customHeight="1" x14ac:dyDescent="0.15">
      <c r="A1" s="171" t="s">
        <v>26</v>
      </c>
      <c r="B1" s="171"/>
      <c r="C1" s="171"/>
      <c r="D1" s="171"/>
      <c r="E1" s="171"/>
    </row>
    <row r="2" spans="1:5" ht="22" customHeight="1" x14ac:dyDescent="0.15">
      <c r="A2" s="156"/>
      <c r="B2" s="156"/>
      <c r="C2" s="157"/>
      <c r="D2" s="157"/>
      <c r="E2" s="157"/>
    </row>
    <row r="3" spans="1:5" ht="22" customHeight="1" x14ac:dyDescent="0.15">
      <c r="A3" s="158" t="s">
        <v>70</v>
      </c>
      <c r="B3" s="156"/>
      <c r="C3" s="157"/>
      <c r="D3" s="157"/>
      <c r="E3" s="157"/>
    </row>
    <row r="4" spans="1:5" ht="22" customHeight="1" x14ac:dyDescent="0.15">
      <c r="A4" s="158" t="s">
        <v>71</v>
      </c>
      <c r="B4" s="156"/>
      <c r="C4" s="157"/>
      <c r="D4" s="157"/>
      <c r="E4" s="157"/>
    </row>
    <row r="5" spans="1:5" ht="22" customHeight="1" x14ac:dyDescent="0.15">
      <c r="A5" s="156"/>
      <c r="B5" s="156"/>
      <c r="C5" s="157"/>
      <c r="D5" s="157"/>
      <c r="E5" s="157"/>
    </row>
    <row r="6" spans="1:5" ht="22" customHeight="1" x14ac:dyDescent="0.15">
      <c r="A6" s="156"/>
      <c r="B6" s="156"/>
      <c r="C6" s="157"/>
      <c r="D6" s="157"/>
      <c r="E6" s="157"/>
    </row>
    <row r="7" spans="1:5" ht="22" customHeight="1" x14ac:dyDescent="0.15">
      <c r="A7" s="159" t="s">
        <v>26</v>
      </c>
      <c r="B7" s="156"/>
      <c r="C7" s="157"/>
      <c r="D7" s="157"/>
      <c r="E7" s="157"/>
    </row>
    <row r="8" spans="1:5" ht="22" customHeight="1" x14ac:dyDescent="0.15">
      <c r="A8" s="156" t="s">
        <v>72</v>
      </c>
      <c r="B8" s="51">
        <v>2000000</v>
      </c>
      <c r="C8" s="157"/>
      <c r="D8" s="157"/>
      <c r="E8" s="157"/>
    </row>
    <row r="9" spans="1:5" ht="22" customHeight="1" x14ac:dyDescent="0.15">
      <c r="A9" s="156" t="s">
        <v>73</v>
      </c>
      <c r="B9" s="92">
        <f>B8/B20</f>
        <v>0.97564497450151855</v>
      </c>
      <c r="C9" s="157"/>
      <c r="D9" s="157"/>
      <c r="E9" s="157"/>
    </row>
    <row r="10" spans="1:5" ht="22.5" customHeight="1" x14ac:dyDescent="0.15">
      <c r="A10" s="156" t="s">
        <v>74</v>
      </c>
      <c r="B10" s="160">
        <f>B11+B12*B13</f>
        <v>7.5125999999999998E-2</v>
      </c>
      <c r="C10" s="157"/>
      <c r="D10" s="157"/>
      <c r="E10" s="157"/>
    </row>
    <row r="11" spans="1:5" ht="23" customHeight="1" x14ac:dyDescent="0.15">
      <c r="A11" s="35" t="s">
        <v>75</v>
      </c>
      <c r="B11" s="161">
        <v>3.1230000000000001E-2</v>
      </c>
      <c r="C11" s="162"/>
      <c r="D11" s="157"/>
      <c r="E11" s="157"/>
    </row>
    <row r="12" spans="1:5" ht="23" customHeight="1" x14ac:dyDescent="0.15">
      <c r="A12" s="35" t="s">
        <v>76</v>
      </c>
      <c r="B12" s="163">
        <v>0.93</v>
      </c>
      <c r="C12" s="162"/>
      <c r="D12" s="157"/>
      <c r="E12" s="157"/>
    </row>
    <row r="13" spans="1:5" ht="22.5" customHeight="1" x14ac:dyDescent="0.15">
      <c r="A13" s="156" t="s">
        <v>77</v>
      </c>
      <c r="B13" s="164">
        <v>4.7199999999999999E-2</v>
      </c>
      <c r="C13" s="157"/>
      <c r="D13" s="157"/>
      <c r="E13" s="157"/>
    </row>
    <row r="14" spans="1:5" ht="22" customHeight="1" x14ac:dyDescent="0.15">
      <c r="A14" s="156"/>
      <c r="B14" s="156"/>
      <c r="C14" s="157"/>
      <c r="D14" s="157"/>
      <c r="E14" s="157"/>
    </row>
    <row r="15" spans="1:5" ht="22" customHeight="1" x14ac:dyDescent="0.15">
      <c r="A15" s="156" t="s">
        <v>78</v>
      </c>
      <c r="B15" s="51">
        <f>SUM(1749+48177)</f>
        <v>49926</v>
      </c>
      <c r="C15" s="157"/>
      <c r="D15" s="157"/>
      <c r="E15" s="157"/>
    </row>
    <row r="16" spans="1:5" ht="22.5" customHeight="1" x14ac:dyDescent="0.15">
      <c r="A16" s="156" t="s">
        <v>79</v>
      </c>
      <c r="B16" s="165">
        <f>B15/B8</f>
        <v>2.4962999999999999E-2</v>
      </c>
      <c r="C16" s="157"/>
      <c r="D16" s="157"/>
      <c r="E16" s="157"/>
    </row>
    <row r="17" spans="1:5" ht="23" customHeight="1" x14ac:dyDescent="0.15">
      <c r="A17" s="35" t="s">
        <v>80</v>
      </c>
      <c r="B17" s="161">
        <v>3.3700000000000001E-2</v>
      </c>
      <c r="C17" s="162"/>
      <c r="D17" s="157"/>
      <c r="E17" s="157"/>
    </row>
    <row r="18" spans="1:5" ht="22.5" customHeight="1" x14ac:dyDescent="0.15">
      <c r="A18" s="156" t="s">
        <v>81</v>
      </c>
      <c r="B18" s="164">
        <f ca="1">'Main - Microsoft DCF'!K75</f>
        <v>0.15158004527096</v>
      </c>
      <c r="C18" s="157"/>
      <c r="D18" s="157"/>
      <c r="E18" s="157"/>
    </row>
    <row r="19" spans="1:5" ht="22" customHeight="1" x14ac:dyDescent="0.15">
      <c r="A19" s="156"/>
      <c r="B19" s="156"/>
      <c r="C19" s="157"/>
      <c r="D19" s="157"/>
      <c r="E19" s="157"/>
    </row>
    <row r="20" spans="1:5" ht="22" customHeight="1" x14ac:dyDescent="0.15">
      <c r="A20" s="156" t="s">
        <v>82</v>
      </c>
      <c r="B20" s="51">
        <f>B8+B15</f>
        <v>2049926</v>
      </c>
      <c r="C20" s="157"/>
      <c r="D20" s="157"/>
      <c r="E20" s="157"/>
    </row>
    <row r="21" spans="1:5" ht="22" customHeight="1" x14ac:dyDescent="0.15">
      <c r="A21" s="156"/>
      <c r="B21" s="156"/>
      <c r="C21" s="157"/>
      <c r="D21" s="157"/>
      <c r="E21" s="157"/>
    </row>
    <row r="22" spans="1:5" ht="22" customHeight="1" x14ac:dyDescent="0.15">
      <c r="A22" s="156" t="s">
        <v>26</v>
      </c>
      <c r="B22" s="166">
        <f ca="1">(B9*B10)+(B16*B17*(1-B18))</f>
        <v>7.4010040271418748E-2</v>
      </c>
      <c r="C22" s="157"/>
      <c r="D22" s="157"/>
      <c r="E22" s="157"/>
    </row>
  </sheetData>
  <mergeCells count="1">
    <mergeCell ref="A1:E1"/>
  </mergeCells>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Export Summary</vt:lpstr>
      <vt:lpstr>Main - Microsoft DCF</vt:lpstr>
      <vt:lpstr>MSFT Quarter Dates</vt:lpstr>
      <vt:lpstr>WACC - WACC</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2022-08-31T08:07:15Z</dcterms:created>
  <dcterms:modified xsi:type="dcterms:W3CDTF">2022-08-31T08:09:18Z</dcterms:modified>
</cp:coreProperties>
</file>