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hrikirti/Desktop/BAN 630/Assignments/Final Project/To submit/"/>
    </mc:Choice>
  </mc:AlternateContent>
  <xr:revisionPtr revIDLastSave="0" documentId="13_ncr:1_{CE07A30B-DCFB-344A-90F0-A6361CDA2496}" xr6:coauthVersionLast="47" xr6:coauthVersionMax="47" xr10:uidLastSave="{00000000-0000-0000-0000-000000000000}"/>
  <bookViews>
    <workbookView xWindow="0" yWindow="740" windowWidth="29400" windowHeight="16420" xr2:uid="{00000000-000D-0000-FFFF-FFFF00000000}"/>
  </bookViews>
  <sheets>
    <sheet name="Input Data" sheetId="1" r:id="rId1"/>
    <sheet name="Formulation" sheetId="4" r:id="rId2"/>
    <sheet name="Sensitivity Report 1" sheetId="7" state="hidden" r:id="rId3"/>
    <sheet name="Sheet2" sheetId="3" state="hidden" r:id="rId4"/>
    <sheet name="Sheet1" sheetId="2" state="hidden" r:id="rId5"/>
    <sheet name="Formulation_STS" sheetId="6" state="veryHidden" r:id="rId6"/>
    <sheet name="Final_STS" sheetId="5" state="veryHidden" r:id="rId7"/>
    <sheet name="One Way Sensitvity Analysis_STS" sheetId="21" state="veryHidden" r:id="rId8"/>
    <sheet name="One Way Sensitivity Analysis" sheetId="24" r:id="rId9"/>
    <sheet name="Two Way Sensitivity Analysis" sheetId="25" r:id="rId10"/>
  </sheets>
  <definedNames>
    <definedName name="ChartData" localSheetId="8">'One Way Sensitivity Analysis'!$K$5:$K$23</definedName>
    <definedName name="ChartData1" localSheetId="9">'Two Way Sensitivity Analysis'!$V$5:$V$23</definedName>
    <definedName name="ChartData2" localSheetId="9">'Two Way Sensitivity Analysis'!$Z$5:$Z$23</definedName>
    <definedName name="InputValues" localSheetId="8">'One Way Sensitivity Analysis'!$A$5:$A$23</definedName>
    <definedName name="InputValues1" localSheetId="9">'Two Way Sensitivity Analysis'!$A$5:$A$23</definedName>
    <definedName name="InputValues1">#REF!</definedName>
    <definedName name="InputValues2" localSheetId="9">'Two Way Sensitivity Analysis'!$B$4:$T$4</definedName>
    <definedName name="InputValues2">#REF!</definedName>
    <definedName name="OutputAddresses" localSheetId="8">'One Way Sensitivity Analysis'!$B$4</definedName>
    <definedName name="OutputAddresses" localSheetId="9">'Two Way Sensitivity Analysis'!$AZ$2</definedName>
    <definedName name="OutputAddresses">#REF!</definedName>
    <definedName name="OutputValues" localSheetId="8">'One Way Sensitivity Analysis'!$B$5:$B$23</definedName>
    <definedName name="OutputValues_1" localSheetId="9">'Two Way Sensitivity Analysis'!$B$5:$T$23</definedName>
    <definedName name="solver_adj" localSheetId="1" hidden="1">Formulation!$B$14:$C$14</definedName>
    <definedName name="solver_adj" localSheetId="4" hidden="1">Sheet1!$B$16:$C$16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1</definedName>
    <definedName name="solver_eng" localSheetId="4" hidden="1">1</definedName>
    <definedName name="solver_est" localSheetId="1" hidden="1">1</definedName>
    <definedName name="solver_itr" localSheetId="1" hidden="1">2147483647</definedName>
    <definedName name="solver_itr" localSheetId="4" hidden="1">2147483647</definedName>
    <definedName name="solver_lhs1" localSheetId="1" hidden="1">Formulation!$B$21</definedName>
    <definedName name="solver_lhs1" localSheetId="4" hidden="1">Sheet1!$B$28</definedName>
    <definedName name="solver_lhs2" localSheetId="1" hidden="1">Formulation!$B$22</definedName>
    <definedName name="solver_lhs2" localSheetId="4" hidden="1">Sheet1!$B$29</definedName>
    <definedName name="solver_lhs3" localSheetId="1" hidden="1">Formulation!$B$23</definedName>
    <definedName name="solver_lhs3" localSheetId="4" hidden="1">Sheet1!$B$30</definedName>
    <definedName name="solver_lhs4" localSheetId="1" hidden="1">Formulation!$B$24</definedName>
    <definedName name="solver_lhs4" localSheetId="4" hidden="1">Sheet1!$B$31</definedName>
    <definedName name="solver_lin" localSheetId="1" hidden="1">2</definedName>
    <definedName name="solver_lin" localSheetId="4" hidden="1">2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1</definedName>
    <definedName name="solver_msl" localSheetId="4" hidden="1">2</definedName>
    <definedName name="solver_neg" localSheetId="1" hidden="1">2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4</definedName>
    <definedName name="solver_num" localSheetId="4" hidden="1">0</definedName>
    <definedName name="solver_nwt" localSheetId="1" hidden="1">1</definedName>
    <definedName name="solver_opt" localSheetId="1" hidden="1">Formulation!$B$18</definedName>
    <definedName name="solver_opt" localSheetId="4" hidden="1">Sheet1!$B$20</definedName>
    <definedName name="solver_pre" localSheetId="1" hidden="1">0.000001</definedName>
    <definedName name="solver_pre" localSheetId="4" hidden="1">0.000001</definedName>
    <definedName name="solver_rbv" localSheetId="1" hidden="1">2</definedName>
    <definedName name="solver_rbv" localSheetId="4" hidden="1">1</definedName>
    <definedName name="solver_rel1" localSheetId="1" hidden="1">3</definedName>
    <definedName name="solver_rel1" localSheetId="4" hidden="1">3</definedName>
    <definedName name="solver_rel2" localSheetId="1" hidden="1">1</definedName>
    <definedName name="solver_rel2" localSheetId="4" hidden="1">1</definedName>
    <definedName name="solver_rel3" localSheetId="1" hidden="1">3</definedName>
    <definedName name="solver_rel3" localSheetId="4" hidden="1">3</definedName>
    <definedName name="solver_rel4" localSheetId="1" hidden="1">1</definedName>
    <definedName name="solver_rel4" localSheetId="4" hidden="1">1</definedName>
    <definedName name="solver_rhs1" localSheetId="1" hidden="1">Formulation!$D$21</definedName>
    <definedName name="solver_rhs1" localSheetId="4" hidden="1">Sheet1!$D$28</definedName>
    <definedName name="solver_rhs2" localSheetId="1" hidden="1">Formulation!$D$22</definedName>
    <definedName name="solver_rhs2" localSheetId="4" hidden="1">Sheet1!$D$29</definedName>
    <definedName name="solver_rhs3" localSheetId="1" hidden="1">Formulation!$D$23</definedName>
    <definedName name="solver_rhs3" localSheetId="4" hidden="1">Sheet1!$D$30</definedName>
    <definedName name="solver_rhs4" localSheetId="1" hidden="1">Formulation!$D$24</definedName>
    <definedName name="solver_rhs4" localSheetId="4" hidden="1">Sheet1!$D$31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2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2</definedName>
    <definedName name="solver_ver" localSheetId="4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25" l="1"/>
  <c r="V1" i="25"/>
  <c r="AB4" i="25"/>
  <c r="Y5" i="25"/>
  <c r="Y4" i="25"/>
  <c r="X4" i="25"/>
  <c r="U5" i="25"/>
  <c r="U4" i="25"/>
  <c r="K1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J4" i="24"/>
  <c r="B24" i="4"/>
  <c r="B23" i="4"/>
  <c r="B22" i="4"/>
  <c r="B21" i="4"/>
  <c r="D9" i="4"/>
  <c r="A29" i="4"/>
  <c r="A28" i="4"/>
  <c r="Z23" i="25"/>
  <c r="V16" i="25"/>
  <c r="V14" i="25"/>
  <c r="V12" i="25"/>
  <c r="Z21" i="25"/>
  <c r="V8" i="25"/>
  <c r="V6" i="25"/>
  <c r="Z8" i="25"/>
  <c r="Z20" i="25"/>
  <c r="Z12" i="25"/>
  <c r="Z10" i="25"/>
  <c r="V19" i="25"/>
  <c r="V23" i="25"/>
  <c r="V21" i="25"/>
  <c r="V11" i="25"/>
  <c r="V17" i="25"/>
  <c r="V15" i="25"/>
  <c r="V13" i="25"/>
  <c r="Z15" i="25"/>
  <c r="V9" i="25"/>
  <c r="V7" i="25"/>
  <c r="V5" i="25"/>
  <c r="Z7" i="25"/>
  <c r="Z13" i="25"/>
  <c r="Z11" i="25"/>
  <c r="Z9" i="25"/>
  <c r="V18" i="25"/>
  <c r="Z16" i="25"/>
  <c r="Z5" i="25"/>
  <c r="V22" i="25"/>
  <c r="V20" i="25"/>
  <c r="V10" i="25"/>
  <c r="Z22" i="25"/>
  <c r="Z14" i="25"/>
  <c r="Z6" i="25"/>
  <c r="Z19" i="25"/>
  <c r="Z18" i="25"/>
  <c r="Z17" i="25"/>
  <c r="B10" i="4" l="1"/>
  <c r="C10" i="4"/>
  <c r="C9" i="4"/>
  <c r="F3" i="4" s="1"/>
  <c r="B9" i="4"/>
  <c r="D10" i="4"/>
  <c r="B31" i="2"/>
  <c r="B29" i="2"/>
  <c r="B28" i="2"/>
  <c r="B26" i="2"/>
  <c r="B25" i="2"/>
  <c r="B24" i="2"/>
  <c r="B23" i="2"/>
  <c r="E5" i="2"/>
  <c r="E6" i="2"/>
  <c r="E7" i="2"/>
  <c r="E8" i="2"/>
  <c r="E9" i="2"/>
  <c r="E10" i="2"/>
  <c r="E4" i="2"/>
  <c r="B20" i="2"/>
  <c r="B28" i="4" l="1"/>
  <c r="E4" i="4"/>
  <c r="E3" i="4"/>
  <c r="G3" i="4" s="1"/>
  <c r="B29" i="4"/>
  <c r="E6" i="4"/>
  <c r="F8" i="4"/>
  <c r="E5" i="4"/>
  <c r="F4" i="4"/>
  <c r="E7" i="4"/>
  <c r="E2" i="4"/>
  <c r="F2" i="4"/>
  <c r="F6" i="4"/>
  <c r="E8" i="4"/>
  <c r="G8" i="4" s="1"/>
  <c r="F5" i="4"/>
  <c r="F7" i="4"/>
  <c r="G2" i="4" l="1"/>
  <c r="G7" i="4"/>
  <c r="G6" i="4"/>
  <c r="G4" i="4"/>
  <c r="G5" i="4"/>
  <c r="B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Sindhuja</author>
  </authors>
  <commentList>
    <comment ref="B5" authorId="0" shapeId="0" xr:uid="{38859505-85DA-4FE4-8D8E-84BEF61DBD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6" authorId="0" shapeId="0" xr:uid="{D67CB04F-DB30-4A48-9D82-29F59DECBE2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7" authorId="0" shapeId="0" xr:uid="{6BBAE928-ABD8-4F84-9595-A8B5402913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8" authorId="0" shapeId="0" xr:uid="{45EA6931-0646-4802-A0B8-076D9164E26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9" authorId="0" shapeId="0" xr:uid="{CAB9B357-DF82-4B34-842E-B88CBC5F8BB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0" authorId="0" shapeId="0" xr:uid="{8F8AFBDC-0A6B-4142-851C-89B8F8F0A0B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1" authorId="0" shapeId="0" xr:uid="{412C195F-D691-42A2-A5C9-682F7015065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2" authorId="0" shapeId="0" xr:uid="{5AB43577-3AA7-496E-9952-0646344D096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3" authorId="0" shapeId="0" xr:uid="{1D6C4C20-5852-4DE2-8BDB-867AF29EA09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4" authorId="0" shapeId="0" xr:uid="{2E19A832-BE93-4933-AC7C-1E9CBB3EC01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5" authorId="0" shapeId="0" xr:uid="{B81ABB5E-A486-432C-8AB2-2C97BF4534A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6" authorId="0" shapeId="0" xr:uid="{08A01145-B2B9-4964-B3C3-33CAAF1A7FE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7" authorId="0" shapeId="0" xr:uid="{A46C3F15-D275-4E02-A941-F133FF29001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8" authorId="0" shapeId="0" xr:uid="{F701CDD4-9291-45B9-8DE8-82D2E80678A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9" authorId="0" shapeId="0" xr:uid="{C2C2E70E-BD2B-4832-9047-E044617C831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0" authorId="0" shapeId="0" xr:uid="{A66A62FD-DBB0-452A-B739-191F68E8EBD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1" authorId="0" shapeId="0" xr:uid="{DBB6A104-5F0F-4895-9671-3BA07958AC3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A7A582E2-A4D2-4B8C-BF63-AEA81BE7E8A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3EEFC924-EC06-46C9-B2EE-504FEC31B91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Sindhuja</author>
  </authors>
  <commentList>
    <comment ref="B5" authorId="0" shapeId="0" xr:uid="{079CEBE9-D32C-4196-A4AD-E8DCA5ADDFA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5" authorId="0" shapeId="0" xr:uid="{F4B29F23-1B7C-436B-B6D1-82085E702E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5" authorId="0" shapeId="0" xr:uid="{A49BF3BD-DE47-443D-B7C4-B4F910AC60B4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E5" authorId="0" shapeId="0" xr:uid="{6204113A-66A3-4839-8FF8-D1849BEAED2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5" authorId="0" shapeId="0" xr:uid="{0713D700-6BBE-4278-875B-D52B9B2DE4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5" authorId="0" shapeId="0" xr:uid="{238E1565-6599-495D-9339-6539E5877C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5" authorId="0" shapeId="0" xr:uid="{6420B016-ECF8-4B7D-89E3-EF898A4792AF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I5" authorId="0" shapeId="0" xr:uid="{D3868E7E-AB32-4505-AFE7-2F6E13D1DD3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5" authorId="0" shapeId="0" xr:uid="{98CB12CD-971F-4325-9274-9BB5A04E673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5" authorId="0" shapeId="0" xr:uid="{DA5DB1AC-D3A5-4B7C-8CEC-F301BF719D2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5" authorId="0" shapeId="0" xr:uid="{C476ABA4-5F47-4049-BC10-8A9A970E940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5" authorId="0" shapeId="0" xr:uid="{558CC1D8-E36C-4A2E-9099-6EE76C24D307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N5" authorId="0" shapeId="0" xr:uid="{35E5CA69-F006-4215-B664-DE148DADE65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5" authorId="0" shapeId="0" xr:uid="{B375E946-F375-437A-A3A8-ADA8D6E8C3C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5" authorId="0" shapeId="0" xr:uid="{1C62146C-D835-4D0B-957B-C410F215C2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5" authorId="0" shapeId="0" xr:uid="{215E5D1D-94DF-4F2D-AAC7-C80AF413ABE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5" authorId="0" shapeId="0" xr:uid="{9B4F8836-7405-42AC-8B10-B9AB84CFB24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5" authorId="0" shapeId="0" xr:uid="{2E48BC32-225C-4DE5-8165-418F2C77F9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5" authorId="0" shapeId="0" xr:uid="{785B3274-45FF-4FB0-8B1D-34461C0DB5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6" authorId="0" shapeId="0" xr:uid="{FD33CFAD-DC35-437C-82A7-7CF57304DDC6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C6" authorId="0" shapeId="0" xr:uid="{E812B6AD-DF2C-4FBC-B214-48859898CC7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6" authorId="0" shapeId="0" xr:uid="{82C77165-70F3-480F-95CD-52FB274FDE3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6" authorId="0" shapeId="0" xr:uid="{14392AA8-BD5A-44E6-9200-8C0C8C51B99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6" authorId="0" shapeId="0" xr:uid="{B040F324-9CF5-45EB-877B-A32E3C2C2A5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6" authorId="0" shapeId="0" xr:uid="{7E67F968-3200-4363-A2EF-41A0F55F6F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6" authorId="0" shapeId="0" xr:uid="{BB28B913-31CD-46F2-B61B-907CD9C0D4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6" authorId="0" shapeId="0" xr:uid="{172C6847-5AAD-4E93-A744-B1C0FD1C509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6" authorId="0" shapeId="0" xr:uid="{CDC09FB3-3C15-472F-92AD-89BC366E4A5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6" authorId="0" shapeId="0" xr:uid="{2F37C53A-6D1A-4AA6-99E3-1431CB8E9FB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6" authorId="0" shapeId="0" xr:uid="{1E77CFA7-74DE-4706-B9A4-86CB940B7EB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6" authorId="0" shapeId="0" xr:uid="{DA307244-142B-42B7-9C9A-F0782D25064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6" authorId="0" shapeId="0" xr:uid="{8347FC18-CE18-4D5B-A475-A9CECC8B0D1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6" authorId="0" shapeId="0" xr:uid="{4A694035-D684-4A87-AEA3-F0DBC543AFB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6" authorId="0" shapeId="0" xr:uid="{EA6F276A-40BB-42CC-8A47-1E1EB72674A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6" authorId="0" shapeId="0" xr:uid="{39999C07-74BC-4889-9F84-EB754777516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6" authorId="0" shapeId="0" xr:uid="{3B787073-C6ED-4C9D-A167-EF818C40152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6" authorId="0" shapeId="0" xr:uid="{2E246A1F-D124-49F4-8B87-02446620776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6" authorId="0" shapeId="0" xr:uid="{8BFDEB1F-C15B-4751-A9CB-08787843B66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7" authorId="0" shapeId="0" xr:uid="{86390A99-8DAA-4AE2-A698-19A84F03C69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7" authorId="0" shapeId="0" xr:uid="{0D268F31-FB7B-40D9-AD82-4340B25556C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7" authorId="0" shapeId="0" xr:uid="{8BDD6410-862B-45F9-B13F-163B0662047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7" authorId="0" shapeId="0" xr:uid="{F4D436FB-DD33-4231-972E-91505A58B05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7" authorId="0" shapeId="0" xr:uid="{4D0A2AC4-8E53-4BF4-BE6D-E1FA56D9B3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7" authorId="0" shapeId="0" xr:uid="{20100946-934F-4684-AAA1-3A40A48F400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7" authorId="0" shapeId="0" xr:uid="{C91EFD4E-8E45-45B1-AC69-78291F995E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7" authorId="0" shapeId="0" xr:uid="{36F25146-BA37-4C90-B568-56C26568917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7" authorId="0" shapeId="0" xr:uid="{5E8AB071-1C61-4F5E-BA89-AA77F03FB12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7" authorId="0" shapeId="0" xr:uid="{D56AD729-B7AB-4143-AE6E-D60B0585766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7" authorId="0" shapeId="0" xr:uid="{FFF7BE86-95C8-4AFD-ADE7-D4CF9EED8F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7" authorId="0" shapeId="0" xr:uid="{5B723CED-9069-4DEB-A433-554CBF96F8E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7" authorId="0" shapeId="0" xr:uid="{81CC2C9A-8193-4053-9699-9E4D8171CA46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O7" authorId="0" shapeId="0" xr:uid="{630235FC-E70B-4895-8937-B983B51C194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7" authorId="0" shapeId="0" xr:uid="{65A6065C-5EBE-4A5A-A7BD-5589442DAC8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7" authorId="0" shapeId="0" xr:uid="{BBC5DF36-2999-4255-9C89-5B6DA742617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7" authorId="0" shapeId="0" xr:uid="{CC4227FA-2E92-4E23-A113-C1B7B3D846A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7" authorId="0" shapeId="0" xr:uid="{52EF31D7-9134-4B9A-94A1-E1BAD6D991F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7" authorId="0" shapeId="0" xr:uid="{31867FCA-2B15-4F7F-90BB-ABD5F31B774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8" authorId="0" shapeId="0" xr:uid="{86BD0BB3-F99D-41E1-9FCE-F96DF142F3A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8" authorId="0" shapeId="0" xr:uid="{778B37C3-5ACA-4BC3-B987-E7C4914C023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8" authorId="0" shapeId="0" xr:uid="{C304F2AE-705E-45F7-BF7A-5FB4104409EE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E8" authorId="0" shapeId="0" xr:uid="{2E3FA3CE-0CB0-4B30-8141-27A9A97BC8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8" authorId="0" shapeId="0" xr:uid="{3E04BA9B-0347-44D5-A7E9-3FBFDB3722A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8" authorId="0" shapeId="0" xr:uid="{26694D11-50D7-4423-9C67-7598D7BD38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8" authorId="0" shapeId="0" xr:uid="{017CB908-E4D0-423A-A04C-E1615B5FCA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8" authorId="0" shapeId="0" xr:uid="{91C9ADF2-4A69-41AA-96F0-BF689765897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8" authorId="0" shapeId="0" xr:uid="{4B966AB2-C69F-406B-9736-D12B888B44A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8" authorId="0" shapeId="0" xr:uid="{160BCA53-9B1E-4B39-A464-4769DD519E9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8" authorId="0" shapeId="0" xr:uid="{A243A827-779D-4AD3-A14E-023567DC683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8" authorId="0" shapeId="0" xr:uid="{1907A212-27F4-4A3C-B370-FAC9997A854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8" authorId="0" shapeId="0" xr:uid="{1F50A623-9B9F-484E-BF92-D4D7A5769B9D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O8" authorId="0" shapeId="0" xr:uid="{F7BDB680-B0EA-4A3D-947B-49A2E9561BA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8" authorId="0" shapeId="0" xr:uid="{B02B6D14-36C8-4C0B-BF65-8630A955E7D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8" authorId="0" shapeId="0" xr:uid="{83AD8BF4-EABA-48BF-84FB-15558A26E2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8" authorId="0" shapeId="0" xr:uid="{9F58CE77-BAB3-4841-A052-22CBB4B1B2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8" authorId="0" shapeId="0" xr:uid="{DF263C10-C1FC-4E05-913A-519FD3328FF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8" authorId="0" shapeId="0" xr:uid="{A3B5CD91-23DA-43DA-A297-FD8E8A33644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9" authorId="0" shapeId="0" xr:uid="{835E7EE2-E374-4F0B-A721-8B82067C8AE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9" authorId="0" shapeId="0" xr:uid="{95CA1358-E865-441E-9FB1-B47A9D2EEB8B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D9" authorId="0" shapeId="0" xr:uid="{3C7F86B7-4633-424F-A36B-59E83BEE4DA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9" authorId="0" shapeId="0" xr:uid="{14F4FC0F-991C-464E-86C2-95286766DBA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9" authorId="0" shapeId="0" xr:uid="{5EAC6164-4008-4FD6-BD1A-C288AF6290F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9" authorId="0" shapeId="0" xr:uid="{33E0D686-FD8C-4B30-90F9-99F07A320A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9" authorId="0" shapeId="0" xr:uid="{FD756815-82D3-42AF-B56C-45FA19B40D3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9" authorId="0" shapeId="0" xr:uid="{4BCFE6BB-1CE9-4C02-BAEE-F81E23A03F0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9" authorId="0" shapeId="0" xr:uid="{7E34A89A-B8A9-44CD-B928-0A3BDAC1785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9" authorId="0" shapeId="0" xr:uid="{22C8979A-084D-4516-A987-2320A29B02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9" authorId="0" shapeId="0" xr:uid="{7BEC2BCF-A8DD-4FFB-A21E-F2F01C5830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9" authorId="0" shapeId="0" xr:uid="{BA930F06-D249-4537-9006-F1D76F95DA1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9" authorId="0" shapeId="0" xr:uid="{F62EB6CA-0298-4977-A50E-47C722C3DE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9" authorId="0" shapeId="0" xr:uid="{E401297A-CA55-4B3C-8AAD-75F6F61BB0E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9" authorId="0" shapeId="0" xr:uid="{6A6182F2-A07D-40C0-85F1-282D134438D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9" authorId="0" shapeId="0" xr:uid="{89A2FEDF-4DC5-4AC8-ADD7-88C9799E06F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9" authorId="0" shapeId="0" xr:uid="{7178C3C2-B6BD-4F4C-932F-F80648E96A2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9" authorId="0" shapeId="0" xr:uid="{01898A1E-7894-4ADD-9BE7-65FD9348B9B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9" authorId="0" shapeId="0" xr:uid="{94AEEE1C-5E8B-45C8-9036-E708576566F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0" authorId="0" shapeId="0" xr:uid="{F8DE94E9-CE03-40C0-9A63-EE75834BEA0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0" authorId="0" shapeId="0" xr:uid="{F0E43652-874A-440E-BC9D-D77A58F2C56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0" authorId="0" shapeId="0" xr:uid="{4AB84200-7AC3-437F-B320-FDA50F6AED3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0" authorId="0" shapeId="0" xr:uid="{6E66122A-57C7-43DB-804C-088BF3A091E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0" authorId="0" shapeId="0" xr:uid="{9A8FE1ED-C70A-4FBD-A4D9-60187ECA0CE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0" authorId="0" shapeId="0" xr:uid="{2606B379-E68C-4DB6-BE32-190D968607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0" authorId="0" shapeId="0" xr:uid="{39247609-A567-4F22-83C0-F662ECE532F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0" authorId="0" shapeId="0" xr:uid="{EFB50516-8096-4678-9BD8-0916CEB3F9C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0" authorId="0" shapeId="0" xr:uid="{99079D83-EBE8-46FF-948F-F3B640976E2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0" authorId="0" shapeId="0" xr:uid="{899120F6-F3F3-4893-9969-8FE27241952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0" authorId="0" shapeId="0" xr:uid="{06291EB2-E25A-444C-8936-06B9EBC008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0" authorId="0" shapeId="0" xr:uid="{5F580DD8-EFDE-4F43-97C3-DEF2185E0EF8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N10" authorId="0" shapeId="0" xr:uid="{C4B1162A-666E-41F2-B2EC-5EA2876A088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0" authorId="0" shapeId="0" xr:uid="{D9E5BAE3-485A-4F6E-BC1A-F184F0CE305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0" authorId="0" shapeId="0" xr:uid="{FF929E1D-864E-48D9-A5FA-3F40B7DF64E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0" authorId="0" shapeId="0" xr:uid="{FA6555A5-DAF4-4202-ABE9-1FCE92B189B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0" authorId="0" shapeId="0" xr:uid="{93F45F66-4D2D-409F-9D6A-A74232E891D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0" authorId="0" shapeId="0" xr:uid="{6012FAED-80F4-4FDA-8415-37417893243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0" authorId="0" shapeId="0" xr:uid="{01524C0F-AEEC-4D09-80CA-3C2A0D7601A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1" authorId="0" shapeId="0" xr:uid="{E3AA5564-F8B5-40CB-8D11-1D4D6C6E203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1" authorId="0" shapeId="0" xr:uid="{21EEE03D-1083-48C9-82A2-D7C9B50646A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1" authorId="0" shapeId="0" xr:uid="{8CD757B0-C5C5-4904-AA00-3704C9799F3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1" authorId="0" shapeId="0" xr:uid="{82981139-7116-43BE-8B16-22E08517927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1" authorId="0" shapeId="0" xr:uid="{B33A9019-7939-4914-B951-CA102D623D5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1" authorId="0" shapeId="0" xr:uid="{62AB26B1-B142-4C8E-A6A2-BE2A7F26DB2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1" authorId="0" shapeId="0" xr:uid="{3CAC000C-9B99-463B-9A05-47ED6B13B07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1" authorId="0" shapeId="0" xr:uid="{67E5DF4B-1BF6-4E70-9A6F-4238AD4BE36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1" authorId="0" shapeId="0" xr:uid="{4A57FBE2-1D27-485A-825F-D5334C602A7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1" authorId="0" shapeId="0" xr:uid="{394165B9-FE5B-4933-B17A-1028C70A694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1" authorId="0" shapeId="0" xr:uid="{3EFD3788-B8A0-4A61-9A55-D564F8670A8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1" authorId="0" shapeId="0" xr:uid="{106BD693-BB7A-4B25-9290-A3F83181BF0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1" authorId="0" shapeId="0" xr:uid="{D73B2BCE-0A39-402D-AC6E-52720984FF3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1" authorId="0" shapeId="0" xr:uid="{BE682500-D1D5-4DD9-A3FF-6197F6FC682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1" authorId="0" shapeId="0" xr:uid="{614E623D-E47A-40DA-82F8-520A8303365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1" authorId="0" shapeId="0" xr:uid="{F82BFBD3-892F-4523-A363-0D6E9FAF044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1" authorId="0" shapeId="0" xr:uid="{8AC2827D-AA77-4AA7-ADBA-45232F722B3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1" authorId="0" shapeId="0" xr:uid="{B60CDA53-62AF-4F38-BDB0-C655E02644C9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T11" authorId="0" shapeId="0" xr:uid="{98627EC3-478D-462B-AE20-2C95894B30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2" authorId="0" shapeId="0" xr:uid="{68A73A4E-F3F9-4F76-AE21-E3DF12F6D3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2" authorId="0" shapeId="0" xr:uid="{2A316F6C-DCAE-4F12-90A7-EB51422C6F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2" authorId="0" shapeId="0" xr:uid="{8BF29F0B-A2DB-4AB2-B481-CD8A30ECBD9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2" authorId="0" shapeId="0" xr:uid="{12188021-E522-4B64-8BD3-6E8AC9CB88A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2" authorId="0" shapeId="0" xr:uid="{D931FC59-2674-444C-850A-E5E1C054154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2" authorId="0" shapeId="0" xr:uid="{FCD61AA5-B0AF-4D9F-B343-11E61CF8318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2" authorId="0" shapeId="0" xr:uid="{88664EB2-5937-4606-9B9A-12A2E847098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2" authorId="0" shapeId="0" xr:uid="{B9857257-DC0F-458E-8213-2D02ACE58D2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2" authorId="0" shapeId="0" xr:uid="{6342F90F-A08C-44B6-BA5D-2989727CA4B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2" authorId="0" shapeId="0" xr:uid="{406662E3-01D2-436E-859F-D8256F3F43E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2" authorId="0" shapeId="0" xr:uid="{41F801AA-B835-4B31-992D-DD38FB44DF9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2" authorId="0" shapeId="0" xr:uid="{348D1ADD-3BE9-44DA-A39E-A8A7F9ECDF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2" authorId="0" shapeId="0" xr:uid="{634C7F3E-C439-41E1-AFB3-ED4091B666B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2" authorId="0" shapeId="0" xr:uid="{86AF58F6-F6D5-4E4E-963C-DA84ADEB66D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2" authorId="0" shapeId="0" xr:uid="{7827BA25-BADB-48BB-B3EB-4F872945891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2" authorId="0" shapeId="0" xr:uid="{CDE5D3AE-117E-41AF-87E4-91A8FB118E7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2" authorId="0" shapeId="0" xr:uid="{38F7C917-5F7E-461A-B476-D0249E2F9D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2" authorId="0" shapeId="0" xr:uid="{1977AA49-AF15-44EA-AAFA-91CC03B4C71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2" authorId="0" shapeId="0" xr:uid="{04BBCD31-4C4F-45EF-8659-46394AF04BA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3" authorId="0" shapeId="0" xr:uid="{519A671B-1AD3-415D-85B3-D2528ED51EC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3" authorId="0" shapeId="0" xr:uid="{37826691-78A6-4717-83B2-7A139095011B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D13" authorId="0" shapeId="0" xr:uid="{75E49C50-B714-4730-A30E-461480BFD4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3" authorId="0" shapeId="0" xr:uid="{B579D936-7C49-49C1-80D7-6732239A40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3" authorId="0" shapeId="0" xr:uid="{B2604904-7287-44F5-B3B9-83489FE4867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3" authorId="0" shapeId="0" xr:uid="{71332A68-4216-4FF8-A93D-5774A25A59B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3" authorId="0" shapeId="0" xr:uid="{ABA7AF87-FA09-40E4-88BD-01ACF075C38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3" authorId="0" shapeId="0" xr:uid="{4107CC64-7AC5-436A-8CD6-9608AC87DB1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3" authorId="0" shapeId="0" xr:uid="{2B7D6DD7-781C-43A4-8488-31719E05B0D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3" authorId="0" shapeId="0" xr:uid="{2721E955-D20D-447C-A3ED-01B071BF348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3" authorId="0" shapeId="0" xr:uid="{71D7F54B-F79F-48BB-9E9C-5C6B942BE2E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3" authorId="0" shapeId="0" xr:uid="{60168296-9552-491A-9F6E-7AC46DC773B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3" authorId="0" shapeId="0" xr:uid="{0EC970E0-E0E9-43B4-859D-4921D094226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3" authorId="0" shapeId="0" xr:uid="{0573F883-3B5D-49E1-ABEE-12612B92A4C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3" authorId="0" shapeId="0" xr:uid="{8A358F0A-8150-422F-8812-2A961F6D086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3" authorId="0" shapeId="0" xr:uid="{062B601C-684A-447B-AF44-AC97606FAE8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3" authorId="0" shapeId="0" xr:uid="{04D7ED7F-294F-408F-8566-B861D9BCA98B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S13" authorId="0" shapeId="0" xr:uid="{497467FE-D9BB-4B5C-AA44-B64D538B943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3" authorId="0" shapeId="0" xr:uid="{1CABE38F-EF30-44C7-BEAB-C4B1BFAB57E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4" authorId="0" shapeId="0" xr:uid="{7E1722BC-6924-41C0-862C-47A2C254126B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C14" authorId="0" shapeId="0" xr:uid="{BC700358-684F-4DEE-B0A0-701688030EA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4" authorId="0" shapeId="0" xr:uid="{472EF844-601C-441F-820D-2133D768D78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4" authorId="0" shapeId="0" xr:uid="{C008822F-CF14-49C4-9DBB-A4C200D211E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4" authorId="0" shapeId="0" xr:uid="{4D3C01B2-241F-41CF-A14A-6B9DDAC2AC3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4" authorId="0" shapeId="0" xr:uid="{5A96B4DD-AE9B-4397-A57B-9CB7C710D9A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4" authorId="0" shapeId="0" xr:uid="{CC675181-63CC-4F9B-8916-8BE153AF431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4" authorId="0" shapeId="0" xr:uid="{ACF4FF7E-EE55-48A1-8A1A-37A4C7C20F5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4" authorId="0" shapeId="0" xr:uid="{F2DAC07C-D6AB-47C8-9827-FC25BF80AA0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4" authorId="0" shapeId="0" xr:uid="{F5B338D1-64CB-4BA3-9F42-FB8DECD6D79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4" authorId="0" shapeId="0" xr:uid="{B136CC43-062F-4BD3-96AB-E6AA4E34944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4" authorId="0" shapeId="0" xr:uid="{694A246D-5F03-4D05-B924-B070A49B6DC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4" authorId="0" shapeId="0" xr:uid="{609D29D0-3C99-443C-87D8-712C00D99C8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4" authorId="0" shapeId="0" xr:uid="{1E04C200-DED4-44F4-AC39-DE153BDA81A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4" authorId="0" shapeId="0" xr:uid="{0A24CB0A-5EF8-470E-B07D-A0070B0026D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4" authorId="0" shapeId="0" xr:uid="{4977DF01-CE6A-432E-B9EA-2D55312E0A5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4" authorId="0" shapeId="0" xr:uid="{33781516-4350-4FB3-8632-B6AFB447004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4" authorId="0" shapeId="0" xr:uid="{1F3154C4-15D0-4670-B002-1CCB52F4F1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4" authorId="0" shapeId="0" xr:uid="{0CEE7D65-9F9F-4CF3-9E4C-D9D39042EF6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5" authorId="0" shapeId="0" xr:uid="{DCF76B51-8281-47A7-A988-0533D634A1C8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C15" authorId="0" shapeId="0" xr:uid="{6892E906-620C-4B2B-8896-9BB2BA43B58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5" authorId="0" shapeId="0" xr:uid="{286E76A3-7CEE-4569-B830-5C61156799A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5" authorId="0" shapeId="0" xr:uid="{235D7924-7F48-4D44-BD0C-4179B61766D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5" authorId="0" shapeId="0" xr:uid="{31EDA5D2-02BD-4732-A702-039E99CD7BB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5" authorId="0" shapeId="0" xr:uid="{E35F9574-D43C-47F8-9444-0E521289C52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5" authorId="0" shapeId="0" xr:uid="{E8F28A4B-D3BD-457A-96AF-DCE6869A7BD9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I15" authorId="0" shapeId="0" xr:uid="{25953F68-6396-4E6B-8AE0-926EF57FE84E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J15" authorId="0" shapeId="0" xr:uid="{BBD5DC06-5675-4439-8D59-820C3DA9950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5" authorId="0" shapeId="0" xr:uid="{5E24191D-1650-4CB1-A974-496371F90CC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5" authorId="0" shapeId="0" xr:uid="{A428723C-E47C-482A-B63F-C075A55D5EE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5" authorId="0" shapeId="0" xr:uid="{09EE0580-EF8B-486E-BEB0-CFA14AB7321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5" authorId="0" shapeId="0" xr:uid="{DFE04A89-95E5-4351-8FE2-50709785A25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5" authorId="0" shapeId="0" xr:uid="{3F1EA9A9-D53C-4DB3-86E9-EA5642DCBF38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P15" authorId="0" shapeId="0" xr:uid="{F59D34AD-A7D7-4A3B-A79B-AC5D8700BF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5" authorId="0" shapeId="0" xr:uid="{B334E3C3-FD44-4A7E-9E76-06BC106A43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5" authorId="0" shapeId="0" xr:uid="{25F9E237-F1AB-414C-B18D-AE8B3483A9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5" authorId="0" shapeId="0" xr:uid="{4E9F5EA6-4E26-4848-8D3A-74AAB241DA3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5" authorId="0" shapeId="0" xr:uid="{C17689F3-D4B9-437D-934F-850EDCF3DA3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6" authorId="0" shapeId="0" xr:uid="{5C93CBCF-DADD-43F5-ADC6-EEEFC00EB7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6" authorId="0" shapeId="0" xr:uid="{6EDEBB7E-8CC3-4A13-8FB0-07DD78CDEF69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D16" authorId="0" shapeId="0" xr:uid="{FCABA727-5871-4105-891B-108C9305C46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6" authorId="0" shapeId="0" xr:uid="{47C238A9-2FF9-4A53-A045-4E0AF9CE801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6" authorId="0" shapeId="0" xr:uid="{4E55D479-3664-41D8-B1C8-32FF6A26500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6" authorId="0" shapeId="0" xr:uid="{2748460C-A976-408C-8672-D7F67E96B93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6" authorId="0" shapeId="0" xr:uid="{69025572-EFF6-4E38-A819-994E55A4867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6" authorId="0" shapeId="0" xr:uid="{D0891D81-B9FF-4AEE-B63C-70622C2D484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6" authorId="0" shapeId="0" xr:uid="{DC4068EC-FA89-4D3B-AA3A-789A3A83659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6" authorId="0" shapeId="0" xr:uid="{248B6C7D-A82A-4127-AEF7-B891EA00FA66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L16" authorId="0" shapeId="0" xr:uid="{7F8514BB-0B7F-44A0-9EA5-3F07F76A82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6" authorId="0" shapeId="0" xr:uid="{CDE7C9A8-94F0-48F4-BC61-77B8459FCD4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6" authorId="0" shapeId="0" xr:uid="{413B341B-9CA9-4951-8A59-34B97541893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6" authorId="0" shapeId="0" xr:uid="{24571FB9-6A0C-4E96-84EA-5B53E1E3010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6" authorId="0" shapeId="0" xr:uid="{712A2D63-D06E-4E5B-B88C-CE090149B7B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6" authorId="0" shapeId="0" xr:uid="{62B26C70-2A6E-4D2F-B989-FF4681FED3C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6" authorId="0" shapeId="0" xr:uid="{D4CE0A05-5355-40B3-8DFB-9328159534C9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S16" authorId="0" shapeId="0" xr:uid="{99D06AC5-FDEF-4AD6-BCD7-9537D9FE82DE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T16" authorId="0" shapeId="0" xr:uid="{F89349DA-73EA-44F1-9BE3-273999D3D9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7" authorId="0" shapeId="0" xr:uid="{3430BEC1-0BE4-488A-88A0-8652F7003AB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7" authorId="0" shapeId="0" xr:uid="{6105E32B-DD11-4B04-BB42-4C1D3442494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7" authorId="0" shapeId="0" xr:uid="{10D01FDC-3111-4B22-8444-0A817794318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7" authorId="0" shapeId="0" xr:uid="{F73DE54C-1184-4493-8F53-2E4A6D9A31D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7" authorId="0" shapeId="0" xr:uid="{5DDD8E00-823F-4C9C-8690-6C5D19B32F0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7" authorId="0" shapeId="0" xr:uid="{A2BA71AA-FB3F-47B4-9FBE-179B24BE5A7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7" authorId="0" shapeId="0" xr:uid="{F7988162-1BB8-4799-B182-DAB3DF16662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7" authorId="0" shapeId="0" xr:uid="{B9C4C4F3-355F-493A-B6B4-396F8EE64B6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7" authorId="0" shapeId="0" xr:uid="{74025DB4-554D-44D8-BBFB-A09B6B7E92BB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K17" authorId="0" shapeId="0" xr:uid="{D9B0D209-4350-47B9-89A8-B9D9FFAD394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7" authorId="0" shapeId="0" xr:uid="{6A1A6549-2B3B-451D-B5F0-FA743A8A0B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7" authorId="0" shapeId="0" xr:uid="{94517A5C-53F0-4D9E-8546-4C4BE37CDA2C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N17" authorId="0" shapeId="0" xr:uid="{A1A63CF6-E104-4F8D-8EF4-B16E2A43E4E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7" authorId="0" shapeId="0" xr:uid="{26B1E917-379E-4CD2-B51D-B810C078996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7" authorId="0" shapeId="0" xr:uid="{38B057B9-2588-4568-9D15-B33A40E3DEA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7" authorId="0" shapeId="0" xr:uid="{4F3DB995-B4B2-4927-8600-8F21121AD81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7" authorId="0" shapeId="0" xr:uid="{7EB3FC0A-E4AE-475C-B370-AFD05E48B63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7" authorId="0" shapeId="0" xr:uid="{CEE23A35-AAE5-436F-8E83-1ADA759FE70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7" authorId="0" shapeId="0" xr:uid="{878F0A99-089D-4179-9507-D6C7B06A34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8" authorId="0" shapeId="0" xr:uid="{1B821BBD-ACF7-4BD8-9351-19C5F57539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8" authorId="0" shapeId="0" xr:uid="{12CCB11A-5030-455D-8898-72EA0F9F4274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D18" authorId="0" shapeId="0" xr:uid="{EA0FFDCB-723F-4B61-B6D8-7EC132C027FE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E18" authorId="0" shapeId="0" xr:uid="{902D6A99-89F7-4BC9-9951-669A9E63C0D0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F18" authorId="0" shapeId="0" xr:uid="{0A8FD8E7-ED6E-4670-8FCC-F7CABA54F68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8" authorId="0" shapeId="0" xr:uid="{2903C672-D7FE-4FCD-BA3C-EAD32922669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8" authorId="0" shapeId="0" xr:uid="{B5BA8210-1C6B-4187-A9E5-66E049A326F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8" authorId="0" shapeId="0" xr:uid="{F0CCECBB-B414-4371-A306-162751DAF94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8" authorId="0" shapeId="0" xr:uid="{3BA18DB3-55AF-4F96-AE3C-D709C2B7A96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8" authorId="0" shapeId="0" xr:uid="{84B11D65-E10A-4AB0-9E87-3CD3837FEFF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8" authorId="0" shapeId="0" xr:uid="{47023727-5B7B-4AAF-8376-00EA2FBED55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8" authorId="0" shapeId="0" xr:uid="{581FFDD5-74FB-4044-8094-8384EDCD924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8" authorId="0" shapeId="0" xr:uid="{355F8E82-5BEF-4786-B579-987F3AFBACC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8" authorId="0" shapeId="0" xr:uid="{D16A80CF-284E-4B59-BAD9-0F9C38140883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P18" authorId="0" shapeId="0" xr:uid="{66E4A38F-F572-4E91-A936-98B9D8AC304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8" authorId="0" shapeId="0" xr:uid="{76B0C3DC-EFEB-4CD6-B268-0B4D1D66E5E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8" authorId="0" shapeId="0" xr:uid="{8795173D-8A11-4E22-BCC1-20EEE24853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8" authorId="0" shapeId="0" xr:uid="{14EF4CD4-9433-4D43-9582-DCD78256A3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8" authorId="0" shapeId="0" xr:uid="{56207119-2E1D-417E-9E18-CD6253C1F49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9" authorId="0" shapeId="0" xr:uid="{CAAE1350-553B-413D-AC27-207CD5F38232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C19" authorId="0" shapeId="0" xr:uid="{3BCDCCC1-966A-4F91-8D9C-C9B60B559F0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9" authorId="0" shapeId="0" xr:uid="{745AD5F5-7416-45A7-B8E9-8E9487D74420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E19" authorId="0" shapeId="0" xr:uid="{9DBE4793-B486-4D9E-A721-AB3385EB2B6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9" authorId="0" shapeId="0" xr:uid="{3B2D3725-6B97-4ACA-8D97-B43CEF0F6B9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9" authorId="0" shapeId="0" xr:uid="{283A6041-2F3F-4EE4-8993-7DEE50FEDF0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9" authorId="0" shapeId="0" xr:uid="{CD82CD60-2AE6-44CD-A894-7EC39B7E63D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9" authorId="0" shapeId="0" xr:uid="{FF2ED2BD-10E9-4AD6-998D-EA0EACAA4F4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9" authorId="0" shapeId="0" xr:uid="{92664A89-0283-4F44-824B-137AD5E395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9" authorId="0" shapeId="0" xr:uid="{2395A21D-5380-4835-A024-23DC9707F4F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9" authorId="0" shapeId="0" xr:uid="{919BEF2F-1AA6-47BD-A559-75D5830821B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9" authorId="0" shapeId="0" xr:uid="{4704F7C1-B73F-451D-B456-BB25CBD671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9" authorId="0" shapeId="0" xr:uid="{F35170CD-A7E5-4BA1-830C-FA3BD907924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9" authorId="0" shapeId="0" xr:uid="{40243177-74E8-4C92-ADC6-3A4E97A047A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9" authorId="0" shapeId="0" xr:uid="{C9E41243-CBC3-479C-9F50-C3D67D5D69D7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Q19" authorId="0" shapeId="0" xr:uid="{36AD2181-AA88-46C2-B2CE-E47374DE729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9" authorId="0" shapeId="0" xr:uid="{182A74A0-C678-4544-9EC1-47850813266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9" authorId="0" shapeId="0" xr:uid="{91712A36-60CA-4E7B-B1F5-C247FC0312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9" authorId="0" shapeId="0" xr:uid="{C88B8974-98EB-43C0-83BC-8AF11A00BCF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0" authorId="0" shapeId="0" xr:uid="{F4CCFD3B-6AAA-4F01-93A8-0FA499840D7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0" authorId="0" shapeId="0" xr:uid="{E5AE5BAB-4A42-411B-B883-ABE02AEDC79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0" authorId="0" shapeId="0" xr:uid="{12660FB3-42CF-409C-8098-EB4175446A0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0" authorId="0" shapeId="0" xr:uid="{6620B328-3F59-46C6-802E-EA165E2FA89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0" authorId="0" shapeId="0" xr:uid="{89799804-3633-4D70-80D3-7053BCE125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0" authorId="0" shapeId="0" xr:uid="{9010C978-8DE5-417C-8FB8-4A021229DC2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0" authorId="0" shapeId="0" xr:uid="{FD21E77A-B540-459E-8F33-D6F5FF6FB87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0" authorId="0" shapeId="0" xr:uid="{8B97C614-74E6-45C2-BE8A-4BA74703252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20" authorId="0" shapeId="0" xr:uid="{B6DF5730-6C5F-4038-802F-7835E0DA16B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20" authorId="0" shapeId="0" xr:uid="{5B7BD7E3-E0AD-440B-8603-5360AFCC96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20" authorId="0" shapeId="0" xr:uid="{3DC1DD4C-E100-428D-890E-053C461D594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0" authorId="0" shapeId="0" xr:uid="{2669855A-4CFE-418F-9DF1-4D00742FD24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20" authorId="0" shapeId="0" xr:uid="{88BE41C3-7707-4AE8-9FF6-2FEF76FCA9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20" authorId="0" shapeId="0" xr:uid="{5EBE8C73-819F-4929-B36E-4B15F9DFC66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0" authorId="0" shapeId="0" xr:uid="{6B9E90C7-FC08-4260-BED3-D0635DBC1A5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20" authorId="0" shapeId="0" xr:uid="{FB235D63-E4F9-4A30-9477-E872AF0004F2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R20" authorId="0" shapeId="0" xr:uid="{52F374A1-9F23-4C0E-9226-98A0BB4802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0" authorId="0" shapeId="0" xr:uid="{B9C7F85D-100A-4402-A844-E3B044652B7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0" authorId="0" shapeId="0" xr:uid="{820BC1F5-1E99-45D8-897E-ACC7216345C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1" authorId="0" shapeId="0" xr:uid="{DD388A13-AEEF-4CA5-985E-D41240B0F0F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1" authorId="0" shapeId="0" xr:uid="{7646E82A-D09B-4487-88EA-515FBB353A5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1" authorId="0" shapeId="0" xr:uid="{A0E4D9AD-AEBF-4D56-9C88-B3E8595CF5E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1" authorId="0" shapeId="0" xr:uid="{D35EE162-B9C1-4081-817C-58CC3CA86F2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1" authorId="0" shapeId="0" xr:uid="{C9A25D40-C71D-4D7D-970C-870A2247C11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1" authorId="0" shapeId="0" xr:uid="{FD09C651-9489-4AA6-B98C-CFAE33F7732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1" authorId="0" shapeId="0" xr:uid="{ADEF1629-02FC-4F0E-A044-505B1AAAA45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1" authorId="0" shapeId="0" xr:uid="{5A2AF845-F13C-415F-8576-11E6E4D1A6E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21" authorId="0" shapeId="0" xr:uid="{74CF3A31-971A-4243-A010-E8510C0110D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21" authorId="0" shapeId="0" xr:uid="{323AE48E-A1AE-4D93-B7E2-07CD0FBAB30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21" authorId="0" shapeId="0" xr:uid="{A51EA43E-8A37-43CD-BD5F-3085EA5953D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1" authorId="0" shapeId="0" xr:uid="{E50940ED-F22D-45A8-AFB7-E298840C52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21" authorId="0" shapeId="0" xr:uid="{72FF192E-D04B-4CE9-98C7-F1E971010E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21" authorId="0" shapeId="0" xr:uid="{AC61CEB9-ACA9-4613-ADB3-3E1D1DC9846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1" authorId="0" shapeId="0" xr:uid="{297704A0-3DF3-4F28-A4C6-4360AAC48DE1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Q21" authorId="0" shapeId="0" xr:uid="{935B9F6C-C5F4-4BD4-BA73-CF8AB5C6E88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21" authorId="0" shapeId="0" xr:uid="{DA722429-7A79-4004-A9E3-79C10F463AA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1" authorId="0" shapeId="0" xr:uid="{48FF1FA0-7152-4AE9-AFBF-AB5680861DE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1" authorId="0" shapeId="0" xr:uid="{3E41E372-AA43-4345-A34B-8B2F2704BDE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658BF582-5797-4454-B40A-B62A38CD696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2" authorId="0" shapeId="0" xr:uid="{31BA4BCD-E546-4EB0-A4C7-CBA91D6C624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2" authorId="0" shapeId="0" xr:uid="{D5A1B68F-C403-4088-9486-542A6C8FE19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2" authorId="0" shapeId="0" xr:uid="{3A747CE7-2F05-46F8-A6CC-D981E2F0CFE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2" authorId="0" shapeId="0" xr:uid="{E0E91FB9-FB66-4E54-8B64-3DD9D6C25F2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2" authorId="0" shapeId="0" xr:uid="{C60D57A5-8898-4809-9A5C-FD0DEB69EA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2" authorId="0" shapeId="0" xr:uid="{AB9F48C1-7400-4DC7-9905-74A58B3E18F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2" authorId="0" shapeId="0" xr:uid="{351AFD13-C50D-410E-A481-61C8D7FC4EF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22" authorId="0" shapeId="0" xr:uid="{6ED24DB6-8A28-464D-86C1-97AF9835B64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22" authorId="0" shapeId="0" xr:uid="{639A35BE-95E0-4A86-91BF-0CB6E19C645F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L22" authorId="0" shapeId="0" xr:uid="{15C4AEC7-E8D2-4F0B-AEC5-9E180E57B11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2" authorId="0" shapeId="0" xr:uid="{1204AD79-EE8D-46BE-8546-ED2230403B4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22" authorId="0" shapeId="0" xr:uid="{944F65AD-1DB5-4408-BC38-66B8A7CFC4DB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O22" authorId="0" shapeId="0" xr:uid="{19FF2459-2BFB-40DD-9D83-04B58FF023C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2" authorId="0" shapeId="0" xr:uid="{AB0A29D9-FF24-4BAA-BC5A-A2AA400B367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22" authorId="0" shapeId="0" xr:uid="{FE4CC146-D7E6-4E8D-B0B1-896BB35F54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22" authorId="0" shapeId="0" xr:uid="{B8D928CF-6AC8-4D27-BD84-F53349377A0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2" authorId="0" shapeId="0" xr:uid="{1D35CD5C-ECCD-4EAA-88FC-BBCCA0CA6B6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2" authorId="0" shapeId="0" xr:uid="{96C529B2-D746-4E3D-A06D-CFCB6E057A4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AEDFDE43-8D84-4444-8903-E3805063304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3" authorId="0" shapeId="0" xr:uid="{5DBB9CF0-D06B-4DEC-8784-3C0D6FF246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3" authorId="0" shapeId="0" xr:uid="{ACEAC9E4-5493-4CD0-AA5D-C94E00A6D41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3" authorId="0" shapeId="0" xr:uid="{FBBED4F0-FC5E-4342-AF00-17259D6CFEA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3" authorId="0" shapeId="0" xr:uid="{BA4F9ED3-A592-4FA8-8E1C-F417D960FAB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3" authorId="0" shapeId="0" xr:uid="{BC6C8FF8-B822-4AE8-9F55-D410B062FF3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3" authorId="0" shapeId="0" xr:uid="{E1118177-FCC3-44C9-AF5E-03438D98569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3" authorId="0" shapeId="0" xr:uid="{31B9C3C0-06BB-4942-B2B4-EC549AF6D580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J23" authorId="0" shapeId="0" xr:uid="{C288E882-1CA4-4D6E-BC23-E60DD3FCE56C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K23" authorId="0" shapeId="0" xr:uid="{A020D766-E6A6-45A1-B223-FC1957BD00D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23" authorId="0" shapeId="0" xr:uid="{FBAC9A56-E4AE-4704-A008-6E764D517ED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3" authorId="0" shapeId="0" xr:uid="{649224F2-BFA4-4A45-B626-6574C34741A2}">
      <text>
        <r>
          <rPr>
            <sz val="9"/>
            <color rgb="FF000000"/>
            <rFont val="Tahoma"/>
            <family val="2"/>
          </rPr>
          <t>Solver converged in probability to a global solution.</t>
        </r>
      </text>
    </comment>
    <comment ref="N23" authorId="0" shapeId="0" xr:uid="{6C56EB70-D282-49EB-8EE8-D1D2A8C9E9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23" authorId="0" shapeId="0" xr:uid="{127FC729-72A1-45B8-9D7E-9E5A39A0013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3" authorId="0" shapeId="0" xr:uid="{9B431ACE-FF49-4BC4-B2DF-1516C219CBB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23" authorId="0" shapeId="0" xr:uid="{C4338835-0C39-468D-9987-64935CF1FDF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23" authorId="0" shapeId="0" xr:uid="{CD79519A-344F-481E-886F-100CDA367E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3" authorId="0" shapeId="0" xr:uid="{A5508D4F-D24B-4849-BF32-2DEFC724C77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3" authorId="0" shapeId="0" xr:uid="{22349F97-A157-4EF5-8493-3E57AB1BB62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sharedStrings.xml><?xml version="1.0" encoding="utf-8"?>
<sst xmlns="http://schemas.openxmlformats.org/spreadsheetml/2006/main" count="233" uniqueCount="106">
  <si>
    <t>Longitute(x-coordinate)</t>
  </si>
  <si>
    <t>Latitude(y-coordinate)</t>
  </si>
  <si>
    <t>No. of annual shipments</t>
  </si>
  <si>
    <t>Store 1</t>
  </si>
  <si>
    <t>Store 2</t>
  </si>
  <si>
    <t>Store 3</t>
  </si>
  <si>
    <t>Store 4</t>
  </si>
  <si>
    <t>Store 5</t>
  </si>
  <si>
    <t>Store 6</t>
  </si>
  <si>
    <t>Store 7</t>
  </si>
  <si>
    <t>Decision Variable</t>
  </si>
  <si>
    <t>Distribution Center Coordinates</t>
  </si>
  <si>
    <t>x-coordinate</t>
  </si>
  <si>
    <t>y-coordinate</t>
  </si>
  <si>
    <t>Constraints</t>
  </si>
  <si>
    <t>East River</t>
  </si>
  <si>
    <t>Start</t>
  </si>
  <si>
    <t xml:space="preserve">End </t>
  </si>
  <si>
    <t>Hudson River</t>
  </si>
  <si>
    <t>End</t>
  </si>
  <si>
    <t>River Connect</t>
  </si>
  <si>
    <t>Intersection 1</t>
  </si>
  <si>
    <t>Intersection 2</t>
  </si>
  <si>
    <t>Retail Stores</t>
  </si>
  <si>
    <t>X-coord.</t>
  </si>
  <si>
    <t>Y-coord.</t>
  </si>
  <si>
    <t>Number of Annual Shipments</t>
  </si>
  <si>
    <t>Normalizing X</t>
  </si>
  <si>
    <t>Normalizing Y</t>
  </si>
  <si>
    <t xml:space="preserve"> Distance from Distribution center to Stores, miles</t>
  </si>
  <si>
    <t>Average</t>
  </si>
  <si>
    <t>Standard Deviation</t>
  </si>
  <si>
    <t>Decision variable: Distribution center coordinates</t>
  </si>
  <si>
    <t> </t>
  </si>
  <si>
    <t>Distribution Center (DC) Coordinates</t>
  </si>
  <si>
    <t>Objective Function</t>
  </si>
  <si>
    <t>Minimize total distances from Distribution center to stores</t>
  </si>
  <si>
    <t>LHS</t>
  </si>
  <si>
    <t>RHS</t>
  </si>
  <si>
    <t>Actual coordinates</t>
  </si>
  <si>
    <t>X coordinate</t>
  </si>
  <si>
    <t>&gt;=</t>
  </si>
  <si>
    <t>&lt;=</t>
  </si>
  <si>
    <t>Y coordinate</t>
  </si>
  <si>
    <t>Coordinates for ideal point</t>
  </si>
  <si>
    <t>Microsoft Excel 16.0 Sensitivity Report</t>
  </si>
  <si>
    <t>Worksheet: [McTrump Optimization.xlsx]Formulation</t>
  </si>
  <si>
    <t>Report Created: 3/8/2024 4:40:08 PM</t>
  </si>
  <si>
    <t>Variable Cells</t>
  </si>
  <si>
    <t>Final</t>
  </si>
  <si>
    <t>Reduced</t>
  </si>
  <si>
    <t>Cell</t>
  </si>
  <si>
    <t>Name</t>
  </si>
  <si>
    <t>Value</t>
  </si>
  <si>
    <t>Gradient</t>
  </si>
  <si>
    <t>$B$14</t>
  </si>
  <si>
    <t>$C$14</t>
  </si>
  <si>
    <t>Lagrange</t>
  </si>
  <si>
    <t>Multiplier</t>
  </si>
  <si>
    <t>$B$21</t>
  </si>
  <si>
    <t>X coordinate LHS</t>
  </si>
  <si>
    <t>$B$22</t>
  </si>
  <si>
    <t>x coordinate LHS</t>
  </si>
  <si>
    <t>$B$23</t>
  </si>
  <si>
    <t>y coordinate LHS</t>
  </si>
  <si>
    <t>$B$24</t>
  </si>
  <si>
    <t>Optimization Model</t>
  </si>
  <si>
    <t>Inputs</t>
  </si>
  <si>
    <t>X-coord., miles</t>
  </si>
  <si>
    <t>Y-coord., miles</t>
  </si>
  <si>
    <t xml:space="preserve"> Distance from Warehouse to Stores, miles</t>
  </si>
  <si>
    <t>East river start X-coord.</t>
  </si>
  <si>
    <t>East river end X-coord.</t>
  </si>
  <si>
    <t>East river start Y-coord.</t>
  </si>
  <si>
    <t>East river end Y-coord.</t>
  </si>
  <si>
    <t>Hudson river start X-coord.</t>
  </si>
  <si>
    <t>Hudson river end X-coord.</t>
  </si>
  <si>
    <t>Hudson river start Y-coord.</t>
  </si>
  <si>
    <t>Hudson river end Y-coord.</t>
  </si>
  <si>
    <t xml:space="preserve">Objective </t>
  </si>
  <si>
    <t>River Connect start X-coord.</t>
  </si>
  <si>
    <t>River Connect end X-coord.</t>
  </si>
  <si>
    <t>River Connect start Y-coord.</t>
  </si>
  <si>
    <t>River Connect end Y-coord.</t>
  </si>
  <si>
    <t>East River y-coordinate</t>
  </si>
  <si>
    <t>Hudson river x-coordinate</t>
  </si>
  <si>
    <t>Intersection 2 x-coordinate</t>
  </si>
  <si>
    <t>Intersection 2 y-coordinate</t>
  </si>
  <si>
    <t/>
  </si>
  <si>
    <t>$B$18</t>
  </si>
  <si>
    <t>Moving y-coordinate</t>
  </si>
  <si>
    <t>One-way analysis for Solver model in Formulation worksheet</t>
  </si>
  <si>
    <t>Shipment for Store 4 (cell $D$5) values along side, output cell(s) along top</t>
  </si>
  <si>
    <t>Data for chart</t>
  </si>
  <si>
    <t>Two-way analysis for Solver model in Formulation worksheet</t>
  </si>
  <si>
    <t>Output and Shipment for Store 4 value for chart</t>
  </si>
  <si>
    <t>Output and Shipment for Store 2 value for chart</t>
  </si>
  <si>
    <t>Output</t>
  </si>
  <si>
    <t>Shipment for Store 4 value</t>
  </si>
  <si>
    <t>Shipment for Store 2 value</t>
  </si>
  <si>
    <t>$D$3</t>
  </si>
  <si>
    <t>$D$5</t>
  </si>
  <si>
    <t>Shipment for Store 2</t>
  </si>
  <si>
    <t>Shipment for Store 4</t>
  </si>
  <si>
    <t>Shipment for Store 2 (cell $D$3) values along side, Shipment for Store 4 (cell $D$5) values along top, output cell in corner</t>
  </si>
  <si>
    <t>Denormalization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</si>
</sst>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000000"/>
      <name val="Arial"/>
      <family val="2"/>
    </font>
    <font>
      <b/>
      <i/>
      <sz val="11"/>
      <color rgb="FF0000FF"/>
      <name val="Calibri"/>
      <family val="2"/>
    </font>
    <font>
      <sz val="12"/>
      <color rgb="FF000000"/>
      <name val="Calibri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indexed="18"/>
      <name val="Aptos Narrow"/>
      <family val="2"/>
      <scheme val="minor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3" tint="0.499984740745262"/>
      <name val="Times New Roman"/>
      <family val="1"/>
    </font>
    <font>
      <sz val="12"/>
      <color rgb="FFFFFFFF"/>
      <name val="Aptos Narrow"/>
      <family val="2"/>
      <scheme val="minor"/>
    </font>
    <font>
      <sz val="9"/>
      <color rgb="FF00000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3" tint="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79">
    <xf numFmtId="0" fontId="0" fillId="0" borderId="0" xfId="0"/>
    <xf numFmtId="0" fontId="22" fillId="0" borderId="0" xfId="0" applyFont="1"/>
    <xf numFmtId="0" fontId="23" fillId="0" borderId="10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20" fillId="0" borderId="11" xfId="0" applyFont="1" applyBorder="1"/>
    <xf numFmtId="0" fontId="20" fillId="33" borderId="13" xfId="0" applyFont="1" applyFill="1" applyBorder="1"/>
    <xf numFmtId="0" fontId="20" fillId="0" borderId="13" xfId="0" applyFont="1" applyBorder="1"/>
    <xf numFmtId="0" fontId="23" fillId="0" borderId="10" xfId="0" applyFont="1" applyBorder="1"/>
    <xf numFmtId="0" fontId="25" fillId="0" borderId="12" xfId="0" applyFont="1" applyBorder="1"/>
    <xf numFmtId="0" fontId="24" fillId="0" borderId="12" xfId="0" applyFont="1" applyBorder="1"/>
    <xf numFmtId="0" fontId="23" fillId="0" borderId="13" xfId="0" applyFont="1" applyBorder="1"/>
    <xf numFmtId="0" fontId="24" fillId="0" borderId="13" xfId="0" applyFont="1" applyBorder="1"/>
    <xf numFmtId="0" fontId="26" fillId="34" borderId="13" xfId="0" applyFont="1" applyFill="1" applyBorder="1"/>
    <xf numFmtId="0" fontId="24" fillId="0" borderId="11" xfId="0" applyFont="1" applyBorder="1"/>
    <xf numFmtId="0" fontId="23" fillId="0" borderId="11" xfId="0" applyFont="1" applyBorder="1"/>
    <xf numFmtId="0" fontId="22" fillId="0" borderId="13" xfId="0" applyFont="1" applyBorder="1"/>
    <xf numFmtId="4" fontId="26" fillId="35" borderId="13" xfId="0" applyNumberFormat="1" applyFont="1" applyFill="1" applyBorder="1"/>
    <xf numFmtId="0" fontId="20" fillId="36" borderId="13" xfId="0" applyFont="1" applyFill="1" applyBorder="1"/>
    <xf numFmtId="0" fontId="0" fillId="0" borderId="10" xfId="0" applyBorder="1"/>
    <xf numFmtId="0" fontId="20" fillId="36" borderId="0" xfId="0" applyFont="1" applyFill="1"/>
    <xf numFmtId="0" fontId="20" fillId="0" borderId="0" xfId="0" applyFont="1"/>
    <xf numFmtId="0" fontId="17" fillId="0" borderId="0" xfId="0" applyFont="1"/>
    <xf numFmtId="49" fontId="0" fillId="0" borderId="0" xfId="0" applyNumberFormat="1"/>
    <xf numFmtId="0" fontId="0" fillId="0" borderId="17" xfId="0" applyBorder="1"/>
    <xf numFmtId="0" fontId="0" fillId="0" borderId="18" xfId="0" applyBorder="1"/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9" fillId="0" borderId="0" xfId="0" applyFont="1"/>
    <xf numFmtId="0" fontId="31" fillId="0" borderId="0" xfId="0" applyFont="1"/>
    <xf numFmtId="0" fontId="29" fillId="39" borderId="10" xfId="0" applyFont="1" applyFill="1" applyBorder="1" applyAlignment="1">
      <alignment horizontal="center"/>
    </xf>
    <xf numFmtId="0" fontId="30" fillId="39" borderId="10" xfId="0" applyFont="1" applyFill="1" applyBorder="1" applyAlignment="1">
      <alignment horizontal="center" vertical="center"/>
    </xf>
    <xf numFmtId="0" fontId="29" fillId="39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0" xfId="0" applyFont="1" applyBorder="1"/>
    <xf numFmtId="0" fontId="37" fillId="0" borderId="10" xfId="0" applyFont="1" applyBorder="1"/>
    <xf numFmtId="0" fontId="37" fillId="0" borderId="0" xfId="0" applyFont="1"/>
    <xf numFmtId="0" fontId="37" fillId="0" borderId="0" xfId="0" applyFont="1" applyAlignment="1">
      <alignment horizontal="center" vertical="center"/>
    </xf>
    <xf numFmtId="0" fontId="34" fillId="0" borderId="0" xfId="0" applyFont="1"/>
    <xf numFmtId="0" fontId="36" fillId="0" borderId="0" xfId="0" applyFont="1"/>
    <xf numFmtId="0" fontId="37" fillId="39" borderId="10" xfId="0" applyFont="1" applyFill="1" applyBorder="1" applyAlignment="1">
      <alignment horizontal="center" vertical="center"/>
    </xf>
    <xf numFmtId="0" fontId="37" fillId="40" borderId="10" xfId="0" applyFont="1" applyFill="1" applyBorder="1" applyAlignment="1">
      <alignment horizontal="center" vertical="center"/>
    </xf>
    <xf numFmtId="0" fontId="35" fillId="41" borderId="10" xfId="0" applyFont="1" applyFill="1" applyBorder="1" applyAlignment="1">
      <alignment horizontal="left" vertical="center"/>
    </xf>
    <xf numFmtId="0" fontId="32" fillId="41" borderId="10" xfId="0" applyFont="1" applyFill="1" applyBorder="1" applyAlignment="1">
      <alignment horizontal="center"/>
    </xf>
    <xf numFmtId="0" fontId="33" fillId="41" borderId="10" xfId="0" applyFont="1" applyFill="1" applyBorder="1" applyAlignment="1">
      <alignment horizontal="center"/>
    </xf>
    <xf numFmtId="0" fontId="38" fillId="40" borderId="10" xfId="0" applyFont="1" applyFill="1" applyBorder="1" applyAlignment="1">
      <alignment horizontal="center" vertical="center"/>
    </xf>
    <xf numFmtId="0" fontId="35" fillId="41" borderId="10" xfId="0" applyFont="1" applyFill="1" applyBorder="1" applyAlignment="1">
      <alignment horizontal="left" vertical="center" wrapText="1"/>
    </xf>
    <xf numFmtId="0" fontId="35" fillId="41" borderId="10" xfId="0" applyFont="1" applyFill="1" applyBorder="1" applyAlignment="1">
      <alignment horizontal="center" vertical="center" wrapText="1"/>
    </xf>
    <xf numFmtId="0" fontId="35" fillId="41" borderId="10" xfId="0" applyFont="1" applyFill="1" applyBorder="1"/>
    <xf numFmtId="0" fontId="35" fillId="41" borderId="10" xfId="0" applyFont="1" applyFill="1" applyBorder="1" applyAlignment="1">
      <alignment horizontal="center" vertical="center"/>
    </xf>
    <xf numFmtId="0" fontId="35" fillId="41" borderId="10" xfId="0" applyFont="1" applyFill="1" applyBorder="1" applyAlignment="1">
      <alignment wrapText="1"/>
    </xf>
    <xf numFmtId="0" fontId="30" fillId="39" borderId="10" xfId="0" applyFont="1" applyFill="1" applyBorder="1" applyAlignment="1">
      <alignment wrapText="1"/>
    </xf>
    <xf numFmtId="0" fontId="0" fillId="0" borderId="0" xfId="0" applyAlignment="1">
      <alignment horizontal="right" textRotation="90"/>
    </xf>
    <xf numFmtId="0" fontId="0" fillId="37" borderId="0" xfId="0" applyFill="1" applyAlignment="1">
      <alignment horizontal="right" textRotation="90"/>
    </xf>
    <xf numFmtId="0" fontId="39" fillId="0" borderId="0" xfId="0" applyFont="1"/>
    <xf numFmtId="0" fontId="0" fillId="0" borderId="19" xfId="0" applyBorder="1"/>
    <xf numFmtId="0" fontId="0" fillId="0" borderId="14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38" borderId="0" xfId="0" applyFill="1"/>
    <xf numFmtId="0" fontId="0" fillId="0" borderId="20" xfId="0" applyBorder="1"/>
    <xf numFmtId="0" fontId="0" fillId="0" borderId="23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0" fillId="0" borderId="13" xfId="0" applyBorder="1"/>
    <xf numFmtId="0" fontId="33" fillId="41" borderId="26" xfId="0" applyFont="1" applyFill="1" applyBorder="1" applyAlignment="1">
      <alignment horizontal="center"/>
    </xf>
    <xf numFmtId="0" fontId="30" fillId="39" borderId="27" xfId="0" applyFont="1" applyFill="1" applyBorder="1" applyAlignment="1">
      <alignment horizontal="center" vertical="center"/>
    </xf>
    <xf numFmtId="0" fontId="30" fillId="39" borderId="28" xfId="0" applyFont="1" applyFill="1" applyBorder="1" applyAlignment="1">
      <alignment horizontal="center" vertical="center"/>
    </xf>
    <xf numFmtId="0" fontId="30" fillId="39" borderId="12" xfId="0" applyFont="1" applyFill="1" applyBorder="1" applyAlignment="1">
      <alignment horizontal="center" vertical="center"/>
    </xf>
    <xf numFmtId="0" fontId="35" fillId="41" borderId="10" xfId="0" applyFont="1" applyFill="1" applyBorder="1" applyAlignment="1">
      <alignment vertical="top" wrapText="1"/>
    </xf>
    <xf numFmtId="0" fontId="35" fillId="41" borderId="10" xfId="0" applyFont="1" applyFill="1" applyBorder="1" applyAlignment="1">
      <alignment horizontal="center"/>
    </xf>
    <xf numFmtId="0" fontId="35" fillId="41" borderId="27" xfId="0" applyFont="1" applyFill="1" applyBorder="1" applyAlignment="1">
      <alignment horizontal="center"/>
    </xf>
    <xf numFmtId="0" fontId="35" fillId="41" borderId="28" xfId="0" applyFont="1" applyFill="1" applyBorder="1" applyAlignment="1">
      <alignment horizontal="center"/>
    </xf>
    <xf numFmtId="0" fontId="35" fillId="41" borderId="12" xfId="0" applyFont="1" applyFill="1" applyBorder="1" applyAlignment="1">
      <alignment horizontal="center"/>
    </xf>
    <xf numFmtId="0" fontId="23" fillId="0" borderId="14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1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49ED07-FACF-475A-95E2-679056F01F1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Coordinate System Depiction of the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hade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hade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'Input Data'!$B$2:$B$8</c:f>
              <c:numCache>
                <c:formatCode>General</c:formatCode>
                <c:ptCount val="7"/>
                <c:pt idx="0">
                  <c:v>40.750505799999999</c:v>
                </c:pt>
                <c:pt idx="1">
                  <c:v>40.729126399999998</c:v>
                </c:pt>
                <c:pt idx="2">
                  <c:v>40.709374599999997</c:v>
                </c:pt>
                <c:pt idx="3">
                  <c:v>40.718838499999997</c:v>
                </c:pt>
                <c:pt idx="4">
                  <c:v>40.718513799999997</c:v>
                </c:pt>
                <c:pt idx="5">
                  <c:v>40.7525294</c:v>
                </c:pt>
                <c:pt idx="6">
                  <c:v>40.750830999999998</c:v>
                </c:pt>
              </c:numCache>
            </c:numRef>
          </c:xVal>
          <c:yVal>
            <c:numRef>
              <c:f>'Input Data'!$C$2:$C$8</c:f>
              <c:numCache>
                <c:formatCode>General</c:formatCode>
                <c:ptCount val="7"/>
                <c:pt idx="0">
                  <c:v>-73.990583000000001</c:v>
                </c:pt>
                <c:pt idx="1">
                  <c:v>-73.993264300000007</c:v>
                </c:pt>
                <c:pt idx="2">
                  <c:v>-74.009979099999995</c:v>
                </c:pt>
                <c:pt idx="3">
                  <c:v>-73.988279700000007</c:v>
                </c:pt>
                <c:pt idx="4">
                  <c:v>-74.001167699999996</c:v>
                </c:pt>
                <c:pt idx="5">
                  <c:v>-73.992876199999998</c:v>
                </c:pt>
                <c:pt idx="6">
                  <c:v>-73.989096099999998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2-D14F-8590-D19243DBD6E5}"/>
            </c:ext>
          </c:extLst>
        </c:ser>
        <c:ser>
          <c:idx val="1"/>
          <c:order val="1"/>
          <c:tx>
            <c:v>East River</c:v>
          </c:tx>
          <c:spPr>
            <a:ln w="22225" cap="rnd">
              <a:solidFill>
                <a:schemeClr val="accent4">
                  <a:shade val="70000"/>
                </a:schemeClr>
              </a:solidFill>
            </a:ln>
            <a:effectLst>
              <a:glow rad="139700">
                <a:schemeClr val="accent4">
                  <a:shade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4">
                  <a:shade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0000"/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4">
                    <a:shade val="7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hade val="7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0A9-5249-A361-49A661EF33F0}"/>
              </c:ext>
            </c:extLst>
          </c:dPt>
          <c:xVal>
            <c:numRef>
              <c:f>'Input Data'!$B$17:$B$18</c:f>
              <c:numCache>
                <c:formatCode>General</c:formatCode>
                <c:ptCount val="2"/>
                <c:pt idx="0">
                  <c:v>40.755862</c:v>
                </c:pt>
                <c:pt idx="1">
                  <c:v>40.706085999999999</c:v>
                </c:pt>
              </c:numCache>
            </c:numRef>
          </c:xVal>
          <c:yVal>
            <c:numRef>
              <c:f>'Input Data'!$C$17:$C$18</c:f>
              <c:numCache>
                <c:formatCode>General</c:formatCode>
                <c:ptCount val="2"/>
                <c:pt idx="0">
                  <c:v>-73.958723000000006</c:v>
                </c:pt>
                <c:pt idx="1">
                  <c:v>-73.983676000000003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5249-A361-49A661EF33F0}"/>
            </c:ext>
          </c:extLst>
        </c:ser>
        <c:ser>
          <c:idx val="2"/>
          <c:order val="2"/>
          <c:tx>
            <c:v>Hudson River</c:v>
          </c:tx>
          <c:spPr>
            <a:ln w="22225" cap="rnd">
              <a:solidFill>
                <a:schemeClr val="accent4">
                  <a:shade val="90000"/>
                </a:schemeClr>
              </a:solidFill>
            </a:ln>
            <a:effectLst>
              <a:glow rad="139700">
                <a:schemeClr val="accent4">
                  <a:shade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4">
                  <a:shade val="9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0000"/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4">
                    <a:shade val="9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hade val="9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0A9-5249-A361-49A661EF33F0}"/>
              </c:ext>
            </c:extLst>
          </c:dPt>
          <c:xVal>
            <c:numRef>
              <c:f>'Input Data'!$B$20:$B$21</c:f>
              <c:numCache>
                <c:formatCode>General</c:formatCode>
                <c:ptCount val="2"/>
                <c:pt idx="0">
                  <c:v>40.759334000000003</c:v>
                </c:pt>
                <c:pt idx="1">
                  <c:v>40.695411</c:v>
                </c:pt>
              </c:numCache>
            </c:numRef>
          </c:xVal>
          <c:yVal>
            <c:numRef>
              <c:f>'Input Data'!$C$20:$C$21</c:f>
              <c:numCache>
                <c:formatCode>General</c:formatCode>
                <c:ptCount val="2"/>
                <c:pt idx="0">
                  <c:v>-74.008615000000006</c:v>
                </c:pt>
                <c:pt idx="1">
                  <c:v>-74.018891999999994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9-5249-A361-49A661EF33F0}"/>
            </c:ext>
          </c:extLst>
        </c:ser>
        <c:ser>
          <c:idx val="3"/>
          <c:order val="3"/>
          <c:tx>
            <c:v>Bottom</c:v>
          </c:tx>
          <c:spPr>
            <a:ln w="25400" cap="rnd">
              <a:noFill/>
            </a:ln>
            <a:effectLst>
              <a:glow rad="139700">
                <a:schemeClr val="accent4">
                  <a:tint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4">
                  <a:tint val="9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0000"/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4">
                    <a:tint val="9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tint val="9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4">
                    <a:tint val="90000"/>
                  </a:schemeClr>
                </a:solidFill>
              </a:ln>
              <a:effectLst>
                <a:glow rad="139700">
                  <a:schemeClr val="accent4">
                    <a:tint val="9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40A9-5249-A361-49A661EF33F0}"/>
              </c:ext>
            </c:extLst>
          </c:dPt>
          <c:xVal>
            <c:numRef>
              <c:f>'Input Data'!$B$23:$B$24</c:f>
              <c:numCache>
                <c:formatCode>General</c:formatCode>
                <c:ptCount val="2"/>
                <c:pt idx="0">
                  <c:v>40.699629999999999</c:v>
                </c:pt>
                <c:pt idx="1">
                  <c:v>40.709651999999998</c:v>
                </c:pt>
              </c:numCache>
            </c:numRef>
          </c:xVal>
          <c:yVal>
            <c:numRef>
              <c:f>'Input Data'!$C$23:$C$24</c:f>
              <c:numCache>
                <c:formatCode>General</c:formatCode>
                <c:ptCount val="2"/>
                <c:pt idx="0">
                  <c:v>-74.032742999999996</c:v>
                </c:pt>
                <c:pt idx="1">
                  <c:v>-73.973634000000004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9-5249-A361-49A661EF33F0}"/>
            </c:ext>
          </c:extLst>
        </c:ser>
        <c:ser>
          <c:idx val="4"/>
          <c:order val="4"/>
          <c:tx>
            <c:v>Intersection</c:v>
          </c:tx>
          <c:spPr>
            <a:ln w="25400" cap="rnd">
              <a:noFill/>
            </a:ln>
            <a:effectLst>
              <a:glow rad="139700">
                <a:schemeClr val="accent4">
                  <a:tint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4">
                  <a:tint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'Input Data'!$B$25</c:f>
              <c:numCache>
                <c:formatCode>General</c:formatCode>
                <c:ptCount val="1"/>
                <c:pt idx="0">
                  <c:v>40.708122460157902</c:v>
                </c:pt>
              </c:numCache>
            </c:numRef>
          </c:xVal>
          <c:yVal>
            <c:numRef>
              <c:f>'Input Data'!$C$25</c:f>
              <c:numCache>
                <c:formatCode>General</c:formatCode>
                <c:ptCount val="1"/>
                <c:pt idx="0">
                  <c:v>-73.982655110609102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00-2F49-99E9-9A26B29F3520}"/>
            </c:ext>
          </c:extLst>
        </c:ser>
        <c:ser>
          <c:idx val="5"/>
          <c:order val="5"/>
          <c:tx>
            <c:v>Intersection 2</c:v>
          </c:tx>
          <c:spPr>
            <a:ln w="25400" cap="rnd">
              <a:noFill/>
            </a:ln>
            <a:effectLst>
              <a:glow rad="139700">
                <a:schemeClr val="accent4">
                  <a:tint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4">
                  <a:tint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'Input Data'!$B$26</c:f>
              <c:numCache>
                <c:formatCode>General</c:formatCode>
                <c:ptCount val="1"/>
                <c:pt idx="0">
                  <c:v>40.702162492187497</c:v>
                </c:pt>
              </c:numCache>
            </c:numRef>
          </c:xVal>
          <c:yVal>
            <c:numRef>
              <c:f>'Input Data'!$C$26</c:f>
              <c:numCache>
                <c:formatCode>General</c:formatCode>
                <c:ptCount val="1"/>
                <c:pt idx="0">
                  <c:v>-74.017806552113996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65-7346-9D5A-CE78E778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83920"/>
        <c:axId val="392973824"/>
      </c:scatterChart>
      <c:valAx>
        <c:axId val="392683920"/>
        <c:scaling>
          <c:orientation val="minMax"/>
          <c:max val="40.7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973824"/>
        <c:crosses val="autoZero"/>
        <c:crossBetween val="midCat"/>
        <c:majorUnit val="0.01"/>
      </c:valAx>
      <c:valAx>
        <c:axId val="392973824"/>
        <c:scaling>
          <c:orientation val="minMax"/>
          <c:min val="-74.04000000000000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68392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341713019817474E-2"/>
          <c:y val="2.5692309696809135E-2"/>
          <c:w val="0.94037082520648219"/>
          <c:h val="0.91738077141901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Formulation!$E$1:$F$1</c:f>
              <c:strCache>
                <c:ptCount val="1"/>
                <c:pt idx="0">
                  <c:v>Normalizing X Normalizing Y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10-284D-A29C-FE9807AC34B8}"/>
              </c:ext>
            </c:extLst>
          </c:dPt>
          <c:xVal>
            <c:numRef>
              <c:f>Formulation!$E$2:$E$9</c:f>
              <c:numCache>
                <c:formatCode>General</c:formatCode>
                <c:ptCount val="8"/>
                <c:pt idx="0">
                  <c:v>0.9714968624471283</c:v>
                </c:pt>
                <c:pt idx="1">
                  <c:v>-0.20269832841353599</c:v>
                </c:pt>
                <c:pt idx="2">
                  <c:v>-1.2875027930310103</c:v>
                </c:pt>
                <c:pt idx="3">
                  <c:v>-0.76772834347742314</c:v>
                </c:pt>
                <c:pt idx="4">
                  <c:v>-0.78556145284778212</c:v>
                </c:pt>
                <c:pt idx="5">
                  <c:v>1.0826366226006818</c:v>
                </c:pt>
                <c:pt idx="6">
                  <c:v>0.98935743271881982</c:v>
                </c:pt>
              </c:numCache>
            </c:numRef>
          </c:xVal>
          <c:yVal>
            <c:numRef>
              <c:f>Formulation!$F$2:$F$9</c:f>
              <c:numCache>
                <c:formatCode>General</c:formatCode>
                <c:ptCount val="8"/>
                <c:pt idx="0">
                  <c:v>0.56736560409157188</c:v>
                </c:pt>
                <c:pt idx="1">
                  <c:v>0.22570828684708485</c:v>
                </c:pt>
                <c:pt idx="2">
                  <c:v>-1.9043931893755497</c:v>
                </c:pt>
                <c:pt idx="3">
                  <c:v>0.86085191577176534</c:v>
                </c:pt>
                <c:pt idx="4">
                  <c:v>-0.78154998824003807</c:v>
                </c:pt>
                <c:pt idx="5">
                  <c:v>0.27515365763835903</c:v>
                </c:pt>
                <c:pt idx="6">
                  <c:v>0.75686371328310542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5-4BEF-8492-6F162F7C5BEA}"/>
            </c:ext>
          </c:extLst>
        </c:ser>
        <c:ser>
          <c:idx val="1"/>
          <c:order val="1"/>
          <c:tx>
            <c:v>DC</c:v>
          </c:tx>
          <c:spPr>
            <a:ln w="25400" cap="rnd">
              <a:noFill/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circle"/>
            <c:size val="7"/>
            <c:spPr>
              <a:solidFill>
                <a:schemeClr val="accent2"/>
              </a:solidFill>
              <a:ln>
                <a:noFill/>
              </a:ln>
              <a:effectLst>
                <a:outerShdw blurRad="50800" dist="50800" dir="5400000" algn="ctr" rotWithShape="0">
                  <a:schemeClr val="accent2"/>
                </a:outerShdw>
              </a:effectLst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noFill/>
                </a:ln>
                <a:effectLst>
                  <a:outerShdw blurRad="50800" dist="50800" dir="5400000" sx="144000" sy="144000" algn="ctr" rotWithShape="0">
                    <a:schemeClr val="accent2"/>
                  </a:outerShdw>
                </a:effectLst>
              </c:spPr>
            </c:marker>
            <c:bubble3D val="0"/>
            <c:spPr>
              <a:ln w="25400" cap="rnd">
                <a:noFill/>
              </a:ln>
              <a:effectLst>
                <a:outerShdw blurRad="50800" dist="50800" dir="5400000" sx="144000" sy="144000" algn="ctr" rotWithShape="0">
                  <a:schemeClr val="accent2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10-284D-A29C-FE9807AC34B8}"/>
              </c:ext>
            </c:extLst>
          </c:dPt>
          <c:xVal>
            <c:numRef>
              <c:f>Formulation!$B$14</c:f>
              <c:numCache>
                <c:formatCode>General</c:formatCode>
                <c:ptCount val="1"/>
                <c:pt idx="0">
                  <c:v>-7.3395624756813049E-2</c:v>
                </c:pt>
              </c:numCache>
            </c:numRef>
          </c:xVal>
          <c:yVal>
            <c:numRef>
              <c:f>Formulation!$C$14</c:f>
              <c:numCache>
                <c:formatCode>General</c:formatCode>
                <c:ptCount val="1"/>
                <c:pt idx="0">
                  <c:v>0.21937917172908783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A-6347-994F-B2FC7E3D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79368"/>
        <c:axId val="1596881416"/>
      </c:scatterChart>
      <c:valAx>
        <c:axId val="15968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6881416"/>
        <c:crosses val="autoZero"/>
        <c:crossBetween val="midCat"/>
      </c:valAx>
      <c:valAx>
        <c:axId val="15968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6879368"/>
        <c:crosses val="autoZero"/>
        <c:crossBetween val="midCat"/>
      </c:valAx>
      <c:spPr>
        <a:solidFill>
          <a:schemeClr val="bg2">
            <a:lumMod val="25000"/>
          </a:schemeClr>
        </a:solidFill>
        <a:ln w="15875" cap="flat">
          <a:solidFill>
            <a:schemeClr val="lt1">
              <a:shade val="50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6748985046593946"/>
          <c:y val="0.45773386434803759"/>
          <c:w val="0.21653880420910687"/>
          <c:h val="8.4532097580466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Data'!$B$2:$B$8</c:f>
              <c:numCache>
                <c:formatCode>General</c:formatCode>
                <c:ptCount val="7"/>
                <c:pt idx="0">
                  <c:v>40.750505799999999</c:v>
                </c:pt>
                <c:pt idx="1">
                  <c:v>40.729126399999998</c:v>
                </c:pt>
                <c:pt idx="2">
                  <c:v>40.709374599999997</c:v>
                </c:pt>
                <c:pt idx="3">
                  <c:v>40.718838499999997</c:v>
                </c:pt>
                <c:pt idx="4">
                  <c:v>40.718513799999997</c:v>
                </c:pt>
                <c:pt idx="5">
                  <c:v>40.7525294</c:v>
                </c:pt>
                <c:pt idx="6">
                  <c:v>40.750830999999998</c:v>
                </c:pt>
              </c:numCache>
            </c:numRef>
          </c:xVal>
          <c:yVal>
            <c:numRef>
              <c:f>'Input Data'!$C$2:$C$8</c:f>
              <c:numCache>
                <c:formatCode>General</c:formatCode>
                <c:ptCount val="7"/>
                <c:pt idx="0">
                  <c:v>-73.990583000000001</c:v>
                </c:pt>
                <c:pt idx="1">
                  <c:v>-73.993264300000007</c:v>
                </c:pt>
                <c:pt idx="2">
                  <c:v>-74.009979099999995</c:v>
                </c:pt>
                <c:pt idx="3">
                  <c:v>-73.988279700000007</c:v>
                </c:pt>
                <c:pt idx="4">
                  <c:v>-74.001167699999996</c:v>
                </c:pt>
                <c:pt idx="5">
                  <c:v>-73.992876199999998</c:v>
                </c:pt>
                <c:pt idx="6">
                  <c:v>-73.989096099999998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9-4E86-872D-622E0CCA56E4}"/>
            </c:ext>
          </c:extLst>
        </c:ser>
        <c:ser>
          <c:idx val="1"/>
          <c:order val="1"/>
          <c:tx>
            <c:v>East River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29-4E86-872D-622E0CCA56E4}"/>
              </c:ext>
            </c:extLst>
          </c:dPt>
          <c:xVal>
            <c:numRef>
              <c:f>'Input Data'!$B$17:$B$18</c:f>
              <c:numCache>
                <c:formatCode>General</c:formatCode>
                <c:ptCount val="2"/>
                <c:pt idx="0">
                  <c:v>40.755862</c:v>
                </c:pt>
                <c:pt idx="1">
                  <c:v>40.706085999999999</c:v>
                </c:pt>
              </c:numCache>
            </c:numRef>
          </c:xVal>
          <c:yVal>
            <c:numRef>
              <c:f>'Input Data'!$C$17:$C$18</c:f>
              <c:numCache>
                <c:formatCode>General</c:formatCode>
                <c:ptCount val="2"/>
                <c:pt idx="0">
                  <c:v>-73.958723000000006</c:v>
                </c:pt>
                <c:pt idx="1">
                  <c:v>-73.983676000000003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9-4E86-872D-622E0CCA56E4}"/>
            </c:ext>
          </c:extLst>
        </c:ser>
        <c:ser>
          <c:idx val="2"/>
          <c:order val="2"/>
          <c:tx>
            <c:v>Hudson River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9-4E86-872D-622E0CCA56E4}"/>
              </c:ext>
            </c:extLst>
          </c:dPt>
          <c:xVal>
            <c:numRef>
              <c:f>'Input Data'!$B$20:$B$21</c:f>
              <c:numCache>
                <c:formatCode>General</c:formatCode>
                <c:ptCount val="2"/>
                <c:pt idx="0">
                  <c:v>40.759334000000003</c:v>
                </c:pt>
                <c:pt idx="1">
                  <c:v>40.695411</c:v>
                </c:pt>
              </c:numCache>
            </c:numRef>
          </c:xVal>
          <c:yVal>
            <c:numRef>
              <c:f>'Input Data'!$C$20:$C$21</c:f>
              <c:numCache>
                <c:formatCode>General</c:formatCode>
                <c:ptCount val="2"/>
                <c:pt idx="0">
                  <c:v>-74.008615000000006</c:v>
                </c:pt>
                <c:pt idx="1">
                  <c:v>-74.018891999999994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29-4E86-872D-622E0CCA56E4}"/>
            </c:ext>
          </c:extLst>
        </c:ser>
        <c:ser>
          <c:idx val="3"/>
          <c:order val="3"/>
          <c:tx>
            <c:v>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29-4E86-872D-622E0CCA56E4}"/>
              </c:ext>
            </c:extLst>
          </c:dPt>
          <c:xVal>
            <c:numRef>
              <c:f>'Input Data'!$B$23:$B$24</c:f>
              <c:numCache>
                <c:formatCode>General</c:formatCode>
                <c:ptCount val="2"/>
                <c:pt idx="0">
                  <c:v>40.699629999999999</c:v>
                </c:pt>
                <c:pt idx="1">
                  <c:v>40.709651999999998</c:v>
                </c:pt>
              </c:numCache>
            </c:numRef>
          </c:xVal>
          <c:yVal>
            <c:numRef>
              <c:f>'Input Data'!$C$23:$C$24</c:f>
              <c:numCache>
                <c:formatCode>General</c:formatCode>
                <c:ptCount val="2"/>
                <c:pt idx="0">
                  <c:v>-74.032742999999996</c:v>
                </c:pt>
                <c:pt idx="1">
                  <c:v>-73.973634000000004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29-4E86-872D-622E0CCA56E4}"/>
            </c:ext>
          </c:extLst>
        </c:ser>
        <c:ser>
          <c:idx val="4"/>
          <c:order val="4"/>
          <c:tx>
            <c:v>Intersection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'Input Data'!$B$25</c:f>
              <c:numCache>
                <c:formatCode>General</c:formatCode>
                <c:ptCount val="1"/>
                <c:pt idx="0">
                  <c:v>40.708122460157902</c:v>
                </c:pt>
              </c:numCache>
            </c:numRef>
          </c:xVal>
          <c:yVal>
            <c:numRef>
              <c:f>'Input Data'!$C$25</c:f>
              <c:numCache>
                <c:formatCode>General</c:formatCode>
                <c:ptCount val="1"/>
                <c:pt idx="0">
                  <c:v>-73.982655110609102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29-4E86-872D-622E0CCA56E4}"/>
            </c:ext>
          </c:extLst>
        </c:ser>
        <c:ser>
          <c:idx val="5"/>
          <c:order val="5"/>
          <c:tx>
            <c:v>Intersection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'Input Data'!$B$26</c:f>
              <c:numCache>
                <c:formatCode>General</c:formatCode>
                <c:ptCount val="1"/>
                <c:pt idx="0">
                  <c:v>40.702162492187497</c:v>
                </c:pt>
              </c:numCache>
            </c:numRef>
          </c:xVal>
          <c:yVal>
            <c:numRef>
              <c:f>'Input Data'!$C$26</c:f>
              <c:numCache>
                <c:formatCode>General</c:formatCode>
                <c:ptCount val="1"/>
                <c:pt idx="0">
                  <c:v>-74.017806552113996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29-4E86-872D-622E0CCA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83920"/>
        <c:axId val="392973824"/>
      </c:scatterChart>
      <c:valAx>
        <c:axId val="392683920"/>
        <c:scaling>
          <c:orientation val="minMax"/>
          <c:max val="40.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3824"/>
        <c:crosses val="autoZero"/>
        <c:crossBetween val="midCat"/>
        <c:majorUnit val="1E-3"/>
      </c:valAx>
      <c:valAx>
        <c:axId val="392973824"/>
        <c:scaling>
          <c:orientation val="minMax"/>
          <c:min val="-74.04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3920"/>
        <c:crosses val="autoZero"/>
        <c:crossBetween val="midCat"/>
        <c:majorUnit val="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Data'!$B$2:$B$8</c:f>
              <c:numCache>
                <c:formatCode>General</c:formatCode>
                <c:ptCount val="7"/>
                <c:pt idx="0">
                  <c:v>40.750505799999999</c:v>
                </c:pt>
                <c:pt idx="1">
                  <c:v>40.729126399999998</c:v>
                </c:pt>
                <c:pt idx="2">
                  <c:v>40.709374599999997</c:v>
                </c:pt>
                <c:pt idx="3">
                  <c:v>40.718838499999997</c:v>
                </c:pt>
                <c:pt idx="4">
                  <c:v>40.718513799999997</c:v>
                </c:pt>
                <c:pt idx="5">
                  <c:v>40.7525294</c:v>
                </c:pt>
                <c:pt idx="6">
                  <c:v>40.750830999999998</c:v>
                </c:pt>
              </c:numCache>
            </c:numRef>
          </c:xVal>
          <c:yVal>
            <c:numRef>
              <c:f>'Input Data'!$C$2:$C$8</c:f>
              <c:numCache>
                <c:formatCode>General</c:formatCode>
                <c:ptCount val="7"/>
                <c:pt idx="0">
                  <c:v>-73.990583000000001</c:v>
                </c:pt>
                <c:pt idx="1">
                  <c:v>-73.993264300000007</c:v>
                </c:pt>
                <c:pt idx="2">
                  <c:v>-74.009979099999995</c:v>
                </c:pt>
                <c:pt idx="3">
                  <c:v>-73.988279700000007</c:v>
                </c:pt>
                <c:pt idx="4">
                  <c:v>-74.001167699999996</c:v>
                </c:pt>
                <c:pt idx="5">
                  <c:v>-73.992876199999998</c:v>
                </c:pt>
                <c:pt idx="6">
                  <c:v>-73.989096099999998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6-4840-B21E-49C6A60F8D33}"/>
            </c:ext>
          </c:extLst>
        </c:ser>
        <c:ser>
          <c:idx val="1"/>
          <c:order val="1"/>
          <c:tx>
            <c:v>East River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26-4840-B21E-49C6A60F8D33}"/>
              </c:ext>
            </c:extLst>
          </c:dPt>
          <c:xVal>
            <c:numRef>
              <c:f>'Input Data'!$B$17:$B$18</c:f>
              <c:numCache>
                <c:formatCode>General</c:formatCode>
                <c:ptCount val="2"/>
                <c:pt idx="0">
                  <c:v>40.755862</c:v>
                </c:pt>
                <c:pt idx="1">
                  <c:v>40.706085999999999</c:v>
                </c:pt>
              </c:numCache>
            </c:numRef>
          </c:xVal>
          <c:yVal>
            <c:numRef>
              <c:f>'Input Data'!$C$17:$C$18</c:f>
              <c:numCache>
                <c:formatCode>General</c:formatCode>
                <c:ptCount val="2"/>
                <c:pt idx="0">
                  <c:v>-73.958723000000006</c:v>
                </c:pt>
                <c:pt idx="1">
                  <c:v>-73.983676000000003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6-4840-B21E-49C6A60F8D33}"/>
            </c:ext>
          </c:extLst>
        </c:ser>
        <c:ser>
          <c:idx val="2"/>
          <c:order val="2"/>
          <c:tx>
            <c:v>Hudson River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6-4840-B21E-49C6A60F8D33}"/>
              </c:ext>
            </c:extLst>
          </c:dPt>
          <c:xVal>
            <c:numRef>
              <c:f>'Input Data'!$B$20:$B$21</c:f>
              <c:numCache>
                <c:formatCode>General</c:formatCode>
                <c:ptCount val="2"/>
                <c:pt idx="0">
                  <c:v>40.759334000000003</c:v>
                </c:pt>
                <c:pt idx="1">
                  <c:v>40.695411</c:v>
                </c:pt>
              </c:numCache>
            </c:numRef>
          </c:xVal>
          <c:yVal>
            <c:numRef>
              <c:f>'Input Data'!$C$20:$C$21</c:f>
              <c:numCache>
                <c:formatCode>General</c:formatCode>
                <c:ptCount val="2"/>
                <c:pt idx="0">
                  <c:v>-74.008615000000006</c:v>
                </c:pt>
                <c:pt idx="1">
                  <c:v>-74.018891999999994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26-4840-B21E-49C6A60F8D33}"/>
            </c:ext>
          </c:extLst>
        </c:ser>
        <c:ser>
          <c:idx val="3"/>
          <c:order val="3"/>
          <c:tx>
            <c:v>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26-4840-B21E-49C6A60F8D33}"/>
              </c:ext>
            </c:extLst>
          </c:dPt>
          <c:xVal>
            <c:numRef>
              <c:f>'Input Data'!$B$23:$B$24</c:f>
              <c:numCache>
                <c:formatCode>General</c:formatCode>
                <c:ptCount val="2"/>
                <c:pt idx="0">
                  <c:v>40.699629999999999</c:v>
                </c:pt>
                <c:pt idx="1">
                  <c:v>40.709651999999998</c:v>
                </c:pt>
              </c:numCache>
            </c:numRef>
          </c:xVal>
          <c:yVal>
            <c:numRef>
              <c:f>'Input Data'!$C$23:$C$24</c:f>
              <c:numCache>
                <c:formatCode>General</c:formatCode>
                <c:ptCount val="2"/>
                <c:pt idx="0">
                  <c:v>-74.032742999999996</c:v>
                </c:pt>
                <c:pt idx="1">
                  <c:v>-73.973634000000004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26-4840-B21E-49C6A60F8D33}"/>
            </c:ext>
          </c:extLst>
        </c:ser>
        <c:ser>
          <c:idx val="4"/>
          <c:order val="4"/>
          <c:tx>
            <c:v>Intersection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'Input Data'!$B$25</c:f>
              <c:numCache>
                <c:formatCode>General</c:formatCode>
                <c:ptCount val="1"/>
                <c:pt idx="0">
                  <c:v>40.708122460157902</c:v>
                </c:pt>
              </c:numCache>
            </c:numRef>
          </c:xVal>
          <c:yVal>
            <c:numRef>
              <c:f>'Input Data'!$C$25</c:f>
              <c:numCache>
                <c:formatCode>General</c:formatCode>
                <c:ptCount val="1"/>
                <c:pt idx="0">
                  <c:v>-73.982655110609102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26-4840-B21E-49C6A60F8D33}"/>
            </c:ext>
          </c:extLst>
        </c:ser>
        <c:ser>
          <c:idx val="5"/>
          <c:order val="5"/>
          <c:tx>
            <c:v>Intersection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'Input Data'!$B$26</c:f>
              <c:numCache>
                <c:formatCode>General</c:formatCode>
                <c:ptCount val="1"/>
                <c:pt idx="0">
                  <c:v>40.702162492187497</c:v>
                </c:pt>
              </c:numCache>
            </c:numRef>
          </c:xVal>
          <c:yVal>
            <c:numRef>
              <c:f>'Input Data'!$C$26</c:f>
              <c:numCache>
                <c:formatCode>General</c:formatCode>
                <c:ptCount val="1"/>
                <c:pt idx="0">
                  <c:v>-74.017806552113996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26-4840-B21E-49C6A60F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83920"/>
        <c:axId val="392973824"/>
      </c:scatterChart>
      <c:valAx>
        <c:axId val="392683920"/>
        <c:scaling>
          <c:orientation val="minMax"/>
          <c:max val="40.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3824"/>
        <c:crosses val="autoZero"/>
        <c:crossBetween val="midCat"/>
        <c:majorUnit val="0.01"/>
      </c:valAx>
      <c:valAx>
        <c:axId val="392973824"/>
        <c:scaling>
          <c:orientation val="minMax"/>
          <c:min val="-74.04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392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 Way Sensitivity Analysis'!$K$1</c:f>
          <c:strCache>
            <c:ptCount val="1"/>
            <c:pt idx="0">
              <c:v>Sensitivity of $B$18 to Shipment for Store 4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 Way Sensitivity Analysis'!$A$5:$A$23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'One Way Sensitivity Analysis'!$K$5:$K$23</c:f>
              <c:numCache>
                <c:formatCode>General</c:formatCode>
                <c:ptCount val="19"/>
                <c:pt idx="0">
                  <c:v>2931.1446490047556</c:v>
                </c:pt>
                <c:pt idx="1">
                  <c:v>2999.6036004640964</c:v>
                </c:pt>
                <c:pt idx="2">
                  <c:v>3064.3622959138297</c:v>
                </c:pt>
                <c:pt idx="3">
                  <c:v>3125.5819442816141</c:v>
                </c:pt>
                <c:pt idx="4">
                  <c:v>3183.5326899916358</c:v>
                </c:pt>
                <c:pt idx="5">
                  <c:v>3238.4795241945303</c:v>
                </c:pt>
                <c:pt idx="6">
                  <c:v>3290.6537517606239</c:v>
                </c:pt>
                <c:pt idx="7">
                  <c:v>3340.2667194631886</c:v>
                </c:pt>
                <c:pt idx="8">
                  <c:v>3387.5432143143771</c:v>
                </c:pt>
                <c:pt idx="9">
                  <c:v>3432.7701001424944</c:v>
                </c:pt>
                <c:pt idx="10">
                  <c:v>3476.3522282957592</c:v>
                </c:pt>
                <c:pt idx="11">
                  <c:v>3518.9466905085683</c:v>
                </c:pt>
                <c:pt idx="12">
                  <c:v>3561.4515399089446</c:v>
                </c:pt>
                <c:pt idx="13">
                  <c:v>3603.9564211913244</c:v>
                </c:pt>
                <c:pt idx="14">
                  <c:v>3646.4614138418242</c:v>
                </c:pt>
                <c:pt idx="15">
                  <c:v>3688.9662964957902</c:v>
                </c:pt>
                <c:pt idx="16">
                  <c:v>3731.4711235563818</c:v>
                </c:pt>
                <c:pt idx="17">
                  <c:v>3773.9763014041382</c:v>
                </c:pt>
                <c:pt idx="18">
                  <c:v>3816.4809979729143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2-4574-AC1F-500E0ED0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9200"/>
        <c:axId val="1364758960"/>
      </c:lineChart>
      <c:catAx>
        <c:axId val="136472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Shipment for Store 4 ($D$5)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758960"/>
        <c:crosses val="autoZero"/>
        <c:auto val="1"/>
        <c:lblAlgn val="ctr"/>
        <c:lblOffset val="100"/>
        <c:noMultiLvlLbl val="0"/>
      </c:catAx>
      <c:valAx>
        <c:axId val="136475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29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 Analysis'!$V$1</c:f>
          <c:strCache>
            <c:ptCount val="1"/>
            <c:pt idx="0">
              <c:v>Sensitivity of $B$18 to Shipment for Store 4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 Analysis'!$B$4:$T$4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'Two Way Sensitivity Analysis'!$V$5:$V$23</c:f>
              <c:numCache>
                <c:formatCode>General</c:formatCode>
                <c:ptCount val="19"/>
                <c:pt idx="0">
                  <c:v>2688.2199638404145</c:v>
                </c:pt>
                <c:pt idx="1">
                  <c:v>2770.8507999507692</c:v>
                </c:pt>
                <c:pt idx="2">
                  <c:v>2852.2928670461733</c:v>
                </c:pt>
                <c:pt idx="3">
                  <c:v>2932.3213794572534</c:v>
                </c:pt>
                <c:pt idx="4">
                  <c:v>3010.6343862811063</c:v>
                </c:pt>
                <c:pt idx="5">
                  <c:v>3086.8348972202489</c:v>
                </c:pt>
                <c:pt idx="6">
                  <c:v>3160.4314295537824</c:v>
                </c:pt>
                <c:pt idx="7">
                  <c:v>3230.896492519626</c:v>
                </c:pt>
                <c:pt idx="8">
                  <c:v>3297.8063949465977</c:v>
                </c:pt>
                <c:pt idx="9">
                  <c:v>3360.9789509112111</c:v>
                </c:pt>
                <c:pt idx="10">
                  <c:v>3420.478988920494</c:v>
                </c:pt>
                <c:pt idx="11">
                  <c:v>3476.5168794173387</c:v>
                </c:pt>
                <c:pt idx="12">
                  <c:v>3529.3580307913526</c:v>
                </c:pt>
                <c:pt idx="13">
                  <c:v>3579.2899389630602</c:v>
                </c:pt>
                <c:pt idx="14">
                  <c:v>3626.6290168271403</c:v>
                </c:pt>
                <c:pt idx="15">
                  <c:v>3671.726624854783</c:v>
                </c:pt>
                <c:pt idx="16">
                  <c:v>3714.9269990529456</c:v>
                </c:pt>
                <c:pt idx="17">
                  <c:v>3756.4778161809554</c:v>
                </c:pt>
                <c:pt idx="18">
                  <c:v>3796.4647243187615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60F-B2F6-AFB5F6CE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32560"/>
        <c:axId val="1364737360"/>
      </c:lineChart>
      <c:catAx>
        <c:axId val="136473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Shipment for Store 4 ($D$5)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737360"/>
        <c:crosses val="autoZero"/>
        <c:auto val="1"/>
        <c:lblAlgn val="ctr"/>
        <c:lblOffset val="100"/>
        <c:noMultiLvlLbl val="0"/>
      </c:catAx>
      <c:valAx>
        <c:axId val="136473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32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 Analysis'!$Z$1</c:f>
          <c:strCache>
            <c:ptCount val="1"/>
            <c:pt idx="0">
              <c:v>Sensitivity of $B$18 to Shipment for Store 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 Analysis'!$A$5:$A$23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'Two Way Sensitivity Analysis'!$Z$5:$Z$23</c:f>
              <c:numCache>
                <c:formatCode>General</c:formatCode>
                <c:ptCount val="19"/>
                <c:pt idx="0">
                  <c:v>2688.2199638404145</c:v>
                </c:pt>
                <c:pt idx="1">
                  <c:v>2739.6055129364195</c:v>
                </c:pt>
                <c:pt idx="2">
                  <c:v>2789.2168167677764</c:v>
                </c:pt>
                <c:pt idx="3">
                  <c:v>2836.5098192649366</c:v>
                </c:pt>
                <c:pt idx="4">
                  <c:v>2880.6370304587331</c:v>
                </c:pt>
                <c:pt idx="5">
                  <c:v>2920.3289172554564</c:v>
                </c:pt>
                <c:pt idx="6">
                  <c:v>2954.1417287188724</c:v>
                </c:pt>
                <c:pt idx="7">
                  <c:v>2981.4738327155515</c:v>
                </c:pt>
                <c:pt idx="8">
                  <c:v>3002.9813130224416</c:v>
                </c:pt>
                <c:pt idx="9">
                  <c:v>3019.6899014975256</c:v>
                </c:pt>
                <c:pt idx="10">
                  <c:v>3032.4014920943191</c:v>
                </c:pt>
                <c:pt idx="11">
                  <c:v>3041.6413452782595</c:v>
                </c:pt>
                <c:pt idx="12">
                  <c:v>3047.7354929940075</c:v>
                </c:pt>
                <c:pt idx="13">
                  <c:v>3050.8778369485817</c:v>
                </c:pt>
                <c:pt idx="14">
                  <c:v>3051.3928590751148</c:v>
                </c:pt>
                <c:pt idx="15">
                  <c:v>3051.3929320988327</c:v>
                </c:pt>
                <c:pt idx="16">
                  <c:v>3051.3928944415957</c:v>
                </c:pt>
                <c:pt idx="17">
                  <c:v>3051.3930398108705</c:v>
                </c:pt>
                <c:pt idx="18">
                  <c:v>3051.3928469897551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2-4D07-BE1B-2E98ED32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57040"/>
        <c:axId val="1364746480"/>
      </c:lineChart>
      <c:catAx>
        <c:axId val="136475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Shipment for Store 2 ($D$3)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746480"/>
        <c:crosses val="autoZero"/>
        <c:auto val="1"/>
        <c:lblAlgn val="ctr"/>
        <c:lblOffset val="100"/>
        <c:noMultiLvlLbl val="0"/>
      </c:catAx>
      <c:valAx>
        <c:axId val="136474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57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0</xdr:row>
      <xdr:rowOff>127000</xdr:rowOff>
    </xdr:from>
    <xdr:to>
      <xdr:col>13</xdr:col>
      <xdr:colOff>177800</xdr:colOff>
      <xdr:row>19</xdr:row>
      <xdr:rowOff>38100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8F12818-7110-C770-CF33-6A6D8CEF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516444</xdr:colOff>
      <xdr:row>19</xdr:row>
      <xdr:rowOff>86805</xdr:rowOff>
    </xdr:from>
    <xdr:to>
      <xdr:col>12</xdr:col>
      <xdr:colOff>266699</xdr:colOff>
      <xdr:row>37</xdr:row>
      <xdr:rowOff>13304</xdr:rowOff>
    </xdr:to>
    <xdr:pic>
      <xdr:nvPicPr>
        <xdr:cNvPr id="10" name="Picture 2" descr="A map of a city&#10;&#10;Description automatically generated">
          <a:extLst>
            <a:ext uri="{FF2B5EF4-FFF2-40B4-BE49-F238E27FC236}">
              <a16:creationId xmlns:a16="http://schemas.microsoft.com/office/drawing/2014/main" id="{0C86A049-3A7F-8169-79EA-2CD1361D1BF6}"/>
            </a:ext>
            <a:ext uri="{147F2762-F138-4A5C-976F-8EAC2B608ADB}">
              <a16:predDERef xmlns:a16="http://schemas.microsoft.com/office/drawing/2014/main" pred="{98F12818-7110-C770-CF33-6A6D8CEF0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6844" y="3947605"/>
          <a:ext cx="4779455" cy="3584099"/>
        </a:xfrm>
        <a:prstGeom prst="rect">
          <a:avLst/>
        </a:prstGeom>
        <a:ln>
          <a:solidFill>
            <a:schemeClr val="tx1"/>
          </a:solidFill>
          <a:prstDash val="solid"/>
        </a:ln>
      </xdr:spPr>
    </xdr:pic>
    <xdr:clientData/>
  </xdr:twoCellAnchor>
  <xdr:twoCellAnchor>
    <xdr:from>
      <xdr:col>9</xdr:col>
      <xdr:colOff>800100</xdr:colOff>
      <xdr:row>4</xdr:row>
      <xdr:rowOff>165100</xdr:rowOff>
    </xdr:from>
    <xdr:to>
      <xdr:col>10</xdr:col>
      <xdr:colOff>660400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8EB8EC-0CF2-94C7-0259-5B167D42017F}"/>
            </a:ext>
          </a:extLst>
        </xdr:cNvPr>
        <xdr:cNvSpPr txBox="1"/>
      </xdr:nvSpPr>
      <xdr:spPr>
        <a:xfrm rot="20642812">
          <a:off x="11595100" y="977900"/>
          <a:ext cx="6985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East river</a:t>
          </a:r>
        </a:p>
      </xdr:txBody>
    </xdr:sp>
    <xdr:clientData/>
  </xdr:twoCellAnchor>
  <xdr:twoCellAnchor>
    <xdr:from>
      <xdr:col>10</xdr:col>
      <xdr:colOff>706316</xdr:colOff>
      <xdr:row>13</xdr:row>
      <xdr:rowOff>140384</xdr:rowOff>
    </xdr:from>
    <xdr:to>
      <xdr:col>11</xdr:col>
      <xdr:colOff>813736</xdr:colOff>
      <xdr:row>14</xdr:row>
      <xdr:rowOff>195318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EE4BDB-C057-67D8-7695-42A3AF23D126}"/>
            </a:ext>
          </a:extLst>
        </xdr:cNvPr>
        <xdr:cNvSpPr txBox="1"/>
      </xdr:nvSpPr>
      <xdr:spPr>
        <a:xfrm rot="21370291">
          <a:off x="12339516" y="2781984"/>
          <a:ext cx="945620" cy="2581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Hudson</a:t>
          </a:r>
          <a:r>
            <a:rPr lang="en-US" sz="1100" baseline="0"/>
            <a:t> River</a:t>
          </a:r>
          <a:endParaRPr lang="en-US" sz="1100"/>
        </a:p>
      </xdr:txBody>
    </xdr:sp>
    <xdr:clientData/>
  </xdr:twoCellAnchor>
  <xdr:twoCellAnchor>
    <xdr:from>
      <xdr:col>6</xdr:col>
      <xdr:colOff>254000</xdr:colOff>
      <xdr:row>4</xdr:row>
      <xdr:rowOff>139700</xdr:rowOff>
    </xdr:from>
    <xdr:to>
      <xdr:col>7</xdr:col>
      <xdr:colOff>368300</xdr:colOff>
      <xdr:row>5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04E2D8-C32D-B6B6-221B-81EBE73EAB3F}"/>
            </a:ext>
          </a:extLst>
        </xdr:cNvPr>
        <xdr:cNvSpPr txBox="1"/>
      </xdr:nvSpPr>
      <xdr:spPr>
        <a:xfrm>
          <a:off x="8534400" y="952500"/>
          <a:ext cx="9525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Intersection 1</a:t>
          </a:r>
        </a:p>
      </xdr:txBody>
    </xdr:sp>
    <xdr:clientData/>
  </xdr:twoCellAnchor>
  <xdr:twoCellAnchor>
    <xdr:from>
      <xdr:col>7</xdr:col>
      <xdr:colOff>736600</xdr:colOff>
      <xdr:row>16</xdr:row>
      <xdr:rowOff>76200</xdr:rowOff>
    </xdr:from>
    <xdr:to>
      <xdr:col>9</xdr:col>
      <xdr:colOff>25400</xdr:colOff>
      <xdr:row>17</xdr:row>
      <xdr:rowOff>127000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CEB8AB2-3DEF-53B2-AFC9-DA451ACC78F6}"/>
            </a:ext>
          </a:extLst>
        </xdr:cNvPr>
        <xdr:cNvSpPr txBox="1"/>
      </xdr:nvSpPr>
      <xdr:spPr>
        <a:xfrm>
          <a:off x="9855200" y="3556000"/>
          <a:ext cx="9652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Intersection 2</a:t>
          </a:r>
        </a:p>
      </xdr:txBody>
    </xdr:sp>
    <xdr:clientData/>
  </xdr:twoCellAnchor>
  <xdr:twoCellAnchor>
    <xdr:from>
      <xdr:col>7</xdr:col>
      <xdr:colOff>317500</xdr:colOff>
      <xdr:row>5</xdr:row>
      <xdr:rowOff>190500</xdr:rowOff>
    </xdr:from>
    <xdr:to>
      <xdr:col>7</xdr:col>
      <xdr:colOff>787400</xdr:colOff>
      <xdr:row>8</xdr:row>
      <xdr:rowOff>177800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406AA1E-DFE2-2A6B-5C61-F431E15EE59D}"/>
            </a:ext>
          </a:extLst>
        </xdr:cNvPr>
        <xdr:cNvCxnSpPr/>
      </xdr:nvCxnSpPr>
      <xdr:spPr>
        <a:xfrm flipH="1" flipV="1">
          <a:off x="9436100" y="1206500"/>
          <a:ext cx="469900" cy="5969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14</xdr:row>
      <xdr:rowOff>88900</xdr:rowOff>
    </xdr:from>
    <xdr:to>
      <xdr:col>8</xdr:col>
      <xdr:colOff>101600</xdr:colOff>
      <xdr:row>16</xdr:row>
      <xdr:rowOff>12700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7F59274-F494-53AF-589B-33C121896414}"/>
            </a:ext>
          </a:extLst>
        </xdr:cNvPr>
        <xdr:cNvCxnSpPr/>
      </xdr:nvCxnSpPr>
      <xdr:spPr>
        <a:xfrm>
          <a:off x="9461500" y="3162300"/>
          <a:ext cx="5969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229922</xdr:colOff>
      <xdr:row>9</xdr:row>
      <xdr:rowOff>145158</xdr:rowOff>
    </xdr:from>
    <xdr:ext cx="182880" cy="969843"/>
    <xdr:sp macro="" textlink="">
      <xdr:nvSpPr>
        <xdr:cNvPr id="32" name="TextBox 1">
          <a:extLst>
            <a:ext uri="{FF2B5EF4-FFF2-40B4-BE49-F238E27FC236}">
              <a16:creationId xmlns:a16="http://schemas.microsoft.com/office/drawing/2014/main" id="{50FBC7EC-612E-7BEF-281A-8B948C2C74D1}"/>
            </a:ext>
          </a:extLst>
        </xdr:cNvPr>
        <xdr:cNvSpPr txBox="1"/>
      </xdr:nvSpPr>
      <xdr:spPr>
        <a:xfrm rot="17237752">
          <a:off x="8955040" y="2367440"/>
          <a:ext cx="969843" cy="18288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River Connect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</xdr:row>
      <xdr:rowOff>136525</xdr:rowOff>
    </xdr:from>
    <xdr:to>
      <xdr:col>17</xdr:col>
      <xdr:colOff>511175</xdr:colOff>
      <xdr:row>27</xdr:row>
      <xdr:rowOff>177800</xdr:rowOff>
    </xdr:to>
    <xdr:graphicFrame macro="">
      <xdr:nvGraphicFramePr>
        <xdr:cNvPr id="47" name="Chart 16">
          <a:extLst>
            <a:ext uri="{FF2B5EF4-FFF2-40B4-BE49-F238E27FC236}">
              <a16:creationId xmlns:a16="http://schemas.microsoft.com/office/drawing/2014/main" id="{F5BBAFD8-EAB2-7C54-D7C5-218AF6010561}"/>
            </a:ext>
            <a:ext uri="{147F2762-F138-4A5C-976F-8EAC2B608ADB}">
              <a16:predDERef xmlns:a16="http://schemas.microsoft.com/office/drawing/2014/main" pred="{6150C988-D87F-0B1F-434F-6E92C2B30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931334</xdr:colOff>
      <xdr:row>2</xdr:row>
      <xdr:rowOff>177800</xdr:rowOff>
    </xdr:from>
    <xdr:to>
      <xdr:col>14</xdr:col>
      <xdr:colOff>76200</xdr:colOff>
      <xdr:row>8</xdr:row>
      <xdr:rowOff>220133</xdr:rowOff>
    </xdr:to>
    <xdr:cxnSp macro="">
      <xdr:nvCxnSpPr>
        <xdr:cNvPr id="12" name="Straight Connector 4">
          <a:extLst>
            <a:ext uri="{FF2B5EF4-FFF2-40B4-BE49-F238E27FC236}">
              <a16:creationId xmlns:a16="http://schemas.microsoft.com/office/drawing/2014/main" id="{42631B29-5941-F85E-AA3D-A65365BE9336}"/>
            </a:ext>
            <a:ext uri="{147F2762-F138-4A5C-976F-8EAC2B608ADB}">
              <a16:predDERef xmlns:a16="http://schemas.microsoft.com/office/drawing/2014/main" pred="{F5BBAFD8-EAB2-7C54-D7C5-218AF6010561}"/>
            </a:ext>
          </a:extLst>
        </xdr:cNvPr>
        <xdr:cNvCxnSpPr>
          <a:cxnSpLocks/>
        </xdr:cNvCxnSpPr>
      </xdr:nvCxnSpPr>
      <xdr:spPr>
        <a:xfrm flipV="1">
          <a:off x="16137467" y="1143000"/>
          <a:ext cx="1786466" cy="1464733"/>
        </a:xfrm>
        <a:prstGeom prst="line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641702</xdr:colOff>
      <xdr:row>1</xdr:row>
      <xdr:rowOff>66557</xdr:rowOff>
    </xdr:from>
    <xdr:to>
      <xdr:col>17</xdr:col>
      <xdr:colOff>306131</xdr:colOff>
      <xdr:row>2</xdr:row>
      <xdr:rowOff>88900</xdr:rowOff>
    </xdr:to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6150C988-D87F-0B1F-434F-6E92C2B302DA}"/>
            </a:ext>
            <a:ext uri="{147F2762-F138-4A5C-976F-8EAC2B608ADB}">
              <a16:predDERef xmlns:a16="http://schemas.microsoft.com/office/drawing/2014/main" pred="{42631B29-5941-F85E-AA3D-A65365BE9336}"/>
            </a:ext>
          </a:extLst>
        </xdr:cNvPr>
        <xdr:cNvSpPr txBox="1"/>
      </xdr:nvSpPr>
      <xdr:spPr>
        <a:xfrm>
          <a:off x="16732602" y="790457"/>
          <a:ext cx="2661629" cy="25094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This is the ideal place to build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44</xdr:col>
      <xdr:colOff>342900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0F79C-C76F-4B12-9CFA-2F3036CCE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146050</xdr:rowOff>
    </xdr:from>
    <xdr:to>
      <xdr:col>14</xdr:col>
      <xdr:colOff>317500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64420-679D-47A8-8B35-7B79FF1F6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241300</xdr:colOff>
      <xdr:row>6</xdr:row>
      <xdr:rowOff>155575</xdr:rowOff>
    </xdr:from>
    <xdr:to>
      <xdr:col>9</xdr:col>
      <xdr:colOff>304800</xdr:colOff>
      <xdr:row>21</xdr:row>
      <xdr:rowOff>12700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03979FF-93C4-DF7D-3623-F5332876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2</xdr:row>
      <xdr:rowOff>171450</xdr:rowOff>
    </xdr:from>
    <xdr:to>
      <xdr:col>15</xdr:col>
      <xdr:colOff>228600</xdr:colOff>
      <xdr:row>5</xdr:row>
      <xdr:rowOff>90487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3C1A07-62ED-C1F5-D565-6BE0A2D28445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289112</xdr:colOff>
      <xdr:row>28</xdr:row>
      <xdr:rowOff>68916</xdr:rowOff>
    </xdr:from>
    <xdr:to>
      <xdr:col>9</xdr:col>
      <xdr:colOff>365312</xdr:colOff>
      <xdr:row>42</xdr:row>
      <xdr:rowOff>131483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037005DC-1015-4861-E649-9712EA59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382494</xdr:colOff>
      <xdr:row>28</xdr:row>
      <xdr:rowOff>124946</xdr:rowOff>
    </xdr:from>
    <xdr:to>
      <xdr:col>17</xdr:col>
      <xdr:colOff>458694</xdr:colOff>
      <xdr:row>42</xdr:row>
      <xdr:rowOff>187513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0AB21AB6-8D92-CF97-CC06-3FF8D7341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194236</xdr:colOff>
      <xdr:row>33</xdr:row>
      <xdr:rowOff>115420</xdr:rowOff>
    </xdr:from>
    <xdr:to>
      <xdr:col>21</xdr:col>
      <xdr:colOff>1769341</xdr:colOff>
      <xdr:row>40</xdr:row>
      <xdr:rowOff>80588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062CA9-1DCB-B15A-FD00-F85D09462280}"/>
            </a:ext>
          </a:extLst>
        </xdr:cNvPr>
        <xdr:cNvSpPr txBox="1"/>
      </xdr:nvSpPr>
      <xdr:spPr>
        <a:xfrm>
          <a:off x="12072471" y="7175126"/>
          <a:ext cx="3590364" cy="1403256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$V$4, $W$4, $Z$4, and $AA$4,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75" zoomScaleNormal="70" workbookViewId="0">
      <selection activeCell="B31" sqref="B31"/>
    </sheetView>
  </sheetViews>
  <sheetFormatPr baseColWidth="10" defaultColWidth="11" defaultRowHeight="16" x14ac:dyDescent="0.2"/>
  <cols>
    <col min="1" max="1" width="21.6640625" style="27" customWidth="1"/>
    <col min="2" max="2" width="21.83203125" style="27" bestFit="1" customWidth="1"/>
    <col min="3" max="3" width="20.6640625" style="27" bestFit="1" customWidth="1"/>
    <col min="4" max="4" width="22.5" style="27" bestFit="1" customWidth="1"/>
    <col min="5" max="16384" width="11" style="27"/>
  </cols>
  <sheetData>
    <row r="1" spans="1:4" x14ac:dyDescent="0.2">
      <c r="A1" s="42"/>
      <c r="B1" s="43" t="s">
        <v>0</v>
      </c>
      <c r="C1" s="43" t="s">
        <v>1</v>
      </c>
      <c r="D1" s="43" t="s">
        <v>2</v>
      </c>
    </row>
    <row r="2" spans="1:4" x14ac:dyDescent="0.2">
      <c r="A2" s="43" t="s">
        <v>3</v>
      </c>
      <c r="B2" s="29">
        <v>40.750505799999999</v>
      </c>
      <c r="C2" s="29">
        <v>-73.990583000000001</v>
      </c>
      <c r="D2" s="29">
        <v>400</v>
      </c>
    </row>
    <row r="3" spans="1:4" x14ac:dyDescent="0.2">
      <c r="A3" s="43" t="s">
        <v>4</v>
      </c>
      <c r="B3" s="29">
        <v>40.729126399999998</v>
      </c>
      <c r="C3" s="29">
        <v>-73.993264300000007</v>
      </c>
      <c r="D3" s="29">
        <v>365</v>
      </c>
    </row>
    <row r="4" spans="1:4" x14ac:dyDescent="0.2">
      <c r="A4" s="43" t="s">
        <v>5</v>
      </c>
      <c r="B4" s="29">
        <v>40.709374599999997</v>
      </c>
      <c r="C4" s="29">
        <v>-74.009979099999995</v>
      </c>
      <c r="D4" s="29">
        <v>425</v>
      </c>
    </row>
    <row r="5" spans="1:4" x14ac:dyDescent="0.2">
      <c r="A5" s="43" t="s">
        <v>6</v>
      </c>
      <c r="B5" s="29">
        <v>40.718838499999997</v>
      </c>
      <c r="C5" s="29">
        <v>-73.988279700000007</v>
      </c>
      <c r="D5" s="29">
        <v>475</v>
      </c>
    </row>
    <row r="6" spans="1:4" x14ac:dyDescent="0.2">
      <c r="A6" s="43" t="s">
        <v>7</v>
      </c>
      <c r="B6" s="29">
        <v>40.718513799999997</v>
      </c>
      <c r="C6" s="29">
        <v>-74.001167699999996</v>
      </c>
      <c r="D6" s="29">
        <v>365</v>
      </c>
    </row>
    <row r="7" spans="1:4" x14ac:dyDescent="0.2">
      <c r="A7" s="43" t="s">
        <v>8</v>
      </c>
      <c r="B7" s="29">
        <v>40.7525294</v>
      </c>
      <c r="C7" s="29">
        <v>-73.992876199999998</v>
      </c>
      <c r="D7" s="29">
        <v>400</v>
      </c>
    </row>
    <row r="8" spans="1:4" x14ac:dyDescent="0.2">
      <c r="A8" s="43" t="s">
        <v>9</v>
      </c>
      <c r="B8" s="29">
        <v>40.750830999999998</v>
      </c>
      <c r="C8" s="29">
        <v>-73.989096099999998</v>
      </c>
      <c r="D8" s="29">
        <v>400</v>
      </c>
    </row>
    <row r="11" spans="1:4" x14ac:dyDescent="0.2">
      <c r="A11" s="67" t="s">
        <v>10</v>
      </c>
      <c r="B11" s="67"/>
      <c r="C11" s="67"/>
    </row>
    <row r="12" spans="1:4" ht="34" x14ac:dyDescent="0.2">
      <c r="A12" s="50" t="s">
        <v>11</v>
      </c>
      <c r="B12" s="30" t="s">
        <v>12</v>
      </c>
      <c r="C12" s="30" t="s">
        <v>13</v>
      </c>
    </row>
    <row r="13" spans="1:4" x14ac:dyDescent="0.2">
      <c r="B13" s="28"/>
      <c r="C13" s="28"/>
    </row>
    <row r="14" spans="1:4" x14ac:dyDescent="0.2">
      <c r="A14" s="67" t="s">
        <v>14</v>
      </c>
      <c r="B14" s="67"/>
      <c r="C14" s="67"/>
    </row>
    <row r="15" spans="1:4" x14ac:dyDescent="0.2">
      <c r="A15" s="43"/>
      <c r="B15" s="43" t="s">
        <v>12</v>
      </c>
      <c r="C15" s="43" t="s">
        <v>13</v>
      </c>
    </row>
    <row r="16" spans="1:4" x14ac:dyDescent="0.2">
      <c r="A16" s="68" t="s">
        <v>15</v>
      </c>
      <c r="B16" s="69"/>
      <c r="C16" s="70"/>
    </row>
    <row r="17" spans="1:3" x14ac:dyDescent="0.2">
      <c r="A17" s="30" t="s">
        <v>16</v>
      </c>
      <c r="B17" s="31">
        <v>40.755862</v>
      </c>
      <c r="C17" s="31">
        <v>-73.958723000000006</v>
      </c>
    </row>
    <row r="18" spans="1:3" x14ac:dyDescent="0.2">
      <c r="A18" s="30" t="s">
        <v>17</v>
      </c>
      <c r="B18" s="31">
        <v>40.706085999999999</v>
      </c>
      <c r="C18" s="31">
        <v>-73.983676000000003</v>
      </c>
    </row>
    <row r="19" spans="1:3" x14ac:dyDescent="0.2">
      <c r="A19" s="68" t="s">
        <v>18</v>
      </c>
      <c r="B19" s="69"/>
      <c r="C19" s="70"/>
    </row>
    <row r="20" spans="1:3" x14ac:dyDescent="0.2">
      <c r="A20" s="30" t="s">
        <v>16</v>
      </c>
      <c r="B20" s="31">
        <v>40.759334000000003</v>
      </c>
      <c r="C20" s="31">
        <v>-74.008615000000006</v>
      </c>
    </row>
    <row r="21" spans="1:3" x14ac:dyDescent="0.2">
      <c r="A21" s="30" t="s">
        <v>19</v>
      </c>
      <c r="B21" s="31">
        <v>40.695411</v>
      </c>
      <c r="C21" s="31">
        <v>-74.018891999999994</v>
      </c>
    </row>
    <row r="22" spans="1:3" x14ac:dyDescent="0.2">
      <c r="A22" s="68" t="s">
        <v>20</v>
      </c>
      <c r="B22" s="69"/>
      <c r="C22" s="70"/>
    </row>
    <row r="23" spans="1:3" x14ac:dyDescent="0.2">
      <c r="A23" s="30" t="s">
        <v>16</v>
      </c>
      <c r="B23" s="31">
        <v>40.699629999999999</v>
      </c>
      <c r="C23" s="31">
        <v>-74.032742999999996</v>
      </c>
    </row>
    <row r="24" spans="1:3" x14ac:dyDescent="0.2">
      <c r="A24" s="30" t="s">
        <v>19</v>
      </c>
      <c r="B24" s="31">
        <v>40.709651999999998</v>
      </c>
      <c r="C24" s="31">
        <v>-73.973634000000004</v>
      </c>
    </row>
    <row r="25" spans="1:3" x14ac:dyDescent="0.2">
      <c r="A25" s="30" t="s">
        <v>21</v>
      </c>
      <c r="B25" s="31">
        <v>40.708122460157902</v>
      </c>
      <c r="C25" s="31">
        <v>-73.982655110609102</v>
      </c>
    </row>
    <row r="26" spans="1:3" x14ac:dyDescent="0.2">
      <c r="A26" s="30" t="s">
        <v>22</v>
      </c>
      <c r="B26" s="31">
        <v>40.702162492187497</v>
      </c>
      <c r="C26" s="31">
        <v>-74.017806552113996</v>
      </c>
    </row>
  </sheetData>
  <mergeCells count="5">
    <mergeCell ref="A14:C14"/>
    <mergeCell ref="A11:C11"/>
    <mergeCell ref="A16:C16"/>
    <mergeCell ref="A19:C19"/>
    <mergeCell ref="A22:C22"/>
  </mergeCells>
  <phoneticPr fontId="19" type="noConversion"/>
  <pageMargins left="0.75" right="0.75" top="1" bottom="1" header="0.5" footer="0.5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2322-0438-46C8-864D-4456FFFEF4FF}">
  <dimension ref="A1:AZ23"/>
  <sheetViews>
    <sheetView topLeftCell="A22" zoomScale="99" workbookViewId="0">
      <selection activeCell="AA4" sqref="AA4"/>
    </sheetView>
  </sheetViews>
  <sheetFormatPr baseColWidth="10" defaultColWidth="8.83203125" defaultRowHeight="16" x14ac:dyDescent="0.2"/>
  <cols>
    <col min="1" max="1" width="5.83203125" bestFit="1" customWidth="1"/>
    <col min="22" max="22" width="40" bestFit="1" customWidth="1"/>
    <col min="23" max="23" width="22.6640625" bestFit="1" customWidth="1"/>
    <col min="26" max="26" width="40" bestFit="1" customWidth="1"/>
    <col min="27" max="27" width="22.6640625" bestFit="1" customWidth="1"/>
  </cols>
  <sheetData>
    <row r="1" spans="1:52" x14ac:dyDescent="0.2">
      <c r="A1" s="21" t="s">
        <v>94</v>
      </c>
      <c r="V1" s="53" t="str">
        <f>CONCATENATE("Sensitivity of ",$V$4," to ","Shipment for Store 4")</f>
        <v>Sensitivity of $B$18 to Shipment for Store 4</v>
      </c>
      <c r="Z1" s="53" t="str">
        <f>CONCATENATE("Sensitivity of ",$Z$4," to ","Shipment for Store 2")</f>
        <v>Sensitivity of $B$18 to Shipment for Store 2</v>
      </c>
    </row>
    <row r="2" spans="1:52" x14ac:dyDescent="0.2">
      <c r="V2" t="s">
        <v>96</v>
      </c>
      <c r="Z2" t="s">
        <v>95</v>
      </c>
      <c r="AZ2" t="s">
        <v>89</v>
      </c>
    </row>
    <row r="3" spans="1:52" x14ac:dyDescent="0.2">
      <c r="A3" t="s">
        <v>104</v>
      </c>
      <c r="V3" t="s">
        <v>97</v>
      </c>
      <c r="W3" t="s">
        <v>99</v>
      </c>
      <c r="Z3" t="s">
        <v>97</v>
      </c>
      <c r="AA3" t="s">
        <v>98</v>
      </c>
    </row>
    <row r="4" spans="1:52" ht="38" x14ac:dyDescent="0.2">
      <c r="A4" s="57" t="s">
        <v>89</v>
      </c>
      <c r="B4">
        <v>100</v>
      </c>
      <c r="C4">
        <v>150</v>
      </c>
      <c r="D4">
        <v>200</v>
      </c>
      <c r="E4">
        <v>250</v>
      </c>
      <c r="F4">
        <v>300</v>
      </c>
      <c r="G4">
        <v>350</v>
      </c>
      <c r="H4">
        <v>400</v>
      </c>
      <c r="I4">
        <v>450</v>
      </c>
      <c r="J4">
        <v>500</v>
      </c>
      <c r="K4">
        <v>550</v>
      </c>
      <c r="L4">
        <v>600</v>
      </c>
      <c r="M4">
        <v>650</v>
      </c>
      <c r="N4">
        <v>700</v>
      </c>
      <c r="O4">
        <v>750</v>
      </c>
      <c r="P4">
        <v>800</v>
      </c>
      <c r="Q4">
        <v>850</v>
      </c>
      <c r="R4">
        <v>900</v>
      </c>
      <c r="S4">
        <v>950</v>
      </c>
      <c r="T4">
        <v>1000</v>
      </c>
      <c r="U4" s="53">
        <f>MATCH($V$4,OutputAddresses,0)</f>
        <v>1</v>
      </c>
      <c r="V4" s="52" t="s">
        <v>89</v>
      </c>
      <c r="W4" s="58">
        <v>100</v>
      </c>
      <c r="X4" s="53">
        <f>MATCH($W$4,InputValues1,0)</f>
        <v>1</v>
      </c>
      <c r="Y4" s="53">
        <f>MATCH($Z$4,OutputAddresses,0)</f>
        <v>1</v>
      </c>
      <c r="Z4" s="52" t="s">
        <v>89</v>
      </c>
      <c r="AA4" s="58">
        <v>100</v>
      </c>
      <c r="AB4" s="53">
        <f>MATCH($AA$4,InputValues2,0)</f>
        <v>1</v>
      </c>
    </row>
    <row r="5" spans="1:52" x14ac:dyDescent="0.2">
      <c r="A5">
        <v>100</v>
      </c>
      <c r="B5" s="59">
        <v>2688.2199638404145</v>
      </c>
      <c r="C5" s="62">
        <v>2770.8507999507692</v>
      </c>
      <c r="D5" s="62">
        <v>2852.2928670461733</v>
      </c>
      <c r="E5" s="62">
        <v>2932.3213794572534</v>
      </c>
      <c r="F5" s="62">
        <v>3010.6343862811063</v>
      </c>
      <c r="G5" s="62">
        <v>3086.8348972202489</v>
      </c>
      <c r="H5" s="62">
        <v>3160.4314295537824</v>
      </c>
      <c r="I5" s="62">
        <v>3230.896492519626</v>
      </c>
      <c r="J5" s="62">
        <v>3297.8063949465977</v>
      </c>
      <c r="K5" s="62">
        <v>3360.9789509112111</v>
      </c>
      <c r="L5" s="62">
        <v>3420.478988920494</v>
      </c>
      <c r="M5" s="62">
        <v>3476.5168794173387</v>
      </c>
      <c r="N5" s="62">
        <v>3529.3580307913526</v>
      </c>
      <c r="O5" s="62">
        <v>3579.2899389630602</v>
      </c>
      <c r="P5" s="62">
        <v>3626.6290168271403</v>
      </c>
      <c r="Q5" s="62">
        <v>3671.726624854783</v>
      </c>
      <c r="R5" s="62">
        <v>3714.9269990529456</v>
      </c>
      <c r="S5" s="62">
        <v>3756.4778161809554</v>
      </c>
      <c r="T5" s="64">
        <v>3796.4647243187615</v>
      </c>
      <c r="U5" s="53" t="str">
        <f>"OutputValues_"&amp;$U$4</f>
        <v>OutputValues_1</v>
      </c>
      <c r="V5">
        <f ca="1">INDEX(INDIRECT($U$5),$X$4,1)</f>
        <v>2688.2199638404145</v>
      </c>
      <c r="Y5" s="53" t="str">
        <f>"OutputValues_"&amp;$Y$4</f>
        <v>OutputValues_1</v>
      </c>
      <c r="Z5">
        <f ca="1">INDEX(INDIRECT($Y$5),1,$AB$4)</f>
        <v>2688.2199638404145</v>
      </c>
    </row>
    <row r="6" spans="1:52" x14ac:dyDescent="0.2">
      <c r="A6">
        <v>150</v>
      </c>
      <c r="B6" s="60">
        <v>2739.6055129364195</v>
      </c>
      <c r="C6">
        <v>2820.8974537362465</v>
      </c>
      <c r="D6">
        <v>2900.7092067395338</v>
      </c>
      <c r="E6">
        <v>2978.7179764675634</v>
      </c>
      <c r="F6">
        <v>3054.5001771024804</v>
      </c>
      <c r="G6">
        <v>3127.5420138731847</v>
      </c>
      <c r="H6">
        <v>3197.3233406991085</v>
      </c>
      <c r="I6">
        <v>3263.4796791748672</v>
      </c>
      <c r="J6">
        <v>3325.9184002378215</v>
      </c>
      <c r="K6">
        <v>3384.7775288944831</v>
      </c>
      <c r="L6">
        <v>3440.3081965820411</v>
      </c>
      <c r="M6">
        <v>3492.7973897250622</v>
      </c>
      <c r="N6">
        <v>3542.552233397505</v>
      </c>
      <c r="O6">
        <v>3589.9186844362503</v>
      </c>
      <c r="P6">
        <v>3635.2930412372393</v>
      </c>
      <c r="Q6">
        <v>3679.07852512621</v>
      </c>
      <c r="R6">
        <v>3721.5903361250239</v>
      </c>
      <c r="S6">
        <v>3762.9868933545886</v>
      </c>
      <c r="T6" s="65">
        <v>3803.2695751573174</v>
      </c>
      <c r="V6">
        <f ca="1">INDEX(INDIRECT($U$5),$X$4,2)</f>
        <v>2770.8507999507692</v>
      </c>
      <c r="Z6">
        <f ca="1">INDEX(INDIRECT($Y$5),2,$AB$4)</f>
        <v>2739.6055129364195</v>
      </c>
    </row>
    <row r="7" spans="1:52" x14ac:dyDescent="0.2">
      <c r="A7">
        <v>200</v>
      </c>
      <c r="B7" s="60">
        <v>2789.2168167677764</v>
      </c>
      <c r="C7">
        <v>2868.7784469324542</v>
      </c>
      <c r="D7">
        <v>2946.433982445571</v>
      </c>
      <c r="E7">
        <v>3021.7288066770238</v>
      </c>
      <c r="F7">
        <v>3094.1279461204658</v>
      </c>
      <c r="G7">
        <v>3163.1322652887529</v>
      </c>
      <c r="H7">
        <v>3228.4559360481803</v>
      </c>
      <c r="I7">
        <v>3290.1014546198708</v>
      </c>
      <c r="J7">
        <v>3348.2691071412028</v>
      </c>
      <c r="K7">
        <v>3403.23426005601</v>
      </c>
      <c r="L7">
        <v>3455.2882628055181</v>
      </c>
      <c r="M7">
        <v>3504.7388579728895</v>
      </c>
      <c r="N7">
        <v>3551.9399767035502</v>
      </c>
      <c r="O7">
        <v>3597.313040982981</v>
      </c>
      <c r="P7">
        <v>3641.3093445298582</v>
      </c>
      <c r="Q7">
        <v>3684.3071043702284</v>
      </c>
      <c r="R7">
        <v>3726.5260894131407</v>
      </c>
      <c r="S7">
        <v>3768.0211817901118</v>
      </c>
      <c r="T7" s="65">
        <v>3808.7235445080419</v>
      </c>
      <c r="V7">
        <f ca="1">INDEX(INDIRECT($U$5),$X$4,3)</f>
        <v>2852.2928670461733</v>
      </c>
      <c r="Z7">
        <f ca="1">INDEX(INDIRECT($Y$5),3,$AB$4)</f>
        <v>2789.2168167677764</v>
      </c>
    </row>
    <row r="8" spans="1:52" x14ac:dyDescent="0.2">
      <c r="A8">
        <v>250</v>
      </c>
      <c r="B8" s="60">
        <v>2836.5098192649366</v>
      </c>
      <c r="C8">
        <v>2913.7526316782455</v>
      </c>
      <c r="D8">
        <v>2988.4781786746107</v>
      </c>
      <c r="E8">
        <v>3060.1362067763534</v>
      </c>
      <c r="F8">
        <v>3128.2706161067654</v>
      </c>
      <c r="G8">
        <v>3192.6958279875521</v>
      </c>
      <c r="H8">
        <v>3253.5088315103999</v>
      </c>
      <c r="I8">
        <v>3310.9561562479744</v>
      </c>
      <c r="J8">
        <v>3365.3201544645899</v>
      </c>
      <c r="K8">
        <v>3416.8811842516047</v>
      </c>
      <c r="L8">
        <v>3465.9316386990049</v>
      </c>
      <c r="M8">
        <v>3512.8149774793405</v>
      </c>
      <c r="N8">
        <v>3557.9601654670059</v>
      </c>
      <c r="O8">
        <v>3601.8599005727515</v>
      </c>
      <c r="P8">
        <v>3644.9645662492744</v>
      </c>
      <c r="Q8">
        <v>3687.5675542202594</v>
      </c>
      <c r="R8">
        <v>3729.7759191018927</v>
      </c>
      <c r="S8">
        <v>3771.5536135912744</v>
      </c>
      <c r="T8" s="65">
        <v>3812.7770329458999</v>
      </c>
      <c r="V8">
        <f ca="1">INDEX(INDIRECT($U$5),$X$4,4)</f>
        <v>2932.3213794572534</v>
      </c>
      <c r="Z8">
        <f ca="1">INDEX(INDIRECT($Y$5),4,$AB$4)</f>
        <v>2836.5098192649366</v>
      </c>
    </row>
    <row r="9" spans="1:52" x14ac:dyDescent="0.2">
      <c r="A9">
        <v>300</v>
      </c>
      <c r="B9" s="60">
        <v>2880.6370304587331</v>
      </c>
      <c r="C9">
        <v>2954.6975735449487</v>
      </c>
      <c r="D9">
        <v>3025.509554642455</v>
      </c>
      <c r="E9">
        <v>3092.6914179657115</v>
      </c>
      <c r="F9">
        <v>3156.1761315828589</v>
      </c>
      <c r="G9">
        <v>3216.144393159278</v>
      </c>
      <c r="H9">
        <v>3272.8684204919045</v>
      </c>
      <c r="I9">
        <v>3326.6210996233049</v>
      </c>
      <c r="J9">
        <v>3377.6592897242972</v>
      </c>
      <c r="K9">
        <v>3426.2473008002785</v>
      </c>
      <c r="L9">
        <v>3472.7013306527192</v>
      </c>
      <c r="M9">
        <v>3517.4366824806211</v>
      </c>
      <c r="N9">
        <v>3560.9717542087137</v>
      </c>
      <c r="O9">
        <v>3603.835953572675</v>
      </c>
      <c r="P9">
        <v>3646.4245648502983</v>
      </c>
      <c r="Q9">
        <v>3688.9225673342062</v>
      </c>
      <c r="R9">
        <v>3731.3314293173798</v>
      </c>
      <c r="S9">
        <v>3773.5383432481981</v>
      </c>
      <c r="T9" s="65">
        <v>3815.3743968654835</v>
      </c>
      <c r="V9">
        <f ca="1">INDEX(INDIRECT($U$5),$X$4,5)</f>
        <v>3010.6343862811063</v>
      </c>
      <c r="Z9">
        <f ca="1">INDEX(INDIRECT($Y$5),5,$AB$4)</f>
        <v>2880.6370304587331</v>
      </c>
    </row>
    <row r="10" spans="1:52" x14ac:dyDescent="0.2">
      <c r="A10">
        <v>350</v>
      </c>
      <c r="B10" s="60">
        <v>2920.3289172554564</v>
      </c>
      <c r="C10">
        <v>2990.1924876853132</v>
      </c>
      <c r="D10">
        <v>3056.363315359848</v>
      </c>
      <c r="E10">
        <v>3118.8988821334947</v>
      </c>
      <c r="F10">
        <v>3178.0409384949248</v>
      </c>
      <c r="G10">
        <v>3234.065086553836</v>
      </c>
      <c r="H10">
        <v>3287.2213191228657</v>
      </c>
      <c r="I10">
        <v>3337.7346524112231</v>
      </c>
      <c r="J10">
        <v>3385.8331126891972</v>
      </c>
      <c r="K10">
        <v>3431.7926910116444</v>
      </c>
      <c r="L10">
        <v>3475.9923357547618</v>
      </c>
      <c r="M10">
        <v>3518.9461814867464</v>
      </c>
      <c r="N10">
        <v>3561.4516613554629</v>
      </c>
      <c r="O10">
        <v>3603.9566104240785</v>
      </c>
      <c r="P10">
        <v>3646.4616190322918</v>
      </c>
      <c r="Q10">
        <v>3688.9662077095263</v>
      </c>
      <c r="R10">
        <v>3731.4711982632243</v>
      </c>
      <c r="S10">
        <v>3773.975998849899</v>
      </c>
      <c r="T10" s="65">
        <v>3816.4532138935547</v>
      </c>
      <c r="V10">
        <f ca="1">INDEX(INDIRECT($U$5),$X$4,6)</f>
        <v>3086.8348972202489</v>
      </c>
      <c r="Z10">
        <f ca="1">INDEX(INDIRECT($Y$5),6,$AB$4)</f>
        <v>2920.3289172554564</v>
      </c>
    </row>
    <row r="11" spans="1:52" x14ac:dyDescent="0.2">
      <c r="A11">
        <v>400</v>
      </c>
      <c r="B11" s="60">
        <v>2954.1417287188724</v>
      </c>
      <c r="C11">
        <v>3019.2814071358393</v>
      </c>
      <c r="D11">
        <v>3080.8967604599857</v>
      </c>
      <c r="E11">
        <v>3139.259550783454</v>
      </c>
      <c r="F11">
        <v>3194.6291386343573</v>
      </c>
      <c r="G11">
        <v>3247.224062064322</v>
      </c>
      <c r="H11">
        <v>3297.2338630329068</v>
      </c>
      <c r="I11">
        <v>3344.8472361075983</v>
      </c>
      <c r="J11">
        <v>3390.2933731166509</v>
      </c>
      <c r="K11">
        <v>3433.8977346400015</v>
      </c>
      <c r="L11">
        <v>3476.441769914702</v>
      </c>
      <c r="M11">
        <v>3518.9466613909385</v>
      </c>
      <c r="N11">
        <v>3561.4515765271849</v>
      </c>
      <c r="O11">
        <v>3603.9564944304475</v>
      </c>
      <c r="P11">
        <v>3646.4616144529982</v>
      </c>
      <c r="Q11">
        <v>3688.9663578063983</v>
      </c>
      <c r="R11">
        <v>3731.4714178107297</v>
      </c>
      <c r="S11">
        <v>3773.9759901493489</v>
      </c>
      <c r="T11" s="65">
        <v>3816.4809744275708</v>
      </c>
      <c r="V11">
        <f ca="1">INDEX(INDIRECT($U$5),$X$4,7)</f>
        <v>3160.4314295537824</v>
      </c>
      <c r="Z11">
        <f ca="1">INDEX(INDIRECT($Y$5),7,$AB$4)</f>
        <v>2954.1417287188724</v>
      </c>
    </row>
    <row r="12" spans="1:52" x14ac:dyDescent="0.2">
      <c r="A12">
        <v>450</v>
      </c>
      <c r="B12" s="60">
        <v>2981.4738327155515</v>
      </c>
      <c r="C12">
        <v>3042.2309084350759</v>
      </c>
      <c r="D12">
        <v>3099.8815080192626</v>
      </c>
      <c r="E12">
        <v>3154.6555869664512</v>
      </c>
      <c r="F12">
        <v>3206.7369393886561</v>
      </c>
      <c r="G12">
        <v>3256.2800284278583</v>
      </c>
      <c r="H12">
        <v>3303.4354397920724</v>
      </c>
      <c r="I12">
        <v>3348.3853285862929</v>
      </c>
      <c r="J12">
        <v>3391.4319604771795</v>
      </c>
      <c r="K12">
        <v>3433.9369192906925</v>
      </c>
      <c r="L12">
        <v>3476.4417508774732</v>
      </c>
      <c r="M12">
        <v>3518.9467305286166</v>
      </c>
      <c r="N12">
        <v>3561.4515671223053</v>
      </c>
      <c r="O12">
        <v>3603.9564525269302</v>
      </c>
      <c r="P12">
        <v>3646.4616204391446</v>
      </c>
      <c r="Q12">
        <v>3688.9662582798614</v>
      </c>
      <c r="R12">
        <v>3731.4713509622043</v>
      </c>
      <c r="S12">
        <v>3773.9760973042712</v>
      </c>
      <c r="T12" s="65">
        <v>3816.4812353368279</v>
      </c>
      <c r="V12">
        <f ca="1">INDEX(INDIRECT($U$5),$X$4,8)</f>
        <v>3230.896492519626</v>
      </c>
      <c r="Z12">
        <f ca="1">INDEX(INDIRECT($Y$5),8,$AB$4)</f>
        <v>2981.4738327155515</v>
      </c>
    </row>
    <row r="13" spans="1:52" x14ac:dyDescent="0.2">
      <c r="A13">
        <v>500</v>
      </c>
      <c r="B13" s="60">
        <v>3002.9813130224416</v>
      </c>
      <c r="C13">
        <v>3059.9961546997333</v>
      </c>
      <c r="D13">
        <v>3114.2388165656312</v>
      </c>
      <c r="E13">
        <v>3165.8592334414166</v>
      </c>
      <c r="F13">
        <v>3214.9797642219951</v>
      </c>
      <c r="G13">
        <v>3261.7166572431775</v>
      </c>
      <c r="H13">
        <v>3306.2090096859365</v>
      </c>
      <c r="I13">
        <v>3348.9270752254952</v>
      </c>
      <c r="J13">
        <v>3391.4320662790319</v>
      </c>
      <c r="K13">
        <v>3433.9370583321015</v>
      </c>
      <c r="L13">
        <v>3476.4417876559933</v>
      </c>
      <c r="M13">
        <v>3518.9466638789727</v>
      </c>
      <c r="N13">
        <v>3561.4515789459874</v>
      </c>
      <c r="O13">
        <v>3603.9564792611391</v>
      </c>
      <c r="P13">
        <v>3646.4615149523156</v>
      </c>
      <c r="Q13">
        <v>3688.9665016050803</v>
      </c>
      <c r="R13">
        <v>3731.4711311260771</v>
      </c>
      <c r="S13">
        <v>3773.9765259852252</v>
      </c>
      <c r="T13" s="65">
        <v>3816.4809484065272</v>
      </c>
      <c r="V13">
        <f ca="1">INDEX(INDIRECT($U$5),$X$4,9)</f>
        <v>3297.8063949465977</v>
      </c>
      <c r="Z13">
        <f ca="1">INDEX(INDIRECT($Y$5),9,$AB$4)</f>
        <v>3002.9813130224416</v>
      </c>
    </row>
    <row r="14" spans="1:52" x14ac:dyDescent="0.2">
      <c r="A14">
        <v>550</v>
      </c>
      <c r="B14" s="60">
        <v>3019.6899014975256</v>
      </c>
      <c r="C14">
        <v>3073.4636679285013</v>
      </c>
      <c r="D14">
        <v>3124.6750044798064</v>
      </c>
      <c r="E14">
        <v>3173.4182874044859</v>
      </c>
      <c r="F14">
        <v>3219.7801769207954</v>
      </c>
      <c r="G14">
        <v>3263.8625309257864</v>
      </c>
      <c r="H14">
        <v>3306.4222211817887</v>
      </c>
      <c r="I14">
        <v>3348.9271707468251</v>
      </c>
      <c r="J14">
        <v>3391.4321156900223</v>
      </c>
      <c r="K14">
        <v>3433.936993550753</v>
      </c>
      <c r="L14">
        <v>3476.4418314415047</v>
      </c>
      <c r="M14">
        <v>3518.9466611867383</v>
      </c>
      <c r="N14">
        <v>3561.4515924934653</v>
      </c>
      <c r="O14">
        <v>3603.9566428522221</v>
      </c>
      <c r="P14">
        <v>3646.4613292133154</v>
      </c>
      <c r="Q14">
        <v>3688.9662672172335</v>
      </c>
      <c r="R14">
        <v>3731.4714075242473</v>
      </c>
      <c r="S14">
        <v>3773.9762474453678</v>
      </c>
      <c r="T14" s="65">
        <v>3816.4809502001963</v>
      </c>
      <c r="V14">
        <f ca="1">INDEX(INDIRECT($U$5),$X$4,10)</f>
        <v>3360.9789509112111</v>
      </c>
      <c r="Z14">
        <f ca="1">INDEX(INDIRECT($Y$5),10,$AB$4)</f>
        <v>3019.6899014975256</v>
      </c>
    </row>
    <row r="15" spans="1:52" x14ac:dyDescent="0.2">
      <c r="A15">
        <v>600</v>
      </c>
      <c r="B15" s="60">
        <v>3032.4014920943191</v>
      </c>
      <c r="C15">
        <v>3083.2516086402688</v>
      </c>
      <c r="D15">
        <v>3131.6604575093284</v>
      </c>
      <c r="E15">
        <v>3177.6898477267659</v>
      </c>
      <c r="F15">
        <v>3221.410463917302</v>
      </c>
      <c r="G15">
        <v>3263.9172964924696</v>
      </c>
      <c r="H15">
        <v>3306.4222277647887</v>
      </c>
      <c r="I15">
        <v>3348.9270694307593</v>
      </c>
      <c r="J15">
        <v>3391.4320915338189</v>
      </c>
      <c r="K15">
        <v>3433.936881080851</v>
      </c>
      <c r="L15">
        <v>3476.4418531832225</v>
      </c>
      <c r="M15">
        <v>3518.9467061831833</v>
      </c>
      <c r="N15">
        <v>3561.4515654298484</v>
      </c>
      <c r="O15">
        <v>3603.9568590978215</v>
      </c>
      <c r="P15">
        <v>3646.4613636264476</v>
      </c>
      <c r="Q15">
        <v>3688.9662518736764</v>
      </c>
      <c r="R15">
        <v>3731.4710984558319</v>
      </c>
      <c r="S15">
        <v>3773.9765363218685</v>
      </c>
      <c r="T15" s="65">
        <v>3816.4813883032912</v>
      </c>
      <c r="V15">
        <f ca="1">INDEX(INDIRECT($U$5),$X$4,11)</f>
        <v>3420.478988920494</v>
      </c>
      <c r="Z15">
        <f ca="1">INDEX(INDIRECT($Y$5),11,$AB$4)</f>
        <v>3032.4014920943191</v>
      </c>
    </row>
    <row r="16" spans="1:52" x14ac:dyDescent="0.2">
      <c r="A16">
        <v>650</v>
      </c>
      <c r="B16" s="60">
        <v>3041.6413452782595</v>
      </c>
      <c r="C16">
        <v>3089.7544024603144</v>
      </c>
      <c r="D16">
        <v>3135.4902790354572</v>
      </c>
      <c r="E16">
        <v>3178.9075276981139</v>
      </c>
      <c r="F16">
        <v>3221.4123927965547</v>
      </c>
      <c r="G16">
        <v>3263.917314799497</v>
      </c>
      <c r="H16">
        <v>3306.422312429941</v>
      </c>
      <c r="I16">
        <v>3348.9271214775536</v>
      </c>
      <c r="J16">
        <v>3391.4320303396735</v>
      </c>
      <c r="K16">
        <v>3433.9369441388199</v>
      </c>
      <c r="L16">
        <v>3476.4420184439823</v>
      </c>
      <c r="M16">
        <v>3518.9467441025499</v>
      </c>
      <c r="N16">
        <v>3561.4515613742506</v>
      </c>
      <c r="O16">
        <v>3603.9566853946826</v>
      </c>
      <c r="P16">
        <v>3646.4613213658968</v>
      </c>
      <c r="Q16">
        <v>3688.9666798600952</v>
      </c>
      <c r="R16">
        <v>3731.4712185489102</v>
      </c>
      <c r="S16">
        <v>3773.9759982447495</v>
      </c>
      <c r="T16" s="65">
        <v>3816.4812148476713</v>
      </c>
      <c r="V16">
        <f ca="1">INDEX(INDIRECT($U$5),$X$4,12)</f>
        <v>3476.5168794173387</v>
      </c>
      <c r="Z16">
        <f ca="1">INDEX(INDIRECT($Y$5),12,$AB$4)</f>
        <v>3041.6413452782595</v>
      </c>
    </row>
    <row r="17" spans="1:26" x14ac:dyDescent="0.2">
      <c r="A17">
        <v>700</v>
      </c>
      <c r="B17" s="60">
        <v>3047.7354929940075</v>
      </c>
      <c r="C17">
        <v>3093.2124271235948</v>
      </c>
      <c r="D17">
        <v>3136.4027765595124</v>
      </c>
      <c r="E17">
        <v>3178.9076542449029</v>
      </c>
      <c r="F17">
        <v>3221.4124652852902</v>
      </c>
      <c r="G17">
        <v>3263.9173318095372</v>
      </c>
      <c r="H17">
        <v>3306.4223477867886</v>
      </c>
      <c r="I17">
        <v>3348.9271561997284</v>
      </c>
      <c r="J17">
        <v>3391.4323596938439</v>
      </c>
      <c r="K17">
        <v>3433.9370225849539</v>
      </c>
      <c r="L17">
        <v>3476.4420445145465</v>
      </c>
      <c r="M17">
        <v>3518.9467328280734</v>
      </c>
      <c r="N17">
        <v>3561.4517282985726</v>
      </c>
      <c r="O17">
        <v>3603.9566068510321</v>
      </c>
      <c r="P17">
        <v>3646.461365989484</v>
      </c>
      <c r="Q17">
        <v>3688.9666314227557</v>
      </c>
      <c r="R17">
        <v>3731.471492316532</v>
      </c>
      <c r="S17">
        <v>3773.9760343956223</v>
      </c>
      <c r="T17" s="65">
        <v>3816.4810526903957</v>
      </c>
      <c r="V17">
        <f ca="1">INDEX(INDIRECT($U$5),$X$4,13)</f>
        <v>3529.3580307913526</v>
      </c>
      <c r="Z17">
        <f ca="1">INDEX(INDIRECT($Y$5),13,$AB$4)</f>
        <v>3047.7354929940075</v>
      </c>
    </row>
    <row r="18" spans="1:26" x14ac:dyDescent="0.2">
      <c r="A18">
        <v>750</v>
      </c>
      <c r="B18" s="60">
        <v>3050.8778369485817</v>
      </c>
      <c r="C18">
        <v>3093.897727124202</v>
      </c>
      <c r="D18">
        <v>3136.4026547401636</v>
      </c>
      <c r="E18">
        <v>3178.9075874893392</v>
      </c>
      <c r="F18">
        <v>3221.4125250380084</v>
      </c>
      <c r="G18">
        <v>3263.9173058691376</v>
      </c>
      <c r="H18">
        <v>3306.4222818011281</v>
      </c>
      <c r="I18">
        <v>3348.9271952376098</v>
      </c>
      <c r="J18">
        <v>3391.4323136992566</v>
      </c>
      <c r="K18">
        <v>3433.937143089548</v>
      </c>
      <c r="L18">
        <v>3476.4418497088659</v>
      </c>
      <c r="M18">
        <v>3518.9467675597798</v>
      </c>
      <c r="N18">
        <v>3561.4517961979427</v>
      </c>
      <c r="O18">
        <v>3603.9567986240172</v>
      </c>
      <c r="P18">
        <v>3646.4613989820582</v>
      </c>
      <c r="Q18">
        <v>3688.9662917179153</v>
      </c>
      <c r="R18">
        <v>3731.471334955123</v>
      </c>
      <c r="S18">
        <v>3773.9761402893364</v>
      </c>
      <c r="T18" s="65">
        <v>3816.4809529681197</v>
      </c>
      <c r="V18">
        <f ca="1">INDEX(INDIRECT($U$5),$X$4,14)</f>
        <v>3579.2899389630602</v>
      </c>
      <c r="Z18">
        <f ca="1">INDEX(INDIRECT($Y$5),14,$AB$4)</f>
        <v>3050.8778369485817</v>
      </c>
    </row>
    <row r="19" spans="1:26" x14ac:dyDescent="0.2">
      <c r="A19">
        <v>800</v>
      </c>
      <c r="B19" s="60">
        <v>3051.3928590751148</v>
      </c>
      <c r="C19">
        <v>3093.8977599610535</v>
      </c>
      <c r="D19">
        <v>3136.4026330163128</v>
      </c>
      <c r="E19">
        <v>3178.9078873357626</v>
      </c>
      <c r="F19">
        <v>3221.4125190073255</v>
      </c>
      <c r="G19">
        <v>3263.9173566748841</v>
      </c>
      <c r="H19">
        <v>3306.4223322261705</v>
      </c>
      <c r="I19">
        <v>3348.9271781334523</v>
      </c>
      <c r="J19">
        <v>3391.4323274386861</v>
      </c>
      <c r="K19">
        <v>3433.9371753210048</v>
      </c>
      <c r="L19">
        <v>3476.4422120567424</v>
      </c>
      <c r="M19">
        <v>3518.9467327994535</v>
      </c>
      <c r="N19">
        <v>3561.4520421165716</v>
      </c>
      <c r="O19">
        <v>3603.9565926586624</v>
      </c>
      <c r="P19">
        <v>3646.4615469054324</v>
      </c>
      <c r="Q19">
        <v>3688.9664300544755</v>
      </c>
      <c r="R19">
        <v>3731.4714234862154</v>
      </c>
      <c r="S19">
        <v>3773.9761235293327</v>
      </c>
      <c r="T19" s="65">
        <v>3816.4809930206629</v>
      </c>
      <c r="V19">
        <f ca="1">INDEX(INDIRECT($U$5),$X$4,15)</f>
        <v>3626.6290168271403</v>
      </c>
      <c r="Z19">
        <f ca="1">INDEX(INDIRECT($Y$5),15,$AB$4)</f>
        <v>3051.3928590751148</v>
      </c>
    </row>
    <row r="20" spans="1:26" x14ac:dyDescent="0.2">
      <c r="A20">
        <v>850</v>
      </c>
      <c r="B20" s="60">
        <v>3051.3929320988327</v>
      </c>
      <c r="C20">
        <v>3093.897738082152</v>
      </c>
      <c r="D20">
        <v>3136.4026845342323</v>
      </c>
      <c r="E20">
        <v>3178.907628920078</v>
      </c>
      <c r="F20">
        <v>3221.4125524808073</v>
      </c>
      <c r="G20">
        <v>3263.9176128777758</v>
      </c>
      <c r="H20">
        <v>3306.4222173592061</v>
      </c>
      <c r="I20">
        <v>3348.927236954316</v>
      </c>
      <c r="J20">
        <v>3391.4320174795653</v>
      </c>
      <c r="K20">
        <v>3433.9369881032303</v>
      </c>
      <c r="L20">
        <v>3476.4417490738838</v>
      </c>
      <c r="M20">
        <v>3518.9467022796462</v>
      </c>
      <c r="N20">
        <v>3561.451675778238</v>
      </c>
      <c r="O20">
        <v>3603.9569149015147</v>
      </c>
      <c r="P20">
        <v>3646.4614092076436</v>
      </c>
      <c r="Q20">
        <v>3688.9663301891292</v>
      </c>
      <c r="R20">
        <v>3731.4711766975574</v>
      </c>
      <c r="S20">
        <v>3773.9762300290095</v>
      </c>
      <c r="T20" s="65">
        <v>3816.4808931694242</v>
      </c>
      <c r="V20">
        <f ca="1">INDEX(INDIRECT($U$5),$X$4,16)</f>
        <v>3671.726624854783</v>
      </c>
      <c r="Z20">
        <f ca="1">INDEX(INDIRECT($Y$5),16,$AB$4)</f>
        <v>3051.3929320988327</v>
      </c>
    </row>
    <row r="21" spans="1:26" x14ac:dyDescent="0.2">
      <c r="A21">
        <v>900</v>
      </c>
      <c r="B21" s="60">
        <v>3051.3928944415957</v>
      </c>
      <c r="C21">
        <v>3093.8978743450698</v>
      </c>
      <c r="D21">
        <v>3136.4027173711211</v>
      </c>
      <c r="E21">
        <v>3178.9075953421602</v>
      </c>
      <c r="F21">
        <v>3221.4127408643408</v>
      </c>
      <c r="G21">
        <v>3263.9175251861557</v>
      </c>
      <c r="H21">
        <v>3306.4225351870127</v>
      </c>
      <c r="I21">
        <v>3348.9271431863881</v>
      </c>
      <c r="J21">
        <v>3391.4321294213546</v>
      </c>
      <c r="K21">
        <v>3433.9369308563591</v>
      </c>
      <c r="L21">
        <v>3476.4421604367644</v>
      </c>
      <c r="M21">
        <v>3518.9471272542141</v>
      </c>
      <c r="N21">
        <v>3561.4516511425882</v>
      </c>
      <c r="O21">
        <v>3603.9570576698015</v>
      </c>
      <c r="P21">
        <v>3646.4614527008198</v>
      </c>
      <c r="Q21">
        <v>3688.966220350062</v>
      </c>
      <c r="R21">
        <v>3731.4711258251859</v>
      </c>
      <c r="S21">
        <v>3773.9761827522671</v>
      </c>
      <c r="T21" s="65">
        <v>3816.4809138994333</v>
      </c>
      <c r="V21">
        <f ca="1">INDEX(INDIRECT($U$5),$X$4,17)</f>
        <v>3714.9269990529456</v>
      </c>
      <c r="Z21">
        <f ca="1">INDEX(INDIRECT($Y$5),17,$AB$4)</f>
        <v>3051.3928944415957</v>
      </c>
    </row>
    <row r="22" spans="1:26" x14ac:dyDescent="0.2">
      <c r="A22">
        <v>950</v>
      </c>
      <c r="B22" s="60">
        <v>3051.3930398108705</v>
      </c>
      <c r="C22">
        <v>3093.8978514426121</v>
      </c>
      <c r="D22">
        <v>3136.4029215552364</v>
      </c>
      <c r="E22">
        <v>3178.9076575363406</v>
      </c>
      <c r="F22">
        <v>3221.4125375621034</v>
      </c>
      <c r="G22">
        <v>3263.9173718458501</v>
      </c>
      <c r="H22">
        <v>3306.4222315259094</v>
      </c>
      <c r="I22">
        <v>3348.9272882911919</v>
      </c>
      <c r="J22">
        <v>3391.4321083961377</v>
      </c>
      <c r="K22">
        <v>3433.93692350228</v>
      </c>
      <c r="L22">
        <v>3476.4418866974338</v>
      </c>
      <c r="M22">
        <v>3518.947254725329</v>
      </c>
      <c r="N22">
        <v>3561.4516265274542</v>
      </c>
      <c r="O22">
        <v>3603.956543713834</v>
      </c>
      <c r="P22">
        <v>3646.4614503354519</v>
      </c>
      <c r="Q22">
        <v>3688.9664592532627</v>
      </c>
      <c r="R22">
        <v>3731.4713695466489</v>
      </c>
      <c r="S22">
        <v>3773.9763360913357</v>
      </c>
      <c r="T22" s="65">
        <v>3816.480936589508</v>
      </c>
      <c r="V22">
        <f ca="1">INDEX(INDIRECT($U$5),$X$4,18)</f>
        <v>3756.4778161809554</v>
      </c>
      <c r="Z22">
        <f ca="1">INDEX(INDIRECT($Y$5),18,$AB$4)</f>
        <v>3051.3930398108705</v>
      </c>
    </row>
    <row r="23" spans="1:26" x14ac:dyDescent="0.2">
      <c r="A23">
        <v>1000</v>
      </c>
      <c r="B23" s="61">
        <v>3051.3928469897551</v>
      </c>
      <c r="C23" s="63">
        <v>3093.8978145051815</v>
      </c>
      <c r="D23" s="63">
        <v>3136.4027825615126</v>
      </c>
      <c r="E23" s="63">
        <v>3178.9075696471787</v>
      </c>
      <c r="F23" s="63">
        <v>3221.4126714372692</v>
      </c>
      <c r="G23" s="63">
        <v>3263.9174622766277</v>
      </c>
      <c r="H23" s="63">
        <v>3306.4224425479997</v>
      </c>
      <c r="I23" s="63">
        <v>3348.9271862715782</v>
      </c>
      <c r="J23" s="63">
        <v>3391.4320427983857</v>
      </c>
      <c r="K23" s="63">
        <v>3433.9368550473628</v>
      </c>
      <c r="L23" s="63">
        <v>3476.44190983613</v>
      </c>
      <c r="M23" s="63">
        <v>3518.9467724965625</v>
      </c>
      <c r="N23" s="63">
        <v>3561.4516173378779</v>
      </c>
      <c r="O23" s="63">
        <v>3603.9565021731523</v>
      </c>
      <c r="P23" s="63">
        <v>3646.4618482399301</v>
      </c>
      <c r="Q23" s="63">
        <v>3688.9662620328727</v>
      </c>
      <c r="R23" s="63">
        <v>3731.4715312239359</v>
      </c>
      <c r="S23" s="63">
        <v>3773.9759963537572</v>
      </c>
      <c r="T23" s="66">
        <v>3816.4815230112176</v>
      </c>
      <c r="V23">
        <f ca="1">INDEX(INDIRECT($U$5),$X$4,19)</f>
        <v>3796.4647243187615</v>
      </c>
      <c r="Z23">
        <f ca="1">INDEX(INDIRECT($Y$5),19,$AB$4)</f>
        <v>3051.3928469897551</v>
      </c>
    </row>
  </sheetData>
  <dataValidations count="3">
    <dataValidation type="list" allowBlank="1" showInputMessage="1" showErrorMessage="1" sqref="V4 Z4" xr:uid="{F88B6AEC-2A42-4C3E-8722-AE63B3BB1E07}">
      <formula1>OutputAddresses</formula1>
    </dataValidation>
    <dataValidation type="list" allowBlank="1" showInputMessage="1" showErrorMessage="1" sqref="W4" xr:uid="{8364A9EC-F784-4A3C-858B-E10FA49F31EB}">
      <formula1>InputValues1</formula1>
    </dataValidation>
    <dataValidation type="list" allowBlank="1" showInputMessage="1" showErrorMessage="1" sqref="AA4" xr:uid="{A022892B-1C23-4680-97ED-4A332359FCAF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B74-23E5-4458-8F13-611A6E02B896}">
  <dimension ref="A1:G29"/>
  <sheetViews>
    <sheetView zoomScale="75" zoomScaleNormal="100" zoomScaleSheetLayoutView="90" workbookViewId="0">
      <selection activeCell="D3" sqref="D3"/>
    </sheetView>
  </sheetViews>
  <sheetFormatPr baseColWidth="10" defaultColWidth="8.83203125" defaultRowHeight="18" x14ac:dyDescent="0.2"/>
  <cols>
    <col min="1" max="1" width="26.33203125" style="37" customWidth="1"/>
    <col min="2" max="2" width="23.33203125" style="37" customWidth="1"/>
    <col min="3" max="3" width="12.83203125" style="37" bestFit="1" customWidth="1"/>
    <col min="4" max="4" width="21.5" style="37" customWidth="1"/>
    <col min="5" max="5" width="21" style="37" customWidth="1"/>
    <col min="6" max="6" width="17.83203125" style="37" customWidth="1"/>
    <col min="7" max="7" width="26" style="37" customWidth="1"/>
    <col min="8" max="8" width="8.83203125" style="37"/>
    <col min="9" max="9" width="12.6640625" style="37" bestFit="1" customWidth="1"/>
    <col min="10" max="11" width="8.83203125" style="37"/>
    <col min="12" max="12" width="11" style="37" bestFit="1" customWidth="1"/>
    <col min="13" max="13" width="21.6640625" style="37" bestFit="1" customWidth="1"/>
    <col min="14" max="14" width="12.83203125" style="37" bestFit="1" customWidth="1"/>
    <col min="15" max="16384" width="8.83203125" style="37"/>
  </cols>
  <sheetData>
    <row r="1" spans="1:7" ht="57" x14ac:dyDescent="0.2">
      <c r="A1" s="45" t="s">
        <v>23</v>
      </c>
      <c r="B1" s="46" t="s">
        <v>24</v>
      </c>
      <c r="C1" s="46" t="s">
        <v>25</v>
      </c>
      <c r="D1" s="46" t="s">
        <v>26</v>
      </c>
      <c r="E1" s="46" t="s">
        <v>27</v>
      </c>
      <c r="F1" s="46" t="s">
        <v>28</v>
      </c>
      <c r="G1" s="46" t="s">
        <v>29</v>
      </c>
    </row>
    <row r="2" spans="1:7" x14ac:dyDescent="0.2">
      <c r="A2" s="41" t="s">
        <v>3</v>
      </c>
      <c r="B2" s="40">
        <v>40.750505799999999</v>
      </c>
      <c r="C2" s="40">
        <v>-73.990583000000001</v>
      </c>
      <c r="D2" s="40">
        <v>400</v>
      </c>
      <c r="E2" s="40">
        <f t="shared" ref="E2:E8" si="0">STANDARDIZE(B2,$B$9,$B$10)</f>
        <v>0.9714968624471283</v>
      </c>
      <c r="F2" s="40">
        <f>STANDARDIZE(C2,$C$9,$C$10)</f>
        <v>0.56736560409157188</v>
      </c>
      <c r="G2" s="39">
        <f>SQRT(($B$14-E2)^2+($C$14-F2)^2)</f>
        <v>1.1013150625155403</v>
      </c>
    </row>
    <row r="3" spans="1:7" x14ac:dyDescent="0.2">
      <c r="A3" s="41" t="s">
        <v>4</v>
      </c>
      <c r="B3" s="40">
        <v>40.729126399999998</v>
      </c>
      <c r="C3" s="40">
        <v>-73.993263999999996</v>
      </c>
      <c r="D3" s="40">
        <v>365</v>
      </c>
      <c r="E3" s="40">
        <f>STANDARDIZE(B3,$B$9,$B$10)</f>
        <v>-0.20269832841353599</v>
      </c>
      <c r="F3" s="40">
        <f>STANDARDIZE(C3,$C$9,$C$10)</f>
        <v>0.22570828684708485</v>
      </c>
      <c r="G3" s="39">
        <f>SQRT(($B$14-E3)^2+($C$14-F3)^2)</f>
        <v>0.12945750990620503</v>
      </c>
    </row>
    <row r="4" spans="1:7" x14ac:dyDescent="0.2">
      <c r="A4" s="41" t="s">
        <v>5</v>
      </c>
      <c r="B4" s="40">
        <v>40.709374599999997</v>
      </c>
      <c r="C4" s="40">
        <v>-74.009979000000001</v>
      </c>
      <c r="D4" s="40">
        <v>425</v>
      </c>
      <c r="E4" s="40">
        <f>STANDARDIZE(B4,$B$9,$B$10)</f>
        <v>-1.2875027930310103</v>
      </c>
      <c r="F4" s="40">
        <f t="shared" ref="F4:F8" si="1">STANDARDIZE(C4,$C$9,$C$10)</f>
        <v>-1.9043931893755497</v>
      </c>
      <c r="G4" s="39">
        <f t="shared" ref="G4:G8" si="2">SQRT(($B$14-E4)^2+($C$14-F4)^2)</f>
        <v>2.4463166716201639</v>
      </c>
    </row>
    <row r="5" spans="1:7" x14ac:dyDescent="0.2">
      <c r="A5" s="41" t="s">
        <v>6</v>
      </c>
      <c r="B5" s="40">
        <v>40.718838499999997</v>
      </c>
      <c r="C5" s="40">
        <v>-73.988280000000003</v>
      </c>
      <c r="D5" s="40">
        <v>475</v>
      </c>
      <c r="E5" s="40">
        <f t="shared" si="0"/>
        <v>-0.76772834347742314</v>
      </c>
      <c r="F5" s="40">
        <f t="shared" si="1"/>
        <v>0.86085191577176534</v>
      </c>
      <c r="G5" s="39">
        <f t="shared" si="2"/>
        <v>0.94529635862812689</v>
      </c>
    </row>
    <row r="6" spans="1:7" x14ac:dyDescent="0.2">
      <c r="A6" s="41" t="s">
        <v>7</v>
      </c>
      <c r="B6" s="40">
        <v>40.718513799999997</v>
      </c>
      <c r="C6" s="40">
        <v>-74.001168000000007</v>
      </c>
      <c r="D6" s="40">
        <v>365</v>
      </c>
      <c r="E6" s="40">
        <f t="shared" si="0"/>
        <v>-0.78556145284778212</v>
      </c>
      <c r="F6" s="40">
        <f t="shared" si="1"/>
        <v>-0.78154998824003807</v>
      </c>
      <c r="G6" s="39">
        <f t="shared" si="2"/>
        <v>1.2284296276046893</v>
      </c>
    </row>
    <row r="7" spans="1:7" x14ac:dyDescent="0.2">
      <c r="A7" s="41" t="s">
        <v>8</v>
      </c>
      <c r="B7" s="40">
        <v>40.7525294</v>
      </c>
      <c r="C7" s="40">
        <v>-73.992875999999995</v>
      </c>
      <c r="D7" s="40">
        <v>400</v>
      </c>
      <c r="E7" s="40">
        <f t="shared" si="0"/>
        <v>1.0826366226006818</v>
      </c>
      <c r="F7" s="40">
        <f t="shared" si="1"/>
        <v>0.27515365763835903</v>
      </c>
      <c r="G7" s="39">
        <f t="shared" si="2"/>
        <v>1.1573769265925704</v>
      </c>
    </row>
    <row r="8" spans="1:7" x14ac:dyDescent="0.2">
      <c r="A8" s="41" t="s">
        <v>9</v>
      </c>
      <c r="B8" s="40">
        <v>40.750830999999998</v>
      </c>
      <c r="C8" s="40">
        <v>-73.989096000000004</v>
      </c>
      <c r="D8" s="40">
        <v>400</v>
      </c>
      <c r="E8" s="40">
        <f t="shared" si="0"/>
        <v>0.98935743271881982</v>
      </c>
      <c r="F8" s="40">
        <f t="shared" si="1"/>
        <v>0.75686371328310542</v>
      </c>
      <c r="G8" s="39">
        <f t="shared" si="2"/>
        <v>1.1909381569096436</v>
      </c>
    </row>
    <row r="9" spans="1:7" x14ac:dyDescent="0.2">
      <c r="A9" s="41" t="s">
        <v>30</v>
      </c>
      <c r="B9" s="39">
        <f>AVERAGE(B2:B8)</f>
        <v>40.732817071428578</v>
      </c>
      <c r="C9" s="39">
        <f>AVERAGE(C2:C8)</f>
        <v>-73.995035142857162</v>
      </c>
      <c r="D9" s="39">
        <f>AVERAGE(D2:D8)</f>
        <v>404.28571428571428</v>
      </c>
    </row>
    <row r="10" spans="1:7" x14ac:dyDescent="0.2">
      <c r="A10" s="41" t="s">
        <v>31</v>
      </c>
      <c r="B10" s="39">
        <f>_xlfn.STDEV.S(B2:B8)</f>
        <v>1.8207705300112832E-2</v>
      </c>
      <c r="C10" s="39">
        <f>_xlfn.STDEV.S(C2:C8)</f>
        <v>7.8470439960663628E-3</v>
      </c>
      <c r="D10" s="39">
        <f>_xlfn.STDEV.S(D2:D8)</f>
        <v>37.796447300922722</v>
      </c>
    </row>
    <row r="11" spans="1:7" x14ac:dyDescent="0.2">
      <c r="A11" s="38"/>
    </row>
    <row r="12" spans="1:7" x14ac:dyDescent="0.2">
      <c r="A12" s="73" t="s">
        <v>32</v>
      </c>
      <c r="B12" s="74"/>
      <c r="C12" s="75"/>
      <c r="D12" s="37" t="s">
        <v>33</v>
      </c>
      <c r="E12" s="37" t="s">
        <v>33</v>
      </c>
    </row>
    <row r="13" spans="1:7" x14ac:dyDescent="0.2">
      <c r="A13" s="71" t="s">
        <v>34</v>
      </c>
      <c r="B13" s="48" t="s">
        <v>24</v>
      </c>
      <c r="C13" s="48" t="s">
        <v>25</v>
      </c>
      <c r="D13" s="37" t="s">
        <v>33</v>
      </c>
      <c r="E13" s="37" t="s">
        <v>33</v>
      </c>
    </row>
    <row r="14" spans="1:7" x14ac:dyDescent="0.2">
      <c r="A14" s="71"/>
      <c r="B14" s="44">
        <v>-7.3395624756813049E-2</v>
      </c>
      <c r="C14" s="44">
        <v>0.21937917172908783</v>
      </c>
      <c r="D14" s="37" t="s">
        <v>33</v>
      </c>
      <c r="E14" s="37" t="s">
        <v>33</v>
      </c>
    </row>
    <row r="15" spans="1:7" x14ac:dyDescent="0.2">
      <c r="A15" s="35" t="s">
        <v>33</v>
      </c>
      <c r="B15" s="36" t="s">
        <v>33</v>
      </c>
      <c r="C15" s="36" t="s">
        <v>33</v>
      </c>
      <c r="D15" s="36" t="s">
        <v>33</v>
      </c>
      <c r="E15" s="37" t="s">
        <v>33</v>
      </c>
    </row>
    <row r="16" spans="1:7" x14ac:dyDescent="0.2">
      <c r="C16" s="37" t="s">
        <v>33</v>
      </c>
      <c r="D16" s="37" t="s">
        <v>33</v>
      </c>
      <c r="E16" s="37" t="s">
        <v>33</v>
      </c>
    </row>
    <row r="17" spans="1:5" x14ac:dyDescent="0.2">
      <c r="A17" s="73" t="s">
        <v>35</v>
      </c>
      <c r="B17" s="75"/>
      <c r="C17" s="37" t="s">
        <v>33</v>
      </c>
      <c r="E17" s="37" t="s">
        <v>33</v>
      </c>
    </row>
    <row r="18" spans="1:5" ht="57" x14ac:dyDescent="0.2">
      <c r="A18" s="49" t="s">
        <v>36</v>
      </c>
      <c r="B18" s="44">
        <f>SUMPRODUCT(D2:D8,G2:G8)</f>
        <v>3364.181219385508</v>
      </c>
      <c r="C18" s="37" t="s">
        <v>33</v>
      </c>
      <c r="D18" s="37" t="s">
        <v>33</v>
      </c>
      <c r="E18" s="37" t="s">
        <v>33</v>
      </c>
    </row>
    <row r="19" spans="1:5" x14ac:dyDescent="0.2">
      <c r="A19" s="35" t="s">
        <v>33</v>
      </c>
      <c r="B19" s="36" t="s">
        <v>33</v>
      </c>
      <c r="C19" s="36" t="s">
        <v>33</v>
      </c>
      <c r="D19" s="36" t="s">
        <v>33</v>
      </c>
      <c r="E19" s="37" t="s">
        <v>33</v>
      </c>
    </row>
    <row r="20" spans="1:5" x14ac:dyDescent="0.2">
      <c r="A20" s="47" t="s">
        <v>14</v>
      </c>
      <c r="B20" s="48" t="s">
        <v>37</v>
      </c>
      <c r="C20" s="48" t="s">
        <v>33</v>
      </c>
      <c r="D20" s="48" t="s">
        <v>38</v>
      </c>
      <c r="E20" s="48" t="s">
        <v>39</v>
      </c>
    </row>
    <row r="21" spans="1:5" x14ac:dyDescent="0.2">
      <c r="A21" s="34" t="s">
        <v>40</v>
      </c>
      <c r="B21" s="40">
        <f>B14</f>
        <v>-7.3395624756813049E-2</v>
      </c>
      <c r="C21" s="32" t="s">
        <v>41</v>
      </c>
      <c r="D21" s="40">
        <v>-1.35627257052113</v>
      </c>
      <c r="E21" s="33">
        <v>40.708122460157902</v>
      </c>
    </row>
    <row r="22" spans="1:5" x14ac:dyDescent="0.2">
      <c r="A22" s="34" t="s">
        <v>40</v>
      </c>
      <c r="B22" s="40">
        <f>B14</f>
        <v>-7.3395624756813049E-2</v>
      </c>
      <c r="C22" s="32" t="s">
        <v>42</v>
      </c>
      <c r="D22" s="40">
        <v>1.4563575219586153</v>
      </c>
      <c r="E22" s="33">
        <v>40.759334000000003</v>
      </c>
    </row>
    <row r="23" spans="1:5" x14ac:dyDescent="0.2">
      <c r="A23" s="34" t="s">
        <v>43</v>
      </c>
      <c r="B23" s="40">
        <f>C14</f>
        <v>0.21937917172908783</v>
      </c>
      <c r="C23" s="32" t="s">
        <v>41</v>
      </c>
      <c r="D23" s="40">
        <v>-1.7305697724711699</v>
      </c>
      <c r="E23" s="33">
        <v>-74.008615000000006</v>
      </c>
    </row>
    <row r="24" spans="1:5" x14ac:dyDescent="0.2">
      <c r="A24" s="34" t="s">
        <v>43</v>
      </c>
      <c r="B24" s="40">
        <f>C14</f>
        <v>0.21937917172908783</v>
      </c>
      <c r="C24" s="32" t="s">
        <v>42</v>
      </c>
      <c r="D24" s="40">
        <v>1.57766826008195</v>
      </c>
      <c r="E24" s="33">
        <v>-73.982655110609102</v>
      </c>
    </row>
    <row r="26" spans="1:5" x14ac:dyDescent="0.2">
      <c r="A26" s="72" t="s">
        <v>105</v>
      </c>
      <c r="B26" s="72"/>
    </row>
    <row r="27" spans="1:5" x14ac:dyDescent="0.2">
      <c r="A27" s="72" t="s">
        <v>44</v>
      </c>
      <c r="B27" s="72"/>
    </row>
    <row r="28" spans="1:5" x14ac:dyDescent="0.2">
      <c r="A28" s="33">
        <f>B14</f>
        <v>-7.3395624756813049E-2</v>
      </c>
      <c r="B28" s="33">
        <f>(B10*A28)+B9</f>
        <v>40.731480705522685</v>
      </c>
    </row>
    <row r="29" spans="1:5" x14ac:dyDescent="0.2">
      <c r="A29" s="33">
        <f>C14</f>
        <v>0.21937917172908783</v>
      </c>
      <c r="B29" s="33">
        <f>(C10*$A$29)+$C$9</f>
        <v>-73.993313664844777</v>
      </c>
    </row>
  </sheetData>
  <mergeCells count="5">
    <mergeCell ref="A13:A14"/>
    <mergeCell ref="A27:B27"/>
    <mergeCell ref="A12:C12"/>
    <mergeCell ref="A17:B17"/>
    <mergeCell ref="A26:B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F8C4-8A88-4CD6-B674-961CA6C997D0}">
  <dimension ref="A1:E18"/>
  <sheetViews>
    <sheetView showGridLines="0" workbookViewId="0"/>
  </sheetViews>
  <sheetFormatPr baseColWidth="10" defaultColWidth="8.83203125" defaultRowHeight="16" x14ac:dyDescent="0.2"/>
  <cols>
    <col min="1" max="1" width="2.1640625" customWidth="1"/>
    <col min="2" max="2" width="6" bestFit="1" customWidth="1"/>
    <col min="3" max="3" width="14.33203125" bestFit="1" customWidth="1"/>
    <col min="4" max="4" width="12.33203125" bestFit="1" customWidth="1"/>
    <col min="5" max="5" width="8.83203125" bestFit="1" customWidth="1"/>
  </cols>
  <sheetData>
    <row r="1" spans="1:5" x14ac:dyDescent="0.2">
      <c r="A1" s="21" t="s">
        <v>45</v>
      </c>
    </row>
    <row r="2" spans="1:5" x14ac:dyDescent="0.2">
      <c r="A2" s="21" t="s">
        <v>46</v>
      </c>
    </row>
    <row r="3" spans="1:5" x14ac:dyDescent="0.2">
      <c r="A3" s="21" t="s">
        <v>47</v>
      </c>
    </row>
    <row r="6" spans="1:5" ht="17" thickBot="1" x14ac:dyDescent="0.25">
      <c r="A6" t="s">
        <v>48</v>
      </c>
    </row>
    <row r="7" spans="1:5" x14ac:dyDescent="0.2">
      <c r="B7" s="25"/>
      <c r="C7" s="25"/>
      <c r="D7" s="25" t="s">
        <v>49</v>
      </c>
      <c r="E7" s="25" t="s">
        <v>50</v>
      </c>
    </row>
    <row r="8" spans="1:5" ht="17" thickBot="1" x14ac:dyDescent="0.25">
      <c r="B8" s="26" t="s">
        <v>51</v>
      </c>
      <c r="C8" s="26" t="s">
        <v>52</v>
      </c>
      <c r="D8" s="26" t="s">
        <v>53</v>
      </c>
      <c r="E8" s="26" t="s">
        <v>54</v>
      </c>
    </row>
    <row r="9" spans="1:5" x14ac:dyDescent="0.2">
      <c r="B9" s="23" t="s">
        <v>55</v>
      </c>
      <c r="C9" s="23" t="s">
        <v>24</v>
      </c>
      <c r="D9" s="23">
        <v>-7.3395624601770168E-2</v>
      </c>
      <c r="E9" s="23">
        <v>0</v>
      </c>
    </row>
    <row r="10" spans="1:5" ht="17" thickBot="1" x14ac:dyDescent="0.25">
      <c r="B10" s="24" t="s">
        <v>56</v>
      </c>
      <c r="C10" s="24" t="s">
        <v>25</v>
      </c>
      <c r="D10" s="24">
        <v>0.21937916630371396</v>
      </c>
      <c r="E10" s="24">
        <v>0</v>
      </c>
    </row>
    <row r="12" spans="1:5" ht="17" thickBot="1" x14ac:dyDescent="0.25">
      <c r="A12" t="s">
        <v>14</v>
      </c>
    </row>
    <row r="13" spans="1:5" x14ac:dyDescent="0.2">
      <c r="B13" s="25"/>
      <c r="C13" s="25"/>
      <c r="D13" s="25" t="s">
        <v>49</v>
      </c>
      <c r="E13" s="25" t="s">
        <v>57</v>
      </c>
    </row>
    <row r="14" spans="1:5" ht="17" thickBot="1" x14ac:dyDescent="0.25">
      <c r="B14" s="26" t="s">
        <v>51</v>
      </c>
      <c r="C14" s="26" t="s">
        <v>52</v>
      </c>
      <c r="D14" s="26" t="s">
        <v>53</v>
      </c>
      <c r="E14" s="26" t="s">
        <v>58</v>
      </c>
    </row>
    <row r="15" spans="1:5" x14ac:dyDescent="0.2">
      <c r="B15" s="23" t="s">
        <v>59</v>
      </c>
      <c r="C15" s="23" t="s">
        <v>60</v>
      </c>
      <c r="D15" s="23">
        <v>-7.3395624601770168E-2</v>
      </c>
      <c r="E15" s="23">
        <v>0</v>
      </c>
    </row>
    <row r="16" spans="1:5" x14ac:dyDescent="0.2">
      <c r="B16" s="23" t="s">
        <v>61</v>
      </c>
      <c r="C16" s="23" t="s">
        <v>62</v>
      </c>
      <c r="D16" s="23">
        <v>-7.3395624601770168E-2</v>
      </c>
      <c r="E16" s="23">
        <v>0</v>
      </c>
    </row>
    <row r="17" spans="2:5" x14ac:dyDescent="0.2">
      <c r="B17" s="23" t="s">
        <v>63</v>
      </c>
      <c r="C17" s="23" t="s">
        <v>64</v>
      </c>
      <c r="D17" s="23">
        <v>0.21937916630371396</v>
      </c>
      <c r="E17" s="23">
        <v>0</v>
      </c>
    </row>
    <row r="18" spans="2:5" ht="17" thickBot="1" x14ac:dyDescent="0.25">
      <c r="B18" s="24" t="s">
        <v>65</v>
      </c>
      <c r="C18" s="24" t="s">
        <v>64</v>
      </c>
      <c r="D18" s="24">
        <v>0.21937916630371396</v>
      </c>
      <c r="E18" s="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DF93-612B-49AA-9456-B68AA0B01CDE}">
  <dimension ref="A1"/>
  <sheetViews>
    <sheetView zoomScale="50" workbookViewId="0"/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D25" sqref="D25"/>
    </sheetView>
  </sheetViews>
  <sheetFormatPr baseColWidth="10" defaultColWidth="11" defaultRowHeight="16" x14ac:dyDescent="0.2"/>
  <cols>
    <col min="1" max="1" width="44" bestFit="1" customWidth="1"/>
    <col min="4" max="4" width="19.83203125" bestFit="1" customWidth="1"/>
    <col min="5" max="5" width="16.33203125" bestFit="1" customWidth="1"/>
    <col min="9" max="9" width="24.5" bestFit="1" customWidth="1"/>
  </cols>
  <sheetData>
    <row r="1" spans="1:12" x14ac:dyDescent="0.2">
      <c r="A1" s="78" t="s">
        <v>66</v>
      </c>
      <c r="B1" s="78"/>
      <c r="C1" s="78"/>
      <c r="D1" s="78"/>
      <c r="E1" s="78"/>
    </row>
    <row r="2" spans="1:12" x14ac:dyDescent="0.2">
      <c r="A2" s="78" t="s">
        <v>67</v>
      </c>
      <c r="B2" s="78"/>
      <c r="C2" s="78"/>
      <c r="D2" s="78"/>
      <c r="E2" s="78"/>
    </row>
    <row r="3" spans="1:12" ht="43" x14ac:dyDescent="0.2">
      <c r="A3" s="2" t="s">
        <v>23</v>
      </c>
      <c r="B3" s="3" t="s">
        <v>68</v>
      </c>
      <c r="C3" s="3" t="s">
        <v>69</v>
      </c>
      <c r="D3" s="3" t="s">
        <v>26</v>
      </c>
      <c r="E3" s="3" t="s">
        <v>70</v>
      </c>
    </row>
    <row r="4" spans="1:12" x14ac:dyDescent="0.2">
      <c r="A4" s="4" t="s">
        <v>3</v>
      </c>
      <c r="B4" s="5">
        <v>40.750505799999999</v>
      </c>
      <c r="C4" s="5">
        <v>-73.990583000000001</v>
      </c>
      <c r="D4" s="5">
        <v>400</v>
      </c>
      <c r="E4" s="6">
        <f t="shared" ref="E4:E10" si="0">SQRT(($B$16-B4)^2+($C$16-C4)^2)</f>
        <v>73.990585199863787</v>
      </c>
    </row>
    <row r="5" spans="1:12" x14ac:dyDescent="0.2">
      <c r="A5" s="4" t="s">
        <v>4</v>
      </c>
      <c r="B5" s="5">
        <v>40.729126399999998</v>
      </c>
      <c r="C5" s="5">
        <v>-73.993263999999996</v>
      </c>
      <c r="D5" s="5">
        <v>365</v>
      </c>
      <c r="E5" s="6">
        <f t="shared" si="0"/>
        <v>73.993264075234407</v>
      </c>
    </row>
    <row r="6" spans="1:12" x14ac:dyDescent="0.2">
      <c r="A6" s="4" t="s">
        <v>5</v>
      </c>
      <c r="B6" s="5">
        <v>40.709374599999997</v>
      </c>
      <c r="C6" s="5">
        <v>-74.009979000000001</v>
      </c>
      <c r="D6" s="5">
        <v>425</v>
      </c>
      <c r="E6" s="6">
        <f t="shared" si="0"/>
        <v>74.009982601403522</v>
      </c>
    </row>
    <row r="7" spans="1:12" x14ac:dyDescent="0.2">
      <c r="A7" s="4" t="s">
        <v>6</v>
      </c>
      <c r="B7" s="5">
        <v>40.718838499999997</v>
      </c>
      <c r="C7" s="5">
        <v>-73.988280000000003</v>
      </c>
      <c r="D7" s="5">
        <v>475</v>
      </c>
      <c r="E7" s="6">
        <f t="shared" si="0"/>
        <v>73.98828125445668</v>
      </c>
    </row>
    <row r="8" spans="1:12" x14ac:dyDescent="0.2">
      <c r="A8" s="4" t="s">
        <v>7</v>
      </c>
      <c r="B8" s="5">
        <v>40.718513799999997</v>
      </c>
      <c r="C8" s="5">
        <v>-74.001168000000007</v>
      </c>
      <c r="D8" s="5">
        <v>365</v>
      </c>
      <c r="E8" s="6">
        <f t="shared" si="0"/>
        <v>74.001169314732223</v>
      </c>
    </row>
    <row r="9" spans="1:12" x14ac:dyDescent="0.2">
      <c r="A9" s="4" t="s">
        <v>8</v>
      </c>
      <c r="B9" s="5">
        <v>40.7525294</v>
      </c>
      <c r="C9" s="5">
        <v>-73.992875999999995</v>
      </c>
      <c r="D9" s="5">
        <v>400</v>
      </c>
      <c r="E9" s="6">
        <f t="shared" si="0"/>
        <v>73.992878720908635</v>
      </c>
    </row>
    <row r="10" spans="1:12" x14ac:dyDescent="0.2">
      <c r="A10" s="4" t="s">
        <v>9</v>
      </c>
      <c r="B10" s="5">
        <v>40.750830999999998</v>
      </c>
      <c r="C10" s="5">
        <v>-73.989096000000004</v>
      </c>
      <c r="D10" s="5">
        <v>400</v>
      </c>
      <c r="E10" s="6">
        <f t="shared" si="0"/>
        <v>73.989098279924633</v>
      </c>
      <c r="I10" s="4" t="s">
        <v>71</v>
      </c>
      <c r="J10" s="17">
        <v>0</v>
      </c>
      <c r="K10" s="6" t="s">
        <v>41</v>
      </c>
      <c r="L10" s="17">
        <v>40.755862</v>
      </c>
    </row>
    <row r="11" spans="1:12" x14ac:dyDescent="0.2">
      <c r="A11" s="1"/>
      <c r="D11" s="1"/>
      <c r="E11" s="1"/>
      <c r="I11" s="4" t="s">
        <v>72</v>
      </c>
      <c r="J11" s="17">
        <v>0</v>
      </c>
      <c r="K11" s="6" t="s">
        <v>42</v>
      </c>
      <c r="L11" s="17">
        <v>40.706085999999999</v>
      </c>
    </row>
    <row r="12" spans="1:12" x14ac:dyDescent="0.2">
      <c r="A12" s="1"/>
      <c r="C12" s="1"/>
      <c r="D12" s="1"/>
      <c r="E12" s="1"/>
      <c r="I12" s="4" t="s">
        <v>73</v>
      </c>
      <c r="J12" s="17">
        <v>0</v>
      </c>
      <c r="K12" s="6" t="s">
        <v>41</v>
      </c>
      <c r="L12" s="17">
        <v>-73.958723000000006</v>
      </c>
    </row>
    <row r="13" spans="1:12" x14ac:dyDescent="0.2">
      <c r="A13" s="1"/>
      <c r="B13" s="1"/>
      <c r="C13" s="1"/>
      <c r="D13" s="1"/>
      <c r="E13" s="1"/>
      <c r="I13" s="4" t="s">
        <v>74</v>
      </c>
      <c r="J13" s="17">
        <v>0</v>
      </c>
      <c r="K13" s="6" t="s">
        <v>42</v>
      </c>
      <c r="L13" s="17">
        <v>-73.983676000000003</v>
      </c>
    </row>
    <row r="14" spans="1:12" x14ac:dyDescent="0.2">
      <c r="A14" s="7" t="s">
        <v>32</v>
      </c>
      <c r="B14" s="8" t="s">
        <v>33</v>
      </c>
      <c r="C14" s="8" t="s">
        <v>33</v>
      </c>
      <c r="D14" s="8" t="s">
        <v>33</v>
      </c>
      <c r="E14" s="9" t="s">
        <v>33</v>
      </c>
      <c r="I14" s="4" t="s">
        <v>75</v>
      </c>
      <c r="J14" s="17">
        <v>0</v>
      </c>
      <c r="K14" s="18"/>
      <c r="L14" s="17">
        <v>40.759334000000003</v>
      </c>
    </row>
    <row r="15" spans="1:12" x14ac:dyDescent="0.2">
      <c r="A15" s="76" t="s">
        <v>11</v>
      </c>
      <c r="B15" s="10" t="s">
        <v>24</v>
      </c>
      <c r="C15" s="10" t="s">
        <v>25</v>
      </c>
      <c r="D15" s="11" t="s">
        <v>33</v>
      </c>
      <c r="E15" s="11" t="s">
        <v>33</v>
      </c>
      <c r="I15" s="4" t="s">
        <v>76</v>
      </c>
      <c r="J15" s="17">
        <v>0</v>
      </c>
      <c r="K15" s="18"/>
      <c r="L15" s="17">
        <v>40.695411</v>
      </c>
    </row>
    <row r="16" spans="1:12" x14ac:dyDescent="0.2">
      <c r="A16" s="77"/>
      <c r="B16" s="12">
        <v>40.732463116886485</v>
      </c>
      <c r="C16" s="12">
        <v>0</v>
      </c>
      <c r="D16" s="11" t="s">
        <v>33</v>
      </c>
      <c r="E16" s="11" t="s">
        <v>33</v>
      </c>
      <c r="I16" s="4" t="s">
        <v>77</v>
      </c>
      <c r="J16" s="17">
        <v>0</v>
      </c>
      <c r="K16" s="18"/>
      <c r="L16" s="17">
        <v>-74.008615000000006</v>
      </c>
    </row>
    <row r="17" spans="1:12" x14ac:dyDescent="0.2">
      <c r="A17" s="13" t="s">
        <v>33</v>
      </c>
      <c r="B17" s="11" t="s">
        <v>33</v>
      </c>
      <c r="C17" s="11" t="s">
        <v>33</v>
      </c>
      <c r="D17" s="11" t="s">
        <v>33</v>
      </c>
      <c r="E17" s="11" t="s">
        <v>33</v>
      </c>
      <c r="I17" s="4" t="s">
        <v>78</v>
      </c>
      <c r="J17" s="17">
        <v>0</v>
      </c>
      <c r="K17" s="18"/>
      <c r="L17" s="17">
        <v>-74.018891999999994</v>
      </c>
    </row>
    <row r="18" spans="1:12" x14ac:dyDescent="0.2">
      <c r="A18" s="14" t="s">
        <v>79</v>
      </c>
      <c r="B18" s="11" t="s">
        <v>33</v>
      </c>
      <c r="C18" s="11" t="s">
        <v>33</v>
      </c>
      <c r="D18" s="11" t="s">
        <v>33</v>
      </c>
      <c r="E18" s="11" t="s">
        <v>33</v>
      </c>
      <c r="I18" s="4" t="s">
        <v>80</v>
      </c>
      <c r="J18" s="17">
        <v>0</v>
      </c>
      <c r="K18" s="18"/>
      <c r="L18" s="17">
        <v>40.699629999999999</v>
      </c>
    </row>
    <row r="19" spans="1:12" x14ac:dyDescent="0.2">
      <c r="A19" s="4" t="s">
        <v>36</v>
      </c>
      <c r="B19" s="15" t="s">
        <v>33</v>
      </c>
      <c r="C19" s="11" t="s">
        <v>33</v>
      </c>
      <c r="D19" s="11" t="s">
        <v>33</v>
      </c>
      <c r="E19" s="11" t="s">
        <v>33</v>
      </c>
      <c r="I19" s="4" t="s">
        <v>81</v>
      </c>
      <c r="J19" s="17">
        <v>0</v>
      </c>
      <c r="K19" s="18"/>
      <c r="L19" s="17">
        <v>40.709651999999998</v>
      </c>
    </row>
    <row r="20" spans="1:12" x14ac:dyDescent="0.2">
      <c r="A20" s="13" t="s">
        <v>33</v>
      </c>
      <c r="B20" s="16">
        <f>SUMPRODUCT(D4:D10,E4:E10)</f>
        <v>209405.66926908007</v>
      </c>
      <c r="C20" s="11" t="s">
        <v>33</v>
      </c>
      <c r="D20" s="11" t="s">
        <v>33</v>
      </c>
      <c r="E20" s="11" t="s">
        <v>33</v>
      </c>
      <c r="I20" s="4" t="s">
        <v>82</v>
      </c>
      <c r="J20" s="17">
        <v>0</v>
      </c>
      <c r="K20" s="18"/>
      <c r="L20" s="17">
        <v>-74.032742999999996</v>
      </c>
    </row>
    <row r="21" spans="1:12" x14ac:dyDescent="0.2">
      <c r="A21" s="13" t="s">
        <v>33</v>
      </c>
      <c r="B21" s="11" t="s">
        <v>33</v>
      </c>
      <c r="C21" s="11" t="s">
        <v>33</v>
      </c>
      <c r="D21" s="11" t="s">
        <v>33</v>
      </c>
      <c r="E21" s="11" t="s">
        <v>33</v>
      </c>
      <c r="I21" s="4" t="s">
        <v>83</v>
      </c>
      <c r="J21" s="17">
        <v>0</v>
      </c>
      <c r="K21" s="18"/>
      <c r="L21" s="17">
        <v>-73.973634000000004</v>
      </c>
    </row>
    <row r="22" spans="1:12" x14ac:dyDescent="0.2">
      <c r="A22" s="14" t="s">
        <v>14</v>
      </c>
      <c r="B22" s="11" t="s">
        <v>37</v>
      </c>
      <c r="C22" s="11" t="s">
        <v>33</v>
      </c>
      <c r="D22" s="11" t="s">
        <v>38</v>
      </c>
      <c r="E22" s="11" t="s">
        <v>33</v>
      </c>
    </row>
    <row r="23" spans="1:12" x14ac:dyDescent="0.2">
      <c r="A23" s="4" t="s">
        <v>84</v>
      </c>
      <c r="B23" s="17">
        <f>C16</f>
        <v>0</v>
      </c>
      <c r="C23" s="6" t="s">
        <v>42</v>
      </c>
      <c r="D23" s="17">
        <v>-73.958723000000006</v>
      </c>
      <c r="E23" s="11" t="s">
        <v>33</v>
      </c>
    </row>
    <row r="24" spans="1:12" x14ac:dyDescent="0.2">
      <c r="A24" s="4" t="s">
        <v>85</v>
      </c>
      <c r="B24" s="17">
        <f>B16</f>
        <v>40.732463116886485</v>
      </c>
      <c r="C24" s="6" t="s">
        <v>42</v>
      </c>
      <c r="D24" s="17">
        <v>40.759334000000003</v>
      </c>
      <c r="E24" s="11" t="s">
        <v>33</v>
      </c>
    </row>
    <row r="25" spans="1:12" x14ac:dyDescent="0.2">
      <c r="A25" s="4" t="s">
        <v>86</v>
      </c>
      <c r="B25" s="17">
        <f>B16</f>
        <v>40.732463116886485</v>
      </c>
      <c r="C25" s="18" t="s">
        <v>41</v>
      </c>
      <c r="D25" s="17">
        <v>40.702162492187497</v>
      </c>
    </row>
    <row r="26" spans="1:12" x14ac:dyDescent="0.2">
      <c r="A26" s="4" t="s">
        <v>87</v>
      </c>
      <c r="B26" s="17">
        <f>C16</f>
        <v>0</v>
      </c>
      <c r="C26" s="18" t="s">
        <v>41</v>
      </c>
      <c r="D26" s="17">
        <v>-74.017806552113996</v>
      </c>
    </row>
    <row r="28" spans="1:12" x14ac:dyDescent="0.2">
      <c r="A28" s="20"/>
      <c r="B28">
        <f>C16</f>
        <v>0</v>
      </c>
      <c r="C28" t="s">
        <v>41</v>
      </c>
      <c r="D28" s="19">
        <v>-74.008615000000006</v>
      </c>
    </row>
    <row r="29" spans="1:12" x14ac:dyDescent="0.2">
      <c r="B29">
        <f>C16</f>
        <v>0</v>
      </c>
      <c r="C29" t="s">
        <v>42</v>
      </c>
      <c r="D29" s="17">
        <v>-73.958723000000006</v>
      </c>
    </row>
    <row r="30" spans="1:12" x14ac:dyDescent="0.2">
      <c r="B30">
        <v>40.695411</v>
      </c>
      <c r="C30" t="s">
        <v>41</v>
      </c>
      <c r="D30">
        <v>40.708122460157902</v>
      </c>
    </row>
    <row r="31" spans="1:12" x14ac:dyDescent="0.2">
      <c r="B31">
        <f>B16</f>
        <v>40.732463116886485</v>
      </c>
      <c r="C31" t="s">
        <v>42</v>
      </c>
      <c r="D31" s="17">
        <v>40.759334000000003</v>
      </c>
    </row>
  </sheetData>
  <mergeCells count="3">
    <mergeCell ref="A15:A16"/>
    <mergeCell ref="A1:E1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6E7D-200B-4F29-8A2D-8A0971FEB131}">
  <dimension ref="A1:B18"/>
  <sheetViews>
    <sheetView workbookViewId="0"/>
  </sheetViews>
  <sheetFormatPr baseColWidth="10" defaultColWidth="8.83203125" defaultRowHeight="16" x14ac:dyDescent="0.2"/>
  <sheetData>
    <row r="1" spans="1:2" x14ac:dyDescent="0.2">
      <c r="A1">
        <v>1</v>
      </c>
      <c r="B1">
        <v>1</v>
      </c>
    </row>
    <row r="2" spans="1:2" x14ac:dyDescent="0.2">
      <c r="A2" t="s">
        <v>101</v>
      </c>
      <c r="B2" t="s">
        <v>100</v>
      </c>
    </row>
    <row r="3" spans="1:2" x14ac:dyDescent="0.2">
      <c r="A3">
        <v>1</v>
      </c>
      <c r="B3">
        <v>1</v>
      </c>
    </row>
    <row r="4" spans="1:2" x14ac:dyDescent="0.2">
      <c r="A4">
        <v>100</v>
      </c>
      <c r="B4">
        <v>100</v>
      </c>
    </row>
    <row r="5" spans="1:2" x14ac:dyDescent="0.2">
      <c r="A5">
        <v>1000</v>
      </c>
      <c r="B5">
        <v>1000</v>
      </c>
    </row>
    <row r="6" spans="1:2" x14ac:dyDescent="0.2">
      <c r="A6">
        <v>50</v>
      </c>
      <c r="B6">
        <v>50</v>
      </c>
    </row>
    <row r="8" spans="1:2" x14ac:dyDescent="0.2">
      <c r="A8" s="22"/>
      <c r="B8" s="22" t="s">
        <v>88</v>
      </c>
    </row>
    <row r="9" spans="1:2" x14ac:dyDescent="0.2">
      <c r="A9" t="s">
        <v>89</v>
      </c>
      <c r="B9" t="s">
        <v>101</v>
      </c>
    </row>
    <row r="10" spans="1:2" x14ac:dyDescent="0.2">
      <c r="A10" t="s">
        <v>103</v>
      </c>
      <c r="B10">
        <v>1</v>
      </c>
    </row>
    <row r="11" spans="1:2" x14ac:dyDescent="0.2">
      <c r="B11">
        <v>100</v>
      </c>
    </row>
    <row r="12" spans="1:2" x14ac:dyDescent="0.2">
      <c r="B12">
        <v>1000</v>
      </c>
    </row>
    <row r="13" spans="1:2" x14ac:dyDescent="0.2">
      <c r="B13">
        <v>50</v>
      </c>
    </row>
    <row r="15" spans="1:2" x14ac:dyDescent="0.2">
      <c r="B15" s="22" t="s">
        <v>88</v>
      </c>
    </row>
    <row r="16" spans="1:2" x14ac:dyDescent="0.2">
      <c r="B16" t="s">
        <v>89</v>
      </c>
    </row>
    <row r="17" spans="2:2" x14ac:dyDescent="0.2">
      <c r="B17" t="s">
        <v>102</v>
      </c>
    </row>
    <row r="18" spans="2:2" x14ac:dyDescent="0.2">
      <c r="B18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CB68-6D4E-4F56-8D7A-C06DC94D9C89}">
  <dimension ref="A1:B15"/>
  <sheetViews>
    <sheetView workbookViewId="0"/>
  </sheetViews>
  <sheetFormatPr baseColWidth="10" defaultColWidth="8.83203125" defaultRowHeight="16" x14ac:dyDescent="0.2"/>
  <sheetData>
    <row r="1" spans="1:2" x14ac:dyDescent="0.2">
      <c r="A1">
        <v>1</v>
      </c>
    </row>
    <row r="2" spans="1:2" x14ac:dyDescent="0.2">
      <c r="A2" t="s">
        <v>56</v>
      </c>
    </row>
    <row r="3" spans="1:2" x14ac:dyDescent="0.2">
      <c r="A3">
        <v>1</v>
      </c>
    </row>
    <row r="4" spans="1:2" x14ac:dyDescent="0.2">
      <c r="A4">
        <v>-1</v>
      </c>
    </row>
    <row r="5" spans="1:2" x14ac:dyDescent="0.2">
      <c r="A5">
        <v>1</v>
      </c>
    </row>
    <row r="6" spans="1:2" x14ac:dyDescent="0.2">
      <c r="A6">
        <v>0.1</v>
      </c>
    </row>
    <row r="8" spans="1:2" x14ac:dyDescent="0.2">
      <c r="A8" s="22"/>
      <c r="B8" s="22"/>
    </row>
    <row r="9" spans="1:2" x14ac:dyDescent="0.2">
      <c r="A9" t="s">
        <v>89</v>
      </c>
    </row>
    <row r="10" spans="1:2" x14ac:dyDescent="0.2">
      <c r="A10" t="s">
        <v>90</v>
      </c>
    </row>
    <row r="15" spans="1:2" x14ac:dyDescent="0.2">
      <c r="B15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249-56B7-0346-ADA8-E98F415BCC39}">
  <dimension ref="A8:B15"/>
  <sheetViews>
    <sheetView workbookViewId="0"/>
  </sheetViews>
  <sheetFormatPr baseColWidth="10" defaultColWidth="8.83203125" defaultRowHeight="16" x14ac:dyDescent="0.2"/>
  <sheetData>
    <row r="8" spans="1:2" x14ac:dyDescent="0.2">
      <c r="A8" s="22"/>
      <c r="B8" s="22"/>
    </row>
    <row r="15" spans="1:2" x14ac:dyDescent="0.2">
      <c r="B1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64EE-1DD4-4C67-B687-52F70194F1C9}">
  <dimension ref="A1:K23"/>
  <sheetViews>
    <sheetView workbookViewId="0">
      <selection activeCell="R28" sqref="R28"/>
    </sheetView>
  </sheetViews>
  <sheetFormatPr baseColWidth="10" defaultColWidth="8.83203125" defaultRowHeight="16" x14ac:dyDescent="0.2"/>
  <sheetData>
    <row r="1" spans="1:11" x14ac:dyDescent="0.2">
      <c r="A1" s="21" t="s">
        <v>91</v>
      </c>
      <c r="K1" s="53" t="str">
        <f>CONCATENATE("Sensitivity of ",$K$4," to ","Shipment for Store 4")</f>
        <v>Sensitivity of $B$18 to Shipment for Store 4</v>
      </c>
    </row>
    <row r="3" spans="1:11" x14ac:dyDescent="0.2">
      <c r="A3" t="s">
        <v>92</v>
      </c>
      <c r="K3" t="s">
        <v>93</v>
      </c>
    </row>
    <row r="4" spans="1:11" ht="38" x14ac:dyDescent="0.2">
      <c r="B4" s="51" t="s">
        <v>89</v>
      </c>
      <c r="J4" s="53">
        <f>MATCH($K$4,OutputAddresses,0)</f>
        <v>1</v>
      </c>
      <c r="K4" s="52" t="s">
        <v>89</v>
      </c>
    </row>
    <row r="5" spans="1:11" x14ac:dyDescent="0.2">
      <c r="A5">
        <v>100</v>
      </c>
      <c r="B5" s="54">
        <v>2931.1446490047556</v>
      </c>
      <c r="K5">
        <f>INDEX(OutputValues,1,$J$4)</f>
        <v>2931.1446490047556</v>
      </c>
    </row>
    <row r="6" spans="1:11" x14ac:dyDescent="0.2">
      <c r="A6">
        <v>150</v>
      </c>
      <c r="B6" s="55">
        <v>2999.6036004640964</v>
      </c>
      <c r="K6">
        <f>INDEX(OutputValues,2,$J$4)</f>
        <v>2999.6036004640964</v>
      </c>
    </row>
    <row r="7" spans="1:11" x14ac:dyDescent="0.2">
      <c r="A7">
        <v>200</v>
      </c>
      <c r="B7" s="55">
        <v>3064.3622959138297</v>
      </c>
      <c r="K7">
        <f>INDEX(OutputValues,3,$J$4)</f>
        <v>3064.3622959138297</v>
      </c>
    </row>
    <row r="8" spans="1:11" x14ac:dyDescent="0.2">
      <c r="A8">
        <v>250</v>
      </c>
      <c r="B8" s="55">
        <v>3125.5819442816141</v>
      </c>
      <c r="K8">
        <f>INDEX(OutputValues,4,$J$4)</f>
        <v>3125.5819442816141</v>
      </c>
    </row>
    <row r="9" spans="1:11" x14ac:dyDescent="0.2">
      <c r="A9">
        <v>300</v>
      </c>
      <c r="B9" s="55">
        <v>3183.5326899916358</v>
      </c>
      <c r="K9">
        <f>INDEX(OutputValues,5,$J$4)</f>
        <v>3183.5326899916358</v>
      </c>
    </row>
    <row r="10" spans="1:11" x14ac:dyDescent="0.2">
      <c r="A10">
        <v>350</v>
      </c>
      <c r="B10" s="55">
        <v>3238.4795241945303</v>
      </c>
      <c r="K10">
        <f>INDEX(OutputValues,6,$J$4)</f>
        <v>3238.4795241945303</v>
      </c>
    </row>
    <row r="11" spans="1:11" x14ac:dyDescent="0.2">
      <c r="A11">
        <v>400</v>
      </c>
      <c r="B11" s="55">
        <v>3290.6537517606239</v>
      </c>
      <c r="K11">
        <f>INDEX(OutputValues,7,$J$4)</f>
        <v>3290.6537517606239</v>
      </c>
    </row>
    <row r="12" spans="1:11" x14ac:dyDescent="0.2">
      <c r="A12">
        <v>450</v>
      </c>
      <c r="B12" s="55">
        <v>3340.2667194631886</v>
      </c>
      <c r="K12">
        <f>INDEX(OutputValues,8,$J$4)</f>
        <v>3340.2667194631886</v>
      </c>
    </row>
    <row r="13" spans="1:11" x14ac:dyDescent="0.2">
      <c r="A13">
        <v>500</v>
      </c>
      <c r="B13" s="55">
        <v>3387.5432143143771</v>
      </c>
      <c r="K13">
        <f>INDEX(OutputValues,9,$J$4)</f>
        <v>3387.5432143143771</v>
      </c>
    </row>
    <row r="14" spans="1:11" x14ac:dyDescent="0.2">
      <c r="A14">
        <v>550</v>
      </c>
      <c r="B14" s="55">
        <v>3432.7701001424944</v>
      </c>
      <c r="K14">
        <f>INDEX(OutputValues,10,$J$4)</f>
        <v>3432.7701001424944</v>
      </c>
    </row>
    <row r="15" spans="1:11" x14ac:dyDescent="0.2">
      <c r="A15">
        <v>600</v>
      </c>
      <c r="B15" s="55">
        <v>3476.3522282957592</v>
      </c>
      <c r="K15">
        <f>INDEX(OutputValues,11,$J$4)</f>
        <v>3476.3522282957592</v>
      </c>
    </row>
    <row r="16" spans="1:11" x14ac:dyDescent="0.2">
      <c r="A16">
        <v>650</v>
      </c>
      <c r="B16" s="55">
        <v>3518.9466905085683</v>
      </c>
      <c r="K16">
        <f>INDEX(OutputValues,12,$J$4)</f>
        <v>3518.9466905085683</v>
      </c>
    </row>
    <row r="17" spans="1:11" x14ac:dyDescent="0.2">
      <c r="A17">
        <v>700</v>
      </c>
      <c r="B17" s="55">
        <v>3561.4515399089446</v>
      </c>
      <c r="K17">
        <f>INDEX(OutputValues,13,$J$4)</f>
        <v>3561.4515399089446</v>
      </c>
    </row>
    <row r="18" spans="1:11" x14ac:dyDescent="0.2">
      <c r="A18">
        <v>750</v>
      </c>
      <c r="B18" s="55">
        <v>3603.9564211913244</v>
      </c>
      <c r="K18">
        <f>INDEX(OutputValues,14,$J$4)</f>
        <v>3603.9564211913244</v>
      </c>
    </row>
    <row r="19" spans="1:11" x14ac:dyDescent="0.2">
      <c r="A19">
        <v>800</v>
      </c>
      <c r="B19" s="55">
        <v>3646.4614138418242</v>
      </c>
      <c r="K19">
        <f>INDEX(OutputValues,15,$J$4)</f>
        <v>3646.4614138418242</v>
      </c>
    </row>
    <row r="20" spans="1:11" x14ac:dyDescent="0.2">
      <c r="A20">
        <v>850</v>
      </c>
      <c r="B20" s="55">
        <v>3688.9662964957902</v>
      </c>
      <c r="K20">
        <f>INDEX(OutputValues,16,$J$4)</f>
        <v>3688.9662964957902</v>
      </c>
    </row>
    <row r="21" spans="1:11" x14ac:dyDescent="0.2">
      <c r="A21">
        <v>900</v>
      </c>
      <c r="B21" s="55">
        <v>3731.4711235563818</v>
      </c>
      <c r="K21">
        <f>INDEX(OutputValues,17,$J$4)</f>
        <v>3731.4711235563818</v>
      </c>
    </row>
    <row r="22" spans="1:11" x14ac:dyDescent="0.2">
      <c r="A22">
        <v>950</v>
      </c>
      <c r="B22" s="55">
        <v>3773.9763014041382</v>
      </c>
      <c r="K22">
        <f>INDEX(OutputValues,18,$J$4)</f>
        <v>3773.9763014041382</v>
      </c>
    </row>
    <row r="23" spans="1:11" x14ac:dyDescent="0.2">
      <c r="A23">
        <v>1000</v>
      </c>
      <c r="B23" s="56">
        <v>3816.4809979729143</v>
      </c>
      <c r="K23">
        <f>INDEX(OutputValues,19,$J$4)</f>
        <v>3816.4809979729143</v>
      </c>
    </row>
  </sheetData>
  <dataValidations count="1">
    <dataValidation type="list" allowBlank="1" showInputMessage="1" showErrorMessage="1" sqref="K4" xr:uid="{1023B8AF-B217-4FD8-A15F-A412786A36D6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Input Data</vt:lpstr>
      <vt:lpstr>Formulation</vt:lpstr>
      <vt:lpstr>Sensitivity Report 1</vt:lpstr>
      <vt:lpstr>Sheet2</vt:lpstr>
      <vt:lpstr>Sheet1</vt:lpstr>
      <vt:lpstr>One Way Sensitivity Analysis</vt:lpstr>
      <vt:lpstr>Two Way Sensitivity Analysis</vt:lpstr>
      <vt:lpstr>'One Way Sensitivity Analysis'!ChartData</vt:lpstr>
      <vt:lpstr>'Two Way Sensitivity Analysis'!ChartData1</vt:lpstr>
      <vt:lpstr>'Two Way Sensitivity Analysis'!ChartData2</vt:lpstr>
      <vt:lpstr>'One Way Sensitivity Analysis'!InputValues</vt:lpstr>
      <vt:lpstr>'Two Way Sensitivity Analysis'!InputValues1</vt:lpstr>
      <vt:lpstr>'Two Way Sensitivity Analysis'!InputValues2</vt:lpstr>
      <vt:lpstr>'One Way Sensitivity Analysis'!OutputAddresses</vt:lpstr>
      <vt:lpstr>'Two Way Sensitivity Analysis'!OutputAddresses</vt:lpstr>
      <vt:lpstr>'One Way Sensitivity Analysis'!OutputValues</vt:lpstr>
      <vt:lpstr>'Two Way Sensitivity Analysis'!OutputValues_1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Singh</dc:creator>
  <cp:keywords/>
  <dc:description/>
  <cp:lastModifiedBy>Shrikirti Vijayendra</cp:lastModifiedBy>
  <cp:revision/>
  <dcterms:created xsi:type="dcterms:W3CDTF">2024-03-07T22:40:07Z</dcterms:created>
  <dcterms:modified xsi:type="dcterms:W3CDTF">2024-03-11T03:38:19Z</dcterms:modified>
  <cp:category/>
  <cp:contentStatus/>
</cp:coreProperties>
</file>