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ink/ink1.xml" ContentType="application/inkml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12"/>
  <workbookPr/>
  <mc:AlternateContent xmlns:mc="http://schemas.openxmlformats.org/markup-compatibility/2006">
    <mc:Choice Requires="x15">
      <x15ac:absPath xmlns:x15ac="http://schemas.microsoft.com/office/spreadsheetml/2010/11/ac" url="https://unisydneyedu-my.sharepoint.com/personal/mbha9558_uni_sydney_edu_au/Documents/"/>
    </mc:Choice>
  </mc:AlternateContent>
  <xr:revisionPtr revIDLastSave="0" documentId="8_{56F034C9-CC89-4939-8542-51FF6F25439C}" xr6:coauthVersionLast="47" xr6:coauthVersionMax="47" xr10:uidLastSave="{00000000-0000-0000-0000-000000000000}"/>
  <bookViews>
    <workbookView xWindow="0" yWindow="0" windowWidth="28800" windowHeight="18000" firstSheet="1" activeTab="1" xr2:uid="{00000000-000D-0000-FFFF-FFFF00000000}"/>
  </bookViews>
  <sheets>
    <sheet name="Blizzard Standalone Valuation" sheetId="2" state="hidden" r:id="rId1"/>
    <sheet name="Blizzard_Valuation" sheetId="8" r:id="rId2"/>
    <sheet name="Blizzard_Assumption" sheetId="6" r:id="rId3"/>
    <sheet name="Precedent Transaction Analaysis" sheetId="4" r:id="rId4"/>
    <sheet name="FF Field Output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6" i="8" l="1"/>
  <c r="G12" i="6"/>
  <c r="G78" i="8"/>
  <c r="D7" i="5"/>
  <c r="D6" i="5"/>
  <c r="D5" i="5"/>
  <c r="I140" i="8"/>
  <c r="K140" i="8"/>
  <c r="L140" i="8"/>
  <c r="L144" i="8" s="1"/>
  <c r="M140" i="8"/>
  <c r="M144" i="8" s="1"/>
  <c r="N140" i="8"/>
  <c r="O140" i="8"/>
  <c r="P140" i="8"/>
  <c r="P144" i="8" s="1"/>
  <c r="Q140" i="8"/>
  <c r="Q144" i="8" s="1"/>
  <c r="R140" i="8"/>
  <c r="R145" i="8" s="1"/>
  <c r="C145" i="8" s="1"/>
  <c r="J140" i="8"/>
  <c r="K132" i="8"/>
  <c r="K134" i="8" s="1"/>
  <c r="L132" i="8"/>
  <c r="L134" i="8" s="1"/>
  <c r="M132" i="8"/>
  <c r="N132" i="8"/>
  <c r="O132" i="8"/>
  <c r="P132" i="8"/>
  <c r="P134" i="8" s="1"/>
  <c r="Q132" i="8"/>
  <c r="R132" i="8"/>
  <c r="R135" i="8" s="1"/>
  <c r="C135" i="8" s="1"/>
  <c r="J132" i="8"/>
  <c r="R144" i="8"/>
  <c r="O144" i="8"/>
  <c r="N144" i="8"/>
  <c r="K144" i="8"/>
  <c r="J144" i="8"/>
  <c r="I144" i="8"/>
  <c r="Q134" i="8"/>
  <c r="O134" i="8"/>
  <c r="N134" i="8"/>
  <c r="M134" i="8"/>
  <c r="J134" i="8"/>
  <c r="I134" i="8"/>
  <c r="F36" i="4"/>
  <c r="F35" i="4"/>
  <c r="E25" i="4"/>
  <c r="E24" i="4"/>
  <c r="E22" i="4"/>
  <c r="E23" i="4"/>
  <c r="E14" i="4"/>
  <c r="E15" i="4"/>
  <c r="E16" i="4"/>
  <c r="E17" i="4"/>
  <c r="E18" i="4"/>
  <c r="E19" i="4"/>
  <c r="E20" i="4"/>
  <c r="E13" i="4"/>
  <c r="C32" i="4"/>
  <c r="E32" i="4" s="1"/>
  <c r="F32" i="4" s="1"/>
  <c r="C31" i="4"/>
  <c r="E31" i="4" s="1"/>
  <c r="F31" i="4" s="1"/>
  <c r="C30" i="4"/>
  <c r="F13" i="4"/>
  <c r="F14" i="4"/>
  <c r="F15" i="4"/>
  <c r="F16" i="4"/>
  <c r="F17" i="4"/>
  <c r="F18" i="4"/>
  <c r="F19" i="4"/>
  <c r="F20" i="4"/>
  <c r="N30" i="4"/>
  <c r="O30" i="4"/>
  <c r="N31" i="4"/>
  <c r="O31" i="4"/>
  <c r="N32" i="4"/>
  <c r="O32" i="4"/>
  <c r="C74" i="6"/>
  <c r="C86" i="6"/>
  <c r="C73" i="6" s="1"/>
  <c r="H55" i="6"/>
  <c r="F60" i="6"/>
  <c r="F59" i="6" s="1"/>
  <c r="E60" i="6"/>
  <c r="E59" i="6" s="1"/>
  <c r="F56" i="6"/>
  <c r="E56" i="6"/>
  <c r="F55" i="6"/>
  <c r="E55" i="6"/>
  <c r="I84" i="8"/>
  <c r="J84" i="8"/>
  <c r="K84" i="8"/>
  <c r="L84" i="8"/>
  <c r="M84" i="8"/>
  <c r="N84" i="8"/>
  <c r="O84" i="8"/>
  <c r="P84" i="8"/>
  <c r="Q84" i="8"/>
  <c r="R84" i="8"/>
  <c r="G84" i="8"/>
  <c r="H83" i="8"/>
  <c r="G83" i="8"/>
  <c r="H78" i="8"/>
  <c r="H82" i="8" s="1"/>
  <c r="G82" i="8"/>
  <c r="G87" i="8" s="1"/>
  <c r="E46" i="6"/>
  <c r="F43" i="6" s="1"/>
  <c r="F44" i="6"/>
  <c r="H84" i="8" s="1"/>
  <c r="G26" i="8"/>
  <c r="H26" i="8"/>
  <c r="G27" i="8"/>
  <c r="H27" i="8"/>
  <c r="H25" i="8"/>
  <c r="G25" i="8"/>
  <c r="F37" i="6"/>
  <c r="F38" i="6"/>
  <c r="F36" i="6"/>
  <c r="E37" i="6"/>
  <c r="E38" i="6"/>
  <c r="E36" i="6"/>
  <c r="F31" i="6"/>
  <c r="E31" i="6"/>
  <c r="F18" i="6"/>
  <c r="G56" i="6" s="1"/>
  <c r="E18" i="6"/>
  <c r="G13" i="8" s="1"/>
  <c r="G14" i="8" s="1"/>
  <c r="H68" i="8"/>
  <c r="H71" i="8" s="1"/>
  <c r="G68" i="8"/>
  <c r="G71" i="8" s="1"/>
  <c r="H64" i="8"/>
  <c r="G64" i="8"/>
  <c r="H60" i="8"/>
  <c r="H66" i="8" s="1"/>
  <c r="G60" i="8"/>
  <c r="G66" i="8" s="1"/>
  <c r="H50" i="8"/>
  <c r="G50" i="8"/>
  <c r="H46" i="8"/>
  <c r="H52" i="8" s="1"/>
  <c r="G46" i="8"/>
  <c r="G52" i="8" s="1"/>
  <c r="G55" i="6"/>
  <c r="F13" i="6"/>
  <c r="H68" i="2"/>
  <c r="H71" i="2" s="1"/>
  <c r="G68" i="2"/>
  <c r="G71" i="2" s="1"/>
  <c r="H64" i="2"/>
  <c r="G64" i="2"/>
  <c r="H60" i="2"/>
  <c r="H66" i="2" s="1"/>
  <c r="G60" i="2"/>
  <c r="G66" i="2" s="1"/>
  <c r="H46" i="2"/>
  <c r="G50" i="2"/>
  <c r="H50" i="2"/>
  <c r="G46" i="2"/>
  <c r="G52" i="2" s="1"/>
  <c r="G29" i="8" l="1"/>
  <c r="G38" i="6"/>
  <c r="G37" i="6"/>
  <c r="G29" i="6" s="1"/>
  <c r="I26" i="8" s="1"/>
  <c r="H29" i="8"/>
  <c r="G36" i="6"/>
  <c r="H36" i="6" s="1"/>
  <c r="R134" i="8"/>
  <c r="C144" i="8"/>
  <c r="C134" i="8"/>
  <c r="C137" i="8" s="1"/>
  <c r="E30" i="4"/>
  <c r="F30" i="4" s="1"/>
  <c r="C76" i="6"/>
  <c r="C88" i="6" s="1"/>
  <c r="C99" i="8" s="1"/>
  <c r="C91" i="8" s="1"/>
  <c r="H13" i="8"/>
  <c r="H14" i="8" s="1"/>
  <c r="G57" i="6"/>
  <c r="I12" i="8"/>
  <c r="I55" i="6"/>
  <c r="E57" i="6"/>
  <c r="E66" i="6" s="1"/>
  <c r="E62" i="6"/>
  <c r="F57" i="6"/>
  <c r="F66" i="6" s="1"/>
  <c r="F62" i="6"/>
  <c r="E63" i="6"/>
  <c r="F63" i="6"/>
  <c r="E64" i="6"/>
  <c r="F64" i="6"/>
  <c r="F46" i="6"/>
  <c r="F48" i="6"/>
  <c r="G48" i="6" s="1"/>
  <c r="H48" i="6" s="1"/>
  <c r="I48" i="6" s="1"/>
  <c r="J48" i="6" s="1"/>
  <c r="K48" i="6" s="1"/>
  <c r="L48" i="6" s="1"/>
  <c r="M48" i="6" s="1"/>
  <c r="N48" i="6" s="1"/>
  <c r="O48" i="6" s="1"/>
  <c r="P48" i="6" s="1"/>
  <c r="G30" i="6"/>
  <c r="I27" i="8" s="1"/>
  <c r="H38" i="6"/>
  <c r="H12" i="6"/>
  <c r="I12" i="6" s="1"/>
  <c r="G18" i="6"/>
  <c r="H56" i="6" s="1"/>
  <c r="H57" i="6" s="1"/>
  <c r="E21" i="6"/>
  <c r="E23" i="6" s="1"/>
  <c r="E19" i="6"/>
  <c r="F21" i="6"/>
  <c r="F23" i="6" s="1"/>
  <c r="F19" i="6"/>
  <c r="H52" i="2"/>
  <c r="G28" i="6" l="1"/>
  <c r="I25" i="8" s="1"/>
  <c r="F68" i="6"/>
  <c r="H85" i="8" s="1"/>
  <c r="H87" i="8" s="1"/>
  <c r="H37" i="6"/>
  <c r="C148" i="8"/>
  <c r="C149" i="8"/>
  <c r="J12" i="8"/>
  <c r="J55" i="6"/>
  <c r="G21" i="6"/>
  <c r="G23" i="6" s="1"/>
  <c r="I13" i="8"/>
  <c r="I14" i="8" s="1"/>
  <c r="I29" i="8"/>
  <c r="H29" i="6"/>
  <c r="J26" i="8" s="1"/>
  <c r="H30" i="6"/>
  <c r="J27" i="8" s="1"/>
  <c r="H28" i="6"/>
  <c r="G31" i="6"/>
  <c r="G59" i="6" s="1"/>
  <c r="G60" i="6" s="1"/>
  <c r="G66" i="6" s="1"/>
  <c r="G68" i="6" s="1"/>
  <c r="I85" i="8" s="1"/>
  <c r="I37" i="6"/>
  <c r="I38" i="6"/>
  <c r="I36" i="6"/>
  <c r="H18" i="6"/>
  <c r="I56" i="6" s="1"/>
  <c r="I57" i="6" s="1"/>
  <c r="K12" i="8" l="1"/>
  <c r="K55" i="6"/>
  <c r="H21" i="6"/>
  <c r="H23" i="6" s="1"/>
  <c r="J13" i="8"/>
  <c r="J14" i="8" s="1"/>
  <c r="H31" i="6"/>
  <c r="H59" i="6" s="1"/>
  <c r="H60" i="6" s="1"/>
  <c r="H66" i="6" s="1"/>
  <c r="H68" i="6" s="1"/>
  <c r="J85" i="8" s="1"/>
  <c r="J25" i="8"/>
  <c r="J29" i="8" s="1"/>
  <c r="I30" i="8"/>
  <c r="I28" i="6"/>
  <c r="K25" i="8" s="1"/>
  <c r="I30" i="6"/>
  <c r="K27" i="8" s="1"/>
  <c r="I29" i="6"/>
  <c r="K26" i="8" s="1"/>
  <c r="J36" i="6"/>
  <c r="J38" i="6"/>
  <c r="J37" i="6"/>
  <c r="J12" i="6"/>
  <c r="I18" i="6"/>
  <c r="J56" i="6" s="1"/>
  <c r="J57" i="6" s="1"/>
  <c r="L12" i="8" l="1"/>
  <c r="L55" i="6"/>
  <c r="I21" i="6"/>
  <c r="I23" i="6" s="1"/>
  <c r="K13" i="8"/>
  <c r="K14" i="8" s="1"/>
  <c r="K29" i="8"/>
  <c r="J30" i="8"/>
  <c r="K37" i="6"/>
  <c r="J29" i="6"/>
  <c r="L26" i="8" s="1"/>
  <c r="K38" i="6"/>
  <c r="J30" i="6"/>
  <c r="L27" i="8" s="1"/>
  <c r="K36" i="6"/>
  <c r="L36" i="6" s="1"/>
  <c r="J28" i="6"/>
  <c r="I31" i="6"/>
  <c r="I59" i="6" s="1"/>
  <c r="I60" i="6" s="1"/>
  <c r="I66" i="6" s="1"/>
  <c r="I68" i="6" s="1"/>
  <c r="K85" i="8" s="1"/>
  <c r="K12" i="6"/>
  <c r="J18" i="6"/>
  <c r="K56" i="6" s="1"/>
  <c r="K57" i="6" s="1"/>
  <c r="M12" i="8" l="1"/>
  <c r="M55" i="6"/>
  <c r="J21" i="6"/>
  <c r="J23" i="6" s="1"/>
  <c r="L13" i="8"/>
  <c r="L14" i="8" s="1"/>
  <c r="J31" i="6"/>
  <c r="J59" i="6" s="1"/>
  <c r="J60" i="6" s="1"/>
  <c r="J66" i="6" s="1"/>
  <c r="J68" i="6" s="1"/>
  <c r="L85" i="8" s="1"/>
  <c r="L25" i="8"/>
  <c r="L29" i="8" s="1"/>
  <c r="K30" i="8"/>
  <c r="K28" i="6"/>
  <c r="M25" i="8" s="1"/>
  <c r="M36" i="6"/>
  <c r="K30" i="6"/>
  <c r="M27" i="8" s="1"/>
  <c r="K29" i="6"/>
  <c r="M26" i="8" s="1"/>
  <c r="L12" i="6"/>
  <c r="K18" i="6"/>
  <c r="L56" i="6" s="1"/>
  <c r="L57" i="6" s="1"/>
  <c r="N12" i="8" l="1"/>
  <c r="N55" i="6"/>
  <c r="K21" i="6"/>
  <c r="K23" i="6" s="1"/>
  <c r="M13" i="8"/>
  <c r="M14" i="8" s="1"/>
  <c r="M29" i="8"/>
  <c r="L30" i="8"/>
  <c r="L29" i="6"/>
  <c r="N26" i="8" s="1"/>
  <c r="L30" i="6"/>
  <c r="N27" i="8" s="1"/>
  <c r="L28" i="6"/>
  <c r="N36" i="6"/>
  <c r="K31" i="6"/>
  <c r="K59" i="6" s="1"/>
  <c r="K60" i="6" s="1"/>
  <c r="K66" i="6" s="1"/>
  <c r="K68" i="6" s="1"/>
  <c r="M85" i="8" s="1"/>
  <c r="M12" i="6"/>
  <c r="L18" i="6"/>
  <c r="M56" i="6" s="1"/>
  <c r="M57" i="6" s="1"/>
  <c r="O12" i="8" l="1"/>
  <c r="O55" i="6"/>
  <c r="L21" i="6"/>
  <c r="L23" i="6" s="1"/>
  <c r="N13" i="8"/>
  <c r="N14" i="8" s="1"/>
  <c r="L31" i="6"/>
  <c r="L59" i="6" s="1"/>
  <c r="L60" i="6" s="1"/>
  <c r="L66" i="6" s="1"/>
  <c r="L68" i="6" s="1"/>
  <c r="N85" i="8" s="1"/>
  <c r="N25" i="8"/>
  <c r="N29" i="8" s="1"/>
  <c r="M30" i="8"/>
  <c r="M29" i="6"/>
  <c r="O26" i="8" s="1"/>
  <c r="M30" i="6"/>
  <c r="O27" i="8" s="1"/>
  <c r="M28" i="6"/>
  <c r="O36" i="6"/>
  <c r="N12" i="6"/>
  <c r="P12" i="8" s="1"/>
  <c r="M18" i="6"/>
  <c r="N56" i="6" s="1"/>
  <c r="N57" i="6" s="1"/>
  <c r="P55" i="6" l="1"/>
  <c r="M21" i="6"/>
  <c r="M23" i="6" s="1"/>
  <c r="O13" i="8"/>
  <c r="O14" i="8" s="1"/>
  <c r="M31" i="6"/>
  <c r="M59" i="6" s="1"/>
  <c r="M60" i="6" s="1"/>
  <c r="M66" i="6" s="1"/>
  <c r="M68" i="6" s="1"/>
  <c r="O85" i="8" s="1"/>
  <c r="O25" i="8"/>
  <c r="O29" i="8" s="1"/>
  <c r="N30" i="8"/>
  <c r="N29" i="6"/>
  <c r="P26" i="8" s="1"/>
  <c r="N30" i="6"/>
  <c r="P27" i="8" s="1"/>
  <c r="N28" i="6"/>
  <c r="P36" i="6"/>
  <c r="O12" i="6"/>
  <c r="N18" i="6"/>
  <c r="O56" i="6" s="1"/>
  <c r="O57" i="6" s="1"/>
  <c r="Q12" i="8" l="1"/>
  <c r="N21" i="6"/>
  <c r="N23" i="6" s="1"/>
  <c r="P13" i="8"/>
  <c r="P14" i="8" s="1"/>
  <c r="N31" i="6"/>
  <c r="N59" i="6" s="1"/>
  <c r="N60" i="6" s="1"/>
  <c r="N66" i="6" s="1"/>
  <c r="N68" i="6" s="1"/>
  <c r="P85" i="8" s="1"/>
  <c r="P25" i="8"/>
  <c r="P29" i="8" s="1"/>
  <c r="O30" i="8"/>
  <c r="O29" i="6"/>
  <c r="Q26" i="8" s="1"/>
  <c r="O30" i="6"/>
  <c r="Q27" i="8" s="1"/>
  <c r="O28" i="6"/>
  <c r="P12" i="6"/>
  <c r="O18" i="6"/>
  <c r="P56" i="6" s="1"/>
  <c r="P57" i="6" s="1"/>
  <c r="P30" i="8" l="1"/>
  <c r="R12" i="8"/>
  <c r="O21" i="6"/>
  <c r="O23" i="6" s="1"/>
  <c r="Q13" i="8"/>
  <c r="Q14" i="8" s="1"/>
  <c r="O31" i="6"/>
  <c r="O59" i="6" s="1"/>
  <c r="O60" i="6" s="1"/>
  <c r="O66" i="6" s="1"/>
  <c r="O68" i="6" s="1"/>
  <c r="Q85" i="8" s="1"/>
  <c r="Q25" i="8"/>
  <c r="Q29" i="8" s="1"/>
  <c r="P29" i="6"/>
  <c r="R26" i="8" s="1"/>
  <c r="P30" i="6"/>
  <c r="R27" i="8" s="1"/>
  <c r="P28" i="6"/>
  <c r="P18" i="6"/>
  <c r="G43" i="6"/>
  <c r="P21" i="6" l="1"/>
  <c r="P23" i="6" s="1"/>
  <c r="R13" i="8"/>
  <c r="R14" i="8" s="1"/>
  <c r="P31" i="6"/>
  <c r="P59" i="6" s="1"/>
  <c r="P60" i="6" s="1"/>
  <c r="P66" i="6" s="1"/>
  <c r="P68" i="6" s="1"/>
  <c r="R85" i="8" s="1"/>
  <c r="R25" i="8"/>
  <c r="R29" i="8" s="1"/>
  <c r="Q30" i="8"/>
  <c r="G45" i="6"/>
  <c r="R30" i="8" l="1"/>
  <c r="I33" i="8"/>
  <c r="I32" i="8" s="1"/>
  <c r="G46" i="6"/>
  <c r="H43" i="6" s="1"/>
  <c r="I83" i="8" l="1"/>
  <c r="I35" i="8"/>
  <c r="I78" i="8" s="1"/>
  <c r="I82" i="8" s="1"/>
  <c r="I87" i="8" s="1"/>
  <c r="I91" i="8" s="1"/>
  <c r="H45" i="6"/>
  <c r="J33" i="8" l="1"/>
  <c r="J32" i="8" s="1"/>
  <c r="H46" i="6"/>
  <c r="I43" i="6" s="1"/>
  <c r="I45" i="6" s="1"/>
  <c r="J83" i="8" l="1"/>
  <c r="J35" i="8"/>
  <c r="J78" i="8" s="1"/>
  <c r="J82" i="8" s="1"/>
  <c r="J87" i="8" s="1"/>
  <c r="J91" i="8" s="1"/>
  <c r="I46" i="6"/>
  <c r="J43" i="6" s="1"/>
  <c r="J45" i="6" s="1"/>
  <c r="K33" i="8"/>
  <c r="K32" i="8" s="1"/>
  <c r="K83" i="8" l="1"/>
  <c r="K35" i="8"/>
  <c r="K78" i="8" s="1"/>
  <c r="K82" i="8" s="1"/>
  <c r="K87" i="8" s="1"/>
  <c r="K91" i="8" s="1"/>
  <c r="J46" i="6"/>
  <c r="K43" i="6" s="1"/>
  <c r="K45" i="6" s="1"/>
  <c r="L33" i="8"/>
  <c r="L32" i="8" s="1"/>
  <c r="L83" i="8" l="1"/>
  <c r="L35" i="8"/>
  <c r="L78" i="8" s="1"/>
  <c r="L82" i="8" s="1"/>
  <c r="K46" i="6"/>
  <c r="L43" i="6" s="1"/>
  <c r="L45" i="6" s="1"/>
  <c r="M33" i="8"/>
  <c r="M32" i="8" s="1"/>
  <c r="L87" i="8" l="1"/>
  <c r="L91" i="8" s="1"/>
  <c r="M83" i="8"/>
  <c r="M35" i="8"/>
  <c r="L46" i="6"/>
  <c r="M43" i="6" s="1"/>
  <c r="M45" i="6" s="1"/>
  <c r="N33" i="8"/>
  <c r="N32" i="8" s="1"/>
  <c r="M78" i="8" l="1"/>
  <c r="M82" i="8" s="1"/>
  <c r="M87" i="8" s="1"/>
  <c r="M91" i="8" s="1"/>
  <c r="N83" i="8"/>
  <c r="N35" i="8"/>
  <c r="N78" i="8" s="1"/>
  <c r="N82" i="8" s="1"/>
  <c r="N87" i="8" s="1"/>
  <c r="N91" i="8" s="1"/>
  <c r="M46" i="6"/>
  <c r="N43" i="6" s="1"/>
  <c r="N45" i="6" s="1"/>
  <c r="O33" i="8"/>
  <c r="O32" i="8" s="1"/>
  <c r="O83" i="8" l="1"/>
  <c r="O35" i="8"/>
  <c r="O78" i="8" s="1"/>
  <c r="O82" i="8" s="1"/>
  <c r="O87" i="8" s="1"/>
  <c r="O91" i="8" s="1"/>
  <c r="N46" i="6"/>
  <c r="O43" i="6" s="1"/>
  <c r="O45" i="6" s="1"/>
  <c r="P33" i="8"/>
  <c r="P32" i="8" s="1"/>
  <c r="P35" i="8" s="1"/>
  <c r="P83" i="8" l="1"/>
  <c r="P78" i="8"/>
  <c r="P82" i="8" s="1"/>
  <c r="O46" i="6"/>
  <c r="P43" i="6" s="1"/>
  <c r="P45" i="6" s="1"/>
  <c r="Q33" i="8"/>
  <c r="Q32" i="8" s="1"/>
  <c r="P87" i="8" l="1"/>
  <c r="P91" i="8" s="1"/>
  <c r="Q83" i="8"/>
  <c r="Q35" i="8"/>
  <c r="Q78" i="8" s="1"/>
  <c r="Q82" i="8" s="1"/>
  <c r="P46" i="6"/>
  <c r="R33" i="8"/>
  <c r="R32" i="8" s="1"/>
  <c r="Q87" i="8" l="1"/>
  <c r="Q91" i="8" s="1"/>
  <c r="R83" i="8"/>
  <c r="R35" i="8"/>
  <c r="R78" i="8" s="1"/>
  <c r="R82" i="8" s="1"/>
  <c r="R87" i="8" s="1"/>
  <c r="R97" i="8" s="1"/>
  <c r="C97" i="8" s="1"/>
  <c r="C102" i="8" s="1"/>
  <c r="R91" i="8" l="1"/>
  <c r="C93" i="8" s="1"/>
  <c r="C104" i="8" s="1"/>
  <c r="C108" i="8" s="1"/>
  <c r="C112" i="8" l="1"/>
  <c r="C154" i="8"/>
  <c r="C158" i="8"/>
  <c r="C159" i="8" s="1"/>
  <c r="E4" i="5" s="1"/>
  <c r="D4" i="5" s="1"/>
</calcChain>
</file>

<file path=xl/sharedStrings.xml><?xml version="1.0" encoding="utf-8"?>
<sst xmlns="http://schemas.openxmlformats.org/spreadsheetml/2006/main" count="811" uniqueCount="193">
  <si>
    <t> </t>
  </si>
  <si>
    <t>Activison Bliizard</t>
  </si>
  <si>
    <t>Historical</t>
  </si>
  <si>
    <t>Forecast</t>
  </si>
  <si>
    <t>Period Start</t>
  </si>
  <si>
    <t>Period End</t>
  </si>
  <si>
    <t>Financial Year</t>
  </si>
  <si>
    <t>$000s</t>
  </si>
  <si>
    <t>millions</t>
  </si>
  <si>
    <t>x</t>
  </si>
  <si>
    <t>Income Statement</t>
  </si>
  <si>
    <t xml:space="preserve">Revenue </t>
  </si>
  <si>
    <t>Cost of Revenue</t>
  </si>
  <si>
    <t>Gross Profit</t>
  </si>
  <si>
    <t>Pretax Income</t>
  </si>
  <si>
    <t>Income Tax</t>
  </si>
  <si>
    <t>Net Income</t>
  </si>
  <si>
    <t>Selling, General &amp; Admin</t>
  </si>
  <si>
    <t>Research &amp; Development</t>
  </si>
  <si>
    <t>Other Operating Expenses</t>
  </si>
  <si>
    <t>Operating Expenses</t>
  </si>
  <si>
    <t>Operating Income</t>
  </si>
  <si>
    <t>EBITDA</t>
  </si>
  <si>
    <t>Depreciation &amp; Amortisation</t>
  </si>
  <si>
    <t>EBIT</t>
  </si>
  <si>
    <t>Balance Sheet Statement</t>
  </si>
  <si>
    <t>Assets</t>
  </si>
  <si>
    <t>Cash and cash equivalents</t>
  </si>
  <si>
    <t>Trade and other receivables</t>
  </si>
  <si>
    <t>Software Development</t>
  </si>
  <si>
    <t>other current Assets</t>
  </si>
  <si>
    <t>Total Current Assets</t>
  </si>
  <si>
    <t>               -   </t>
  </si>
  <si>
    <t>Defred income TAXES, net</t>
  </si>
  <si>
    <t>Software development</t>
  </si>
  <si>
    <t xml:space="preserve">propert and equipment </t>
  </si>
  <si>
    <t>Other assest+ Intangible assets</t>
  </si>
  <si>
    <t xml:space="preserve">Goodwill </t>
  </si>
  <si>
    <t>Total Assets</t>
  </si>
  <si>
    <t>Liabilities</t>
  </si>
  <si>
    <t>Acounts Payble</t>
  </si>
  <si>
    <t>Deferred Revenues</t>
  </si>
  <si>
    <t>Accrued expenses and other liabilities</t>
  </si>
  <si>
    <t>Total Current Liabilities</t>
  </si>
  <si>
    <t>long term debt, net</t>
  </si>
  <si>
    <t>deferred income taxes</t>
  </si>
  <si>
    <t xml:space="preserve">other </t>
  </si>
  <si>
    <t>Total Non-current Liabilities</t>
  </si>
  <si>
    <t>Total Liabilities</t>
  </si>
  <si>
    <t xml:space="preserve">Share holder's equity: </t>
  </si>
  <si>
    <t>Additional Paid in capital- treasury stock</t>
  </si>
  <si>
    <t>retained earnings</t>
  </si>
  <si>
    <t>Accumulated Losses</t>
  </si>
  <si>
    <t>Total Equity</t>
  </si>
  <si>
    <t>              -   </t>
  </si>
  <si>
    <t>Free-Cashflow Statement - Standalone Valuation</t>
  </si>
  <si>
    <t>Tax</t>
  </si>
  <si>
    <t>EBIT * (1-t)</t>
  </si>
  <si>
    <t>+</t>
  </si>
  <si>
    <t>Depreciation</t>
  </si>
  <si>
    <t>-</t>
  </si>
  <si>
    <t>CAPEX</t>
  </si>
  <si>
    <t>Increases in networking capital</t>
  </si>
  <si>
    <t>FCFF</t>
  </si>
  <si>
    <t>1. Value during forecast horizon</t>
  </si>
  <si>
    <t>2. Terminal Value</t>
  </si>
  <si>
    <t>WACC</t>
  </si>
  <si>
    <t>Terminal Growth Rate</t>
  </si>
  <si>
    <t>PV of TV</t>
  </si>
  <si>
    <t>Enterprise Value</t>
  </si>
  <si>
    <t>Net Debt</t>
  </si>
  <si>
    <t>Equity Value</t>
  </si>
  <si>
    <t>Shares</t>
  </si>
  <si>
    <t>Share price</t>
  </si>
  <si>
    <t>Base Case Valuation</t>
  </si>
  <si>
    <t>Share Price</t>
  </si>
  <si>
    <t>Scenario - where revenue 1% lower</t>
  </si>
  <si>
    <t>WACC - ~2% higher</t>
  </si>
  <si>
    <t>TGR 0.5% lower</t>
  </si>
  <si>
    <t>Costs remaining as same of % of sales</t>
  </si>
  <si>
    <t>Synergies</t>
  </si>
  <si>
    <t>Revenue</t>
  </si>
  <si>
    <t>TV</t>
  </si>
  <si>
    <t>PV of Revenue Synergies</t>
  </si>
  <si>
    <t>Cost</t>
  </si>
  <si>
    <t>Implementation Cost</t>
  </si>
  <si>
    <t>PV of Cost Synergies</t>
  </si>
  <si>
    <t>Total Synergies</t>
  </si>
  <si>
    <t>Synergies @ 20%</t>
  </si>
  <si>
    <t>Value with All Synergies</t>
  </si>
  <si>
    <t>Total Equity Value / Max Offer Price</t>
  </si>
  <si>
    <t>Valuation / Offer</t>
  </si>
  <si>
    <t>li</t>
  </si>
  <si>
    <t>$000000s</t>
  </si>
  <si>
    <t xml:space="preserve">Gross Revenue </t>
  </si>
  <si>
    <t>Total FCFF ( Enterprice Value during forecast)</t>
  </si>
  <si>
    <t>2. Terminal Value of PV</t>
  </si>
  <si>
    <t>TERMINAL NON PV VALUE</t>
  </si>
  <si>
    <t>(should be between inflation and GDP)</t>
  </si>
  <si>
    <t>Terminal Value</t>
  </si>
  <si>
    <t>Outstanding Shares</t>
  </si>
  <si>
    <t>Sensitivity Analysis</t>
  </si>
  <si>
    <t>Change Share Price</t>
  </si>
  <si>
    <t>WACC - ~1% higher</t>
  </si>
  <si>
    <t xml:space="preserve">cost of equity </t>
  </si>
  <si>
    <t>wacc</t>
  </si>
  <si>
    <t xml:space="preserve">Share Price </t>
  </si>
  <si>
    <t>Activision Blizzard</t>
  </si>
  <si>
    <t xml:space="preserve">millions </t>
  </si>
  <si>
    <t>Revenue Assumptions</t>
  </si>
  <si>
    <t>Gross Revenue</t>
  </si>
  <si>
    <t>000s</t>
  </si>
  <si>
    <t>Gross revenue growth</t>
  </si>
  <si>
    <t>%</t>
  </si>
  <si>
    <t xml:space="preserve">Gross revenue growth( 1% lower) </t>
  </si>
  <si>
    <t>Cost Assumptions - Cost of Sales and Operating Expenses</t>
  </si>
  <si>
    <t>Cost of Sales</t>
  </si>
  <si>
    <t>Cost of sales as % of Gross Revenue</t>
  </si>
  <si>
    <t>Gross Margin (Gross Profit divided by Gross Rev.)</t>
  </si>
  <si>
    <t>Total Operating Expenses</t>
  </si>
  <si>
    <t>Operating Expenses as % of Sales</t>
  </si>
  <si>
    <t>General admin as % of sales</t>
  </si>
  <si>
    <t>Research &amp; Development as % of sales</t>
  </si>
  <si>
    <t>Other Operating Expenses as % of sales</t>
  </si>
  <si>
    <t>Depreciation Assumptions</t>
  </si>
  <si>
    <t>PP&amp;E Schedule</t>
  </si>
  <si>
    <t>Opening Balance</t>
  </si>
  <si>
    <t>CAPEX / Additions to PP&amp;E</t>
  </si>
  <si>
    <t>Depreciation &amp; Amort.</t>
  </si>
  <si>
    <t>Closing PP&amp;E Balance</t>
  </si>
  <si>
    <t>Depreciation as % of previous PP&amp;E</t>
  </si>
  <si>
    <t>Working Capital</t>
  </si>
  <si>
    <t>Current assets - Current liabilities --&gt; Accounts Rec. + Inventory - Accounts Pay.</t>
  </si>
  <si>
    <t>Accounts Receivable</t>
  </si>
  <si>
    <t>Inventory</t>
  </si>
  <si>
    <t>Current Assets</t>
  </si>
  <si>
    <t>Accounts Payable</t>
  </si>
  <si>
    <t>Current Liabilities</t>
  </si>
  <si>
    <t>DSO</t>
  </si>
  <si>
    <t>DSI</t>
  </si>
  <si>
    <t>DPO</t>
  </si>
  <si>
    <t>Net Working Capital</t>
  </si>
  <si>
    <t>Increase in net working capital</t>
  </si>
  <si>
    <t xml:space="preserve">WACC (2020) </t>
  </si>
  <si>
    <t>Cost of Equity</t>
  </si>
  <si>
    <t>E/V</t>
  </si>
  <si>
    <t>Cost of Debt</t>
  </si>
  <si>
    <t>D/V</t>
  </si>
  <si>
    <t>Tax Rate</t>
  </si>
  <si>
    <t>Debt</t>
  </si>
  <si>
    <t>Equity</t>
  </si>
  <si>
    <t>Cost of Equity - CAPM Formula</t>
  </si>
  <si>
    <t>Risk-free rate</t>
  </si>
  <si>
    <t>EMRP</t>
  </si>
  <si>
    <t>Beta</t>
  </si>
  <si>
    <t>Cost of equity</t>
  </si>
  <si>
    <t>Precedent Transaction Analysis</t>
  </si>
  <si>
    <t xml:space="preserve">Year </t>
  </si>
  <si>
    <t>Deal</t>
  </si>
  <si>
    <t>Target</t>
  </si>
  <si>
    <t>Value( $m)</t>
  </si>
  <si>
    <t>EV/ Net Revenue</t>
  </si>
  <si>
    <t>Net Revenue ($m)</t>
  </si>
  <si>
    <t>Zynga</t>
  </si>
  <si>
    <t>Moonton</t>
  </si>
  <si>
    <t>GearBox Software</t>
  </si>
  <si>
    <t>Glu Mobile</t>
  </si>
  <si>
    <t>Leyou</t>
  </si>
  <si>
    <t>Peak</t>
  </si>
  <si>
    <t>ZaniMax</t>
  </si>
  <si>
    <t>Codemaster</t>
  </si>
  <si>
    <t xml:space="preserve">Mean of data set </t>
  </si>
  <si>
    <t>Median of data set</t>
  </si>
  <si>
    <t>Quartile 1</t>
  </si>
  <si>
    <t>Quartile 3</t>
  </si>
  <si>
    <t>Median</t>
  </si>
  <si>
    <t>Activision Blizzard  LTM Revenue ($m)</t>
  </si>
  <si>
    <t>Implied Enterprise Value</t>
  </si>
  <si>
    <t>Implied EV ($m)</t>
  </si>
  <si>
    <t>Net Debt ($m)</t>
  </si>
  <si>
    <t>Equity Value ($m)</t>
  </si>
  <si>
    <t>Share price ($)</t>
  </si>
  <si>
    <t>Outstanding shares ($m)</t>
  </si>
  <si>
    <t>Median +10%</t>
  </si>
  <si>
    <t>Median -10%</t>
  </si>
  <si>
    <t>Share price / Equity Value</t>
  </si>
  <si>
    <t>Low </t>
  </si>
  <si>
    <t>Step</t>
  </si>
  <si>
    <t>High</t>
  </si>
  <si>
    <t>DCF Model</t>
  </si>
  <si>
    <t>Transaction Comparable Multiple</t>
  </si>
  <si>
    <t>Trading Multiples</t>
  </si>
  <si>
    <t>52 week trading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</si>
</sst>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3" formatCode="_(* #,##0.00_);_(* \(#,##0.00\);_(* &quot;-&quot;??_);_(@_)"/>
    <numFmt numFmtId="164" formatCode="0.000"/>
    <numFmt numFmtId="165" formatCode="#,##0.0"/>
  </numFmts>
  <fonts count="24">
    <font>
      <sz val="11"/>
      <color theme="1"/>
      <name val="Aptos Narrow"/>
      <family val="2"/>
      <scheme val="minor"/>
    </font>
    <font>
      <sz val="9"/>
      <color rgb="FF000000"/>
      <name val="Arial"/>
      <family val="2"/>
      <charset val="1"/>
    </font>
    <font>
      <b/>
      <sz val="9"/>
      <color rgb="FFFFFFFF"/>
      <name val="Arial"/>
      <family val="2"/>
      <charset val="1"/>
    </font>
    <font>
      <sz val="9"/>
      <color rgb="FFFFFFFF"/>
      <name val="Arial"/>
      <family val="2"/>
      <charset val="1"/>
    </font>
    <font>
      <b/>
      <sz val="9"/>
      <name val="Arial"/>
      <family val="2"/>
      <charset val="1"/>
    </font>
    <font>
      <b/>
      <sz val="9"/>
      <color rgb="FF000000"/>
      <name val="Arial"/>
      <family val="2"/>
      <charset val="1"/>
    </font>
    <font>
      <b/>
      <i/>
      <sz val="9"/>
      <color rgb="FF000000"/>
      <name val="Arial"/>
      <family val="2"/>
      <charset val="1"/>
    </font>
    <font>
      <i/>
      <sz val="9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rgb="FF333333"/>
      <name val="Univers"/>
      <charset val="1"/>
    </font>
    <font>
      <sz val="12"/>
      <color rgb="FF111827"/>
      <name val="Ui-Sans-Serif"/>
      <charset val="1"/>
    </font>
    <font>
      <b/>
      <sz val="11"/>
      <color theme="1"/>
      <name val="Aptos Narrow"/>
      <family val="2"/>
      <scheme val="minor"/>
    </font>
    <font>
      <sz val="9"/>
      <color rgb="FFFF0000"/>
      <name val="Arial"/>
      <family val="2"/>
      <charset val="1"/>
    </font>
    <font>
      <b/>
      <sz val="11"/>
      <color rgb="FF000000"/>
      <name val="Aptos Display"/>
      <scheme val="major"/>
    </font>
    <font>
      <b/>
      <sz val="11"/>
      <color rgb="FF000000"/>
      <name val="Aptos Narrow"/>
      <scheme val="minor"/>
    </font>
    <font>
      <sz val="9"/>
      <color theme="1"/>
      <name val="Arial"/>
      <family val="2"/>
      <charset val="1"/>
    </font>
    <font>
      <u/>
      <sz val="11"/>
      <color theme="10"/>
      <name val="Aptos Narrow"/>
      <family val="2"/>
      <scheme val="minor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20344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D6D6D6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1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2" fillId="4" borderId="0" xfId="0" applyFont="1" applyFill="1"/>
    <xf numFmtId="15" fontId="3" fillId="2" borderId="0" xfId="0" applyNumberFormat="1" applyFont="1" applyFill="1"/>
    <xf numFmtId="0" fontId="4" fillId="0" borderId="0" xfId="0" applyFont="1"/>
    <xf numFmtId="0" fontId="3" fillId="0" borderId="0" xfId="0" applyFont="1"/>
    <xf numFmtId="0" fontId="1" fillId="0" borderId="0" xfId="0" applyFont="1"/>
    <xf numFmtId="0" fontId="5" fillId="0" borderId="0" xfId="0" applyFont="1"/>
    <xf numFmtId="0" fontId="5" fillId="5" borderId="0" xfId="0" applyFont="1" applyFill="1"/>
    <xf numFmtId="0" fontId="1" fillId="5" borderId="0" xfId="0" applyFont="1" applyFill="1"/>
    <xf numFmtId="0" fontId="1" fillId="0" borderId="1" xfId="0" applyFont="1" applyBorder="1"/>
    <xf numFmtId="3" fontId="1" fillId="0" borderId="0" xfId="0" applyNumberFormat="1" applyFont="1"/>
    <xf numFmtId="0" fontId="1" fillId="6" borderId="0" xfId="0" applyFont="1" applyFill="1"/>
    <xf numFmtId="3" fontId="1" fillId="0" borderId="1" xfId="0" applyNumberFormat="1" applyFont="1" applyBorder="1"/>
    <xf numFmtId="3" fontId="5" fillId="0" borderId="0" xfId="0" applyNumberFormat="1" applyFont="1"/>
    <xf numFmtId="0" fontId="5" fillId="7" borderId="0" xfId="0" applyFont="1" applyFill="1"/>
    <xf numFmtId="0" fontId="1" fillId="4" borderId="0" xfId="0" applyFont="1" applyFill="1"/>
    <xf numFmtId="0" fontId="1" fillId="8" borderId="0" xfId="0" applyFont="1" applyFill="1"/>
    <xf numFmtId="6" fontId="1" fillId="0" borderId="0" xfId="0" applyNumberFormat="1" applyFont="1"/>
    <xf numFmtId="0" fontId="1" fillId="9" borderId="0" xfId="0" applyFont="1" applyFill="1"/>
    <xf numFmtId="3" fontId="1" fillId="9" borderId="0" xfId="0" applyNumberFormat="1" applyFont="1" applyFill="1"/>
    <xf numFmtId="9" fontId="1" fillId="5" borderId="2" xfId="0" applyNumberFormat="1" applyFont="1" applyFill="1" applyBorder="1"/>
    <xf numFmtId="0" fontId="1" fillId="0" borderId="0" xfId="0" quotePrefix="1" applyFont="1"/>
    <xf numFmtId="6" fontId="5" fillId="0" borderId="0" xfId="0" applyNumberFormat="1" applyFont="1"/>
    <xf numFmtId="0" fontId="5" fillId="9" borderId="0" xfId="0" applyFont="1" applyFill="1"/>
    <xf numFmtId="10" fontId="1" fillId="0" borderId="0" xfId="0" applyNumberFormat="1" applyFont="1"/>
    <xf numFmtId="10" fontId="1" fillId="4" borderId="0" xfId="0" applyNumberFormat="1" applyFont="1" applyFill="1"/>
    <xf numFmtId="3" fontId="1" fillId="4" borderId="0" xfId="0" applyNumberFormat="1" applyFont="1" applyFill="1"/>
    <xf numFmtId="0" fontId="5" fillId="4" borderId="0" xfId="0" applyFont="1" applyFill="1"/>
    <xf numFmtId="0" fontId="6" fillId="0" borderId="0" xfId="0" applyFont="1"/>
    <xf numFmtId="0" fontId="7" fillId="0" borderId="0" xfId="0" applyFont="1"/>
    <xf numFmtId="9" fontId="1" fillId="0" borderId="0" xfId="0" applyNumberFormat="1" applyFont="1"/>
    <xf numFmtId="0" fontId="1" fillId="0" borderId="2" xfId="0" applyFont="1" applyBorder="1"/>
    <xf numFmtId="0" fontId="1" fillId="0" borderId="4" xfId="0" applyFont="1" applyBorder="1"/>
    <xf numFmtId="9" fontId="1" fillId="0" borderId="5" xfId="0" applyNumberFormat="1" applyFont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7" borderId="0" xfId="0" applyFont="1" applyFill="1"/>
    <xf numFmtId="0" fontId="11" fillId="0" borderId="0" xfId="0" applyFont="1"/>
    <xf numFmtId="4" fontId="12" fillId="0" borderId="6" xfId="0" applyNumberFormat="1" applyFont="1" applyBorder="1" applyAlignment="1">
      <alignment wrapText="1"/>
    </xf>
    <xf numFmtId="3" fontId="11" fillId="0" borderId="1" xfId="0" applyNumberFormat="1" applyFont="1" applyBorder="1"/>
    <xf numFmtId="0" fontId="11" fillId="0" borderId="1" xfId="0" applyFont="1" applyBorder="1"/>
    <xf numFmtId="3" fontId="11" fillId="0" borderId="0" xfId="0" applyNumberFormat="1" applyFont="1"/>
    <xf numFmtId="3" fontId="0" fillId="0" borderId="0" xfId="0" applyNumberFormat="1"/>
    <xf numFmtId="0" fontId="13" fillId="0" borderId="0" xfId="0" applyFont="1"/>
    <xf numFmtId="10" fontId="0" fillId="0" borderId="0" xfId="0" applyNumberFormat="1"/>
    <xf numFmtId="0" fontId="14" fillId="0" borderId="0" xfId="0" applyFont="1"/>
    <xf numFmtId="0" fontId="15" fillId="0" borderId="0" xfId="0" applyFont="1"/>
    <xf numFmtId="3" fontId="15" fillId="0" borderId="0" xfId="0" applyNumberFormat="1" applyFont="1"/>
    <xf numFmtId="4" fontId="17" fillId="0" borderId="1" xfId="0" applyNumberFormat="1" applyFont="1" applyBorder="1" applyAlignment="1">
      <alignment wrapText="1"/>
    </xf>
    <xf numFmtId="4" fontId="16" fillId="0" borderId="1" xfId="0" applyNumberFormat="1" applyFont="1" applyBorder="1" applyAlignment="1">
      <alignment wrapText="1"/>
    </xf>
    <xf numFmtId="0" fontId="1" fillId="0" borderId="7" xfId="0" applyFont="1" applyBorder="1"/>
    <xf numFmtId="6" fontId="1" fillId="0" borderId="7" xfId="0" applyNumberFormat="1" applyFont="1" applyBorder="1"/>
    <xf numFmtId="43" fontId="12" fillId="0" borderId="6" xfId="0" applyNumberFormat="1" applyFont="1" applyBorder="1" applyAlignment="1">
      <alignment wrapText="1"/>
    </xf>
    <xf numFmtId="43" fontId="0" fillId="0" borderId="0" xfId="0" applyNumberFormat="1"/>
    <xf numFmtId="2" fontId="0" fillId="0" borderId="0" xfId="0" applyNumberFormat="1"/>
    <xf numFmtId="2" fontId="0" fillId="0" borderId="7" xfId="0" applyNumberFormat="1" applyBorder="1"/>
    <xf numFmtId="43" fontId="1" fillId="0" borderId="0" xfId="0" applyNumberFormat="1" applyFont="1"/>
    <xf numFmtId="43" fontId="14" fillId="0" borderId="7" xfId="0" applyNumberFormat="1" applyFont="1" applyBorder="1"/>
    <xf numFmtId="43" fontId="5" fillId="0" borderId="0" xfId="0" applyNumberFormat="1" applyFont="1"/>
    <xf numFmtId="0" fontId="0" fillId="0" borderId="1" xfId="0" applyBorder="1"/>
    <xf numFmtId="3" fontId="0" fillId="0" borderId="1" xfId="0" applyNumberFormat="1" applyBorder="1"/>
    <xf numFmtId="2" fontId="0" fillId="0" borderId="1" xfId="0" applyNumberFormat="1" applyBorder="1"/>
    <xf numFmtId="3" fontId="5" fillId="9" borderId="0" xfId="0" applyNumberFormat="1" applyFont="1" applyFill="1"/>
    <xf numFmtId="2" fontId="1" fillId="0" borderId="0" xfId="0" applyNumberFormat="1" applyFont="1"/>
    <xf numFmtId="0" fontId="1" fillId="11" borderId="0" xfId="0" applyFont="1" applyFill="1"/>
    <xf numFmtId="0" fontId="0" fillId="11" borderId="0" xfId="0" applyFill="1"/>
    <xf numFmtId="0" fontId="10" fillId="11" borderId="0" xfId="0" applyFont="1" applyFill="1"/>
    <xf numFmtId="3" fontId="1" fillId="11" borderId="0" xfId="0" applyNumberFormat="1" applyFont="1" applyFill="1"/>
    <xf numFmtId="0" fontId="5" fillId="11" borderId="0" xfId="0" applyFont="1" applyFill="1"/>
    <xf numFmtId="0" fontId="14" fillId="11" borderId="0" xfId="0" applyFont="1" applyFill="1"/>
    <xf numFmtId="0" fontId="5" fillId="12" borderId="0" xfId="0" applyFont="1" applyFill="1"/>
    <xf numFmtId="43" fontId="10" fillId="0" borderId="0" xfId="0" applyNumberFormat="1" applyFont="1"/>
    <xf numFmtId="0" fontId="11" fillId="10" borderId="0" xfId="0" applyFont="1" applyFill="1"/>
    <xf numFmtId="4" fontId="10" fillId="8" borderId="0" xfId="0" applyNumberFormat="1" applyFont="1" applyFill="1"/>
    <xf numFmtId="0" fontId="18" fillId="8" borderId="0" xfId="0" applyFont="1" applyFill="1"/>
    <xf numFmtId="3" fontId="1" fillId="12" borderId="0" xfId="0" applyNumberFormat="1" applyFont="1" applyFill="1"/>
    <xf numFmtId="0" fontId="1" fillId="12" borderId="0" xfId="0" applyFont="1" applyFill="1"/>
    <xf numFmtId="10" fontId="1" fillId="12" borderId="0" xfId="0" applyNumberFormat="1" applyFont="1" applyFill="1"/>
    <xf numFmtId="0" fontId="1" fillId="0" borderId="8" xfId="0" applyFont="1" applyBorder="1"/>
    <xf numFmtId="0" fontId="1" fillId="0" borderId="9" xfId="0" applyFont="1" applyBorder="1"/>
    <xf numFmtId="9" fontId="1" fillId="0" borderId="10" xfId="0" applyNumberFormat="1" applyFont="1" applyBorder="1"/>
    <xf numFmtId="0" fontId="19" fillId="0" borderId="0" xfId="1"/>
    <xf numFmtId="10" fontId="1" fillId="4" borderId="5" xfId="0" applyNumberFormat="1" applyFont="1" applyFill="1" applyBorder="1"/>
    <xf numFmtId="0" fontId="1" fillId="13" borderId="0" xfId="0" applyFont="1" applyFill="1"/>
    <xf numFmtId="10" fontId="1" fillId="13" borderId="3" xfId="0" applyNumberFormat="1" applyFont="1" applyFill="1" applyBorder="1"/>
    <xf numFmtId="0" fontId="11" fillId="0" borderId="8" xfId="0" applyFont="1" applyBorder="1"/>
    <xf numFmtId="10" fontId="11" fillId="0" borderId="0" xfId="0" applyNumberFormat="1" applyFont="1"/>
    <xf numFmtId="0" fontId="5" fillId="13" borderId="0" xfId="0" applyFont="1" applyFill="1"/>
    <xf numFmtId="164" fontId="1" fillId="0" borderId="0" xfId="0" applyNumberFormat="1" applyFont="1"/>
    <xf numFmtId="0" fontId="11" fillId="12" borderId="0" xfId="0" applyFont="1" applyFill="1"/>
    <xf numFmtId="10" fontId="11" fillId="12" borderId="0" xfId="0" applyNumberFormat="1" applyFont="1" applyFill="1"/>
    <xf numFmtId="10" fontId="5" fillId="0" borderId="0" xfId="0" applyNumberFormat="1" applyFont="1"/>
    <xf numFmtId="0" fontId="20" fillId="0" borderId="0" xfId="0" applyFont="1"/>
    <xf numFmtId="0" fontId="21" fillId="0" borderId="0" xfId="0" applyFont="1"/>
    <xf numFmtId="0" fontId="22" fillId="14" borderId="0" xfId="0" applyFont="1" applyFill="1"/>
    <xf numFmtId="0" fontId="23" fillId="0" borderId="0" xfId="0" applyFont="1"/>
    <xf numFmtId="3" fontId="21" fillId="0" borderId="0" xfId="0" applyNumberFormat="1" applyFont="1"/>
    <xf numFmtId="0" fontId="22" fillId="0" borderId="0" xfId="0" applyFont="1"/>
    <xf numFmtId="0" fontId="23" fillId="0" borderId="0" xfId="0" applyFont="1" applyAlignment="1">
      <alignment horizontal="right"/>
    </xf>
    <xf numFmtId="165" fontId="21" fillId="0" borderId="0" xfId="0" applyNumberFormat="1" applyFont="1"/>
    <xf numFmtId="2" fontId="21" fillId="0" borderId="0" xfId="0" applyNumberFormat="1" applyFont="1"/>
    <xf numFmtId="0" fontId="5" fillId="8" borderId="0" xfId="0" applyFont="1" applyFill="1"/>
    <xf numFmtId="0" fontId="8" fillId="15" borderId="0" xfId="0" applyFont="1" applyFill="1"/>
    <xf numFmtId="164" fontId="1" fillId="15" borderId="0" xfId="0" applyNumberFormat="1" applyFont="1" applyFill="1"/>
    <xf numFmtId="164" fontId="8" fillId="15" borderId="0" xfId="0" applyNumberFormat="1" applyFont="1" applyFill="1"/>
    <xf numFmtId="0" fontId="23" fillId="16" borderId="0" xfId="0" applyFont="1" applyFill="1"/>
    <xf numFmtId="10" fontId="1" fillId="0" borderId="5" xfId="0" applyNumberFormat="1" applyFont="1" applyBorder="1"/>
    <xf numFmtId="0" fontId="5" fillId="5" borderId="0" xfId="0" applyFont="1" applyFill="1" applyAlignment="1"/>
    <xf numFmtId="0" fontId="7" fillId="0" borderId="0" xfId="0" applyFont="1" applyAlignment="1"/>
    <xf numFmtId="0" fontId="8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Final</a:t>
            </a:r>
            <a:r>
              <a:rPr lang="en-GB" baseline="0"/>
              <a:t> Offer</a:t>
            </a:r>
            <a:endParaRPr lang="en-GB"/>
          </a:p>
        </c:rich>
      </c:tx>
      <c:layout>
        <c:manualLayout>
          <c:xMode val="edge"/>
          <c:yMode val="edge"/>
          <c:x val="0.41834256012116133"/>
          <c:y val="2.65339966832504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'FF Field Output'!$B$4:$B$7</c:f>
              <c:strCache>
                <c:ptCount val="4"/>
                <c:pt idx="0">
                  <c:v>DCF Model</c:v>
                </c:pt>
                <c:pt idx="1">
                  <c:v>Transaction Comparable Multiple</c:v>
                </c:pt>
                <c:pt idx="2">
                  <c:v>Trading Multiples</c:v>
                </c:pt>
                <c:pt idx="3">
                  <c:v>52 week trading range</c:v>
                </c:pt>
              </c:strCache>
            </c:strRef>
          </c:cat>
          <c:val>
            <c:numRef>
              <c:f>'FF Field Output'!$C$4:$C$7</c:f>
              <c:numCache>
                <c:formatCode>General</c:formatCode>
                <c:ptCount val="4"/>
                <c:pt idx="0" formatCode="0.000">
                  <c:v>18.606473000000001</c:v>
                </c:pt>
                <c:pt idx="1">
                  <c:v>15.47</c:v>
                </c:pt>
                <c:pt idx="2">
                  <c:v>13.3</c:v>
                </c:pt>
                <c:pt idx="3">
                  <c:v>57.63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31C-2E47-85E1-C2A2A138C40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'FF Field Output'!$B$4:$B$7</c:f>
              <c:strCache>
                <c:ptCount val="4"/>
                <c:pt idx="0">
                  <c:v>DCF Model</c:v>
                </c:pt>
                <c:pt idx="1">
                  <c:v>Transaction Comparable Multiple</c:v>
                </c:pt>
                <c:pt idx="2">
                  <c:v>Trading Multiples</c:v>
                </c:pt>
                <c:pt idx="3">
                  <c:v>52 week trading range</c:v>
                </c:pt>
              </c:strCache>
            </c:strRef>
          </c:cat>
          <c:val>
            <c:numRef>
              <c:f>'FF Field Output'!$D$4:$D$7</c:f>
              <c:numCache>
                <c:formatCode>General</c:formatCode>
                <c:ptCount val="4"/>
                <c:pt idx="0" formatCode="0.000">
                  <c:v>52.690931296016281</c:v>
                </c:pt>
                <c:pt idx="1">
                  <c:v>3.4399999999999995</c:v>
                </c:pt>
                <c:pt idx="2">
                  <c:v>3.3000000000000007</c:v>
                </c:pt>
                <c:pt idx="3">
                  <c:v>38.01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31C-2E47-85E1-C2A2A138C40C}"/>
            </c:ext>
          </c:extLst>
        </c:ser>
        <c:ser>
          <c:idx val="2"/>
          <c:order val="2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'FF Field Output'!$B$4:$B$7</c:f>
              <c:strCache>
                <c:ptCount val="4"/>
                <c:pt idx="0">
                  <c:v>DCF Model</c:v>
                </c:pt>
                <c:pt idx="1">
                  <c:v>Transaction Comparable Multiple</c:v>
                </c:pt>
                <c:pt idx="2">
                  <c:v>Trading Multiples</c:v>
                </c:pt>
                <c:pt idx="3">
                  <c:v>52 week trading range</c:v>
                </c:pt>
              </c:strCache>
            </c:strRef>
          </c:cat>
          <c:val>
            <c:numRef>
              <c:f>'FF Field Output'!$E$4:$E$7</c:f>
              <c:numCache>
                <c:formatCode>General</c:formatCode>
                <c:ptCount val="4"/>
                <c:pt idx="0">
                  <c:v>71.297404296016282</c:v>
                </c:pt>
                <c:pt idx="1">
                  <c:v>18.91</c:v>
                </c:pt>
                <c:pt idx="2">
                  <c:v>16.600000000000001</c:v>
                </c:pt>
                <c:pt idx="3">
                  <c:v>95.64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31C-2E47-85E1-C2A2A138C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3391407"/>
        <c:axId val="1075738784"/>
      </c:barChart>
      <c:catAx>
        <c:axId val="1353391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38784"/>
        <c:crosses val="autoZero"/>
        <c:auto val="1"/>
        <c:lblAlgn val="ctr"/>
        <c:lblOffset val="100"/>
        <c:noMultiLvlLbl val="0"/>
      </c:catAx>
      <c:valAx>
        <c:axId val="107573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39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47072086577413119"/>
          <c:y val="0.90091171439390982"/>
          <c:w val="6.2706867523912519E-3"/>
          <c:h val="2.2803045141745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ustomXml" Target="../ink/ink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120650</xdr:colOff>
      <xdr:row>8</xdr:row>
      <xdr:rowOff>82550</xdr:rowOff>
    </xdr:from>
    <xdr:to>
      <xdr:col>8</xdr:col>
      <xdr:colOff>520700</xdr:colOff>
      <xdr:row>28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5DD258-DE75-0A39-15E9-DF7E75930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2184400</xdr:colOff>
      <xdr:row>11</xdr:row>
      <xdr:rowOff>0</xdr:rowOff>
    </xdr:from>
    <xdr:to>
      <xdr:col>1</xdr:col>
      <xdr:colOff>2184400</xdr:colOff>
      <xdr:row>25</xdr:row>
      <xdr:rowOff>127000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F6356D47-CAED-9BD5-7C59-88D71955F13B}"/>
            </a:ext>
          </a:extLst>
        </xdr:cNvPr>
        <xdr:cNvCxnSpPr/>
      </xdr:nvCxnSpPr>
      <xdr:spPr>
        <a:xfrm>
          <a:off x="2857500" y="2095500"/>
          <a:ext cx="0" cy="2794000"/>
        </a:xfrm>
        <a:prstGeom prst="line">
          <a:avLst/>
        </a:prstGeom>
        <a:ln>
          <a:solidFill>
            <a:schemeClr val="accent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1625600</xdr:colOff>
      <xdr:row>8</xdr:row>
      <xdr:rowOff>165100</xdr:rowOff>
    </xdr:from>
    <xdr:to>
      <xdr:col>2</xdr:col>
      <xdr:colOff>292100</xdr:colOff>
      <xdr:row>10</xdr:row>
      <xdr:rowOff>139700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5935990-E543-0AA8-4277-7DAC349DF64B}"/>
            </a:ext>
          </a:extLst>
        </xdr:cNvPr>
        <xdr:cNvSpPr txBox="1"/>
      </xdr:nvSpPr>
      <xdr:spPr>
        <a:xfrm>
          <a:off x="2298700" y="1689100"/>
          <a:ext cx="1028700" cy="355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/>
            <a:t>Initial offer</a:t>
          </a:r>
        </a:p>
        <a:p>
          <a:endParaRPr lang="en-GB" sz="1400"/>
        </a:p>
      </xdr:txBody>
    </xdr:sp>
    <xdr:clientData/>
  </xdr:twoCellAnchor>
  <xdr:twoCellAnchor editAs="oneCell">
    <xdr:from>
      <xdr:col>2</xdr:col>
      <xdr:colOff>523300</xdr:colOff>
      <xdr:row>9</xdr:row>
      <xdr:rowOff>55980</xdr:rowOff>
    </xdr:from>
    <xdr:to>
      <xdr:col>2</xdr:col>
      <xdr:colOff>523660</xdr:colOff>
      <xdr:row>9</xdr:row>
      <xdr:rowOff>56340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B4193744-CCC7-6F3E-6C67-25288BEEE520}"/>
                </a:ext>
              </a:extLst>
            </xdr14:cNvPr>
            <xdr14:cNvContentPartPr/>
          </xdr14:nvContentPartPr>
          <xdr14:nvPr macro=""/>
          <xdr14:xfrm>
            <a:off x="3558600" y="1770480"/>
            <a:ext cx="360" cy="3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B4193744-CCC7-6F3E-6C67-25288BEEE52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552480" y="176436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114300</xdr:colOff>
      <xdr:row>10</xdr:row>
      <xdr:rowOff>139700</xdr:rowOff>
    </xdr:from>
    <xdr:to>
      <xdr:col>3</xdr:col>
      <xdr:colOff>139700</xdr:colOff>
      <xdr:row>25</xdr:row>
      <xdr:rowOff>63500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A913FC63-8E80-D4F0-D64B-AAA7D036F7E7}"/>
            </a:ext>
          </a:extLst>
        </xdr:cNvPr>
        <xdr:cNvCxnSpPr/>
      </xdr:nvCxnSpPr>
      <xdr:spPr>
        <a:xfrm>
          <a:off x="3822700" y="2044700"/>
          <a:ext cx="25400" cy="2781300"/>
        </a:xfrm>
        <a:prstGeom prst="line">
          <a:avLst/>
        </a:prstGeom>
        <a:ln>
          <a:solidFill>
            <a:schemeClr val="accent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0.39122</cdr:x>
      <cdr:y>0.90381</cdr:y>
    </cdr:from>
    <cdr:to>
      <cdr:x>0.80766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3DD04DA-6707-CF87-CE88-DE3F61B66E2F}"/>
            </a:ext>
          </a:extLst>
        </cdr:cNvPr>
        <cdr:cNvSpPr txBox="1"/>
      </cdr:nvSpPr>
      <cdr:spPr>
        <a:xfrm xmlns:a="http://schemas.openxmlformats.org/drawingml/2006/main">
          <a:off x="2660650" y="3460750"/>
          <a:ext cx="28321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Share</a:t>
          </a:r>
          <a:r>
            <a:rPr lang="en-GB" sz="1100" baseline="0"/>
            <a:t> Price of Activision Blizzard </a:t>
          </a:r>
        </a:p>
        <a:p xmlns:a="http://schemas.openxmlformats.org/drawingml/2006/main">
          <a:endParaRPr lang="en-GB" sz="1100"/>
        </a:p>
      </cdr:txBody>
    </cdr:sp>
  </cdr:relSizeAnchor>
</c:userShapes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26T10:28:53.91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0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ED580-FD1E-49B6-BD11-0679BC761B7F}">
  <dimension ref="A1:R492"/>
  <sheetViews>
    <sheetView topLeftCell="A101" workbookViewId="0">
      <selection activeCell="C105" sqref="C105"/>
    </sheetView>
  </sheetViews>
  <sheetFormatPr defaultColWidth="8.85546875" defaultRowHeight="15"/>
  <cols>
    <col min="2" max="2" width="41.7109375" bestFit="1" customWidth="1"/>
    <col min="7" max="7" width="10.7109375" bestFit="1" customWidth="1"/>
    <col min="8" max="8" width="11.140625" bestFit="1" customWidth="1"/>
  </cols>
  <sheetData>
    <row r="1" spans="1:18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</row>
    <row r="2" spans="1:18">
      <c r="A2" s="1" t="s">
        <v>0</v>
      </c>
      <c r="B2" s="2" t="s">
        <v>1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  <c r="M2" s="3" t="s">
        <v>0</v>
      </c>
      <c r="N2" s="3" t="s">
        <v>0</v>
      </c>
      <c r="O2" s="3" t="s">
        <v>0</v>
      </c>
      <c r="P2" s="3" t="s">
        <v>0</v>
      </c>
      <c r="Q2" s="3" t="s">
        <v>0</v>
      </c>
      <c r="R2" s="3" t="s">
        <v>0</v>
      </c>
    </row>
    <row r="3" spans="1:18">
      <c r="A3" s="1" t="s">
        <v>0</v>
      </c>
      <c r="B3" s="2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4" t="s">
        <v>2</v>
      </c>
      <c r="H3" s="4" t="s">
        <v>0</v>
      </c>
      <c r="I3" s="5" t="s">
        <v>3</v>
      </c>
      <c r="J3" s="6" t="s">
        <v>0</v>
      </c>
      <c r="K3" s="6" t="s">
        <v>0</v>
      </c>
      <c r="L3" s="6" t="s">
        <v>0</v>
      </c>
      <c r="M3" s="6" t="s">
        <v>0</v>
      </c>
      <c r="N3" s="6" t="s">
        <v>0</v>
      </c>
      <c r="O3" s="6" t="s">
        <v>0</v>
      </c>
      <c r="P3" s="6" t="s">
        <v>0</v>
      </c>
      <c r="Q3" s="6" t="s">
        <v>0</v>
      </c>
      <c r="R3" s="6" t="s">
        <v>0</v>
      </c>
    </row>
    <row r="4" spans="1:18">
      <c r="A4" s="1" t="s">
        <v>0</v>
      </c>
      <c r="B4" s="2" t="s">
        <v>4</v>
      </c>
      <c r="C4" s="3" t="s">
        <v>0</v>
      </c>
      <c r="D4" s="3" t="s">
        <v>0</v>
      </c>
      <c r="E4" s="3" t="s">
        <v>0</v>
      </c>
      <c r="F4" s="3" t="s">
        <v>0</v>
      </c>
      <c r="G4" s="7">
        <v>43466</v>
      </c>
      <c r="H4" s="7">
        <v>43831</v>
      </c>
      <c r="I4" s="7">
        <v>44197</v>
      </c>
      <c r="J4" s="7">
        <v>44562</v>
      </c>
      <c r="K4" s="7">
        <v>44927</v>
      </c>
      <c r="L4" s="7">
        <v>45292</v>
      </c>
      <c r="M4" s="7">
        <v>45658</v>
      </c>
      <c r="N4" s="7">
        <v>46023</v>
      </c>
      <c r="O4" s="7">
        <v>46388</v>
      </c>
      <c r="P4" s="7">
        <v>46753</v>
      </c>
      <c r="Q4" s="7">
        <v>47119</v>
      </c>
      <c r="R4" s="7">
        <v>10959</v>
      </c>
    </row>
    <row r="5" spans="1:18">
      <c r="A5" s="1" t="s">
        <v>0</v>
      </c>
      <c r="B5" s="2" t="s">
        <v>5</v>
      </c>
      <c r="C5" s="3" t="s">
        <v>0</v>
      </c>
      <c r="D5" s="3" t="s">
        <v>0</v>
      </c>
      <c r="E5" s="3" t="s">
        <v>0</v>
      </c>
      <c r="F5" s="3" t="s">
        <v>0</v>
      </c>
      <c r="G5" s="7">
        <v>43830</v>
      </c>
      <c r="H5" s="7">
        <v>44196</v>
      </c>
      <c r="I5" s="7">
        <v>44561</v>
      </c>
      <c r="J5" s="7">
        <v>45291</v>
      </c>
      <c r="K5" s="7">
        <v>45657</v>
      </c>
      <c r="L5" s="7">
        <v>46022</v>
      </c>
      <c r="M5" s="7">
        <v>46387</v>
      </c>
      <c r="N5" s="7">
        <v>46752</v>
      </c>
      <c r="O5" s="7">
        <v>47118</v>
      </c>
      <c r="P5" s="7">
        <v>47483</v>
      </c>
      <c r="Q5" s="7">
        <v>11323</v>
      </c>
      <c r="R5" s="7">
        <v>11688</v>
      </c>
    </row>
    <row r="6" spans="1:18">
      <c r="A6" s="1" t="s">
        <v>0</v>
      </c>
      <c r="B6" s="2" t="s">
        <v>6</v>
      </c>
      <c r="C6" s="3" t="s">
        <v>0</v>
      </c>
      <c r="D6" s="3" t="s">
        <v>0</v>
      </c>
      <c r="E6" s="3" t="s">
        <v>0</v>
      </c>
      <c r="F6" s="3" t="s">
        <v>0</v>
      </c>
      <c r="G6" s="3">
        <v>2019</v>
      </c>
      <c r="H6" s="3">
        <v>2020</v>
      </c>
      <c r="I6" s="3">
        <v>2021</v>
      </c>
      <c r="J6" s="3">
        <v>2022</v>
      </c>
      <c r="K6" s="3">
        <v>2023</v>
      </c>
      <c r="L6" s="3">
        <v>2024</v>
      </c>
      <c r="M6" s="3">
        <v>2025</v>
      </c>
      <c r="N6" s="3">
        <v>2026</v>
      </c>
      <c r="O6" s="3">
        <v>2027</v>
      </c>
      <c r="P6" s="3">
        <v>2028</v>
      </c>
      <c r="Q6" s="3">
        <v>2029</v>
      </c>
      <c r="R6" s="3">
        <v>2030</v>
      </c>
    </row>
    <row r="7" spans="1:18">
      <c r="A7" s="10"/>
      <c r="B7" s="8" t="s">
        <v>7</v>
      </c>
      <c r="C7" s="8" t="s">
        <v>8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>
      <c r="A8" s="10"/>
      <c r="B8" s="10"/>
      <c r="C8" s="10"/>
      <c r="D8" s="10"/>
      <c r="E8" s="10"/>
      <c r="F8" s="10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0"/>
    </row>
    <row r="9" spans="1:18">
      <c r="A9" s="10"/>
      <c r="B9" s="10"/>
      <c r="C9" s="10"/>
      <c r="D9" s="11"/>
      <c r="E9" s="11"/>
      <c r="F9" s="11"/>
      <c r="G9" s="11"/>
      <c r="H9" s="11"/>
      <c r="I9" s="11"/>
      <c r="J9" s="11"/>
      <c r="K9" s="11"/>
      <c r="L9" s="11"/>
      <c r="M9" s="11"/>
      <c r="N9" s="10"/>
      <c r="O9" s="10"/>
      <c r="P9" s="10"/>
      <c r="Q9" s="10"/>
      <c r="R9" s="10"/>
    </row>
    <row r="10" spans="1:18">
      <c r="A10" s="12" t="s">
        <v>9</v>
      </c>
      <c r="B10" s="12" t="s">
        <v>10</v>
      </c>
      <c r="C10" s="13" t="s">
        <v>0</v>
      </c>
      <c r="D10" s="12" t="s">
        <v>0</v>
      </c>
      <c r="E10" s="12" t="s">
        <v>0</v>
      </c>
      <c r="F10" s="12" t="s">
        <v>0</v>
      </c>
      <c r="G10" s="12" t="s">
        <v>0</v>
      </c>
      <c r="H10" s="12" t="s">
        <v>0</v>
      </c>
      <c r="I10" s="12" t="s">
        <v>0</v>
      </c>
      <c r="J10" s="12" t="s">
        <v>0</v>
      </c>
      <c r="K10" s="12" t="s">
        <v>0</v>
      </c>
      <c r="L10" s="12" t="s">
        <v>0</v>
      </c>
      <c r="M10" s="12" t="s">
        <v>0</v>
      </c>
      <c r="N10" s="12" t="s">
        <v>0</v>
      </c>
      <c r="O10" s="12" t="s">
        <v>0</v>
      </c>
      <c r="P10" s="12" t="s">
        <v>0</v>
      </c>
      <c r="Q10" s="12" t="s">
        <v>0</v>
      </c>
      <c r="R10" s="12" t="s">
        <v>0</v>
      </c>
    </row>
    <row r="11" spans="1:18">
      <c r="A11" s="10"/>
      <c r="B11" s="10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0"/>
      <c r="O11" s="10"/>
      <c r="P11" s="10"/>
      <c r="Q11" s="10"/>
      <c r="R11" s="10"/>
    </row>
    <row r="12" spans="1:18">
      <c r="A12" s="10"/>
      <c r="B12" s="51" t="s">
        <v>11</v>
      </c>
      <c r="D12" s="11"/>
      <c r="E12" s="11"/>
      <c r="F12" s="11"/>
      <c r="G12" s="51">
        <v>6489</v>
      </c>
      <c r="H12" s="51">
        <v>8086</v>
      </c>
      <c r="I12" s="11"/>
      <c r="J12" s="10"/>
      <c r="K12" s="11"/>
      <c r="L12" s="11"/>
      <c r="M12" s="11"/>
      <c r="N12" s="10"/>
      <c r="O12" s="10"/>
      <c r="P12" s="10"/>
      <c r="Q12" s="10"/>
      <c r="R12" s="10"/>
    </row>
    <row r="13" spans="1:18">
      <c r="A13" s="10"/>
      <c r="B13" t="s">
        <v>12</v>
      </c>
      <c r="D13" s="11"/>
      <c r="E13" s="11"/>
      <c r="F13" s="11"/>
      <c r="G13">
        <v>2094</v>
      </c>
      <c r="H13">
        <v>2260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18">
      <c r="A14" s="10"/>
      <c r="B14" s="51" t="s">
        <v>13</v>
      </c>
      <c r="D14" s="11"/>
      <c r="E14" s="11"/>
      <c r="F14" s="10"/>
      <c r="G14" s="51">
        <v>4395</v>
      </c>
      <c r="H14" s="51">
        <v>5826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>
      <c r="A15" s="11"/>
      <c r="D15" s="11"/>
      <c r="E15" s="11"/>
      <c r="F15" s="11"/>
      <c r="I15" s="11"/>
      <c r="J15" s="11"/>
      <c r="K15" s="11"/>
      <c r="L15" s="11"/>
      <c r="M15" s="11"/>
      <c r="N15" s="11"/>
      <c r="O15" s="11"/>
      <c r="P15" s="11"/>
      <c r="Q15" s="11"/>
      <c r="R15" s="11"/>
    </row>
    <row r="16" spans="1:18">
      <c r="A16" s="10"/>
      <c r="D16" s="11"/>
      <c r="E16" s="11"/>
      <c r="F16" s="11"/>
      <c r="I16" s="11"/>
      <c r="J16" s="11"/>
      <c r="K16" s="11"/>
      <c r="L16" s="11"/>
      <c r="M16" s="11"/>
      <c r="N16" s="10"/>
      <c r="O16" s="10"/>
      <c r="P16" s="10"/>
      <c r="Q16" s="10"/>
      <c r="R16" s="10"/>
    </row>
    <row r="17" spans="1:18">
      <c r="A17" s="10"/>
      <c r="B17" t="s">
        <v>14</v>
      </c>
      <c r="D17" s="41"/>
      <c r="E17" s="41"/>
      <c r="F17" s="41"/>
      <c r="G17">
        <v>1633</v>
      </c>
      <c r="H17">
        <v>2616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</row>
    <row r="18" spans="1:18">
      <c r="A18" s="10"/>
      <c r="B18" t="s">
        <v>15</v>
      </c>
      <c r="G18">
        <v>130</v>
      </c>
      <c r="H18">
        <v>419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>
      <c r="A19" s="10"/>
      <c r="B19" s="51" t="s">
        <v>16</v>
      </c>
      <c r="G19" s="51">
        <v>1503</v>
      </c>
      <c r="H19" s="51">
        <v>2197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</row>
    <row r="20" spans="1:18" ht="15.95">
      <c r="A20" s="10"/>
      <c r="B20" s="4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1:18" ht="15.95">
      <c r="A21" s="16" t="s">
        <v>0</v>
      </c>
      <c r="B21" s="49"/>
      <c r="C21" s="10"/>
      <c r="D21" s="11"/>
      <c r="E21" s="11"/>
      <c r="F21" s="11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</row>
    <row r="22" spans="1:18">
      <c r="A22" s="10"/>
      <c r="B22" s="10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pans="1:18">
      <c r="A23" s="11"/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 spans="1:18">
      <c r="A24" s="10"/>
      <c r="B24" s="10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>
      <c r="A25" s="16" t="s">
        <v>0</v>
      </c>
      <c r="B25" t="s">
        <v>17</v>
      </c>
      <c r="C25" s="10"/>
      <c r="D25" s="11"/>
      <c r="E25" s="11"/>
      <c r="F25" s="11"/>
      <c r="H25">
        <v>1848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</row>
    <row r="26" spans="1:18">
      <c r="A26" s="16" t="s">
        <v>0</v>
      </c>
      <c r="B26" t="s">
        <v>18</v>
      </c>
      <c r="C26" s="10"/>
      <c r="D26" s="11"/>
      <c r="E26" s="11"/>
      <c r="F26" s="11"/>
      <c r="G26">
        <v>998</v>
      </c>
      <c r="H26">
        <v>1150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</row>
    <row r="27" spans="1:18">
      <c r="A27" s="16" t="s">
        <v>0</v>
      </c>
      <c r="B27" t="s">
        <v>19</v>
      </c>
      <c r="C27" s="10"/>
      <c r="D27" s="11"/>
      <c r="E27" s="11"/>
      <c r="F27" s="11"/>
      <c r="G27">
        <v>132</v>
      </c>
      <c r="H27">
        <v>94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</row>
    <row r="28" spans="1:18">
      <c r="A28" s="16" t="s">
        <v>0</v>
      </c>
      <c r="C28" s="10"/>
      <c r="D28" s="11"/>
      <c r="E28" s="11"/>
      <c r="F28" s="11"/>
      <c r="G28" s="45"/>
      <c r="H28" s="45"/>
      <c r="I28" s="17"/>
      <c r="J28" s="17"/>
      <c r="K28" s="17"/>
      <c r="L28" s="17"/>
      <c r="M28" s="17"/>
      <c r="N28" s="17"/>
      <c r="O28" s="17"/>
      <c r="P28" s="17"/>
      <c r="Q28" s="17"/>
      <c r="R28" s="17"/>
    </row>
    <row r="29" spans="1:18">
      <c r="A29" s="10"/>
      <c r="B29" s="51" t="s">
        <v>20</v>
      </c>
      <c r="D29" s="11"/>
      <c r="E29" s="11"/>
      <c r="F29" s="11"/>
      <c r="G29" s="51">
        <v>2788</v>
      </c>
      <c r="H29" s="51">
        <v>3092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</row>
    <row r="30" spans="1:18">
      <c r="A30" s="10"/>
      <c r="B30" s="51" t="s">
        <v>21</v>
      </c>
      <c r="D30" s="11"/>
      <c r="E30" s="11"/>
      <c r="F30" s="11"/>
      <c r="G30" s="51">
        <v>1607</v>
      </c>
      <c r="H30" s="51">
        <v>2734</v>
      </c>
      <c r="I30" s="11"/>
      <c r="J30" s="11"/>
      <c r="K30" s="11"/>
      <c r="L30" s="11"/>
      <c r="M30" s="11"/>
      <c r="N30" s="10"/>
      <c r="O30" s="10"/>
      <c r="P30" s="10"/>
      <c r="Q30" s="10"/>
      <c r="R30" s="10"/>
    </row>
    <row r="31" spans="1:18">
      <c r="A31" s="11"/>
      <c r="C31" s="11"/>
      <c r="D31" s="11"/>
      <c r="E31" s="11"/>
      <c r="F31" s="11"/>
      <c r="G31" s="18"/>
      <c r="H31" s="11"/>
      <c r="I31" s="15"/>
      <c r="J31" s="15"/>
      <c r="K31" s="15"/>
      <c r="L31" s="15"/>
      <c r="M31" s="15"/>
      <c r="N31" s="15"/>
      <c r="O31" s="15"/>
      <c r="P31" s="15"/>
      <c r="Q31" s="15"/>
      <c r="R31" s="15"/>
    </row>
    <row r="32" spans="1:18">
      <c r="A32" s="10"/>
      <c r="B32" s="11" t="s">
        <v>22</v>
      </c>
      <c r="C32" s="10"/>
      <c r="D32" s="11"/>
      <c r="E32" s="11"/>
      <c r="F32" s="11"/>
      <c r="G32">
        <v>1999</v>
      </c>
      <c r="H32">
        <v>3226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</row>
    <row r="33" spans="1:18">
      <c r="A33" s="10"/>
      <c r="B33" s="10" t="s">
        <v>23</v>
      </c>
      <c r="C33" s="10"/>
      <c r="D33" s="11"/>
      <c r="E33" s="11"/>
      <c r="F33" s="11"/>
      <c r="G33">
        <v>392</v>
      </c>
      <c r="H33">
        <v>511</v>
      </c>
      <c r="I33" s="18"/>
      <c r="J33" s="18"/>
      <c r="K33" s="18"/>
      <c r="L33" s="18"/>
      <c r="M33" s="18"/>
      <c r="N33" s="18"/>
      <c r="O33" s="18"/>
      <c r="P33" s="18"/>
      <c r="Q33" s="18"/>
      <c r="R33" s="18"/>
    </row>
    <row r="34" spans="1:18">
      <c r="A34" s="10"/>
      <c r="B34" s="10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</row>
    <row r="35" spans="1:18">
      <c r="A35" s="11"/>
      <c r="B35" s="11" t="s">
        <v>24</v>
      </c>
      <c r="C35" s="11"/>
      <c r="D35" s="11"/>
      <c r="E35" s="11"/>
      <c r="F35" s="11"/>
      <c r="G35" s="51">
        <v>1607</v>
      </c>
      <c r="H35" s="51">
        <v>2715</v>
      </c>
      <c r="I35" s="18"/>
      <c r="J35" s="11"/>
      <c r="K35" s="11"/>
      <c r="L35" s="18"/>
      <c r="M35" s="18"/>
      <c r="N35" s="18"/>
      <c r="O35" s="18"/>
      <c r="P35" s="18"/>
      <c r="Q35" s="18"/>
      <c r="R35" s="18"/>
    </row>
    <row r="36" spans="1:18">
      <c r="A36" s="10"/>
      <c r="B36" s="10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0"/>
      <c r="O36" s="10"/>
      <c r="P36" s="10"/>
      <c r="Q36" s="10"/>
      <c r="R36" s="10"/>
    </row>
    <row r="37" spans="1:18">
      <c r="A37" s="10"/>
      <c r="B37" s="10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0"/>
      <c r="O37" s="10"/>
      <c r="P37" s="10"/>
      <c r="Q37" s="10"/>
      <c r="R37" s="10"/>
    </row>
    <row r="38" spans="1:18">
      <c r="A38" s="12" t="s">
        <v>9</v>
      </c>
      <c r="B38" s="12" t="s">
        <v>25</v>
      </c>
      <c r="C38" s="13" t="s">
        <v>0</v>
      </c>
      <c r="D38" s="12" t="s">
        <v>0</v>
      </c>
      <c r="E38" s="12" t="s">
        <v>0</v>
      </c>
      <c r="F38" s="12" t="s">
        <v>0</v>
      </c>
      <c r="G38" s="12" t="s">
        <v>0</v>
      </c>
      <c r="H38" s="12" t="s">
        <v>0</v>
      </c>
      <c r="I38" s="12" t="s">
        <v>0</v>
      </c>
      <c r="J38" s="12" t="s">
        <v>0</v>
      </c>
      <c r="K38" s="12" t="s">
        <v>0</v>
      </c>
      <c r="L38" s="12" t="s">
        <v>0</v>
      </c>
      <c r="M38" s="12" t="s">
        <v>0</v>
      </c>
      <c r="N38" s="12" t="s">
        <v>0</v>
      </c>
      <c r="O38" s="12" t="s">
        <v>0</v>
      </c>
      <c r="P38" s="12" t="s">
        <v>0</v>
      </c>
      <c r="Q38" s="12" t="s">
        <v>0</v>
      </c>
      <c r="R38" s="12" t="s">
        <v>0</v>
      </c>
    </row>
    <row r="39" spans="1:18">
      <c r="A39" s="10"/>
      <c r="B39" s="10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0"/>
      <c r="O39" s="10"/>
      <c r="P39" s="10"/>
      <c r="Q39" s="10"/>
      <c r="R39" s="10"/>
    </row>
    <row r="40" spans="1:18">
      <c r="A40" s="10"/>
      <c r="B40" s="19" t="s">
        <v>26</v>
      </c>
      <c r="C40" s="10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0"/>
      <c r="O40" s="10"/>
      <c r="P40" s="10"/>
      <c r="Q40" s="10"/>
      <c r="R40" s="10"/>
    </row>
    <row r="41" spans="1:18">
      <c r="A41" s="10"/>
      <c r="B41" s="10"/>
      <c r="C41" s="10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0"/>
      <c r="O41" s="10"/>
      <c r="P41" s="10"/>
      <c r="Q41" s="10"/>
      <c r="R41" s="10"/>
    </row>
    <row r="42" spans="1:18">
      <c r="A42" s="20" t="s">
        <v>0</v>
      </c>
      <c r="B42" s="10" t="s">
        <v>27</v>
      </c>
      <c r="C42" s="10"/>
      <c r="D42" s="11"/>
      <c r="E42" s="11"/>
      <c r="F42" s="11"/>
      <c r="G42" s="15">
        <v>5794</v>
      </c>
      <c r="H42" s="10">
        <v>8647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1:18">
      <c r="A43" s="21" t="s">
        <v>0</v>
      </c>
      <c r="B43" s="10" t="s">
        <v>28</v>
      </c>
      <c r="C43" s="10"/>
      <c r="D43" s="11"/>
      <c r="E43" s="11"/>
      <c r="F43" s="11"/>
      <c r="G43" s="10">
        <v>848</v>
      </c>
      <c r="H43" s="10">
        <v>1052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>
      <c r="A44" s="21" t="s">
        <v>0</v>
      </c>
      <c r="B44" s="10" t="s">
        <v>29</v>
      </c>
      <c r="C44" s="10"/>
      <c r="D44" s="11"/>
      <c r="E44" s="11"/>
      <c r="F44" s="11"/>
      <c r="G44" s="10">
        <v>322</v>
      </c>
      <c r="H44" s="10">
        <v>352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1:18">
      <c r="A45" s="10"/>
      <c r="B45" s="10" t="s">
        <v>30</v>
      </c>
      <c r="C45" s="10"/>
      <c r="D45" s="11"/>
      <c r="E45" s="11"/>
      <c r="F45" s="11"/>
      <c r="G45" s="14">
        <v>328</v>
      </c>
      <c r="H45" s="14">
        <v>514</v>
      </c>
      <c r="I45" s="14" t="s">
        <v>0</v>
      </c>
      <c r="J45" s="14" t="s">
        <v>0</v>
      </c>
      <c r="K45" s="14" t="s">
        <v>0</v>
      </c>
      <c r="L45" s="14" t="s">
        <v>0</v>
      </c>
      <c r="M45" s="14" t="s">
        <v>0</v>
      </c>
      <c r="N45" s="14" t="s">
        <v>0</v>
      </c>
      <c r="O45" s="14" t="s">
        <v>0</v>
      </c>
      <c r="P45" s="14" t="s">
        <v>0</v>
      </c>
      <c r="Q45" s="14" t="s">
        <v>0</v>
      </c>
      <c r="R45" s="14" t="s">
        <v>0</v>
      </c>
    </row>
    <row r="46" spans="1:18">
      <c r="A46" s="10"/>
      <c r="B46" s="11" t="s">
        <v>31</v>
      </c>
      <c r="C46" s="10"/>
      <c r="D46" s="11"/>
      <c r="E46" s="11"/>
      <c r="F46" s="11"/>
      <c r="G46" s="11">
        <f>SUM(G42:G45)</f>
        <v>7292</v>
      </c>
      <c r="H46" s="11">
        <f>SUM(H42:H45)</f>
        <v>10565</v>
      </c>
      <c r="I46" s="11" t="s">
        <v>32</v>
      </c>
      <c r="J46" s="11" t="s">
        <v>32</v>
      </c>
      <c r="K46" s="11" t="s">
        <v>32</v>
      </c>
      <c r="L46" s="11" t="s">
        <v>32</v>
      </c>
      <c r="M46" s="11" t="s">
        <v>32</v>
      </c>
      <c r="N46" s="10"/>
      <c r="O46" s="10"/>
      <c r="P46" s="10"/>
      <c r="Q46" s="10"/>
      <c r="R46" s="10"/>
    </row>
    <row r="47" spans="1:18">
      <c r="A47" s="10"/>
      <c r="B47" s="10" t="s">
        <v>33</v>
      </c>
      <c r="C47" s="10"/>
      <c r="D47" s="11"/>
      <c r="E47" s="11"/>
      <c r="F47" s="11"/>
      <c r="G47" s="10">
        <v>1293</v>
      </c>
      <c r="H47" s="10">
        <v>1318</v>
      </c>
      <c r="I47" s="10"/>
      <c r="K47" s="10"/>
      <c r="L47" s="10"/>
      <c r="M47" s="10"/>
      <c r="N47" s="10"/>
      <c r="O47" s="10"/>
      <c r="P47" s="10"/>
      <c r="Q47" s="10"/>
      <c r="R47" s="10"/>
    </row>
    <row r="48" spans="1:18">
      <c r="A48" s="10"/>
      <c r="B48" s="10" t="s">
        <v>34</v>
      </c>
      <c r="C48" s="10"/>
      <c r="D48" s="11"/>
      <c r="E48" s="11"/>
      <c r="F48" s="11"/>
      <c r="G48" s="10">
        <v>54</v>
      </c>
      <c r="H48" s="10">
        <v>160</v>
      </c>
      <c r="I48" s="10"/>
      <c r="K48" s="10"/>
      <c r="L48" s="10"/>
      <c r="M48" s="10"/>
      <c r="N48" s="10"/>
      <c r="O48" s="10"/>
      <c r="P48" s="10"/>
      <c r="Q48" s="10"/>
      <c r="R48" s="10"/>
    </row>
    <row r="49" spans="1:18">
      <c r="A49" s="10"/>
      <c r="B49" s="10" t="s">
        <v>35</v>
      </c>
      <c r="C49" s="10"/>
      <c r="D49" s="11"/>
      <c r="E49" s="11"/>
      <c r="F49" s="11"/>
      <c r="G49" s="14">
        <v>253</v>
      </c>
      <c r="H49" s="14">
        <v>209</v>
      </c>
      <c r="I49" s="14" t="s">
        <v>0</v>
      </c>
      <c r="K49" s="14" t="s">
        <v>0</v>
      </c>
      <c r="L49" s="14" t="s">
        <v>0</v>
      </c>
      <c r="M49" s="14" t="s">
        <v>0</v>
      </c>
      <c r="N49" s="10"/>
      <c r="O49" s="10"/>
      <c r="P49" s="10"/>
      <c r="Q49" s="10"/>
      <c r="R49" s="10"/>
    </row>
    <row r="50" spans="1:18">
      <c r="A50" s="10"/>
      <c r="B50" s="10" t="s">
        <v>36</v>
      </c>
      <c r="C50" s="10"/>
      <c r="D50" s="10"/>
      <c r="E50" s="10"/>
      <c r="F50" s="10"/>
      <c r="G50" s="10">
        <f>658+531</f>
        <v>1189</v>
      </c>
      <c r="H50" s="10">
        <f>641+451</f>
        <v>1092</v>
      </c>
      <c r="I50" s="11"/>
      <c r="K50" s="11"/>
      <c r="L50" s="11"/>
      <c r="M50" s="11"/>
      <c r="N50" s="10"/>
      <c r="O50" s="10"/>
      <c r="P50" s="10"/>
      <c r="Q50" s="10"/>
      <c r="R50" s="10"/>
    </row>
    <row r="51" spans="1:18">
      <c r="A51" s="10"/>
      <c r="B51" s="10" t="s">
        <v>37</v>
      </c>
      <c r="C51" s="10"/>
      <c r="D51" s="11"/>
      <c r="E51" s="11"/>
      <c r="F51" s="11"/>
      <c r="G51" s="10">
        <v>9764</v>
      </c>
      <c r="H51" s="10">
        <v>9765</v>
      </c>
      <c r="I51" s="10"/>
      <c r="K51" s="10"/>
      <c r="L51" s="10"/>
      <c r="M51" s="10"/>
      <c r="N51" s="10"/>
      <c r="O51" s="10"/>
      <c r="P51" s="10"/>
      <c r="Q51" s="10"/>
      <c r="R51" s="10"/>
    </row>
    <row r="52" spans="1:18">
      <c r="A52" s="10"/>
      <c r="B52" s="11" t="s">
        <v>38</v>
      </c>
      <c r="C52" s="10"/>
      <c r="D52" s="11"/>
      <c r="E52" s="11"/>
      <c r="F52" s="11"/>
      <c r="G52" s="18">
        <f>SUM(G46:G51)</f>
        <v>19845</v>
      </c>
      <c r="H52" s="11">
        <f>SUM(H46:H51)</f>
        <v>23109</v>
      </c>
      <c r="I52" s="11" t="s">
        <v>32</v>
      </c>
      <c r="J52" s="11" t="s">
        <v>32</v>
      </c>
      <c r="K52" s="11" t="s">
        <v>32</v>
      </c>
      <c r="L52" s="11" t="s">
        <v>32</v>
      </c>
      <c r="M52" s="11" t="s">
        <v>32</v>
      </c>
      <c r="N52" s="10"/>
      <c r="O52" s="10"/>
      <c r="P52" s="10"/>
      <c r="Q52" s="10"/>
      <c r="R52" s="10"/>
    </row>
    <row r="53" spans="1:18">
      <c r="A53" s="10"/>
      <c r="B53" s="42" t="s">
        <v>39</v>
      </c>
      <c r="C53" s="10"/>
      <c r="D53" s="11"/>
      <c r="E53" s="11"/>
      <c r="F53" s="11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spans="1:18">
      <c r="A54" s="21" t="s">
        <v>0</v>
      </c>
      <c r="B54" s="10"/>
      <c r="C54" s="10"/>
      <c r="D54" s="11"/>
      <c r="E54" s="11"/>
      <c r="F54" s="11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spans="1:18">
      <c r="A55" s="20" t="s">
        <v>0</v>
      </c>
      <c r="B55" t="s">
        <v>40</v>
      </c>
      <c r="G55">
        <v>292</v>
      </c>
      <c r="H55">
        <v>295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spans="1:18">
      <c r="A56" s="10"/>
      <c r="B56" t="s">
        <v>41</v>
      </c>
      <c r="G56">
        <v>1375</v>
      </c>
      <c r="H56">
        <v>1689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1:18">
      <c r="A57" s="10"/>
      <c r="B57" t="s">
        <v>42</v>
      </c>
      <c r="G57">
        <v>1248</v>
      </c>
      <c r="H57">
        <v>1116</v>
      </c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18">
      <c r="A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>
      <c r="A59" s="10"/>
      <c r="C59" s="10"/>
      <c r="D59" s="11"/>
      <c r="E59" s="11"/>
      <c r="F59" s="11"/>
      <c r="G59" s="14"/>
      <c r="H59" s="14"/>
      <c r="I59" s="14" t="s">
        <v>0</v>
      </c>
      <c r="J59" s="14" t="s">
        <v>0</v>
      </c>
      <c r="K59" s="14" t="s">
        <v>0</v>
      </c>
      <c r="L59" s="14" t="s">
        <v>0</v>
      </c>
      <c r="M59" s="14" t="s">
        <v>0</v>
      </c>
      <c r="N59" s="10"/>
      <c r="O59" s="10"/>
      <c r="P59" s="10"/>
      <c r="Q59" s="10"/>
      <c r="R59" s="10"/>
    </row>
    <row r="60" spans="1:18">
      <c r="A60" s="10"/>
      <c r="B60" s="11" t="s">
        <v>43</v>
      </c>
      <c r="C60" s="10"/>
      <c r="D60" s="11"/>
      <c r="E60" s="11"/>
      <c r="F60" s="11"/>
      <c r="G60" s="11">
        <f>SUM(G55:G57)</f>
        <v>2915</v>
      </c>
      <c r="H60" s="11">
        <f>SUM(H55:H57)</f>
        <v>3100</v>
      </c>
      <c r="I60" s="11" t="s">
        <v>32</v>
      </c>
      <c r="J60" s="11" t="s">
        <v>32</v>
      </c>
      <c r="K60" s="11" t="s">
        <v>32</v>
      </c>
      <c r="L60" s="11" t="s">
        <v>32</v>
      </c>
      <c r="M60" s="11" t="s">
        <v>32</v>
      </c>
      <c r="N60" s="10"/>
      <c r="O60" s="10"/>
      <c r="P60" s="10"/>
      <c r="Q60" s="10"/>
      <c r="R60" s="10"/>
    </row>
    <row r="61" spans="1:18">
      <c r="A61" s="10"/>
      <c r="B61" s="10" t="s">
        <v>44</v>
      </c>
      <c r="C61" s="10"/>
      <c r="D61" s="11"/>
      <c r="E61" s="11"/>
      <c r="F61" s="11"/>
      <c r="G61" s="10">
        <v>2675</v>
      </c>
      <c r="H61" s="10">
        <v>3605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>
      <c r="A62" s="10"/>
      <c r="B62" s="10" t="s">
        <v>45</v>
      </c>
      <c r="C62" s="10"/>
      <c r="D62" s="11"/>
      <c r="E62" s="11"/>
      <c r="F62" s="11"/>
      <c r="G62" s="10">
        <v>505</v>
      </c>
      <c r="H62" s="10">
        <v>418</v>
      </c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>
      <c r="A63" s="10"/>
      <c r="B63" s="10" t="s">
        <v>46</v>
      </c>
      <c r="C63" s="10"/>
      <c r="D63" s="11"/>
      <c r="E63" s="11"/>
      <c r="F63" s="11"/>
      <c r="G63" s="14">
        <v>945</v>
      </c>
      <c r="H63" s="14">
        <v>949</v>
      </c>
      <c r="I63" s="14" t="s">
        <v>0</v>
      </c>
      <c r="J63" s="14" t="s">
        <v>0</v>
      </c>
      <c r="K63" s="14" t="s">
        <v>0</v>
      </c>
      <c r="L63" s="14" t="s">
        <v>0</v>
      </c>
      <c r="M63" s="14" t="s">
        <v>0</v>
      </c>
      <c r="N63" s="10"/>
      <c r="O63" s="10"/>
      <c r="P63" s="10"/>
      <c r="Q63" s="10"/>
      <c r="R63" s="10"/>
    </row>
    <row r="64" spans="1:18">
      <c r="A64" s="10"/>
      <c r="B64" s="11" t="s">
        <v>47</v>
      </c>
      <c r="C64" s="10"/>
      <c r="D64" s="11"/>
      <c r="E64" s="11"/>
      <c r="F64" s="11"/>
      <c r="G64" s="11">
        <f>SUM(G61:G63)</f>
        <v>4125</v>
      </c>
      <c r="H64" s="11">
        <f>SUM(H61:H63)</f>
        <v>4972</v>
      </c>
      <c r="I64" s="11" t="s">
        <v>32</v>
      </c>
      <c r="J64" s="11" t="s">
        <v>32</v>
      </c>
      <c r="K64" s="11" t="s">
        <v>32</v>
      </c>
      <c r="L64" s="11" t="s">
        <v>32</v>
      </c>
      <c r="M64" s="11" t="s">
        <v>32</v>
      </c>
      <c r="N64" s="10"/>
      <c r="O64" s="10"/>
      <c r="P64" s="10"/>
      <c r="Q64" s="10"/>
      <c r="R64" s="10"/>
    </row>
    <row r="65" spans="1:18">
      <c r="A65" s="10"/>
      <c r="B65" s="10"/>
      <c r="C65" s="10"/>
      <c r="D65" s="11"/>
      <c r="E65" s="11"/>
      <c r="F65" s="11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>
      <c r="A66" s="10"/>
      <c r="B66" s="11" t="s">
        <v>48</v>
      </c>
      <c r="C66" s="10"/>
      <c r="D66" s="11"/>
      <c r="E66" s="11"/>
      <c r="F66" s="11"/>
      <c r="G66" s="11">
        <f>G60+G64</f>
        <v>7040</v>
      </c>
      <c r="H66" s="11">
        <f>H60+H64</f>
        <v>8072</v>
      </c>
      <c r="I66" s="11" t="s">
        <v>32</v>
      </c>
      <c r="J66" s="11" t="s">
        <v>32</v>
      </c>
      <c r="K66" s="11" t="s">
        <v>32</v>
      </c>
      <c r="L66" s="11" t="s">
        <v>32</v>
      </c>
      <c r="M66" s="11" t="s">
        <v>32</v>
      </c>
      <c r="N66" s="10"/>
      <c r="O66" s="10"/>
      <c r="P66" s="10"/>
      <c r="Q66" s="10"/>
      <c r="R66" s="10"/>
    </row>
    <row r="67" spans="1:18">
      <c r="A67" s="10"/>
      <c r="B67" s="78" t="s">
        <v>49</v>
      </c>
      <c r="C67" s="43"/>
      <c r="D67" s="41"/>
      <c r="E67" s="41"/>
      <c r="F67" s="41"/>
      <c r="G67" s="43"/>
      <c r="H67" s="43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1:18">
      <c r="A68" s="10"/>
      <c r="B68" s="43" t="s">
        <v>50</v>
      </c>
      <c r="C68" s="43"/>
      <c r="D68" s="41"/>
      <c r="E68" s="41"/>
      <c r="F68" s="41"/>
      <c r="G68" s="43">
        <f>11174-(5563)</f>
        <v>5611</v>
      </c>
      <c r="H68" s="47">
        <f>11531-5563</f>
        <v>5968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1:18">
      <c r="A69" s="10"/>
      <c r="B69" s="43" t="s">
        <v>51</v>
      </c>
      <c r="C69" s="43"/>
      <c r="D69" s="41"/>
      <c r="E69" s="41"/>
      <c r="F69" s="41"/>
      <c r="G69" s="43">
        <v>7813</v>
      </c>
      <c r="H69" s="43">
        <v>9691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1:18">
      <c r="A70" s="10"/>
      <c r="B70" s="43" t="s">
        <v>52</v>
      </c>
      <c r="C70" s="43"/>
      <c r="D70" s="41"/>
      <c r="E70" s="41"/>
      <c r="F70" s="41"/>
      <c r="G70" s="45">
        <v>-619</v>
      </c>
      <c r="H70" s="46">
        <v>-622</v>
      </c>
      <c r="I70" s="14" t="s">
        <v>0</v>
      </c>
      <c r="J70" s="14" t="s">
        <v>0</v>
      </c>
      <c r="K70" s="14" t="s">
        <v>0</v>
      </c>
      <c r="L70" s="14" t="s">
        <v>0</v>
      </c>
      <c r="M70" s="14" t="s">
        <v>0</v>
      </c>
      <c r="N70" s="10"/>
      <c r="O70" s="10"/>
      <c r="P70" s="10"/>
      <c r="Q70" s="10"/>
      <c r="R70" s="10"/>
    </row>
    <row r="71" spans="1:18">
      <c r="A71" s="10"/>
      <c r="B71" s="11" t="s">
        <v>53</v>
      </c>
      <c r="C71" s="10"/>
      <c r="D71" s="11"/>
      <c r="E71" s="11"/>
      <c r="F71" s="11"/>
      <c r="G71" s="15">
        <f>SUM(G68:G70)</f>
        <v>12805</v>
      </c>
      <c r="H71" s="15">
        <f>SUM(H68:H70)</f>
        <v>15037</v>
      </c>
      <c r="I71" s="10" t="s">
        <v>32</v>
      </c>
      <c r="J71" s="10" t="s">
        <v>32</v>
      </c>
      <c r="K71" s="10" t="s">
        <v>32</v>
      </c>
      <c r="L71" s="10" t="s">
        <v>32</v>
      </c>
      <c r="M71" s="10" t="s">
        <v>32</v>
      </c>
      <c r="N71" s="10"/>
      <c r="O71" s="10"/>
      <c r="P71" s="10"/>
      <c r="Q71" s="10"/>
      <c r="R71" s="10"/>
    </row>
    <row r="72" spans="1:18">
      <c r="A72" s="10"/>
      <c r="B72" s="10"/>
      <c r="C72" s="10"/>
      <c r="D72" s="11"/>
      <c r="E72" s="11"/>
      <c r="F72" s="11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1:18">
      <c r="A73" s="11"/>
      <c r="B73" s="11"/>
      <c r="C73" s="11"/>
      <c r="D73" s="11"/>
      <c r="E73" s="11"/>
      <c r="F73" s="11"/>
      <c r="G73" s="11" t="s">
        <v>54</v>
      </c>
      <c r="H73" s="11" t="s">
        <v>32</v>
      </c>
      <c r="I73" s="11" t="s">
        <v>32</v>
      </c>
      <c r="J73" s="11" t="s">
        <v>32</v>
      </c>
      <c r="K73" s="11" t="s">
        <v>32</v>
      </c>
      <c r="L73" s="11" t="s">
        <v>32</v>
      </c>
      <c r="M73" s="11" t="s">
        <v>32</v>
      </c>
      <c r="N73" s="11"/>
      <c r="O73" s="11"/>
      <c r="P73" s="11"/>
      <c r="Q73" s="11"/>
      <c r="R73" s="11"/>
    </row>
    <row r="74" spans="1:18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1:18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pans="1:18">
      <c r="A76" s="12" t="s">
        <v>9</v>
      </c>
      <c r="B76" s="12" t="s">
        <v>55</v>
      </c>
      <c r="C76" s="13" t="s">
        <v>0</v>
      </c>
      <c r="D76" s="12" t="s">
        <v>0</v>
      </c>
      <c r="E76" s="12" t="s">
        <v>0</v>
      </c>
      <c r="F76" s="12" t="s">
        <v>0</v>
      </c>
      <c r="G76" s="12" t="s">
        <v>0</v>
      </c>
      <c r="H76" s="12" t="s">
        <v>0</v>
      </c>
      <c r="I76" s="12" t="s">
        <v>0</v>
      </c>
      <c r="J76" s="12" t="s">
        <v>0</v>
      </c>
      <c r="K76" s="12" t="s">
        <v>0</v>
      </c>
      <c r="L76" s="12" t="s">
        <v>0</v>
      </c>
      <c r="M76" s="12" t="s">
        <v>0</v>
      </c>
      <c r="N76" s="12" t="s">
        <v>0</v>
      </c>
      <c r="O76" s="12" t="s">
        <v>0</v>
      </c>
      <c r="P76" s="12" t="s">
        <v>0</v>
      </c>
      <c r="Q76" s="12" t="s">
        <v>0</v>
      </c>
      <c r="R76" s="12" t="s">
        <v>0</v>
      </c>
    </row>
    <row r="77" spans="1:18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 spans="1:18">
      <c r="A78" s="10"/>
      <c r="B78" s="10" t="s">
        <v>24</v>
      </c>
      <c r="C78" s="22">
        <v>0</v>
      </c>
      <c r="D78" s="10"/>
      <c r="E78" s="10"/>
      <c r="F78" s="10"/>
      <c r="G78" s="24">
        <v>1607</v>
      </c>
      <c r="H78" s="24">
        <v>2715</v>
      </c>
      <c r="I78" s="15">
        <v>3272</v>
      </c>
      <c r="J78" s="10">
        <v>1852</v>
      </c>
      <c r="K78" s="52">
        <v>23</v>
      </c>
      <c r="L78" s="53">
        <v>12212</v>
      </c>
      <c r="M78" s="53">
        <v>14099</v>
      </c>
      <c r="N78" s="53">
        <v>16198</v>
      </c>
      <c r="O78" s="53">
        <v>17944</v>
      </c>
      <c r="P78" s="53">
        <v>19838</v>
      </c>
      <c r="Q78" s="53">
        <v>21628</v>
      </c>
      <c r="R78" s="53">
        <v>23456</v>
      </c>
    </row>
    <row r="79" spans="1:18">
      <c r="A79" s="10"/>
      <c r="B79" s="10"/>
      <c r="C79" s="10"/>
      <c r="D79" s="10"/>
      <c r="E79" s="10"/>
      <c r="F79" s="10"/>
      <c r="G79" s="23" t="s">
        <v>0</v>
      </c>
      <c r="H79" s="23" t="s">
        <v>0</v>
      </c>
      <c r="I79" s="10"/>
      <c r="J79" s="10"/>
      <c r="K79" s="10"/>
      <c r="L79" s="10"/>
      <c r="M79" s="10"/>
      <c r="N79" s="10"/>
      <c r="O79" s="10"/>
      <c r="P79" s="10"/>
      <c r="Q79" s="10"/>
      <c r="R79" s="10"/>
    </row>
    <row r="80" spans="1:18">
      <c r="A80" s="10"/>
      <c r="B80" s="10" t="s">
        <v>56</v>
      </c>
      <c r="C80" s="25">
        <v>0.3</v>
      </c>
      <c r="D80" s="10"/>
      <c r="E80" s="10"/>
      <c r="F80" s="10"/>
      <c r="G80" s="23" t="s">
        <v>0</v>
      </c>
      <c r="H80" s="23" t="s">
        <v>0</v>
      </c>
      <c r="I80" s="10"/>
      <c r="J80" s="10"/>
      <c r="K80" s="10"/>
      <c r="L80" s="10"/>
      <c r="M80" s="10"/>
      <c r="N80" s="10"/>
      <c r="O80" s="10"/>
      <c r="P80" s="10"/>
      <c r="Q80" s="10"/>
      <c r="R80" s="10"/>
    </row>
    <row r="81" spans="1:18">
      <c r="A81" s="10"/>
      <c r="B81" s="10"/>
      <c r="C81" s="10"/>
      <c r="D81" s="10"/>
      <c r="E81" s="10"/>
      <c r="F81" s="10"/>
      <c r="G81" s="23" t="s">
        <v>0</v>
      </c>
      <c r="H81" s="23" t="s">
        <v>0</v>
      </c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pans="1:18">
      <c r="A82" s="10"/>
      <c r="B82" s="10" t="s">
        <v>57</v>
      </c>
      <c r="C82" s="10"/>
      <c r="D82" s="10"/>
      <c r="E82" s="10"/>
      <c r="F82" s="10"/>
      <c r="G82" s="24">
        <v>-4698</v>
      </c>
      <c r="H82" s="24">
        <v>-2675</v>
      </c>
      <c r="I82" s="15">
        <v>-3970</v>
      </c>
      <c r="J82" s="10">
        <v>-382</v>
      </c>
      <c r="K82" s="10">
        <v>16</v>
      </c>
      <c r="L82" s="15">
        <v>8548</v>
      </c>
      <c r="M82" s="15">
        <v>9870</v>
      </c>
      <c r="N82" s="15">
        <v>11338</v>
      </c>
      <c r="O82" s="15">
        <v>12561</v>
      </c>
      <c r="P82" s="15">
        <v>13887</v>
      </c>
      <c r="Q82" s="15">
        <v>15139</v>
      </c>
      <c r="R82" s="15">
        <v>16419</v>
      </c>
    </row>
    <row r="83" spans="1:18">
      <c r="A83" s="26" t="s">
        <v>58</v>
      </c>
      <c r="B83" s="10" t="s">
        <v>59</v>
      </c>
      <c r="C83" s="10"/>
      <c r="D83" s="10"/>
      <c r="E83" s="10"/>
      <c r="F83" s="10"/>
      <c r="G83" s="24">
        <v>3936</v>
      </c>
      <c r="H83" s="24">
        <v>4822</v>
      </c>
      <c r="I83" s="15">
        <v>4375</v>
      </c>
      <c r="J83" s="15">
        <v>4194</v>
      </c>
      <c r="K83" s="15">
        <v>4101</v>
      </c>
      <c r="L83" s="15">
        <v>4052</v>
      </c>
      <c r="M83" s="15">
        <v>4027</v>
      </c>
      <c r="N83" s="15">
        <v>4014</v>
      </c>
      <c r="O83" s="15">
        <v>4007</v>
      </c>
      <c r="P83" s="15">
        <v>4004</v>
      </c>
      <c r="Q83" s="15">
        <v>4002</v>
      </c>
      <c r="R83" s="15">
        <v>4001</v>
      </c>
    </row>
    <row r="84" spans="1:18">
      <c r="A84" s="26" t="s">
        <v>60</v>
      </c>
      <c r="B84" s="10" t="s">
        <v>61</v>
      </c>
      <c r="C84" s="10"/>
      <c r="D84" s="10"/>
      <c r="E84" s="10"/>
      <c r="F84" s="10"/>
      <c r="G84" s="23">
        <v>0</v>
      </c>
      <c r="H84" s="24">
        <v>-3893</v>
      </c>
      <c r="I84" s="15">
        <v>-4000</v>
      </c>
      <c r="J84" s="15">
        <v>-4000</v>
      </c>
      <c r="K84" s="15">
        <v>-4000</v>
      </c>
      <c r="L84" s="15">
        <v>-4000</v>
      </c>
      <c r="M84" s="15">
        <v>-4000</v>
      </c>
      <c r="N84" s="15">
        <v>-4000</v>
      </c>
      <c r="O84" s="15">
        <v>-4000</v>
      </c>
      <c r="P84" s="15">
        <v>-4000</v>
      </c>
      <c r="Q84" s="15">
        <v>-4000</v>
      </c>
      <c r="R84" s="15">
        <v>-4000</v>
      </c>
    </row>
    <row r="85" spans="1:18">
      <c r="A85" s="26" t="s">
        <v>60</v>
      </c>
      <c r="B85" s="10" t="s">
        <v>62</v>
      </c>
      <c r="C85" s="10"/>
      <c r="D85" s="10"/>
      <c r="E85" s="10"/>
      <c r="F85" s="10"/>
      <c r="G85" s="23">
        <v>0</v>
      </c>
      <c r="H85" s="24">
        <v>-28263</v>
      </c>
      <c r="I85" s="15">
        <v>1540</v>
      </c>
      <c r="J85" s="15">
        <v>1622</v>
      </c>
      <c r="K85" s="15">
        <v>1843</v>
      </c>
      <c r="L85" s="15">
        <v>-3675</v>
      </c>
      <c r="M85" s="15">
        <v>1411</v>
      </c>
      <c r="N85" s="15">
        <v>1580</v>
      </c>
      <c r="O85" s="15">
        <v>1318</v>
      </c>
      <c r="P85" s="15">
        <v>1432</v>
      </c>
      <c r="Q85" s="15">
        <v>1355</v>
      </c>
      <c r="R85" s="15">
        <v>1384</v>
      </c>
    </row>
    <row r="86" spans="1:18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 spans="1:18">
      <c r="A87" s="11"/>
      <c r="B87" s="11" t="s">
        <v>63</v>
      </c>
      <c r="C87" s="27">
        <v>0</v>
      </c>
      <c r="D87" s="11"/>
      <c r="E87" s="11"/>
      <c r="F87" s="11"/>
      <c r="G87" s="28" t="s">
        <v>0</v>
      </c>
      <c r="H87" s="28" t="s">
        <v>0</v>
      </c>
      <c r="I87" s="18">
        <v>-2055</v>
      </c>
      <c r="J87" s="18">
        <v>1434</v>
      </c>
      <c r="K87" s="18">
        <v>1960</v>
      </c>
      <c r="L87" s="18">
        <v>4926</v>
      </c>
      <c r="M87" s="18">
        <v>11308</v>
      </c>
      <c r="N87" s="18">
        <v>12933</v>
      </c>
      <c r="O87" s="18">
        <v>13886</v>
      </c>
      <c r="P87" s="18">
        <v>15323</v>
      </c>
      <c r="Q87" s="18">
        <v>16496</v>
      </c>
      <c r="R87" s="18">
        <v>17804</v>
      </c>
    </row>
    <row r="88" spans="1:1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</row>
    <row r="89" spans="1:18">
      <c r="A89" s="10"/>
      <c r="B89" s="10"/>
      <c r="C89" s="10"/>
      <c r="D89" s="10"/>
      <c r="E89" s="10"/>
      <c r="F89" s="10"/>
      <c r="G89" s="10"/>
      <c r="H89" s="10"/>
      <c r="I89" s="10">
        <v>1</v>
      </c>
      <c r="J89" s="10">
        <v>2</v>
      </c>
      <c r="K89" s="10">
        <v>3</v>
      </c>
      <c r="L89" s="10">
        <v>4</v>
      </c>
      <c r="M89" s="10">
        <v>5</v>
      </c>
      <c r="N89" s="10">
        <v>6</v>
      </c>
      <c r="O89" s="10">
        <v>7</v>
      </c>
      <c r="P89" s="10">
        <v>8</v>
      </c>
      <c r="Q89" s="10">
        <v>9</v>
      </c>
      <c r="R89" s="10">
        <v>10</v>
      </c>
    </row>
    <row r="90" spans="1:18">
      <c r="A90" s="10"/>
      <c r="B90" s="10" t="s">
        <v>64</v>
      </c>
      <c r="C90" s="29">
        <v>0.1047</v>
      </c>
      <c r="D90" s="10"/>
      <c r="E90" s="10"/>
      <c r="F90" s="10"/>
      <c r="G90" s="10"/>
      <c r="H90" s="10"/>
      <c r="I90" s="18">
        <v>-1860</v>
      </c>
      <c r="J90" s="18">
        <v>1175</v>
      </c>
      <c r="K90" s="18">
        <v>1454</v>
      </c>
      <c r="L90" s="18">
        <v>3307</v>
      </c>
      <c r="M90" s="18">
        <v>6873</v>
      </c>
      <c r="N90" s="18">
        <v>7116</v>
      </c>
      <c r="O90" s="18">
        <v>6916</v>
      </c>
      <c r="P90" s="18">
        <v>6908</v>
      </c>
      <c r="Q90" s="18">
        <v>6733</v>
      </c>
      <c r="R90" s="18">
        <v>6578</v>
      </c>
    </row>
    <row r="91" spans="1:18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</row>
    <row r="92" spans="1:18">
      <c r="A92" s="10"/>
      <c r="B92" s="10"/>
      <c r="C92" s="15">
        <v>45201</v>
      </c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</row>
    <row r="93" spans="1:18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</row>
    <row r="94" spans="1:18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</row>
    <row r="95" spans="1:18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</row>
    <row r="96" spans="1:18">
      <c r="A96" s="10"/>
      <c r="B96" s="10" t="s">
        <v>65</v>
      </c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8">
        <v>228979</v>
      </c>
    </row>
    <row r="97" spans="1:18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</row>
    <row r="98" spans="1:18">
      <c r="A98" s="10"/>
      <c r="B98" s="10" t="s">
        <v>66</v>
      </c>
      <c r="C98" s="29">
        <v>0.1047</v>
      </c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</row>
    <row r="99" spans="1:18">
      <c r="A99" s="10"/>
      <c r="B99" s="10" t="s">
        <v>67</v>
      </c>
      <c r="C99" s="30">
        <v>2.5000000000000001E-2</v>
      </c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</row>
    <row r="100" spans="1:18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</row>
    <row r="101" spans="1:18">
      <c r="A101" s="10"/>
      <c r="B101" s="10" t="s">
        <v>68</v>
      </c>
      <c r="C101" s="15">
        <v>84596</v>
      </c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</row>
    <row r="102" spans="1:18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</row>
    <row r="103" spans="1:18">
      <c r="A103" s="10"/>
      <c r="B103" s="20" t="s">
        <v>69</v>
      </c>
      <c r="C103" s="31">
        <v>129797</v>
      </c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</row>
    <row r="104" spans="1:18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</row>
    <row r="105" spans="1:18">
      <c r="A105" s="10"/>
      <c r="B105" s="10" t="s">
        <v>70</v>
      </c>
      <c r="C105" s="15">
        <v>-25456</v>
      </c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</row>
    <row r="106" spans="1:18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</row>
    <row r="107" spans="1:18">
      <c r="A107" s="10"/>
      <c r="B107" s="10" t="s">
        <v>71</v>
      </c>
      <c r="C107" s="15">
        <v>155253</v>
      </c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</row>
    <row r="108" spans="1:1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</row>
    <row r="109" spans="1:18">
      <c r="A109" s="10"/>
      <c r="B109" s="10" t="s">
        <v>72</v>
      </c>
      <c r="C109" s="15">
        <v>100000</v>
      </c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</row>
    <row r="110" spans="1:18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</row>
    <row r="111" spans="1:18">
      <c r="A111" s="10"/>
      <c r="B111" s="32" t="s">
        <v>73</v>
      </c>
      <c r="C111" s="32">
        <v>1.55</v>
      </c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</row>
    <row r="112" spans="1:18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</row>
    <row r="113" spans="1:18">
      <c r="A113" s="10"/>
      <c r="B113" s="10" t="s">
        <v>74</v>
      </c>
      <c r="C113" s="10">
        <v>1.55</v>
      </c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</row>
    <row r="114" spans="1:18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</row>
    <row r="115" spans="1:18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</row>
    <row r="116" spans="1:18">
      <c r="A116" s="10"/>
      <c r="B116" s="10"/>
      <c r="C116" s="11" t="s">
        <v>75</v>
      </c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spans="1:18">
      <c r="A117" s="10"/>
      <c r="B117" s="10" t="s">
        <v>76</v>
      </c>
      <c r="C117" s="10">
        <v>1.42</v>
      </c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</row>
    <row r="118" spans="1:18">
      <c r="A118" s="10"/>
      <c r="B118" s="10"/>
      <c r="C118" s="29">
        <v>-8.6999999999999994E-2</v>
      </c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</row>
    <row r="119" spans="1:18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</row>
    <row r="120" spans="1:18">
      <c r="A120" s="10"/>
      <c r="B120" s="10" t="s">
        <v>77</v>
      </c>
      <c r="C120" s="10">
        <v>1.22</v>
      </c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</row>
    <row r="121" spans="1:18">
      <c r="A121" s="10"/>
      <c r="B121" s="10"/>
      <c r="C121" s="29">
        <v>-0.21299999999999999</v>
      </c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</row>
    <row r="122" spans="1:18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</row>
    <row r="123" spans="1:18">
      <c r="A123" s="10"/>
      <c r="B123" s="10" t="s">
        <v>78</v>
      </c>
      <c r="C123" s="10">
        <v>1.5</v>
      </c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</row>
    <row r="124" spans="1:18">
      <c r="A124" s="10"/>
      <c r="B124" s="10"/>
      <c r="C124" s="29">
        <v>-3.4000000000000002E-2</v>
      </c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</row>
    <row r="125" spans="1:18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</row>
    <row r="126" spans="1:18">
      <c r="A126" s="10"/>
      <c r="B126" s="10" t="s">
        <v>79</v>
      </c>
      <c r="C126" s="10">
        <v>1.1000000000000001</v>
      </c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</row>
    <row r="127" spans="1:18">
      <c r="A127" s="10"/>
      <c r="B127" s="10"/>
      <c r="C127" s="29">
        <v>-0.28999999999999998</v>
      </c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</row>
    <row r="128" spans="1:1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</row>
    <row r="129" spans="1:18">
      <c r="A129" s="10"/>
      <c r="B129" s="11" t="s">
        <v>80</v>
      </c>
      <c r="C129" s="10"/>
      <c r="D129" s="10"/>
      <c r="E129" s="10"/>
      <c r="F129" s="10"/>
      <c r="G129" s="10"/>
      <c r="H129" s="10"/>
      <c r="I129" s="10">
        <v>1</v>
      </c>
      <c r="J129" s="10">
        <v>2</v>
      </c>
      <c r="K129" s="10">
        <v>3</v>
      </c>
      <c r="L129" s="10">
        <v>4</v>
      </c>
      <c r="M129" s="10">
        <v>5</v>
      </c>
      <c r="N129" s="10">
        <v>6</v>
      </c>
      <c r="O129" s="10">
        <v>7</v>
      </c>
      <c r="P129" s="10">
        <v>8</v>
      </c>
      <c r="Q129" s="10">
        <v>9</v>
      </c>
      <c r="R129" s="10">
        <v>10</v>
      </c>
    </row>
    <row r="130" spans="1:18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</row>
    <row r="131" spans="1:18">
      <c r="A131" s="10"/>
      <c r="B131" s="11" t="s">
        <v>81</v>
      </c>
      <c r="C131" s="15">
        <v>1000</v>
      </c>
      <c r="D131" s="29">
        <v>0.108</v>
      </c>
      <c r="E131" s="10"/>
      <c r="F131" s="10"/>
      <c r="G131" s="10"/>
      <c r="H131" s="10"/>
      <c r="I131" s="10">
        <v>0</v>
      </c>
      <c r="J131" s="15">
        <v>1000</v>
      </c>
      <c r="K131" s="15">
        <v>1000</v>
      </c>
      <c r="L131" s="15">
        <v>1000</v>
      </c>
      <c r="M131" s="15">
        <v>1000</v>
      </c>
      <c r="N131" s="15">
        <v>1000</v>
      </c>
      <c r="O131" s="15">
        <v>1000</v>
      </c>
      <c r="P131" s="15">
        <v>1000</v>
      </c>
      <c r="Q131" s="15">
        <v>1000</v>
      </c>
      <c r="R131" s="15">
        <v>1000</v>
      </c>
    </row>
    <row r="132" spans="1:18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</row>
    <row r="133" spans="1:18">
      <c r="A133" s="10"/>
      <c r="B133" s="10" t="s">
        <v>3</v>
      </c>
      <c r="C133" s="15">
        <v>5036</v>
      </c>
      <c r="D133" s="10"/>
      <c r="E133" s="10"/>
      <c r="F133" s="10"/>
      <c r="G133" s="10"/>
      <c r="H133" s="10"/>
      <c r="I133" s="10">
        <v>0</v>
      </c>
      <c r="J133" s="10">
        <v>815</v>
      </c>
      <c r="K133" s="10">
        <v>735</v>
      </c>
      <c r="L133" s="10">
        <v>664</v>
      </c>
      <c r="M133" s="10">
        <v>599</v>
      </c>
      <c r="N133" s="10">
        <v>540</v>
      </c>
      <c r="O133" s="10">
        <v>488</v>
      </c>
      <c r="P133" s="10">
        <v>440</v>
      </c>
      <c r="Q133" s="10">
        <v>397</v>
      </c>
      <c r="R133" s="10">
        <v>359</v>
      </c>
    </row>
    <row r="134" spans="1:18">
      <c r="A134" s="10"/>
      <c r="B134" s="10" t="s">
        <v>82</v>
      </c>
      <c r="C134" s="15">
        <v>4428</v>
      </c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5">
        <v>12349</v>
      </c>
    </row>
    <row r="135" spans="1:18">
      <c r="A135" s="10"/>
      <c r="B135" s="11" t="s">
        <v>83</v>
      </c>
      <c r="C135" s="18">
        <v>9465</v>
      </c>
      <c r="D135" s="11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</row>
    <row r="136" spans="1:18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</row>
    <row r="137" spans="1:18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</row>
    <row r="138" spans="1:18">
      <c r="A138" s="10"/>
      <c r="B138" s="10" t="s">
        <v>84</v>
      </c>
      <c r="C138" s="15">
        <v>1500</v>
      </c>
      <c r="D138" s="29">
        <v>0.105</v>
      </c>
      <c r="E138" s="10"/>
      <c r="F138" s="10"/>
      <c r="G138" s="10"/>
      <c r="H138" s="10"/>
      <c r="I138" s="15">
        <v>-5000</v>
      </c>
      <c r="J138" s="15">
        <v>1500</v>
      </c>
      <c r="K138" s="15">
        <v>1500</v>
      </c>
      <c r="L138" s="15">
        <v>1500</v>
      </c>
      <c r="M138" s="15">
        <v>1500</v>
      </c>
      <c r="N138" s="15">
        <v>1500</v>
      </c>
      <c r="O138" s="15">
        <v>1500</v>
      </c>
      <c r="P138" s="15">
        <v>1500</v>
      </c>
      <c r="Q138" s="15">
        <v>1500</v>
      </c>
      <c r="R138" s="15">
        <v>1500</v>
      </c>
    </row>
    <row r="139" spans="1:18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</row>
    <row r="140" spans="1:18">
      <c r="A140" s="10"/>
      <c r="B140" s="10" t="s">
        <v>85</v>
      </c>
      <c r="C140" s="15">
        <v>-5000</v>
      </c>
      <c r="D140" s="29">
        <v>0.105</v>
      </c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</row>
    <row r="141" spans="1:18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</row>
    <row r="142" spans="1:18">
      <c r="A142" s="10"/>
      <c r="B142" s="10" t="s">
        <v>3</v>
      </c>
      <c r="C142" s="15">
        <v>3150</v>
      </c>
      <c r="D142" s="10"/>
      <c r="E142" s="10"/>
      <c r="F142" s="10"/>
      <c r="G142" s="10"/>
      <c r="H142" s="10"/>
      <c r="I142" s="15">
        <v>-4526</v>
      </c>
      <c r="J142" s="15">
        <v>1229</v>
      </c>
      <c r="K142" s="15">
        <v>1113</v>
      </c>
      <c r="L142" s="15">
        <v>1007</v>
      </c>
      <c r="M142" s="10">
        <v>912</v>
      </c>
      <c r="N142" s="10">
        <v>825</v>
      </c>
      <c r="O142" s="10">
        <v>747</v>
      </c>
      <c r="P142" s="10">
        <v>676</v>
      </c>
      <c r="Q142" s="10">
        <v>612</v>
      </c>
      <c r="R142" s="10">
        <v>554</v>
      </c>
    </row>
    <row r="143" spans="1:18">
      <c r="A143" s="10"/>
      <c r="B143" s="10" t="s">
        <v>82</v>
      </c>
      <c r="C143" s="15">
        <v>7127</v>
      </c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5">
        <v>19291</v>
      </c>
    </row>
    <row r="144" spans="1:18">
      <c r="A144" s="10"/>
      <c r="B144" s="11" t="s">
        <v>86</v>
      </c>
      <c r="C144" s="18">
        <v>10277</v>
      </c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</row>
    <row r="145" spans="1:18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</row>
    <row r="146" spans="1:18">
      <c r="A146" s="10"/>
      <c r="B146" s="11" t="s">
        <v>87</v>
      </c>
      <c r="C146" s="18">
        <v>19742</v>
      </c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</row>
    <row r="147" spans="1:18">
      <c r="A147" s="10"/>
      <c r="B147" s="10" t="s">
        <v>88</v>
      </c>
      <c r="C147" s="11" t="s">
        <v>0</v>
      </c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</row>
    <row r="148" spans="1:1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</row>
    <row r="149" spans="1:18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</row>
    <row r="150" spans="1:18">
      <c r="A150" s="10"/>
      <c r="B150" s="33" t="s">
        <v>89</v>
      </c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</row>
    <row r="151" spans="1:18">
      <c r="A151" s="10"/>
      <c r="B151" s="33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</row>
    <row r="152" spans="1:18">
      <c r="A152" s="10"/>
      <c r="B152" s="11" t="s">
        <v>90</v>
      </c>
      <c r="C152" s="18">
        <v>174995</v>
      </c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</row>
    <row r="153" spans="1:18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</row>
    <row r="154" spans="1:18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</row>
    <row r="155" spans="1:18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</row>
    <row r="156" spans="1:18">
      <c r="A156" s="10"/>
      <c r="B156" s="11" t="s">
        <v>91</v>
      </c>
      <c r="C156" s="11" t="e">
        <v>#VALUE!</v>
      </c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</row>
    <row r="157" spans="1:18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</row>
    <row r="158" spans="1:18">
      <c r="A158" s="10"/>
      <c r="B158" s="10"/>
      <c r="C158" s="10" t="e">
        <v>#VALUE!</v>
      </c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</row>
    <row r="159" spans="1:18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</row>
    <row r="160" spans="1:18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</row>
    <row r="161" spans="1:18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</row>
    <row r="162" spans="1:18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</row>
    <row r="163" spans="1:18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</row>
    <row r="164" spans="1:18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</row>
    <row r="165" spans="1:18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</row>
    <row r="166" spans="1:18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</row>
    <row r="167" spans="1:18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</row>
    <row r="168" spans="1:1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</row>
    <row r="169" spans="1:18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</row>
    <row r="170" spans="1:18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</row>
    <row r="171" spans="1:18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</row>
    <row r="172" spans="1:18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</row>
    <row r="173" spans="1:18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</row>
    <row r="174" spans="1:18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</row>
    <row r="175" spans="1:18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</row>
    <row r="176" spans="1:18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</row>
    <row r="177" spans="1:18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</row>
    <row r="178" spans="1:1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</row>
    <row r="179" spans="1:18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</row>
    <row r="180" spans="1:18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</row>
    <row r="181" spans="1:18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</row>
    <row r="182" spans="1:18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</row>
    <row r="183" spans="1:18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</row>
    <row r="184" spans="1:18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</row>
    <row r="185" spans="1:18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</row>
    <row r="186" spans="1:18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</row>
    <row r="187" spans="1:18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</row>
    <row r="188" spans="1:1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</row>
    <row r="189" spans="1:18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</row>
    <row r="190" spans="1:18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</row>
    <row r="191" spans="1:18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</row>
    <row r="192" spans="1:18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</row>
    <row r="193" spans="1:18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</row>
    <row r="194" spans="1:18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</row>
    <row r="195" spans="1:18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</row>
    <row r="196" spans="1:18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</row>
    <row r="197" spans="1:18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</row>
    <row r="198" spans="1:1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</row>
    <row r="199" spans="1:18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</row>
    <row r="200" spans="1:18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</row>
    <row r="201" spans="1:18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</row>
    <row r="202" spans="1:18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</row>
    <row r="203" spans="1:18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</row>
    <row r="204" spans="1:18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</row>
    <row r="205" spans="1:18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</row>
    <row r="206" spans="1:18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</row>
    <row r="207" spans="1:18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</row>
    <row r="208" spans="1:1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</row>
    <row r="209" spans="1:18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</row>
    <row r="210" spans="1:18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</row>
    <row r="211" spans="1:18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</row>
    <row r="212" spans="1:18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</row>
    <row r="213" spans="1:18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</row>
    <row r="214" spans="1:18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</row>
    <row r="215" spans="1:18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</row>
    <row r="216" spans="1:18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</row>
    <row r="217" spans="1:18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</row>
    <row r="218" spans="1: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</row>
    <row r="219" spans="1:18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</row>
    <row r="220" spans="1:18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</row>
    <row r="221" spans="1:18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</row>
    <row r="222" spans="1:18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</row>
    <row r="223" spans="1:18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</row>
    <row r="224" spans="1:18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</row>
    <row r="225" spans="1:18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</row>
    <row r="226" spans="1:18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</row>
    <row r="227" spans="1:18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</row>
    <row r="228" spans="1:1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</row>
    <row r="229" spans="1:18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</row>
    <row r="230" spans="1:18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</row>
    <row r="231" spans="1:18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</row>
    <row r="232" spans="1:18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</row>
    <row r="233" spans="1:18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</row>
    <row r="234" spans="1:18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</row>
    <row r="235" spans="1:18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</row>
    <row r="236" spans="1:18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</row>
    <row r="237" spans="1:18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</row>
    <row r="238" spans="1:1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</row>
    <row r="239" spans="1:18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</row>
    <row r="240" spans="1:18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</row>
    <row r="241" spans="1:18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</row>
    <row r="242" spans="1:18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</row>
    <row r="243" spans="1:18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</row>
    <row r="244" spans="1:18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</row>
    <row r="245" spans="1:18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</row>
    <row r="246" spans="1:18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</row>
    <row r="247" spans="1:18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</row>
    <row r="248" spans="1:1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</row>
    <row r="249" spans="1:18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</row>
    <row r="250" spans="1:18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</row>
    <row r="251" spans="1:18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</row>
    <row r="252" spans="1:18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</row>
    <row r="253" spans="1:18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</row>
    <row r="254" spans="1:18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</row>
    <row r="255" spans="1:18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</row>
    <row r="256" spans="1:18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</row>
    <row r="257" spans="1:18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</row>
    <row r="258" spans="1:1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</row>
    <row r="259" spans="1:18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</row>
    <row r="260" spans="1:18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</row>
    <row r="261" spans="1:18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</row>
    <row r="262" spans="1:18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</row>
    <row r="263" spans="1:18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</row>
    <row r="264" spans="1:18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</row>
    <row r="265" spans="1:18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</row>
    <row r="266" spans="1:18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</row>
    <row r="267" spans="1:18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</row>
    <row r="268" spans="1:1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</row>
    <row r="269" spans="1:18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</row>
    <row r="270" spans="1:18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</row>
    <row r="271" spans="1:18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</row>
    <row r="272" spans="1:18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</row>
    <row r="273" spans="1:18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</row>
    <row r="274" spans="1:18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</row>
    <row r="275" spans="1:18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</row>
    <row r="276" spans="1:18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</row>
    <row r="277" spans="1:18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</row>
    <row r="278" spans="1:1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</row>
    <row r="279" spans="1:18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</row>
    <row r="280" spans="1:18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</row>
    <row r="281" spans="1:18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</row>
    <row r="282" spans="1:18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</row>
    <row r="283" spans="1:18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</row>
    <row r="284" spans="1:18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</row>
    <row r="285" spans="1:18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</row>
    <row r="286" spans="1:18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</row>
    <row r="287" spans="1:18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</row>
    <row r="288" spans="1:1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</row>
    <row r="289" spans="1:18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</row>
    <row r="290" spans="1:18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</row>
    <row r="291" spans="1:18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</row>
    <row r="292" spans="1:18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</row>
    <row r="293" spans="1:18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</row>
    <row r="294" spans="1:18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</row>
    <row r="295" spans="1:18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</row>
    <row r="296" spans="1:18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</row>
    <row r="297" spans="1:18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</row>
    <row r="298" spans="1:1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</row>
    <row r="299" spans="1:18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</row>
    <row r="300" spans="1:18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</row>
    <row r="301" spans="1:18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</row>
    <row r="302" spans="1:18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</row>
    <row r="303" spans="1:18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</row>
    <row r="304" spans="1:18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</row>
    <row r="305" spans="1:18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</row>
    <row r="306" spans="1:18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</row>
    <row r="307" spans="1:18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</row>
    <row r="308" spans="1:1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</row>
    <row r="309" spans="1:18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</row>
    <row r="310" spans="1:18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</row>
    <row r="311" spans="1:18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</row>
    <row r="312" spans="1:18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</row>
    <row r="313" spans="1:18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</row>
    <row r="314" spans="1:18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</row>
    <row r="315" spans="1:18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</row>
    <row r="316" spans="1:18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</row>
    <row r="317" spans="1:18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</row>
    <row r="318" spans="1: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</row>
    <row r="319" spans="1:18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</row>
    <row r="320" spans="1:18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</row>
    <row r="321" spans="1:18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</row>
    <row r="322" spans="1:18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</row>
    <row r="323" spans="1:18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</row>
    <row r="324" spans="1:18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</row>
    <row r="325" spans="1:18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</row>
    <row r="326" spans="1:18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</row>
    <row r="327" spans="1:18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</row>
    <row r="328" spans="1:1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</row>
    <row r="329" spans="1:18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</row>
    <row r="330" spans="1:18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</row>
    <row r="331" spans="1:18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</row>
    <row r="332" spans="1:18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</row>
    <row r="333" spans="1:18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</row>
    <row r="334" spans="1:18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</row>
    <row r="335" spans="1:18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</row>
    <row r="336" spans="1:18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</row>
    <row r="337" spans="1:18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</row>
    <row r="338" spans="1:1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</row>
    <row r="339" spans="1:18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</row>
    <row r="340" spans="1:18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</row>
    <row r="341" spans="1:18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</row>
    <row r="342" spans="1:18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</row>
    <row r="343" spans="1:18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</row>
    <row r="344" spans="1:18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</row>
    <row r="345" spans="1:18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</row>
    <row r="346" spans="1:18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</row>
    <row r="347" spans="1:18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</row>
    <row r="348" spans="1:1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</row>
    <row r="349" spans="1:18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</row>
    <row r="350" spans="1:18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</row>
    <row r="351" spans="1:18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</row>
    <row r="352" spans="1:18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</row>
    <row r="353" spans="1:18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</row>
    <row r="354" spans="1:18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</row>
    <row r="355" spans="1:18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</row>
    <row r="356" spans="1:18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</row>
    <row r="357" spans="1:18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</row>
    <row r="358" spans="1:1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</row>
    <row r="359" spans="1:18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</row>
    <row r="360" spans="1:18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</row>
    <row r="361" spans="1:18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</row>
    <row r="362" spans="1:18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</row>
    <row r="363" spans="1:18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</row>
    <row r="364" spans="1:18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</row>
    <row r="365" spans="1:18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</row>
    <row r="366" spans="1:18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</row>
    <row r="367" spans="1:18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</row>
    <row r="368" spans="1:1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</row>
    <row r="369" spans="1:18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</row>
    <row r="370" spans="1:18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</row>
    <row r="371" spans="1:18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</row>
    <row r="372" spans="1:18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</row>
    <row r="373" spans="1:18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</row>
    <row r="374" spans="1:18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</row>
    <row r="375" spans="1:18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</row>
    <row r="376" spans="1:18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</row>
    <row r="377" spans="1:18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</row>
    <row r="378" spans="1:1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</row>
    <row r="379" spans="1:18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</row>
    <row r="380" spans="1:18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</row>
    <row r="381" spans="1:18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</row>
    <row r="382" spans="1:18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</row>
    <row r="383" spans="1:18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</row>
    <row r="384" spans="1:18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</row>
    <row r="385" spans="1:18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</row>
    <row r="386" spans="1:18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</row>
    <row r="387" spans="1:18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</row>
    <row r="388" spans="1:1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</row>
    <row r="389" spans="1:18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</row>
    <row r="390" spans="1:18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</row>
    <row r="391" spans="1:18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</row>
    <row r="392" spans="1:18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</row>
    <row r="393" spans="1:18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</row>
    <row r="394" spans="1:18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</row>
    <row r="395" spans="1:18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</row>
    <row r="396" spans="1:18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</row>
    <row r="397" spans="1:18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</row>
    <row r="398" spans="1:1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</row>
    <row r="399" spans="1:18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</row>
    <row r="400" spans="1:18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</row>
    <row r="401" spans="1:18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</row>
    <row r="402" spans="1:18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</row>
    <row r="403" spans="1:18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</row>
    <row r="404" spans="1:18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</row>
    <row r="405" spans="1:18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</row>
    <row r="406" spans="1:18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</row>
    <row r="407" spans="1:18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</row>
    <row r="408" spans="1:1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</row>
    <row r="409" spans="1:18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</row>
    <row r="410" spans="1:18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</row>
    <row r="411" spans="1:18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</row>
    <row r="412" spans="1:18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</row>
    <row r="413" spans="1:18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</row>
    <row r="414" spans="1:18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</row>
    <row r="415" spans="1:18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</row>
    <row r="416" spans="1:18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</row>
    <row r="417" spans="1:18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</row>
    <row r="418" spans="1: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</row>
    <row r="419" spans="1:18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</row>
    <row r="420" spans="1:18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</row>
    <row r="421" spans="1:18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</row>
    <row r="422" spans="1:18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</row>
    <row r="423" spans="1:18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</row>
    <row r="424" spans="1:18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</row>
    <row r="425" spans="1:18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</row>
    <row r="426" spans="1:18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</row>
    <row r="427" spans="1:18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</row>
    <row r="428" spans="1:1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</row>
    <row r="429" spans="1:18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</row>
    <row r="430" spans="1:18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</row>
    <row r="431" spans="1:18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</row>
    <row r="432" spans="1:18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</row>
    <row r="433" spans="1:18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</row>
    <row r="434" spans="1:18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</row>
    <row r="435" spans="1:18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</row>
    <row r="436" spans="1:18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</row>
    <row r="437" spans="1:18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</row>
    <row r="438" spans="1:1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</row>
    <row r="439" spans="1:18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</row>
    <row r="440" spans="1:18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</row>
    <row r="441" spans="1:18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</row>
    <row r="442" spans="1:18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</row>
    <row r="443" spans="1:18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</row>
    <row r="444" spans="1:18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</row>
    <row r="445" spans="1:18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</row>
    <row r="446" spans="1:18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</row>
    <row r="447" spans="1:18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</row>
    <row r="448" spans="1:1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</row>
    <row r="449" spans="1:18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</row>
    <row r="450" spans="1:18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</row>
    <row r="451" spans="1:18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</row>
    <row r="452" spans="1:18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</row>
    <row r="453" spans="1:18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</row>
    <row r="454" spans="1:18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</row>
    <row r="455" spans="1:18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</row>
    <row r="456" spans="1:18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</row>
    <row r="457" spans="1:18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</row>
    <row r="458" spans="1:1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</row>
    <row r="459" spans="1:18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</row>
    <row r="460" spans="1:18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</row>
    <row r="461" spans="1:18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</row>
    <row r="462" spans="1:18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</row>
    <row r="463" spans="1:18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</row>
    <row r="464" spans="1:18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</row>
    <row r="465" spans="1:18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</row>
    <row r="466" spans="1:18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</row>
    <row r="467" spans="1:18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</row>
    <row r="468" spans="1:1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</row>
    <row r="469" spans="1:18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</row>
    <row r="470" spans="1:18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</row>
    <row r="471" spans="1:18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</row>
    <row r="472" spans="1:18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</row>
    <row r="473" spans="1:18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</row>
    <row r="474" spans="1:18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</row>
    <row r="475" spans="1:18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</row>
    <row r="476" spans="1:18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</row>
    <row r="477" spans="1:18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</row>
    <row r="478" spans="1:1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</row>
    <row r="479" spans="1:18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</row>
    <row r="480" spans="1:18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</row>
    <row r="481" spans="1:18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</row>
    <row r="482" spans="1:18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</row>
    <row r="483" spans="1:18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</row>
    <row r="484" spans="1:18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</row>
    <row r="485" spans="1:18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</row>
    <row r="486" spans="1:18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</row>
    <row r="487" spans="1:18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</row>
    <row r="488" spans="1:1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</row>
    <row r="489" spans="1:18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</row>
    <row r="490" spans="1:18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</row>
    <row r="491" spans="1:18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</row>
    <row r="492" spans="1:18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69258-CADB-4B42-BD9D-0D57C619AD04}">
  <dimension ref="A1:R494"/>
  <sheetViews>
    <sheetView tabSelected="1" topLeftCell="A41" workbookViewId="0">
      <selection activeCell="Q61" sqref="Q61"/>
    </sheetView>
  </sheetViews>
  <sheetFormatPr defaultColWidth="8.85546875" defaultRowHeight="15"/>
  <cols>
    <col min="2" max="2" width="41.7109375" bestFit="1" customWidth="1"/>
    <col min="3" max="3" width="10.7109375" bestFit="1" customWidth="1"/>
    <col min="4" max="4" width="13" bestFit="1" customWidth="1"/>
    <col min="7" max="7" width="10.7109375" customWidth="1"/>
    <col min="8" max="8" width="11.140625" customWidth="1"/>
    <col min="9" max="9" width="12.140625" customWidth="1"/>
    <col min="10" max="16" width="11.42578125" customWidth="1"/>
    <col min="17" max="17" width="23.28515625" customWidth="1"/>
    <col min="18" max="18" width="11.42578125" customWidth="1"/>
  </cols>
  <sheetData>
    <row r="1" spans="1:18">
      <c r="A1" s="1" t="s">
        <v>92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</row>
    <row r="2" spans="1:18">
      <c r="A2" s="1" t="s">
        <v>0</v>
      </c>
      <c r="B2" s="2" t="s">
        <v>1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  <c r="M2" s="3" t="s">
        <v>0</v>
      </c>
      <c r="N2" s="3" t="s">
        <v>0</v>
      </c>
      <c r="O2" s="3" t="s">
        <v>0</v>
      </c>
      <c r="P2" s="3" t="s">
        <v>0</v>
      </c>
      <c r="Q2" s="3" t="s">
        <v>0</v>
      </c>
      <c r="R2" s="3" t="s">
        <v>0</v>
      </c>
    </row>
    <row r="3" spans="1:18">
      <c r="A3" s="1" t="s">
        <v>0</v>
      </c>
      <c r="B3" s="2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4" t="s">
        <v>2</v>
      </c>
      <c r="H3" s="4" t="s">
        <v>0</v>
      </c>
      <c r="I3" s="5" t="s">
        <v>3</v>
      </c>
      <c r="J3" s="6" t="s">
        <v>0</v>
      </c>
      <c r="K3" s="6" t="s">
        <v>0</v>
      </c>
      <c r="L3" s="6" t="s">
        <v>0</v>
      </c>
      <c r="M3" s="6" t="s">
        <v>0</v>
      </c>
      <c r="N3" s="6" t="s">
        <v>0</v>
      </c>
      <c r="O3" s="6" t="s">
        <v>0</v>
      </c>
      <c r="P3" s="6" t="s">
        <v>0</v>
      </c>
      <c r="Q3" s="6" t="s">
        <v>0</v>
      </c>
      <c r="R3" s="6" t="s">
        <v>0</v>
      </c>
    </row>
    <row r="4" spans="1:18">
      <c r="A4" s="1" t="s">
        <v>0</v>
      </c>
      <c r="B4" s="2" t="s">
        <v>4</v>
      </c>
      <c r="C4" s="3" t="s">
        <v>0</v>
      </c>
      <c r="D4" s="3" t="s">
        <v>0</v>
      </c>
      <c r="E4" s="3" t="s">
        <v>0</v>
      </c>
      <c r="F4" s="3" t="s">
        <v>0</v>
      </c>
      <c r="G4" s="7">
        <v>43466</v>
      </c>
      <c r="H4" s="7">
        <v>43831</v>
      </c>
      <c r="I4" s="7">
        <v>44197</v>
      </c>
      <c r="J4" s="7">
        <v>44562</v>
      </c>
      <c r="K4" s="7">
        <v>44927</v>
      </c>
      <c r="L4" s="7">
        <v>45292</v>
      </c>
      <c r="M4" s="7">
        <v>45658</v>
      </c>
      <c r="N4" s="7">
        <v>46023</v>
      </c>
      <c r="O4" s="7">
        <v>46388</v>
      </c>
      <c r="P4" s="7">
        <v>46753</v>
      </c>
      <c r="Q4" s="7">
        <v>47119</v>
      </c>
      <c r="R4" s="7">
        <v>10959</v>
      </c>
    </row>
    <row r="5" spans="1:18">
      <c r="A5" s="1" t="s">
        <v>0</v>
      </c>
      <c r="B5" s="2" t="s">
        <v>5</v>
      </c>
      <c r="C5" s="3" t="s">
        <v>0</v>
      </c>
      <c r="D5" s="3" t="s">
        <v>0</v>
      </c>
      <c r="E5" s="3" t="s">
        <v>0</v>
      </c>
      <c r="F5" s="3" t="s">
        <v>0</v>
      </c>
      <c r="G5" s="7">
        <v>43830</v>
      </c>
      <c r="H5" s="7">
        <v>44196</v>
      </c>
      <c r="I5" s="7">
        <v>44561</v>
      </c>
      <c r="J5" s="7">
        <v>45291</v>
      </c>
      <c r="K5" s="7">
        <v>45657</v>
      </c>
      <c r="L5" s="7">
        <v>46022</v>
      </c>
      <c r="M5" s="7">
        <v>46387</v>
      </c>
      <c r="N5" s="7">
        <v>46752</v>
      </c>
      <c r="O5" s="7">
        <v>47118</v>
      </c>
      <c r="P5" s="7">
        <v>47483</v>
      </c>
      <c r="Q5" s="7">
        <v>11323</v>
      </c>
      <c r="R5" s="7">
        <v>11688</v>
      </c>
    </row>
    <row r="6" spans="1:18">
      <c r="A6" s="1" t="s">
        <v>0</v>
      </c>
      <c r="B6" s="2" t="s">
        <v>6</v>
      </c>
      <c r="C6" s="3" t="s">
        <v>0</v>
      </c>
      <c r="D6" s="3" t="s">
        <v>0</v>
      </c>
      <c r="E6" s="3" t="s">
        <v>0</v>
      </c>
      <c r="F6" s="3" t="s">
        <v>0</v>
      </c>
      <c r="G6" s="3">
        <v>2019</v>
      </c>
      <c r="H6" s="3">
        <v>2020</v>
      </c>
      <c r="I6" s="3">
        <v>2021</v>
      </c>
      <c r="J6" s="3">
        <v>2022</v>
      </c>
      <c r="K6" s="3">
        <v>2023</v>
      </c>
      <c r="L6" s="3">
        <v>2024</v>
      </c>
      <c r="M6" s="3">
        <v>2025</v>
      </c>
      <c r="N6" s="3">
        <v>2026</v>
      </c>
      <c r="O6" s="3">
        <v>2027</v>
      </c>
      <c r="P6" s="3">
        <v>2028</v>
      </c>
      <c r="Q6" s="3">
        <v>2029</v>
      </c>
      <c r="R6" s="3">
        <v>2030</v>
      </c>
    </row>
    <row r="7" spans="1:18">
      <c r="A7" s="10"/>
      <c r="B7" s="8" t="s">
        <v>93</v>
      </c>
      <c r="C7" s="8" t="s">
        <v>8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>
      <c r="A8" s="10"/>
      <c r="B8" s="10"/>
      <c r="C8" s="10"/>
      <c r="D8" s="10"/>
      <c r="E8" s="10"/>
      <c r="F8" s="10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0"/>
    </row>
    <row r="9" spans="1:18">
      <c r="A9" s="10"/>
      <c r="B9" s="10"/>
      <c r="C9" s="10"/>
      <c r="D9" s="11"/>
      <c r="E9" s="11"/>
      <c r="F9" s="11"/>
      <c r="G9" s="11"/>
      <c r="H9" s="11"/>
      <c r="I9" s="11"/>
      <c r="J9" s="11"/>
      <c r="K9" s="11"/>
      <c r="L9" s="11"/>
      <c r="M9" s="11"/>
      <c r="N9" s="10"/>
      <c r="O9" s="10"/>
      <c r="P9" s="10"/>
      <c r="Q9" s="10"/>
      <c r="R9" s="10"/>
    </row>
    <row r="10" spans="1:18">
      <c r="A10" s="12" t="s">
        <v>9</v>
      </c>
      <c r="B10" s="12" t="s">
        <v>10</v>
      </c>
      <c r="C10" s="13" t="s">
        <v>0</v>
      </c>
      <c r="D10" s="12" t="s">
        <v>0</v>
      </c>
      <c r="E10" s="12" t="s">
        <v>0</v>
      </c>
      <c r="F10" s="12" t="s">
        <v>0</v>
      </c>
      <c r="G10" s="12" t="s">
        <v>0</v>
      </c>
      <c r="H10" s="12" t="s">
        <v>0</v>
      </c>
      <c r="I10" s="12" t="s">
        <v>0</v>
      </c>
      <c r="J10" s="12" t="s">
        <v>0</v>
      </c>
      <c r="K10" s="12" t="s">
        <v>0</v>
      </c>
      <c r="L10" s="12" t="s">
        <v>0</v>
      </c>
      <c r="M10" s="12" t="s">
        <v>0</v>
      </c>
      <c r="N10" s="12" t="s">
        <v>0</v>
      </c>
      <c r="O10" s="12" t="s">
        <v>0</v>
      </c>
      <c r="P10" s="12" t="s">
        <v>0</v>
      </c>
      <c r="Q10" s="12" t="s">
        <v>0</v>
      </c>
      <c r="R10" s="12" t="s">
        <v>0</v>
      </c>
    </row>
    <row r="11" spans="1:18">
      <c r="A11" s="10"/>
      <c r="B11" s="10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0"/>
      <c r="O11" s="10"/>
      <c r="P11" s="10"/>
      <c r="Q11" s="10"/>
      <c r="R11" s="10"/>
    </row>
    <row r="12" spans="1:18">
      <c r="A12" s="10"/>
      <c r="B12" s="51" t="s">
        <v>94</v>
      </c>
      <c r="D12" s="11"/>
      <c r="E12" s="11"/>
      <c r="F12" s="11"/>
      <c r="G12" s="54">
        <v>6489</v>
      </c>
      <c r="H12" s="55">
        <v>8086</v>
      </c>
      <c r="I12" s="55">
        <f>Blizzard_Assumption!G12</f>
        <v>8894.6</v>
      </c>
      <c r="J12" s="55">
        <f>Blizzard_Assumption!H12</f>
        <v>9784.0600000000013</v>
      </c>
      <c r="K12" s="55">
        <f>Blizzard_Assumption!I12</f>
        <v>10762.466000000002</v>
      </c>
      <c r="L12" s="55">
        <f>Blizzard_Assumption!J12</f>
        <v>11838.712600000003</v>
      </c>
      <c r="M12" s="55">
        <f>Blizzard_Assumption!K12</f>
        <v>13022.583860000004</v>
      </c>
      <c r="N12" s="55">
        <f>Blizzard_Assumption!L12</f>
        <v>14064.390568800005</v>
      </c>
      <c r="O12" s="55">
        <f>Blizzard_Assumption!M12</f>
        <v>15189.541814304006</v>
      </c>
      <c r="P12" s="55">
        <f>Blizzard_Assumption!N12</f>
        <v>16404.705159448327</v>
      </c>
      <c r="Q12" s="55">
        <f>Blizzard_Assumption!O12</f>
        <v>17717.081572204195</v>
      </c>
      <c r="R12" s="55">
        <f>Blizzard_Assumption!P12</f>
        <v>19134.448097980534</v>
      </c>
    </row>
    <row r="13" spans="1:18">
      <c r="A13" s="10"/>
      <c r="B13" t="s">
        <v>12</v>
      </c>
      <c r="D13" s="11"/>
      <c r="E13" s="11"/>
      <c r="F13" s="11"/>
      <c r="G13" s="62">
        <f>Blizzard_Assumption!E18</f>
        <v>-2094</v>
      </c>
      <c r="H13" s="62">
        <f>Blizzard_Assumption!F18</f>
        <v>-2260</v>
      </c>
      <c r="I13" s="62">
        <f>Blizzard_Assumption!G18</f>
        <v>-2668.38</v>
      </c>
      <c r="J13" s="62">
        <f>Blizzard_Assumption!H18</f>
        <v>-1956.8120000000004</v>
      </c>
      <c r="K13" s="62">
        <f>Blizzard_Assumption!I18</f>
        <v>-2152.4932000000003</v>
      </c>
      <c r="L13" s="62">
        <f>Blizzard_Assumption!J18</f>
        <v>-2367.7425200000007</v>
      </c>
      <c r="M13" s="62">
        <f>Blizzard_Assumption!K18</f>
        <v>-2604.5167720000009</v>
      </c>
      <c r="N13" s="62">
        <f>Blizzard_Assumption!L18</f>
        <v>-2812.8781137600013</v>
      </c>
      <c r="O13" s="62">
        <f>Blizzard_Assumption!M18</f>
        <v>-3037.9083628608014</v>
      </c>
      <c r="P13" s="62">
        <f>Blizzard_Assumption!N18</f>
        <v>-3280.9410318896657</v>
      </c>
      <c r="Q13" s="62">
        <f>Blizzard_Assumption!O18</f>
        <v>-3543.4163144408394</v>
      </c>
      <c r="R13" s="62">
        <f>Blizzard_Assumption!P18</f>
        <v>-3826.889619596107</v>
      </c>
    </row>
    <row r="14" spans="1:18">
      <c r="A14" s="10"/>
      <c r="B14" s="51" t="s">
        <v>13</v>
      </c>
      <c r="D14" s="11"/>
      <c r="E14" s="11"/>
      <c r="F14" s="10"/>
      <c r="G14" s="63">
        <f>G12+G13</f>
        <v>4395</v>
      </c>
      <c r="H14" s="63">
        <f t="shared" ref="H14:R14" si="0">H12+H13</f>
        <v>5826</v>
      </c>
      <c r="I14" s="63">
        <f t="shared" si="0"/>
        <v>6226.22</v>
      </c>
      <c r="J14" s="63">
        <f t="shared" si="0"/>
        <v>7827.2480000000014</v>
      </c>
      <c r="K14" s="63">
        <f t="shared" si="0"/>
        <v>8609.9728000000014</v>
      </c>
      <c r="L14" s="63">
        <f t="shared" si="0"/>
        <v>9470.9700800000028</v>
      </c>
      <c r="M14" s="63">
        <f t="shared" si="0"/>
        <v>10418.067088000003</v>
      </c>
      <c r="N14" s="63">
        <f t="shared" si="0"/>
        <v>11251.512455040003</v>
      </c>
      <c r="O14" s="63">
        <f t="shared" si="0"/>
        <v>12151.633451443206</v>
      </c>
      <c r="P14" s="63">
        <f>P12+P13</f>
        <v>13123.764127558661</v>
      </c>
      <c r="Q14" s="63">
        <f t="shared" si="0"/>
        <v>14173.665257763356</v>
      </c>
      <c r="R14" s="63">
        <f t="shared" si="0"/>
        <v>15307.558478384428</v>
      </c>
    </row>
    <row r="15" spans="1:18">
      <c r="A15" s="11"/>
      <c r="D15" s="11"/>
      <c r="E15" s="11"/>
      <c r="F15" s="11"/>
      <c r="I15" s="11"/>
      <c r="J15" s="11"/>
      <c r="K15" s="11"/>
      <c r="L15" s="11"/>
      <c r="M15" s="11"/>
      <c r="N15" s="11"/>
      <c r="O15" s="11"/>
      <c r="P15" s="11"/>
      <c r="Q15" s="11"/>
      <c r="R15" s="11"/>
    </row>
    <row r="16" spans="1:18">
      <c r="A16" s="10"/>
      <c r="D16" s="11"/>
      <c r="E16" s="11"/>
      <c r="F16" s="11"/>
      <c r="I16" s="11"/>
      <c r="J16" s="11"/>
      <c r="K16" s="11"/>
      <c r="L16" s="11"/>
      <c r="M16" s="11"/>
      <c r="N16" s="10"/>
      <c r="O16" s="10"/>
      <c r="P16" s="10"/>
      <c r="Q16" s="10"/>
      <c r="R16" s="10"/>
    </row>
    <row r="17" spans="1:18">
      <c r="A17" s="70"/>
      <c r="B17" s="71" t="s">
        <v>14</v>
      </c>
      <c r="C17" s="71"/>
      <c r="D17" s="72"/>
      <c r="E17" s="72"/>
      <c r="F17" s="72"/>
      <c r="G17" s="71">
        <v>1633</v>
      </c>
      <c r="H17" s="71">
        <v>2616</v>
      </c>
      <c r="I17" s="73"/>
      <c r="J17" s="73"/>
      <c r="K17" s="73"/>
      <c r="L17" s="73"/>
      <c r="M17" s="73"/>
      <c r="N17" s="73"/>
      <c r="O17" s="73"/>
      <c r="P17" s="73"/>
      <c r="Q17" s="73"/>
      <c r="R17" s="73"/>
    </row>
    <row r="18" spans="1:18">
      <c r="A18" s="70"/>
      <c r="B18" s="71" t="s">
        <v>15</v>
      </c>
      <c r="C18" s="71"/>
      <c r="D18" s="71"/>
      <c r="E18" s="71"/>
      <c r="F18" s="71"/>
      <c r="G18" s="71">
        <v>130</v>
      </c>
      <c r="H18" s="71">
        <v>419</v>
      </c>
      <c r="I18" s="74"/>
      <c r="J18" s="74"/>
      <c r="K18" s="74"/>
      <c r="L18" s="74"/>
      <c r="M18" s="74"/>
      <c r="N18" s="74"/>
      <c r="O18" s="74"/>
      <c r="P18" s="74"/>
      <c r="Q18" s="74"/>
      <c r="R18" s="74"/>
    </row>
    <row r="19" spans="1:18">
      <c r="A19" s="70"/>
      <c r="B19" s="75" t="s">
        <v>16</v>
      </c>
      <c r="C19" s="71"/>
      <c r="D19" s="71"/>
      <c r="E19" s="71"/>
      <c r="F19" s="71"/>
      <c r="G19" s="75">
        <v>1503</v>
      </c>
      <c r="H19" s="75">
        <v>2197</v>
      </c>
      <c r="I19" s="73"/>
      <c r="J19" s="73"/>
      <c r="K19" s="73"/>
      <c r="L19" s="73"/>
      <c r="M19" s="73"/>
      <c r="N19" s="73"/>
      <c r="O19" s="73"/>
      <c r="P19" s="73"/>
      <c r="Q19" s="73"/>
      <c r="R19" s="73"/>
    </row>
    <row r="20" spans="1:18" ht="15.95">
      <c r="A20" s="10"/>
      <c r="B20" s="4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1:18" ht="15.95">
      <c r="A21" s="16" t="s">
        <v>0</v>
      </c>
      <c r="B21" s="49"/>
      <c r="C21" s="10"/>
      <c r="D21" s="11"/>
      <c r="E21" s="11"/>
      <c r="F21" s="11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</row>
    <row r="22" spans="1:18">
      <c r="A22" s="10"/>
      <c r="B22" s="10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pans="1:18">
      <c r="A23" s="11"/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 spans="1:18">
      <c r="A24" s="10"/>
      <c r="B24" s="10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>
      <c r="A25" s="16" t="s">
        <v>0</v>
      </c>
      <c r="B25" t="s">
        <v>17</v>
      </c>
      <c r="C25" s="10"/>
      <c r="D25" s="11"/>
      <c r="E25" s="11"/>
      <c r="F25" s="11"/>
      <c r="G25">
        <f>Blizzard_Assumption!E28</f>
        <v>-1658</v>
      </c>
      <c r="H25">
        <f>Blizzard_Assumption!F28</f>
        <v>-1848</v>
      </c>
      <c r="I25">
        <f>Blizzard_Assumption!G28</f>
        <v>-2152.7266142703033</v>
      </c>
      <c r="J25">
        <f>Blizzard_Assumption!H28</f>
        <v>-2302.0396378486671</v>
      </c>
      <c r="K25">
        <f>Blizzard_Assumption!I28</f>
        <v>-2568.5214024503007</v>
      </c>
      <c r="L25">
        <f>Blizzard_Assumption!J28</f>
        <v>-2805.4207522461093</v>
      </c>
      <c r="M25">
        <f>Blizzard_Assumption!K28</f>
        <v>-3096.9368622177926</v>
      </c>
      <c r="N25">
        <f>Blizzard_Assumption!L28</f>
        <v>-3338.7658324317972</v>
      </c>
      <c r="O25">
        <f>Blizzard_Assumption!M28</f>
        <v>-3609.0671275585873</v>
      </c>
      <c r="P25">
        <f>Blizzard_Assumption!N28</f>
        <v>-3896.0644823558619</v>
      </c>
      <c r="Q25">
        <f>Blizzard_Assumption!O28</f>
        <v>-4208.6827692643337</v>
      </c>
      <c r="R25">
        <f>Blizzard_Assumption!P28</f>
        <v>-4544.8735015126804</v>
      </c>
    </row>
    <row r="26" spans="1:18">
      <c r="A26" s="16" t="s">
        <v>0</v>
      </c>
      <c r="B26" t="s">
        <v>18</v>
      </c>
      <c r="C26" s="10"/>
      <c r="D26" s="11"/>
      <c r="E26" s="11"/>
      <c r="F26" s="11"/>
      <c r="G26">
        <f>Blizzard_Assumption!E29</f>
        <v>-998</v>
      </c>
      <c r="H26">
        <f>Blizzard_Assumption!F29</f>
        <v>-1150</v>
      </c>
      <c r="I26">
        <f>Blizzard_Assumption!G29</f>
        <v>-1316.4891200493144</v>
      </c>
      <c r="J26">
        <f>Blizzard_Assumption!H29</f>
        <v>-1419.8190160271231</v>
      </c>
      <c r="K26">
        <f>Blizzard_Assumption!I29</f>
        <v>-1577.3763764447531</v>
      </c>
      <c r="L26">
        <f>Blizzard_Assumption!J29</f>
        <v>-1726.5475117410238</v>
      </c>
      <c r="M26">
        <f>Blizzard_Assumption!K29</f>
        <v>-1903.9138392066388</v>
      </c>
      <c r="N26">
        <f>Blizzard_Assumption!L29</f>
        <v>-1687.7268682560004</v>
      </c>
      <c r="O26">
        <f>Blizzard_Assumption!M29</f>
        <v>-1822.7450177164806</v>
      </c>
      <c r="P26">
        <f>Blizzard_Assumption!N29</f>
        <v>-1968.5646191337992</v>
      </c>
      <c r="Q26">
        <f>Blizzard_Assumption!O29</f>
        <v>-2126.0497886645035</v>
      </c>
      <c r="R26">
        <f>Blizzard_Assumption!P29</f>
        <v>-2296.1337717576639</v>
      </c>
    </row>
    <row r="27" spans="1:18">
      <c r="A27" s="16" t="s">
        <v>0</v>
      </c>
      <c r="B27" t="s">
        <v>19</v>
      </c>
      <c r="C27" s="10"/>
      <c r="D27" s="11"/>
      <c r="E27" s="11"/>
      <c r="F27" s="11"/>
      <c r="G27">
        <f>Blizzard_Assumption!E30</f>
        <v>-132</v>
      </c>
      <c r="H27">
        <f>Blizzard_Assumption!F30</f>
        <v>-94</v>
      </c>
      <c r="I27">
        <f>Blizzard_Assumption!G30</f>
        <v>-142.16749884419789</v>
      </c>
      <c r="J27">
        <f>Blizzard_Assumption!H30</f>
        <v>-135.06212436430886</v>
      </c>
      <c r="K27">
        <f>Blizzard_Assumption!I30</f>
        <v>-160.29550520110962</v>
      </c>
      <c r="L27">
        <f>Blizzard_Assumption!J30</f>
        <v>-169.87511310101715</v>
      </c>
      <c r="M27">
        <f>Blizzard_Assumption!K30</f>
        <v>-190.41009285223078</v>
      </c>
      <c r="N27">
        <f>Blizzard_Assumption!L30</f>
        <v>-161.74049154120004</v>
      </c>
      <c r="O27">
        <f>Blizzard_Assumption!M30</f>
        <v>-174.67973086449607</v>
      </c>
      <c r="P27">
        <f>Blizzard_Assumption!N30</f>
        <v>-188.65410933365575</v>
      </c>
      <c r="Q27">
        <f>Blizzard_Assumption!O30</f>
        <v>-203.74643808034824</v>
      </c>
      <c r="R27">
        <f>Blizzard_Assumption!P30</f>
        <v>-220.04615312677615</v>
      </c>
    </row>
    <row r="28" spans="1:18">
      <c r="A28" s="16" t="s">
        <v>0</v>
      </c>
      <c r="C28" s="10"/>
      <c r="D28" s="11"/>
      <c r="E28" s="11"/>
      <c r="F28" s="11"/>
      <c r="G28" s="45"/>
      <c r="H28" s="45"/>
      <c r="I28" s="17"/>
      <c r="J28" s="17"/>
      <c r="K28" s="17"/>
      <c r="L28" s="17"/>
      <c r="M28" s="17"/>
      <c r="N28" s="17"/>
      <c r="O28" s="17"/>
      <c r="P28" s="17"/>
      <c r="Q28" s="17"/>
      <c r="R28" s="17"/>
    </row>
    <row r="29" spans="1:18">
      <c r="A29" s="10"/>
      <c r="B29" s="51" t="s">
        <v>20</v>
      </c>
      <c r="D29" s="11"/>
      <c r="E29" s="11"/>
      <c r="F29" s="11"/>
      <c r="G29" s="51">
        <f>SUM(G25:G28)</f>
        <v>-2788</v>
      </c>
      <c r="H29" s="51">
        <f t="shared" ref="H29:R29" si="1">SUM(H25:H28)</f>
        <v>-3092</v>
      </c>
      <c r="I29" s="51">
        <f t="shared" si="1"/>
        <v>-3611.3832331638155</v>
      </c>
      <c r="J29" s="51">
        <f t="shared" si="1"/>
        <v>-3856.920778240099</v>
      </c>
      <c r="K29" s="51">
        <f t="shared" si="1"/>
        <v>-4306.1932840961636</v>
      </c>
      <c r="L29" s="51">
        <f t="shared" si="1"/>
        <v>-4701.8433770881502</v>
      </c>
      <c r="M29" s="51">
        <f t="shared" si="1"/>
        <v>-5191.2607942766626</v>
      </c>
      <c r="N29" s="51">
        <f t="shared" si="1"/>
        <v>-5188.2331922289977</v>
      </c>
      <c r="O29" s="51">
        <f t="shared" si="1"/>
        <v>-5606.4918761395638</v>
      </c>
      <c r="P29" s="51">
        <f t="shared" si="1"/>
        <v>-6053.2832108233169</v>
      </c>
      <c r="Q29" s="51">
        <f t="shared" si="1"/>
        <v>-6538.4789960091857</v>
      </c>
      <c r="R29" s="51">
        <f t="shared" si="1"/>
        <v>-7061.0534263971213</v>
      </c>
    </row>
    <row r="30" spans="1:18">
      <c r="A30" s="10"/>
      <c r="B30" s="51" t="s">
        <v>21</v>
      </c>
      <c r="D30" s="11"/>
      <c r="E30" s="11"/>
      <c r="F30" s="64"/>
      <c r="G30" s="51">
        <v>1607</v>
      </c>
      <c r="H30" s="51">
        <v>2734</v>
      </c>
      <c r="I30" s="64">
        <f>I14+I29</f>
        <v>2614.8367668361848</v>
      </c>
      <c r="J30" s="64">
        <f t="shared" ref="J30:R30" si="2">J14+J29</f>
        <v>3970.3272217599024</v>
      </c>
      <c r="K30" s="64">
        <f t="shared" si="2"/>
        <v>4303.7795159038378</v>
      </c>
      <c r="L30" s="64">
        <f t="shared" si="2"/>
        <v>4769.1267029118526</v>
      </c>
      <c r="M30" s="64">
        <f t="shared" si="2"/>
        <v>5226.8062937233408</v>
      </c>
      <c r="N30" s="64">
        <f t="shared" si="2"/>
        <v>6063.2792628110055</v>
      </c>
      <c r="O30" s="64">
        <f t="shared" si="2"/>
        <v>6545.1415753036417</v>
      </c>
      <c r="P30" s="64">
        <f>P14+P29</f>
        <v>7070.4809167353442</v>
      </c>
      <c r="Q30" s="64">
        <f t="shared" si="2"/>
        <v>7635.1862617541701</v>
      </c>
      <c r="R30" s="64">
        <f t="shared" si="2"/>
        <v>8246.5050519873075</v>
      </c>
    </row>
    <row r="31" spans="1:18">
      <c r="A31" s="11"/>
      <c r="C31" s="11"/>
      <c r="D31" s="11"/>
      <c r="E31" s="11"/>
      <c r="F31" s="11"/>
      <c r="G31" s="18"/>
      <c r="H31" s="64"/>
      <c r="I31" s="15"/>
      <c r="J31" s="15"/>
      <c r="K31" s="15"/>
      <c r="L31" s="15"/>
      <c r="M31" s="15"/>
      <c r="N31" s="15"/>
      <c r="O31" s="15"/>
      <c r="P31" s="15"/>
      <c r="Q31" s="15"/>
      <c r="R31" s="15"/>
    </row>
    <row r="32" spans="1:18">
      <c r="A32" s="10"/>
      <c r="B32" s="76" t="s">
        <v>22</v>
      </c>
      <c r="C32" s="10"/>
      <c r="D32" s="11"/>
      <c r="E32" s="11"/>
      <c r="F32" s="64"/>
      <c r="G32">
        <v>1999</v>
      </c>
      <c r="H32">
        <v>3226</v>
      </c>
      <c r="I32" s="64">
        <f t="shared" ref="I32:R32" si="3">I30-I33</f>
        <v>2857.4506798796629</v>
      </c>
      <c r="J32" s="77">
        <f t="shared" si="3"/>
        <v>4175.0703355595242</v>
      </c>
      <c r="K32" s="77">
        <f t="shared" si="3"/>
        <v>4495.4204885702302</v>
      </c>
      <c r="L32" s="77">
        <f t="shared" si="3"/>
        <v>4950.4223937825464</v>
      </c>
      <c r="M32" s="77">
        <f t="shared" si="3"/>
        <v>5398.0635532289489</v>
      </c>
      <c r="N32" s="77">
        <f t="shared" si="3"/>
        <v>6224.5322447385861</v>
      </c>
      <c r="O32" s="77">
        <f t="shared" si="3"/>
        <v>6696.3940811181901</v>
      </c>
      <c r="P32" s="77">
        <f>P30-P33</f>
        <v>7220.6203260781813</v>
      </c>
      <c r="Q32" s="77">
        <f t="shared" si="3"/>
        <v>7785.201778620155</v>
      </c>
      <c r="R32" s="77">
        <f t="shared" si="3"/>
        <v>8396.5067790819558</v>
      </c>
    </row>
    <row r="33" spans="1:18">
      <c r="A33" s="10"/>
      <c r="B33" s="10" t="s">
        <v>23</v>
      </c>
      <c r="C33" s="10"/>
      <c r="D33" s="11"/>
      <c r="E33" s="11"/>
      <c r="F33" s="11"/>
      <c r="G33">
        <v>-392</v>
      </c>
      <c r="H33">
        <v>-511</v>
      </c>
      <c r="I33" s="15">
        <f>Blizzard_Assumption!G45</f>
        <v>-242.61391304347825</v>
      </c>
      <c r="J33" s="15">
        <f>Blizzard_Assumption!H45</f>
        <v>-204.74311379962194</v>
      </c>
      <c r="K33" s="15">
        <f>Blizzard_Assumption!I45</f>
        <v>-191.64097266639268</v>
      </c>
      <c r="L33" s="15">
        <f>Blizzard_Assumption!J45</f>
        <v>-181.29569087069416</v>
      </c>
      <c r="M33" s="15">
        <f>Blizzard_Assumption!K45</f>
        <v>-171.25725950560772</v>
      </c>
      <c r="N33" s="15">
        <f>Blizzard_Assumption!L45</f>
        <v>-161.25298192758069</v>
      </c>
      <c r="O33" s="15">
        <f>Blizzard_Assumption!M45</f>
        <v>-151.25250581454813</v>
      </c>
      <c r="P33" s="15">
        <f>Blizzard_Assumption!N45</f>
        <v>-150.13940934283667</v>
      </c>
      <c r="Q33" s="15">
        <f>Blizzard_Assumption!O45</f>
        <v>-150.01551686598529</v>
      </c>
      <c r="R33" s="15">
        <f>Blizzard_Assumption!P45</f>
        <v>-150.00172709464883</v>
      </c>
    </row>
    <row r="34" spans="1:18">
      <c r="A34" s="10"/>
      <c r="B34" s="10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</row>
    <row r="35" spans="1:18">
      <c r="A35" s="11"/>
      <c r="B35" s="76" t="s">
        <v>24</v>
      </c>
      <c r="C35" s="11"/>
      <c r="D35" s="11"/>
      <c r="E35" s="11"/>
      <c r="F35" s="11"/>
      <c r="G35" s="51">
        <v>1607</v>
      </c>
      <c r="H35" s="51">
        <v>2715</v>
      </c>
      <c r="I35" s="18">
        <f>I32+I33</f>
        <v>2614.8367668361848</v>
      </c>
      <c r="J35" s="18">
        <f t="shared" ref="J35:R35" si="4">J32+J33</f>
        <v>3970.3272217599024</v>
      </c>
      <c r="K35" s="18">
        <f t="shared" si="4"/>
        <v>4303.7795159038378</v>
      </c>
      <c r="L35" s="18">
        <f t="shared" si="4"/>
        <v>4769.1267029118526</v>
      </c>
      <c r="M35" s="18">
        <f t="shared" si="4"/>
        <v>5226.8062937233408</v>
      </c>
      <c r="N35" s="18">
        <f t="shared" si="4"/>
        <v>6063.2792628110055</v>
      </c>
      <c r="O35" s="18">
        <f t="shared" si="4"/>
        <v>6545.1415753036417</v>
      </c>
      <c r="P35" s="18">
        <f>P32+P33</f>
        <v>7070.4809167353442</v>
      </c>
      <c r="Q35" s="18">
        <f t="shared" si="4"/>
        <v>7635.1862617541701</v>
      </c>
      <c r="R35" s="18">
        <f t="shared" si="4"/>
        <v>8246.5050519873075</v>
      </c>
    </row>
    <row r="36" spans="1:18">
      <c r="A36" s="10"/>
      <c r="B36" s="10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0"/>
      <c r="O36" s="10"/>
      <c r="P36" s="10"/>
      <c r="Q36" s="10"/>
      <c r="R36" s="10"/>
    </row>
    <row r="37" spans="1:18">
      <c r="A37" s="10"/>
      <c r="B37" s="10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0"/>
      <c r="O37" s="10"/>
      <c r="P37" s="10"/>
      <c r="Q37" s="10"/>
      <c r="R37" s="10"/>
    </row>
    <row r="38" spans="1:18">
      <c r="A38" s="12" t="s">
        <v>9</v>
      </c>
      <c r="B38" s="12" t="s">
        <v>25</v>
      </c>
      <c r="C38" s="13" t="s">
        <v>0</v>
      </c>
      <c r="D38" s="12" t="s">
        <v>0</v>
      </c>
      <c r="E38" s="12" t="s">
        <v>0</v>
      </c>
      <c r="F38" s="12" t="s">
        <v>0</v>
      </c>
      <c r="G38" s="12" t="s">
        <v>0</v>
      </c>
      <c r="H38" s="12" t="s">
        <v>0</v>
      </c>
      <c r="I38" s="12" t="s">
        <v>0</v>
      </c>
      <c r="J38" s="12" t="s">
        <v>0</v>
      </c>
      <c r="K38" s="12" t="s">
        <v>0</v>
      </c>
      <c r="L38" s="12" t="s">
        <v>0</v>
      </c>
      <c r="M38" s="12" t="s">
        <v>0</v>
      </c>
      <c r="N38" s="12" t="s">
        <v>0</v>
      </c>
      <c r="O38" s="12" t="s">
        <v>0</v>
      </c>
      <c r="P38" s="12" t="s">
        <v>0</v>
      </c>
      <c r="Q38" s="12" t="s">
        <v>0</v>
      </c>
      <c r="R38" s="12" t="s">
        <v>0</v>
      </c>
    </row>
    <row r="39" spans="1:18">
      <c r="A39" s="10"/>
      <c r="B39" s="10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0"/>
      <c r="O39" s="10"/>
      <c r="P39" s="10"/>
      <c r="Q39" s="10"/>
      <c r="R39" s="10"/>
    </row>
    <row r="40" spans="1:18">
      <c r="A40" s="10"/>
      <c r="B40" s="19" t="s">
        <v>26</v>
      </c>
      <c r="C40" s="10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0"/>
      <c r="O40" s="10"/>
      <c r="P40" s="10"/>
      <c r="Q40" s="10"/>
      <c r="R40" s="10"/>
    </row>
    <row r="41" spans="1:18">
      <c r="A41" s="10"/>
      <c r="B41" s="10"/>
      <c r="C41" s="10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0"/>
      <c r="O41" s="10"/>
      <c r="P41" s="10"/>
      <c r="Q41" s="10"/>
      <c r="R41" s="10"/>
    </row>
    <row r="42" spans="1:18">
      <c r="A42" s="20" t="s">
        <v>0</v>
      </c>
      <c r="B42" s="10" t="s">
        <v>27</v>
      </c>
      <c r="C42" s="10"/>
      <c r="D42" s="11"/>
      <c r="E42" s="11"/>
      <c r="F42" s="11"/>
      <c r="G42" s="15">
        <v>5794</v>
      </c>
      <c r="H42" s="10">
        <v>8647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1:18">
      <c r="A43" s="21" t="s">
        <v>0</v>
      </c>
      <c r="B43" s="10" t="s">
        <v>28</v>
      </c>
      <c r="C43" s="10"/>
      <c r="D43" s="11"/>
      <c r="E43" s="11"/>
      <c r="F43" s="11"/>
      <c r="G43" s="10">
        <v>848</v>
      </c>
      <c r="H43" s="10">
        <v>1052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>
      <c r="A44" s="21" t="s">
        <v>0</v>
      </c>
      <c r="B44" s="10" t="s">
        <v>29</v>
      </c>
      <c r="C44" s="10"/>
      <c r="D44" s="11"/>
      <c r="E44" s="11"/>
      <c r="F44" s="11"/>
      <c r="G44" s="10">
        <v>322</v>
      </c>
      <c r="H44" s="10">
        <v>352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1:18">
      <c r="A45" s="10"/>
      <c r="B45" s="10" t="s">
        <v>30</v>
      </c>
      <c r="C45" s="10"/>
      <c r="D45" s="11"/>
      <c r="E45" s="11"/>
      <c r="F45" s="11"/>
      <c r="G45" s="14">
        <v>328</v>
      </c>
      <c r="H45" s="14">
        <v>514</v>
      </c>
      <c r="I45" s="14" t="s">
        <v>0</v>
      </c>
      <c r="J45" s="14" t="s">
        <v>0</v>
      </c>
      <c r="K45" s="14" t="s">
        <v>0</v>
      </c>
      <c r="L45" s="14" t="s">
        <v>0</v>
      </c>
      <c r="M45" s="14" t="s">
        <v>0</v>
      </c>
      <c r="N45" s="14" t="s">
        <v>0</v>
      </c>
      <c r="O45" s="14" t="s">
        <v>0</v>
      </c>
      <c r="P45" s="14" t="s">
        <v>0</v>
      </c>
      <c r="Q45" s="14" t="s">
        <v>0</v>
      </c>
      <c r="R45" s="14" t="s">
        <v>0</v>
      </c>
    </row>
    <row r="46" spans="1:18">
      <c r="A46" s="10"/>
      <c r="B46" s="11" t="s">
        <v>31</v>
      </c>
      <c r="C46" s="10"/>
      <c r="D46" s="11"/>
      <c r="E46" s="11"/>
      <c r="F46" s="11"/>
      <c r="G46" s="11">
        <f>SUM(G42:G45)</f>
        <v>7292</v>
      </c>
      <c r="H46" s="11">
        <f>SUM(H42:H45)</f>
        <v>10565</v>
      </c>
      <c r="I46" s="11" t="s">
        <v>32</v>
      </c>
      <c r="J46" s="11" t="s">
        <v>32</v>
      </c>
      <c r="K46" s="11" t="s">
        <v>32</v>
      </c>
      <c r="L46" s="11" t="s">
        <v>32</v>
      </c>
      <c r="M46" s="11" t="s">
        <v>32</v>
      </c>
      <c r="N46" s="10"/>
      <c r="O46" s="10"/>
      <c r="P46" s="10"/>
      <c r="Q46" s="10"/>
      <c r="R46" s="10"/>
    </row>
    <row r="47" spans="1:18">
      <c r="A47" s="10"/>
      <c r="B47" s="10" t="s">
        <v>33</v>
      </c>
      <c r="C47" s="10"/>
      <c r="D47" s="11"/>
      <c r="E47" s="11"/>
      <c r="F47" s="11"/>
      <c r="G47" s="10">
        <v>1293</v>
      </c>
      <c r="H47" s="10">
        <v>1318</v>
      </c>
      <c r="I47" s="10"/>
      <c r="K47" s="10"/>
      <c r="L47" s="10"/>
      <c r="M47" s="10"/>
      <c r="N47" s="10"/>
      <c r="O47" s="10"/>
      <c r="P47" s="10"/>
      <c r="Q47" s="10"/>
      <c r="R47" s="10"/>
    </row>
    <row r="48" spans="1:18">
      <c r="A48" s="10"/>
      <c r="B48" s="10" t="s">
        <v>34</v>
      </c>
      <c r="C48" s="10"/>
      <c r="D48" s="11"/>
      <c r="E48" s="11"/>
      <c r="F48" s="11"/>
      <c r="G48" s="10">
        <v>54</v>
      </c>
      <c r="H48" s="10">
        <v>160</v>
      </c>
      <c r="I48" s="10"/>
      <c r="K48" s="10"/>
      <c r="L48" s="10"/>
      <c r="M48" s="10"/>
      <c r="N48" s="10"/>
      <c r="O48" s="10"/>
      <c r="P48" s="10"/>
      <c r="Q48" s="10"/>
      <c r="R48" s="10"/>
    </row>
    <row r="49" spans="1:18">
      <c r="A49" s="10"/>
      <c r="B49" s="10" t="s">
        <v>35</v>
      </c>
      <c r="C49" s="10"/>
      <c r="D49" s="11"/>
      <c r="E49" s="11"/>
      <c r="F49" s="11"/>
      <c r="G49" s="14">
        <v>253</v>
      </c>
      <c r="H49" s="14">
        <v>209</v>
      </c>
      <c r="I49" s="14" t="s">
        <v>0</v>
      </c>
      <c r="K49" s="14" t="s">
        <v>0</v>
      </c>
      <c r="L49" s="14" t="s">
        <v>0</v>
      </c>
      <c r="M49" s="14" t="s">
        <v>0</v>
      </c>
      <c r="N49" s="10"/>
      <c r="O49" s="10"/>
      <c r="P49" s="10"/>
      <c r="Q49" s="10"/>
      <c r="R49" s="10"/>
    </row>
    <row r="50" spans="1:18">
      <c r="A50" s="10"/>
      <c r="B50" s="10" t="s">
        <v>36</v>
      </c>
      <c r="C50" s="10"/>
      <c r="D50" s="10"/>
      <c r="E50" s="10"/>
      <c r="F50" s="10"/>
      <c r="G50" s="10">
        <f>658+531</f>
        <v>1189</v>
      </c>
      <c r="H50" s="10">
        <f>641+451</f>
        <v>1092</v>
      </c>
      <c r="I50" s="11"/>
      <c r="K50" s="11"/>
      <c r="L50" s="11"/>
      <c r="M50" s="11"/>
      <c r="N50" s="10"/>
      <c r="O50" s="10"/>
      <c r="P50" s="10"/>
      <c r="Q50" s="10"/>
      <c r="R50" s="10"/>
    </row>
    <row r="51" spans="1:18">
      <c r="A51" s="10"/>
      <c r="B51" s="10" t="s">
        <v>37</v>
      </c>
      <c r="C51" s="10"/>
      <c r="D51" s="11"/>
      <c r="E51" s="11"/>
      <c r="F51" s="11"/>
      <c r="G51" s="10">
        <v>9764</v>
      </c>
      <c r="H51" s="10">
        <v>9765</v>
      </c>
      <c r="I51" s="10"/>
      <c r="K51" s="10"/>
      <c r="L51" s="10"/>
      <c r="M51" s="10"/>
      <c r="N51" s="10"/>
      <c r="O51" s="10"/>
      <c r="P51" s="10"/>
      <c r="Q51" s="10"/>
      <c r="R51" s="10"/>
    </row>
    <row r="52" spans="1:18">
      <c r="A52" s="10"/>
      <c r="B52" s="11" t="s">
        <v>38</v>
      </c>
      <c r="C52" s="10"/>
      <c r="D52" s="11"/>
      <c r="E52" s="11"/>
      <c r="F52" s="11"/>
      <c r="G52" s="18">
        <f>SUM(G46:G51)</f>
        <v>19845</v>
      </c>
      <c r="H52" s="11">
        <f>SUM(H46:H51)</f>
        <v>23109</v>
      </c>
      <c r="I52" s="11" t="s">
        <v>32</v>
      </c>
      <c r="J52" s="11" t="s">
        <v>32</v>
      </c>
      <c r="K52" s="11" t="s">
        <v>32</v>
      </c>
      <c r="L52" s="11" t="s">
        <v>32</v>
      </c>
      <c r="M52" s="11" t="s">
        <v>32</v>
      </c>
      <c r="N52" s="10"/>
      <c r="O52" s="10"/>
      <c r="P52" s="10"/>
      <c r="Q52" s="10"/>
      <c r="R52" s="10"/>
    </row>
    <row r="53" spans="1:18">
      <c r="A53" s="10"/>
      <c r="B53" s="42" t="s">
        <v>39</v>
      </c>
      <c r="C53" s="10"/>
      <c r="D53" s="11"/>
      <c r="E53" s="11"/>
      <c r="F53" s="11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spans="1:18">
      <c r="A54" s="21" t="s">
        <v>0</v>
      </c>
      <c r="B54" s="10"/>
      <c r="C54" s="10"/>
      <c r="D54" s="11"/>
      <c r="E54" s="11"/>
      <c r="F54" s="11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spans="1:18">
      <c r="A55" s="20" t="s">
        <v>0</v>
      </c>
      <c r="B55" t="s">
        <v>40</v>
      </c>
      <c r="G55">
        <v>292</v>
      </c>
      <c r="H55">
        <v>295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spans="1:18">
      <c r="A56" s="10"/>
      <c r="B56" t="s">
        <v>41</v>
      </c>
      <c r="G56">
        <v>1375</v>
      </c>
      <c r="H56">
        <v>1689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1:18">
      <c r="A57" s="10"/>
      <c r="B57" t="s">
        <v>42</v>
      </c>
      <c r="G57">
        <v>1248</v>
      </c>
      <c r="H57">
        <v>1116</v>
      </c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18">
      <c r="A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>
      <c r="A59" s="10"/>
      <c r="C59" s="10"/>
      <c r="D59" s="11"/>
      <c r="E59" s="11"/>
      <c r="F59" s="11"/>
      <c r="G59" s="14"/>
      <c r="H59" s="14"/>
      <c r="I59" s="14" t="s">
        <v>0</v>
      </c>
      <c r="J59" s="14" t="s">
        <v>0</v>
      </c>
      <c r="K59" s="14" t="s">
        <v>0</v>
      </c>
      <c r="L59" s="14" t="s">
        <v>0</v>
      </c>
      <c r="M59" s="14" t="s">
        <v>0</v>
      </c>
      <c r="N59" s="10"/>
      <c r="O59" s="10"/>
      <c r="P59" s="10"/>
      <c r="Q59" s="10"/>
      <c r="R59" s="10"/>
    </row>
    <row r="60" spans="1:18">
      <c r="A60" s="10"/>
      <c r="B60" s="11" t="s">
        <v>43</v>
      </c>
      <c r="C60" s="10"/>
      <c r="D60" s="11"/>
      <c r="E60" s="11"/>
      <c r="F60" s="11"/>
      <c r="G60" s="11">
        <f>SUM(G55:G57)</f>
        <v>2915</v>
      </c>
      <c r="H60" s="11">
        <f>SUM(H55:H57)</f>
        <v>3100</v>
      </c>
      <c r="I60" s="11" t="s">
        <v>32</v>
      </c>
      <c r="J60" s="11" t="s">
        <v>32</v>
      </c>
      <c r="K60" s="11" t="s">
        <v>32</v>
      </c>
      <c r="L60" s="11" t="s">
        <v>32</v>
      </c>
      <c r="M60" s="11" t="s">
        <v>32</v>
      </c>
      <c r="N60" s="10"/>
      <c r="O60" s="10"/>
      <c r="P60" s="10"/>
      <c r="Q60" s="10"/>
      <c r="R60" s="10"/>
    </row>
    <row r="61" spans="1:18">
      <c r="A61" s="10"/>
      <c r="B61" s="11" t="s">
        <v>44</v>
      </c>
      <c r="C61" s="11"/>
      <c r="D61" s="11"/>
      <c r="E61" s="11"/>
      <c r="F61" s="11"/>
      <c r="G61" s="11">
        <v>2675</v>
      </c>
      <c r="H61" s="11">
        <v>3605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>
      <c r="A62" s="10"/>
      <c r="B62" s="10" t="s">
        <v>45</v>
      </c>
      <c r="C62" s="10"/>
      <c r="D62" s="11"/>
      <c r="E62" s="11"/>
      <c r="F62" s="11"/>
      <c r="G62" s="10">
        <v>505</v>
      </c>
      <c r="H62" s="10">
        <v>418</v>
      </c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>
      <c r="A63" s="10"/>
      <c r="B63" s="10" t="s">
        <v>46</v>
      </c>
      <c r="C63" s="10"/>
      <c r="D63" s="11"/>
      <c r="E63" s="11"/>
      <c r="F63" s="11"/>
      <c r="G63" s="14">
        <v>945</v>
      </c>
      <c r="H63" s="14">
        <v>949</v>
      </c>
      <c r="I63" s="14" t="s">
        <v>0</v>
      </c>
      <c r="J63" s="14" t="s">
        <v>0</v>
      </c>
      <c r="K63" s="14" t="s">
        <v>0</v>
      </c>
      <c r="L63" s="14" t="s">
        <v>0</v>
      </c>
      <c r="M63" s="14" t="s">
        <v>0</v>
      </c>
      <c r="N63" s="10"/>
      <c r="O63" s="10"/>
      <c r="P63" s="10"/>
      <c r="Q63" s="10"/>
      <c r="R63" s="10"/>
    </row>
    <row r="64" spans="1:18">
      <c r="A64" s="10"/>
      <c r="B64" s="11" t="s">
        <v>47</v>
      </c>
      <c r="C64" s="10"/>
      <c r="D64" s="11"/>
      <c r="E64" s="11"/>
      <c r="F64" s="11"/>
      <c r="G64" s="11">
        <f>SUM(G61:G63)</f>
        <v>4125</v>
      </c>
      <c r="H64" s="11">
        <f>SUM(H61:H63)</f>
        <v>4972</v>
      </c>
      <c r="I64" s="11" t="s">
        <v>32</v>
      </c>
      <c r="J64" s="11" t="s">
        <v>32</v>
      </c>
      <c r="K64" s="11" t="s">
        <v>32</v>
      </c>
      <c r="L64" s="11" t="s">
        <v>32</v>
      </c>
      <c r="M64" s="11" t="s">
        <v>32</v>
      </c>
      <c r="N64" s="10"/>
      <c r="O64" s="10"/>
      <c r="P64" s="10"/>
      <c r="Q64" s="10"/>
      <c r="R64" s="10"/>
    </row>
    <row r="65" spans="1:18">
      <c r="A65" s="10"/>
      <c r="B65" s="10"/>
      <c r="C65" s="10"/>
      <c r="D65" s="11"/>
      <c r="E65" s="11"/>
      <c r="F65" s="11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>
      <c r="A66" s="10"/>
      <c r="B66" s="11" t="s">
        <v>48</v>
      </c>
      <c r="C66" s="10"/>
      <c r="D66" s="11"/>
      <c r="E66" s="11"/>
      <c r="F66" s="11"/>
      <c r="G66" s="11">
        <f>G60+G64</f>
        <v>7040</v>
      </c>
      <c r="H66" s="11">
        <f>H60+H64</f>
        <v>8072</v>
      </c>
      <c r="I66" s="11" t="s">
        <v>32</v>
      </c>
      <c r="J66" s="11" t="s">
        <v>32</v>
      </c>
      <c r="K66" s="11" t="s">
        <v>32</v>
      </c>
      <c r="L66" s="11" t="s">
        <v>32</v>
      </c>
      <c r="M66" s="11" t="s">
        <v>32</v>
      </c>
      <c r="N66" s="10"/>
      <c r="O66" s="10"/>
      <c r="P66" s="10"/>
      <c r="Q66" s="10"/>
      <c r="R66" s="10"/>
    </row>
    <row r="67" spans="1:18">
      <c r="A67" s="10"/>
      <c r="B67" s="43" t="s">
        <v>49</v>
      </c>
      <c r="C67" s="43"/>
      <c r="D67" s="41"/>
      <c r="E67" s="41"/>
      <c r="F67" s="41"/>
      <c r="G67" s="43"/>
      <c r="H67" s="43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1:18">
      <c r="A68" s="10"/>
      <c r="B68" s="43" t="s">
        <v>50</v>
      </c>
      <c r="C68" s="43"/>
      <c r="D68" s="41"/>
      <c r="E68" s="41"/>
      <c r="F68" s="41"/>
      <c r="G68" s="43">
        <f>11174-(5563)</f>
        <v>5611</v>
      </c>
      <c r="H68" s="47">
        <f>11531-5563</f>
        <v>5968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1:18">
      <c r="A69" s="10"/>
      <c r="B69" s="43" t="s">
        <v>51</v>
      </c>
      <c r="C69" s="43"/>
      <c r="D69" s="41"/>
      <c r="E69" s="41"/>
      <c r="F69" s="41"/>
      <c r="G69" s="43">
        <v>7813</v>
      </c>
      <c r="H69" s="43">
        <v>9691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1:18">
      <c r="A70" s="10"/>
      <c r="B70" s="43" t="s">
        <v>52</v>
      </c>
      <c r="C70" s="43"/>
      <c r="D70" s="41"/>
      <c r="E70" s="41"/>
      <c r="F70" s="41"/>
      <c r="G70" s="45">
        <v>-619</v>
      </c>
      <c r="H70" s="46">
        <v>-622</v>
      </c>
      <c r="I70" s="14" t="s">
        <v>0</v>
      </c>
      <c r="J70" s="14" t="s">
        <v>0</v>
      </c>
      <c r="K70" s="14" t="s">
        <v>0</v>
      </c>
      <c r="L70" s="14" t="s">
        <v>0</v>
      </c>
      <c r="M70" s="14" t="s">
        <v>0</v>
      </c>
      <c r="N70" s="10"/>
      <c r="O70" s="10"/>
      <c r="P70" s="10"/>
      <c r="Q70" s="10"/>
      <c r="R70" s="10"/>
    </row>
    <row r="71" spans="1:18">
      <c r="A71" s="10"/>
      <c r="B71" s="11" t="s">
        <v>53</v>
      </c>
      <c r="C71" s="10"/>
      <c r="D71" s="11"/>
      <c r="E71" s="11"/>
      <c r="F71" s="11"/>
      <c r="G71" s="18">
        <f>SUM(G68:G70)</f>
        <v>12805</v>
      </c>
      <c r="H71" s="18">
        <f>SUM(H68:H70)</f>
        <v>15037</v>
      </c>
      <c r="I71" s="10" t="s">
        <v>32</v>
      </c>
      <c r="J71" s="10" t="s">
        <v>32</v>
      </c>
      <c r="K71" s="10" t="s">
        <v>32</v>
      </c>
      <c r="L71" s="10" t="s">
        <v>32</v>
      </c>
      <c r="M71" s="10" t="s">
        <v>32</v>
      </c>
      <c r="N71" s="10"/>
      <c r="O71" s="10"/>
      <c r="P71" s="10"/>
      <c r="Q71" s="10"/>
      <c r="R71" s="10"/>
    </row>
    <row r="72" spans="1:18">
      <c r="A72" s="10"/>
      <c r="B72" s="10"/>
      <c r="C72" s="10"/>
      <c r="D72" s="11"/>
      <c r="E72" s="11"/>
      <c r="F72" s="11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1:18">
      <c r="A73" s="11"/>
      <c r="B73" s="11"/>
      <c r="C73" s="11"/>
      <c r="D73" s="11"/>
      <c r="E73" s="11"/>
      <c r="F73" s="11"/>
      <c r="G73" s="11" t="s">
        <v>54</v>
      </c>
      <c r="H73" s="11" t="s">
        <v>32</v>
      </c>
      <c r="I73" s="11" t="s">
        <v>32</v>
      </c>
      <c r="J73" s="11" t="s">
        <v>32</v>
      </c>
      <c r="K73" s="11" t="s">
        <v>32</v>
      </c>
      <c r="L73" s="11" t="s">
        <v>32</v>
      </c>
      <c r="M73" s="11" t="s">
        <v>32</v>
      </c>
      <c r="N73" s="11"/>
      <c r="O73" s="11"/>
      <c r="P73" s="11"/>
      <c r="Q73" s="11"/>
      <c r="R73" s="11"/>
    </row>
    <row r="74" spans="1:18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1:18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pans="1:18">
      <c r="A76" s="12" t="s">
        <v>9</v>
      </c>
      <c r="B76" s="12" t="s">
        <v>55</v>
      </c>
      <c r="C76" s="13" t="s">
        <v>0</v>
      </c>
      <c r="D76" s="12" t="s">
        <v>0</v>
      </c>
      <c r="E76" s="12" t="s">
        <v>0</v>
      </c>
      <c r="F76" s="12" t="s">
        <v>0</v>
      </c>
      <c r="G76" s="12" t="s">
        <v>0</v>
      </c>
      <c r="H76" s="12" t="s">
        <v>0</v>
      </c>
      <c r="I76" s="12" t="s">
        <v>0</v>
      </c>
      <c r="J76" s="12" t="s">
        <v>0</v>
      </c>
      <c r="K76" s="12" t="s">
        <v>0</v>
      </c>
      <c r="L76" s="12" t="s">
        <v>0</v>
      </c>
      <c r="M76" s="12" t="s">
        <v>0</v>
      </c>
      <c r="N76" s="12" t="s">
        <v>0</v>
      </c>
      <c r="O76" s="12" t="s">
        <v>0</v>
      </c>
      <c r="P76" s="12" t="s">
        <v>0</v>
      </c>
      <c r="Q76" s="12" t="s">
        <v>0</v>
      </c>
      <c r="R76" s="12" t="s">
        <v>0</v>
      </c>
    </row>
    <row r="77" spans="1:18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 spans="1:18">
      <c r="A78" s="10"/>
      <c r="B78" s="10" t="s">
        <v>24</v>
      </c>
      <c r="C78" s="22">
        <v>0</v>
      </c>
      <c r="D78" s="10"/>
      <c r="E78" s="10"/>
      <c r="F78" s="10"/>
      <c r="G78" s="24">
        <f>G35</f>
        <v>1607</v>
      </c>
      <c r="H78" s="24">
        <f t="shared" ref="H78:R78" si="5">H35</f>
        <v>2715</v>
      </c>
      <c r="I78" s="24">
        <f t="shared" si="5"/>
        <v>2614.8367668361848</v>
      </c>
      <c r="J78" s="24">
        <f t="shared" si="5"/>
        <v>3970.3272217599024</v>
      </c>
      <c r="K78" s="24">
        <f t="shared" si="5"/>
        <v>4303.7795159038378</v>
      </c>
      <c r="L78" s="24">
        <f t="shared" si="5"/>
        <v>4769.1267029118526</v>
      </c>
      <c r="M78" s="24">
        <f>M35</f>
        <v>5226.8062937233408</v>
      </c>
      <c r="N78" s="24">
        <f t="shared" si="5"/>
        <v>6063.2792628110055</v>
      </c>
      <c r="O78" s="24">
        <f t="shared" si="5"/>
        <v>6545.1415753036417</v>
      </c>
      <c r="P78" s="24">
        <f t="shared" si="5"/>
        <v>7070.4809167353442</v>
      </c>
      <c r="Q78" s="24">
        <f t="shared" si="5"/>
        <v>7635.1862617541701</v>
      </c>
      <c r="R78" s="24">
        <f t="shared" si="5"/>
        <v>8246.5050519873075</v>
      </c>
    </row>
    <row r="79" spans="1:18">
      <c r="A79" s="10"/>
      <c r="B79" s="10"/>
      <c r="C79" s="10"/>
      <c r="D79" s="10"/>
      <c r="E79" s="10"/>
      <c r="F79" s="10"/>
      <c r="G79" s="23" t="s">
        <v>0</v>
      </c>
      <c r="H79" s="23" t="s">
        <v>0</v>
      </c>
      <c r="I79" s="10"/>
      <c r="J79" s="10"/>
      <c r="K79" s="10"/>
      <c r="L79" s="10"/>
      <c r="M79" s="10"/>
      <c r="N79" s="10"/>
      <c r="O79" s="10"/>
      <c r="P79" s="10"/>
      <c r="Q79" s="10"/>
      <c r="R79" s="10"/>
    </row>
    <row r="80" spans="1:18">
      <c r="A80" s="10"/>
      <c r="B80" s="10" t="s">
        <v>56</v>
      </c>
      <c r="C80" s="25">
        <v>0.3</v>
      </c>
      <c r="D80" s="10"/>
      <c r="E80" s="10"/>
      <c r="F80" s="10"/>
      <c r="G80" s="23"/>
      <c r="H80" s="23" t="s">
        <v>0</v>
      </c>
      <c r="I80" s="10"/>
      <c r="J80" s="10"/>
      <c r="K80" s="10"/>
      <c r="L80" s="10"/>
      <c r="M80" s="10"/>
      <c r="N80" s="10"/>
      <c r="O80" s="10"/>
      <c r="P80" s="10"/>
      <c r="Q80" s="10"/>
      <c r="R80" s="10"/>
    </row>
    <row r="81" spans="1:18">
      <c r="A81" s="10"/>
      <c r="B81" s="10"/>
      <c r="C81" s="10"/>
      <c r="D81" s="10"/>
      <c r="E81" s="10"/>
      <c r="F81" s="10"/>
      <c r="G81" s="23" t="s">
        <v>0</v>
      </c>
      <c r="H81" s="23" t="s">
        <v>0</v>
      </c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pans="1:18">
      <c r="A82" s="10"/>
      <c r="B82" s="10" t="s">
        <v>57</v>
      </c>
      <c r="C82" s="10"/>
      <c r="D82" s="10"/>
      <c r="E82" s="10"/>
      <c r="F82" s="10"/>
      <c r="G82" s="24">
        <f>G78*(1-$C$80)</f>
        <v>1124.8999999999999</v>
      </c>
      <c r="H82" s="24">
        <f>H78*(1-$C$80)</f>
        <v>1900.4999999999998</v>
      </c>
      <c r="I82" s="24">
        <f t="shared" ref="I82:R82" si="6">I78*(1-$C$80)</f>
        <v>1830.3857367853293</v>
      </c>
      <c r="J82" s="24">
        <f t="shared" si="6"/>
        <v>2779.2290552319314</v>
      </c>
      <c r="K82" s="24">
        <f t="shared" si="6"/>
        <v>3012.6456611326862</v>
      </c>
      <c r="L82" s="24">
        <f t="shared" si="6"/>
        <v>3338.3886920382965</v>
      </c>
      <c r="M82" s="24">
        <f t="shared" si="6"/>
        <v>3658.7644056063382</v>
      </c>
      <c r="N82" s="24">
        <f t="shared" si="6"/>
        <v>4244.2954839677041</v>
      </c>
      <c r="O82" s="24">
        <f t="shared" si="6"/>
        <v>4581.5991027125492</v>
      </c>
      <c r="P82" s="24">
        <f t="shared" si="6"/>
        <v>4949.3366417147408</v>
      </c>
      <c r="Q82" s="24">
        <f t="shared" si="6"/>
        <v>5344.6303832279191</v>
      </c>
      <c r="R82" s="24">
        <f t="shared" si="6"/>
        <v>5772.5535363911149</v>
      </c>
    </row>
    <row r="83" spans="1:18">
      <c r="A83" s="26" t="s">
        <v>58</v>
      </c>
      <c r="B83" s="10" t="s">
        <v>59</v>
      </c>
      <c r="C83" s="10"/>
      <c r="D83" s="10"/>
      <c r="E83" s="10"/>
      <c r="F83" s="10"/>
      <c r="G83" s="24">
        <f>G33*-1</f>
        <v>392</v>
      </c>
      <c r="H83" s="24">
        <f t="shared" ref="H83:R83" si="7">H33*-1</f>
        <v>511</v>
      </c>
      <c r="I83" s="24">
        <f t="shared" si="7"/>
        <v>242.61391304347825</v>
      </c>
      <c r="J83" s="24">
        <f t="shared" si="7"/>
        <v>204.74311379962194</v>
      </c>
      <c r="K83" s="24">
        <f t="shared" si="7"/>
        <v>191.64097266639268</v>
      </c>
      <c r="L83" s="24">
        <f t="shared" si="7"/>
        <v>181.29569087069416</v>
      </c>
      <c r="M83" s="24">
        <f t="shared" si="7"/>
        <v>171.25725950560772</v>
      </c>
      <c r="N83" s="24">
        <f t="shared" si="7"/>
        <v>161.25298192758069</v>
      </c>
      <c r="O83" s="24">
        <f t="shared" si="7"/>
        <v>151.25250581454813</v>
      </c>
      <c r="P83" s="24">
        <f t="shared" si="7"/>
        <v>150.13940934283667</v>
      </c>
      <c r="Q83" s="24">
        <f t="shared" si="7"/>
        <v>150.01551686598529</v>
      </c>
      <c r="R83" s="24">
        <f t="shared" si="7"/>
        <v>150.00172709464883</v>
      </c>
    </row>
    <row r="84" spans="1:18">
      <c r="A84" s="26" t="s">
        <v>60</v>
      </c>
      <c r="B84" s="10" t="s">
        <v>61</v>
      </c>
      <c r="C84" s="10"/>
      <c r="D84" s="10"/>
      <c r="E84" s="10"/>
      <c r="F84" s="10"/>
      <c r="G84" s="23">
        <f>0</f>
        <v>0</v>
      </c>
      <c r="H84" s="24">
        <f>-1*Blizzard_Assumption!F44</f>
        <v>-209</v>
      </c>
      <c r="I84" s="24">
        <f>-1*Blizzard_Assumption!G44</f>
        <v>-200</v>
      </c>
      <c r="J84" s="24">
        <f>-1*Blizzard_Assumption!H44</f>
        <v>-190</v>
      </c>
      <c r="K84" s="24">
        <f>-1*Blizzard_Assumption!I44</f>
        <v>-180</v>
      </c>
      <c r="L84" s="24">
        <f>-1*Blizzard_Assumption!J44</f>
        <v>-170</v>
      </c>
      <c r="M84" s="24">
        <f>-1*Blizzard_Assumption!K44</f>
        <v>-160</v>
      </c>
      <c r="N84" s="24">
        <f>-1*Blizzard_Assumption!L44</f>
        <v>-150</v>
      </c>
      <c r="O84" s="24">
        <f>-1*Blizzard_Assumption!M44</f>
        <v>-150</v>
      </c>
      <c r="P84" s="24">
        <f>-1*Blizzard_Assumption!N44</f>
        <v>-150</v>
      </c>
      <c r="Q84" s="24">
        <f>-1*Blizzard_Assumption!O44</f>
        <v>-150</v>
      </c>
      <c r="R84" s="24">
        <f>-1*Blizzard_Assumption!P44</f>
        <v>-150</v>
      </c>
    </row>
    <row r="85" spans="1:18">
      <c r="A85" s="26" t="s">
        <v>60</v>
      </c>
      <c r="B85" s="10" t="s">
        <v>62</v>
      </c>
      <c r="C85" s="10"/>
      <c r="D85" s="10"/>
      <c r="E85" s="10"/>
      <c r="F85" s="10"/>
      <c r="G85" s="23"/>
      <c r="H85" s="60">
        <f>Blizzard_Assumption!F68</f>
        <v>231</v>
      </c>
      <c r="I85" s="60">
        <f>Blizzard_Assumption!G68</f>
        <v>-69.646050122227734</v>
      </c>
      <c r="J85" s="60">
        <f>Blizzard_Assumption!H68</f>
        <v>-73.538692288526931</v>
      </c>
      <c r="K85" s="60">
        <f>Blizzard_Assumption!I68</f>
        <v>-64.079276681586066</v>
      </c>
      <c r="L85" s="60">
        <f>Blizzard_Assumption!J68</f>
        <v>94.72314491977238</v>
      </c>
      <c r="M85" s="60">
        <f>Blizzard_Assumption!K68</f>
        <v>97.143661826789526</v>
      </c>
      <c r="N85" s="60">
        <f>Blizzard_Assumption!L68</f>
        <v>177.29320888068924</v>
      </c>
      <c r="O85" s="60">
        <f>Blizzard_Assumption!M68</f>
        <v>132.0600154992062</v>
      </c>
      <c r="P85" s="60">
        <f>Blizzard_Assumption!N68</f>
        <v>112.46129820346596</v>
      </c>
      <c r="Q85" s="60">
        <f>Blizzard_Assumption!O68</f>
        <v>121.11198350900918</v>
      </c>
      <c r="R85" s="60">
        <f>Blizzard_Assumption!P68</f>
        <v>130.98790020712613</v>
      </c>
    </row>
    <row r="86" spans="1:18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 spans="1:18">
      <c r="A87" s="11"/>
      <c r="B87" s="11" t="s">
        <v>63</v>
      </c>
      <c r="C87" s="27">
        <v>0</v>
      </c>
      <c r="D87" s="11"/>
      <c r="E87" s="11"/>
      <c r="F87" s="11"/>
      <c r="G87" s="68">
        <f>G82+G83-G84-G85</f>
        <v>1516.8999999999999</v>
      </c>
      <c r="H87" s="68">
        <f t="shared" ref="H87:R87" si="8">H82+H83-H84-H85</f>
        <v>2389.5</v>
      </c>
      <c r="I87" s="68">
        <f t="shared" si="8"/>
        <v>2342.6456999510351</v>
      </c>
      <c r="J87" s="68">
        <f t="shared" si="8"/>
        <v>3247.51086132008</v>
      </c>
      <c r="K87" s="68">
        <f t="shared" si="8"/>
        <v>3448.3659104806652</v>
      </c>
      <c r="L87" s="68">
        <f t="shared" si="8"/>
        <v>3594.9612379892183</v>
      </c>
      <c r="M87" s="68">
        <f t="shared" si="8"/>
        <v>3892.8780032851564</v>
      </c>
      <c r="N87" s="68">
        <f t="shared" si="8"/>
        <v>4378.2552570145954</v>
      </c>
      <c r="O87" s="68">
        <f t="shared" si="8"/>
        <v>4750.7915930278914</v>
      </c>
      <c r="P87" s="68">
        <f t="shared" si="8"/>
        <v>5137.014752854112</v>
      </c>
      <c r="Q87" s="68">
        <f t="shared" si="8"/>
        <v>5523.5339165848945</v>
      </c>
      <c r="R87" s="68">
        <f t="shared" si="8"/>
        <v>5941.5673632786384</v>
      </c>
    </row>
    <row r="88" spans="1:1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</row>
    <row r="89" spans="1:18">
      <c r="A89" s="10"/>
      <c r="B89" s="10"/>
      <c r="C89" s="10"/>
      <c r="D89" s="10"/>
      <c r="E89" s="10"/>
      <c r="F89" s="10"/>
      <c r="G89" s="10"/>
      <c r="H89" s="10"/>
      <c r="I89" s="10">
        <v>1</v>
      </c>
      <c r="J89" s="10">
        <v>2</v>
      </c>
      <c r="K89" s="10">
        <v>3</v>
      </c>
      <c r="L89" s="10">
        <v>4</v>
      </c>
      <c r="M89" s="10">
        <v>5</v>
      </c>
      <c r="N89" s="10">
        <v>6</v>
      </c>
      <c r="O89" s="10">
        <v>7</v>
      </c>
      <c r="P89" s="10">
        <v>8</v>
      </c>
      <c r="Q89" s="10">
        <v>9</v>
      </c>
      <c r="R89" s="10">
        <v>10</v>
      </c>
    </row>
    <row r="90" spans="1:18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</row>
    <row r="91" spans="1:18">
      <c r="A91" s="10"/>
      <c r="B91" s="10" t="s">
        <v>64</v>
      </c>
      <c r="C91" s="29">
        <f>C99</f>
        <v>5.5925811209439527E-2</v>
      </c>
      <c r="D91" s="10"/>
      <c r="E91" s="10"/>
      <c r="F91" s="10"/>
      <c r="G91" s="10" t="s">
        <v>60</v>
      </c>
      <c r="H91" s="10"/>
      <c r="I91" s="18">
        <f>I87/(1+$C$91)^I89</f>
        <v>2218.5703532218881</v>
      </c>
      <c r="J91" s="18">
        <f>J87/(1+$C$91)^J89</f>
        <v>2912.6198187051486</v>
      </c>
      <c r="K91" s="18">
        <f t="shared" ref="K91:R91" si="9">K87/(1+$C$91)^K89</f>
        <v>2928.9578725418933</v>
      </c>
      <c r="L91" s="18">
        <f t="shared" si="9"/>
        <v>2891.7489607129219</v>
      </c>
      <c r="M91" s="18">
        <f t="shared" si="9"/>
        <v>2965.5398476528221</v>
      </c>
      <c r="N91" s="18">
        <f t="shared" si="9"/>
        <v>3158.6437176953214</v>
      </c>
      <c r="O91" s="18">
        <f t="shared" si="9"/>
        <v>3245.8775900521655</v>
      </c>
      <c r="P91" s="18">
        <f t="shared" si="9"/>
        <v>3323.8664448031359</v>
      </c>
      <c r="Q91" s="18">
        <f t="shared" si="9"/>
        <v>3384.6703063815262</v>
      </c>
      <c r="R91" s="18">
        <f t="shared" si="9"/>
        <v>3447.9976858499531</v>
      </c>
    </row>
    <row r="92" spans="1:18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</row>
    <row r="93" spans="1:18">
      <c r="A93" s="10"/>
      <c r="B93" s="10" t="s">
        <v>95</v>
      </c>
      <c r="C93" s="15">
        <f>SUM(I91:R91)</f>
        <v>30478.49259761678</v>
      </c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</row>
    <row r="94" spans="1:18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</row>
    <row r="95" spans="1:18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</row>
    <row r="96" spans="1:18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</row>
    <row r="97" spans="1:18">
      <c r="A97" s="10"/>
      <c r="B97" s="10" t="s">
        <v>96</v>
      </c>
      <c r="C97" s="80">
        <f>R97/(1+C91)^R89</f>
        <v>114279.86816777353</v>
      </c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 t="s">
        <v>97</v>
      </c>
      <c r="R97" s="79">
        <f>R87*(1+C100)/(C99-C100)</f>
        <v>196926.33141024003</v>
      </c>
    </row>
    <row r="98" spans="1:1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</row>
    <row r="99" spans="1:18">
      <c r="A99" s="10"/>
      <c r="B99" s="82" t="s">
        <v>66</v>
      </c>
      <c r="C99" s="83">
        <f>Blizzard_Assumption!C88</f>
        <v>5.5925811209439527E-2</v>
      </c>
      <c r="D99" s="92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</row>
    <row r="100" spans="1:18">
      <c r="A100" s="10"/>
      <c r="B100" s="82" t="s">
        <v>67</v>
      </c>
      <c r="C100" s="83">
        <v>2.5000000000000001E-2</v>
      </c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</row>
    <row r="101" spans="1:18">
      <c r="A101" s="10"/>
      <c r="B101" s="10" t="s">
        <v>98</v>
      </c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</row>
    <row r="102" spans="1:18">
      <c r="A102" s="10"/>
      <c r="B102" s="11" t="s">
        <v>99</v>
      </c>
      <c r="C102" s="15">
        <f>C97</f>
        <v>114279.86816777353</v>
      </c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</row>
    <row r="103" spans="1:18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</row>
    <row r="104" spans="1:18">
      <c r="A104" s="10"/>
      <c r="B104" s="20" t="s">
        <v>69</v>
      </c>
      <c r="C104" s="31">
        <f>(C102+C93)*0.1</f>
        <v>14475.836076539032</v>
      </c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</row>
    <row r="105" spans="1:18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</row>
    <row r="106" spans="1:18">
      <c r="A106" s="10"/>
      <c r="B106" s="43" t="s">
        <v>70</v>
      </c>
      <c r="C106" s="15">
        <v>3605</v>
      </c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</row>
    <row r="107" spans="1:18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</row>
    <row r="108" spans="1:18">
      <c r="A108" s="10"/>
      <c r="B108" s="43" t="s">
        <v>71</v>
      </c>
      <c r="C108" s="15">
        <f>C104</f>
        <v>14475.836076539032</v>
      </c>
      <c r="D108" s="15"/>
      <c r="E108" s="81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</row>
    <row r="109" spans="1:18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</row>
    <row r="110" spans="1:18">
      <c r="A110" s="10"/>
      <c r="B110" s="43" t="s">
        <v>100</v>
      </c>
      <c r="C110" s="15">
        <v>778</v>
      </c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</row>
    <row r="111" spans="1:18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</row>
    <row r="112" spans="1:18">
      <c r="A112" s="10"/>
      <c r="B112" s="32" t="s">
        <v>73</v>
      </c>
      <c r="C112" s="32">
        <f>C108/C110</f>
        <v>18.6064731060913</v>
      </c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</row>
    <row r="113" spans="1:18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</row>
    <row r="114" spans="1:18">
      <c r="A114" s="10"/>
      <c r="B114" s="11" t="s">
        <v>74</v>
      </c>
      <c r="C114" s="94">
        <v>18.606000000000002</v>
      </c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</row>
    <row r="115" spans="1:18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</row>
    <row r="116" spans="1:18">
      <c r="A116" s="10"/>
      <c r="B116" s="41" t="s">
        <v>101</v>
      </c>
      <c r="C116" s="11" t="s">
        <v>102</v>
      </c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spans="1:18">
      <c r="A117" s="10"/>
      <c r="B117" s="10" t="s">
        <v>76</v>
      </c>
      <c r="C117" s="50">
        <v>-7.4300000000000005E-2</v>
      </c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</row>
    <row r="118" spans="1:18">
      <c r="A118" s="10"/>
      <c r="B118" s="10"/>
      <c r="C118" s="29"/>
      <c r="D118" s="10"/>
      <c r="E118" s="10"/>
      <c r="F118" s="29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</row>
    <row r="119" spans="1:18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</row>
    <row r="120" spans="1:18">
      <c r="A120" s="10"/>
      <c r="B120" s="10" t="s">
        <v>103</v>
      </c>
      <c r="C120" s="92">
        <v>-0.2303</v>
      </c>
      <c r="D120" s="2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</row>
    <row r="121" spans="1:18">
      <c r="A121" s="10"/>
      <c r="B121" s="10"/>
      <c r="C121" s="29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</row>
    <row r="122" spans="1:18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</row>
    <row r="123" spans="1:18">
      <c r="A123" s="10"/>
      <c r="B123" s="10" t="s">
        <v>78</v>
      </c>
      <c r="C123" s="50">
        <v>-0.1132</v>
      </c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</row>
    <row r="124" spans="1:18">
      <c r="A124" s="10"/>
      <c r="B124" s="10"/>
      <c r="C124" s="29"/>
      <c r="D124" s="2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</row>
    <row r="125" spans="1:18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</row>
    <row r="126" spans="1:18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</row>
    <row r="127" spans="1:18">
      <c r="A127" s="10"/>
      <c r="B127" s="10"/>
      <c r="C127" s="29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</row>
    <row r="128" spans="1:1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</row>
    <row r="129" spans="1:18">
      <c r="A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</row>
    <row r="130" spans="1:18">
      <c r="A130" s="10"/>
      <c r="B130" s="11" t="s">
        <v>80</v>
      </c>
      <c r="C130" s="10"/>
      <c r="D130" s="10"/>
      <c r="E130" s="10"/>
      <c r="F130" s="10"/>
      <c r="G130" s="10"/>
      <c r="H130" s="10"/>
      <c r="I130" s="10">
        <v>1</v>
      </c>
      <c r="J130" s="10">
        <v>2</v>
      </c>
      <c r="K130" s="10">
        <v>3</v>
      </c>
      <c r="L130" s="10">
        <v>4</v>
      </c>
      <c r="M130" s="10">
        <v>5</v>
      </c>
      <c r="N130" s="10">
        <v>6</v>
      </c>
      <c r="O130" s="10">
        <v>7</v>
      </c>
      <c r="P130" s="10">
        <v>8</v>
      </c>
      <c r="Q130" s="10">
        <v>9</v>
      </c>
      <c r="R130" s="10">
        <v>10</v>
      </c>
    </row>
    <row r="131" spans="1:18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</row>
    <row r="132" spans="1:18">
      <c r="A132" s="10"/>
      <c r="B132" s="107" t="s">
        <v>81</v>
      </c>
      <c r="C132" s="18">
        <v>6000</v>
      </c>
      <c r="D132" s="97">
        <v>6.2199999999999998E-2</v>
      </c>
      <c r="E132" s="11" t="s">
        <v>104</v>
      </c>
      <c r="F132" s="10"/>
      <c r="G132" s="10"/>
      <c r="H132" s="10"/>
      <c r="I132" s="10">
        <v>0</v>
      </c>
      <c r="J132" s="18">
        <f t="shared" ref="J132:R132" si="10">$C$132</f>
        <v>6000</v>
      </c>
      <c r="K132" s="18">
        <f t="shared" si="10"/>
        <v>6000</v>
      </c>
      <c r="L132" s="18">
        <f t="shared" si="10"/>
        <v>6000</v>
      </c>
      <c r="M132" s="18">
        <f t="shared" si="10"/>
        <v>6000</v>
      </c>
      <c r="N132" s="18">
        <f t="shared" si="10"/>
        <v>6000</v>
      </c>
      <c r="O132" s="18">
        <f t="shared" si="10"/>
        <v>6000</v>
      </c>
      <c r="P132" s="18">
        <f t="shared" si="10"/>
        <v>6000</v>
      </c>
      <c r="Q132" s="18">
        <f t="shared" si="10"/>
        <v>6000</v>
      </c>
      <c r="R132" s="18">
        <f t="shared" si="10"/>
        <v>6000</v>
      </c>
    </row>
    <row r="133" spans="1:18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</row>
    <row r="134" spans="1:18">
      <c r="A134" s="10"/>
      <c r="B134" s="10" t="s">
        <v>3</v>
      </c>
      <c r="C134" s="15">
        <f>SUM(I134:R134)</f>
        <v>38055.206035822906</v>
      </c>
      <c r="D134" s="10"/>
      <c r="E134" s="10"/>
      <c r="F134" s="10"/>
      <c r="G134" s="10"/>
      <c r="H134" s="10"/>
      <c r="I134" s="10">
        <f>I132/(1+D132)^I130</f>
        <v>0</v>
      </c>
      <c r="J134" s="10">
        <f>J132/(1+D132)^J130</f>
        <v>5317.8815077442005</v>
      </c>
      <c r="K134" s="10">
        <f>K132/(1+D132)^K130</f>
        <v>5006.4785424065149</v>
      </c>
      <c r="L134" s="10">
        <f>L132/(1+D132)^L130</f>
        <v>4713.3106217346212</v>
      </c>
      <c r="M134" s="10">
        <f>M132/(1+D132)^M130</f>
        <v>4437.3099432636236</v>
      </c>
      <c r="N134" s="10">
        <f>N132/(1+D132)^N130</f>
        <v>4177.4712325961427</v>
      </c>
      <c r="O134" s="10">
        <f>O132/(1+D132)^O130</f>
        <v>3932.8480819018478</v>
      </c>
      <c r="P134" s="10">
        <f>P132/(1+D132)^P130</f>
        <v>3702.5495028260666</v>
      </c>
      <c r="Q134" s="10">
        <f>Q132/(1+D132)^Q130</f>
        <v>3485.7366812521809</v>
      </c>
      <c r="R134" s="10">
        <f>R132/(1+D132)^R130</f>
        <v>3281.6199220977037</v>
      </c>
    </row>
    <row r="135" spans="1:18">
      <c r="A135" s="10"/>
      <c r="B135" s="10" t="s">
        <v>82</v>
      </c>
      <c r="C135" s="15">
        <f>R135/(1+D132)^R130</f>
        <v>90420.979036294244</v>
      </c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5">
        <f>R132*(1+C100)/(D132-C100)</f>
        <v>165322.58064516127</v>
      </c>
    </row>
    <row r="136" spans="1:18">
      <c r="A136" s="10"/>
      <c r="B136" s="10"/>
      <c r="C136" s="15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5"/>
    </row>
    <row r="137" spans="1:18">
      <c r="A137" s="10"/>
      <c r="B137" s="11" t="s">
        <v>83</v>
      </c>
      <c r="C137" s="18">
        <f>C134+C135</f>
        <v>128476.18507211715</v>
      </c>
      <c r="D137" s="11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</row>
    <row r="138" spans="1:1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</row>
    <row r="139" spans="1:18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</row>
    <row r="140" spans="1:18">
      <c r="A140" s="10"/>
      <c r="B140" s="107" t="s">
        <v>84</v>
      </c>
      <c r="C140" s="18">
        <v>3000</v>
      </c>
      <c r="D140" s="97">
        <v>5.5899999999999998E-2</v>
      </c>
      <c r="E140" s="11" t="s">
        <v>105</v>
      </c>
      <c r="F140" s="10"/>
      <c r="G140" s="10"/>
      <c r="H140" s="10"/>
      <c r="I140" s="18">
        <f>C142</f>
        <v>-1000</v>
      </c>
      <c r="J140" s="18">
        <f t="shared" ref="J140:R140" si="11">$C$140</f>
        <v>3000</v>
      </c>
      <c r="K140" s="18">
        <f t="shared" si="11"/>
        <v>3000</v>
      </c>
      <c r="L140" s="18">
        <f t="shared" si="11"/>
        <v>3000</v>
      </c>
      <c r="M140" s="18">
        <f t="shared" si="11"/>
        <v>3000</v>
      </c>
      <c r="N140" s="18">
        <f t="shared" si="11"/>
        <v>3000</v>
      </c>
      <c r="O140" s="18">
        <f t="shared" si="11"/>
        <v>3000</v>
      </c>
      <c r="P140" s="18">
        <f t="shared" si="11"/>
        <v>3000</v>
      </c>
      <c r="Q140" s="18">
        <f t="shared" si="11"/>
        <v>3000</v>
      </c>
      <c r="R140" s="18">
        <f t="shared" si="11"/>
        <v>3000</v>
      </c>
    </row>
    <row r="141" spans="1:18">
      <c r="A141" s="10"/>
      <c r="B141" s="11"/>
      <c r="C141" s="11"/>
      <c r="D141" s="11"/>
      <c r="E141" s="11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</row>
    <row r="142" spans="1:18">
      <c r="A142" s="10"/>
      <c r="B142" s="107" t="s">
        <v>85</v>
      </c>
      <c r="C142" s="18">
        <v>-1000</v>
      </c>
      <c r="D142" s="97">
        <v>5.5899999999999998E-2</v>
      </c>
      <c r="E142" s="11" t="s">
        <v>105</v>
      </c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</row>
    <row r="143" spans="1:18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</row>
    <row r="144" spans="1:18">
      <c r="A144" s="10"/>
      <c r="B144" s="10" t="s">
        <v>3</v>
      </c>
      <c r="C144" s="15">
        <f>SUM(I144:R144)</f>
        <v>18727.340063385614</v>
      </c>
      <c r="D144" s="10"/>
      <c r="E144" s="10"/>
      <c r="F144" s="10"/>
      <c r="G144" s="10"/>
      <c r="H144" s="10"/>
      <c r="I144" s="47">
        <f>I140/(1+D140)^I130</f>
        <v>-947.059380623165</v>
      </c>
      <c r="J144" s="47">
        <f>J140/(1+D140)^J130</f>
        <v>2690.7644112789985</v>
      </c>
      <c r="K144" s="47">
        <f>K140/(1+D140)^K130</f>
        <v>2548.3136767487435</v>
      </c>
      <c r="L144" s="47">
        <f>L140/(1+D140)^L130</f>
        <v>2413.4043723352056</v>
      </c>
      <c r="M144" s="47">
        <f>M140/(1+D140)^M130</f>
        <v>2285.6372500570178</v>
      </c>
      <c r="N144" s="47">
        <f>N140/(1+D140)^N130</f>
        <v>2164.6341983682337</v>
      </c>
      <c r="O144" s="47">
        <f>O140/(1+D140)^O130</f>
        <v>2050.0371231823406</v>
      </c>
      <c r="P144" s="43">
        <f>P140/(1+D140)^P130</f>
        <v>1941.5068881355623</v>
      </c>
      <c r="Q144" s="43">
        <f>Q140/(1+D140)^Q130</f>
        <v>1838.7223109532745</v>
      </c>
      <c r="R144" s="43">
        <f>R140/(1+D140)^R130</f>
        <v>1741.3792129494025</v>
      </c>
    </row>
    <row r="145" spans="1:18">
      <c r="A145" s="10"/>
      <c r="B145" s="10" t="s">
        <v>82</v>
      </c>
      <c r="C145" s="15">
        <f>R145/(1+D140)^R130</f>
        <v>57764.197193305416</v>
      </c>
      <c r="D145" s="10"/>
      <c r="E145" s="10"/>
      <c r="F145" s="10"/>
      <c r="G145" s="10"/>
      <c r="H145" s="10"/>
      <c r="I145" s="43"/>
      <c r="J145" s="43"/>
      <c r="K145" s="43"/>
      <c r="L145" s="43"/>
      <c r="M145" s="43"/>
      <c r="N145" s="43"/>
      <c r="O145" s="43"/>
      <c r="P145" s="43"/>
      <c r="Q145" s="43"/>
      <c r="R145" s="47">
        <f>R140*(1+C100)/(D140-C100)</f>
        <v>99514.563106796108</v>
      </c>
    </row>
    <row r="146" spans="1:18">
      <c r="A146" s="10"/>
      <c r="B146" s="11" t="s">
        <v>86</v>
      </c>
      <c r="C146" s="18">
        <f>C145+C144</f>
        <v>76491.537256691023</v>
      </c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</row>
    <row r="147" spans="1:18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</row>
    <row r="148" spans="1:18">
      <c r="A148" s="10"/>
      <c r="B148" s="11" t="s">
        <v>87</v>
      </c>
      <c r="C148" s="18">
        <f>C146+C137</f>
        <v>204967.72232880816</v>
      </c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</row>
    <row r="149" spans="1:18">
      <c r="A149" s="10"/>
      <c r="B149" s="10" t="s">
        <v>88</v>
      </c>
      <c r="C149" s="11">
        <f>C148*0.2</f>
        <v>40993.544465761632</v>
      </c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</row>
    <row r="150" spans="1:18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</row>
    <row r="151" spans="1:18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</row>
    <row r="152" spans="1:18">
      <c r="A152" s="10"/>
      <c r="B152" s="33" t="s">
        <v>89</v>
      </c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</row>
    <row r="153" spans="1:18">
      <c r="A153" s="10"/>
      <c r="B153" s="33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</row>
    <row r="154" spans="1:18">
      <c r="A154" s="10"/>
      <c r="B154" s="11" t="s">
        <v>90</v>
      </c>
      <c r="C154" s="18">
        <f>C148+C108</f>
        <v>219443.5584053472</v>
      </c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</row>
    <row r="155" spans="1:18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</row>
    <row r="156" spans="1:18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</row>
    <row r="157" spans="1:18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</row>
    <row r="158" spans="1:18">
      <c r="A158" s="10"/>
      <c r="B158" s="11" t="s">
        <v>91</v>
      </c>
      <c r="C158" s="18">
        <f>C149+C108</f>
        <v>55469.380542300663</v>
      </c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</row>
    <row r="159" spans="1:18">
      <c r="A159" s="10"/>
      <c r="B159" s="10" t="s">
        <v>106</v>
      </c>
      <c r="C159" s="10">
        <f>C158/C110</f>
        <v>71.297404296016282</v>
      </c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</row>
    <row r="160" spans="1:18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</row>
    <row r="161" spans="1:18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</row>
    <row r="162" spans="1:18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</row>
    <row r="163" spans="1:18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</row>
    <row r="164" spans="1:18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</row>
    <row r="165" spans="1:18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</row>
    <row r="166" spans="1:18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</row>
    <row r="167" spans="1:18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</row>
    <row r="168" spans="1:1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</row>
    <row r="169" spans="1:18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</row>
    <row r="170" spans="1:18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</row>
    <row r="171" spans="1:18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</row>
    <row r="172" spans="1:18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</row>
    <row r="173" spans="1:18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</row>
    <row r="174" spans="1:18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</row>
    <row r="175" spans="1:18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</row>
    <row r="176" spans="1:18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</row>
    <row r="177" spans="1:18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</row>
    <row r="178" spans="1:1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</row>
    <row r="179" spans="1:18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</row>
    <row r="180" spans="1:18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</row>
    <row r="181" spans="1:18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</row>
    <row r="182" spans="1:18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</row>
    <row r="183" spans="1:18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</row>
    <row r="184" spans="1:18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</row>
    <row r="185" spans="1:18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</row>
    <row r="186" spans="1:18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</row>
    <row r="187" spans="1:18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</row>
    <row r="188" spans="1:1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</row>
    <row r="189" spans="1:18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</row>
    <row r="190" spans="1:18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</row>
    <row r="191" spans="1:18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</row>
    <row r="192" spans="1:18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</row>
    <row r="193" spans="1:18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</row>
    <row r="194" spans="1:18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</row>
    <row r="195" spans="1:18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</row>
    <row r="196" spans="1:18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</row>
    <row r="197" spans="1:18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</row>
    <row r="198" spans="1:1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</row>
    <row r="199" spans="1:18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</row>
    <row r="200" spans="1:18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</row>
    <row r="201" spans="1:18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</row>
    <row r="202" spans="1:18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</row>
    <row r="203" spans="1:18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</row>
    <row r="204" spans="1:18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</row>
    <row r="205" spans="1:18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</row>
    <row r="206" spans="1:18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</row>
    <row r="207" spans="1:18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</row>
    <row r="208" spans="1:1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</row>
    <row r="209" spans="1:18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</row>
    <row r="210" spans="1:18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</row>
    <row r="211" spans="1:18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</row>
    <row r="212" spans="1:18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</row>
    <row r="213" spans="1:18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</row>
    <row r="214" spans="1:18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</row>
    <row r="215" spans="1:18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</row>
    <row r="216" spans="1:18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</row>
    <row r="217" spans="1:18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</row>
    <row r="218" spans="1: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</row>
    <row r="219" spans="1:18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</row>
    <row r="220" spans="1:18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</row>
    <row r="221" spans="1:18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</row>
    <row r="222" spans="1:18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</row>
    <row r="223" spans="1:18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</row>
    <row r="224" spans="1:18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</row>
    <row r="225" spans="1:18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</row>
    <row r="226" spans="1:18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</row>
    <row r="227" spans="1:18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</row>
    <row r="228" spans="1:1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</row>
    <row r="229" spans="1:18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</row>
    <row r="230" spans="1:18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</row>
    <row r="231" spans="1:18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</row>
    <row r="232" spans="1:18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</row>
    <row r="233" spans="1:18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</row>
    <row r="234" spans="1:18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</row>
    <row r="235" spans="1:18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</row>
    <row r="236" spans="1:18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</row>
    <row r="237" spans="1:18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</row>
    <row r="238" spans="1:1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</row>
    <row r="239" spans="1:18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</row>
    <row r="240" spans="1:18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</row>
    <row r="241" spans="1:18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</row>
    <row r="242" spans="1:18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</row>
    <row r="243" spans="1:18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</row>
    <row r="244" spans="1:18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</row>
    <row r="245" spans="1:18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</row>
    <row r="246" spans="1:18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</row>
    <row r="247" spans="1:18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</row>
    <row r="248" spans="1:1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</row>
    <row r="249" spans="1:18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</row>
    <row r="250" spans="1:18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</row>
    <row r="251" spans="1:18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</row>
    <row r="252" spans="1:18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</row>
    <row r="253" spans="1:18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</row>
    <row r="254" spans="1:18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</row>
    <row r="255" spans="1:18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</row>
    <row r="256" spans="1:18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</row>
    <row r="257" spans="1:18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</row>
    <row r="258" spans="1:1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</row>
    <row r="259" spans="1:18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</row>
    <row r="260" spans="1:18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</row>
    <row r="261" spans="1:18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</row>
    <row r="262" spans="1:18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</row>
    <row r="263" spans="1:18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</row>
    <row r="264" spans="1:18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</row>
    <row r="265" spans="1:18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</row>
    <row r="266" spans="1:18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</row>
    <row r="267" spans="1:18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</row>
    <row r="268" spans="1:1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</row>
    <row r="269" spans="1:18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</row>
    <row r="270" spans="1:18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</row>
    <row r="271" spans="1:18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</row>
    <row r="272" spans="1:18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</row>
    <row r="273" spans="1:18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</row>
    <row r="274" spans="1:18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</row>
    <row r="275" spans="1:18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</row>
    <row r="276" spans="1:18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</row>
    <row r="277" spans="1:18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</row>
    <row r="278" spans="1:1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</row>
    <row r="279" spans="1:18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</row>
    <row r="280" spans="1:18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</row>
    <row r="281" spans="1:18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</row>
    <row r="282" spans="1:18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</row>
    <row r="283" spans="1:18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</row>
    <row r="284" spans="1:18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</row>
    <row r="285" spans="1:18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</row>
    <row r="286" spans="1:18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</row>
    <row r="287" spans="1:18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</row>
    <row r="288" spans="1:1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</row>
    <row r="289" spans="1:18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</row>
    <row r="290" spans="1:18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</row>
    <row r="291" spans="1:18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</row>
    <row r="292" spans="1:18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</row>
    <row r="293" spans="1:18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</row>
    <row r="294" spans="1:18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</row>
    <row r="295" spans="1:18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</row>
    <row r="296" spans="1:18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</row>
    <row r="297" spans="1:18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</row>
    <row r="298" spans="1:1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</row>
    <row r="299" spans="1:18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</row>
    <row r="300" spans="1:18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</row>
    <row r="301" spans="1:18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</row>
    <row r="302" spans="1:18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</row>
    <row r="303" spans="1:18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</row>
    <row r="304" spans="1:18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</row>
    <row r="305" spans="1:18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</row>
    <row r="306" spans="1:18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</row>
    <row r="307" spans="1:18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</row>
    <row r="308" spans="1:1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</row>
    <row r="309" spans="1:18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</row>
    <row r="310" spans="1:18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</row>
    <row r="311" spans="1:18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</row>
    <row r="312" spans="1:18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</row>
    <row r="313" spans="1:18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</row>
    <row r="314" spans="1:18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</row>
    <row r="315" spans="1:18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</row>
    <row r="316" spans="1:18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</row>
    <row r="317" spans="1:18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</row>
    <row r="318" spans="1: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</row>
    <row r="319" spans="1:18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</row>
    <row r="320" spans="1:18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</row>
    <row r="321" spans="1:18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</row>
    <row r="322" spans="1:18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</row>
    <row r="323" spans="1:18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</row>
    <row r="324" spans="1:18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</row>
    <row r="325" spans="1:18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</row>
    <row r="326" spans="1:18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</row>
    <row r="327" spans="1:18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</row>
    <row r="328" spans="1:1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</row>
    <row r="329" spans="1:18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</row>
    <row r="330" spans="1:18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</row>
    <row r="331" spans="1:18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</row>
    <row r="332" spans="1:18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</row>
    <row r="333" spans="1:18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</row>
    <row r="334" spans="1:18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</row>
    <row r="335" spans="1:18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</row>
    <row r="336" spans="1:18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</row>
    <row r="337" spans="1:18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</row>
    <row r="338" spans="1:1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</row>
    <row r="339" spans="1:18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</row>
    <row r="340" spans="1:18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</row>
    <row r="341" spans="1:18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</row>
    <row r="342" spans="1:18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</row>
    <row r="343" spans="1:18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</row>
    <row r="344" spans="1:18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</row>
    <row r="345" spans="1:18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</row>
    <row r="346" spans="1:18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</row>
    <row r="347" spans="1:18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</row>
    <row r="348" spans="1:1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</row>
    <row r="349" spans="1:18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</row>
    <row r="350" spans="1:18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</row>
    <row r="351" spans="1:18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</row>
    <row r="352" spans="1:18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</row>
    <row r="353" spans="1:18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</row>
    <row r="354" spans="1:18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</row>
    <row r="355" spans="1:18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</row>
    <row r="356" spans="1:18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</row>
    <row r="357" spans="1:18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</row>
    <row r="358" spans="1:1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</row>
    <row r="359" spans="1:18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</row>
    <row r="360" spans="1:18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</row>
    <row r="361" spans="1:18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</row>
    <row r="362" spans="1:18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</row>
    <row r="363" spans="1:18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</row>
    <row r="364" spans="1:18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</row>
    <row r="365" spans="1:18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</row>
    <row r="366" spans="1:18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</row>
    <row r="367" spans="1:18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</row>
    <row r="368" spans="1:1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</row>
    <row r="369" spans="1:18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</row>
    <row r="370" spans="1:18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</row>
    <row r="371" spans="1:18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</row>
    <row r="372" spans="1:18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</row>
    <row r="373" spans="1:18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</row>
    <row r="374" spans="1:18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</row>
    <row r="375" spans="1:18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</row>
    <row r="376" spans="1:18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</row>
    <row r="377" spans="1:18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</row>
    <row r="378" spans="1:1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</row>
    <row r="379" spans="1:18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</row>
    <row r="380" spans="1:18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</row>
    <row r="381" spans="1:18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</row>
    <row r="382" spans="1:18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</row>
    <row r="383" spans="1:18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</row>
    <row r="384" spans="1:18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</row>
    <row r="385" spans="1:18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</row>
    <row r="386" spans="1:18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</row>
    <row r="387" spans="1:18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</row>
    <row r="388" spans="1:1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</row>
    <row r="389" spans="1:18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</row>
    <row r="390" spans="1:18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</row>
    <row r="391" spans="1:18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</row>
    <row r="392" spans="1:18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</row>
    <row r="393" spans="1:18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</row>
    <row r="394" spans="1:18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</row>
    <row r="395" spans="1:18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</row>
    <row r="396" spans="1:18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</row>
    <row r="397" spans="1:18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</row>
    <row r="398" spans="1:1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</row>
    <row r="399" spans="1:18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</row>
    <row r="400" spans="1:18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</row>
    <row r="401" spans="1:18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</row>
    <row r="402" spans="1:18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</row>
    <row r="403" spans="1:18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</row>
    <row r="404" spans="1:18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</row>
    <row r="405" spans="1:18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</row>
    <row r="406" spans="1:18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</row>
    <row r="407" spans="1:18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</row>
    <row r="408" spans="1:1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</row>
    <row r="409" spans="1:18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</row>
    <row r="410" spans="1:18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</row>
    <row r="411" spans="1:18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</row>
    <row r="412" spans="1:18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</row>
    <row r="413" spans="1:18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</row>
    <row r="414" spans="1:18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</row>
    <row r="415" spans="1:18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</row>
    <row r="416" spans="1:18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</row>
    <row r="417" spans="1:18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</row>
    <row r="418" spans="1: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</row>
    <row r="419" spans="1:18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</row>
    <row r="420" spans="1:18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</row>
    <row r="421" spans="1:18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</row>
    <row r="422" spans="1:18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</row>
    <row r="423" spans="1:18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</row>
    <row r="424" spans="1:18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</row>
    <row r="425" spans="1:18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</row>
    <row r="426" spans="1:18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</row>
    <row r="427" spans="1:18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</row>
    <row r="428" spans="1:1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</row>
    <row r="429" spans="1:18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</row>
    <row r="430" spans="1:18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</row>
    <row r="431" spans="1:18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</row>
    <row r="432" spans="1:18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</row>
    <row r="433" spans="1:18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</row>
    <row r="434" spans="1:18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</row>
    <row r="435" spans="1:18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</row>
    <row r="436" spans="1:18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</row>
    <row r="437" spans="1:18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</row>
    <row r="438" spans="1:1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</row>
    <row r="439" spans="1:18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</row>
    <row r="440" spans="1:18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</row>
    <row r="441" spans="1:18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</row>
    <row r="442" spans="1:18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</row>
    <row r="443" spans="1:18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</row>
    <row r="444" spans="1:18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</row>
    <row r="445" spans="1:18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</row>
    <row r="446" spans="1:18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</row>
    <row r="447" spans="1:18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</row>
    <row r="448" spans="1:1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</row>
    <row r="449" spans="1:18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</row>
    <row r="450" spans="1:18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</row>
    <row r="451" spans="1:18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</row>
    <row r="452" spans="1:18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</row>
    <row r="453" spans="1:18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</row>
    <row r="454" spans="1:18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</row>
    <row r="455" spans="1:18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</row>
    <row r="456" spans="1:18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</row>
    <row r="457" spans="1:18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</row>
    <row r="458" spans="1:1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</row>
    <row r="459" spans="1:18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</row>
    <row r="460" spans="1:18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</row>
    <row r="461" spans="1:18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</row>
    <row r="462" spans="1:18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</row>
    <row r="463" spans="1:18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</row>
    <row r="464" spans="1:18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</row>
    <row r="465" spans="1:18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</row>
    <row r="466" spans="1:18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</row>
    <row r="467" spans="1:18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</row>
    <row r="468" spans="1:1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</row>
    <row r="469" spans="1:18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</row>
    <row r="470" spans="1:18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</row>
    <row r="471" spans="1:18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</row>
    <row r="472" spans="1:18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</row>
    <row r="473" spans="1:18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</row>
    <row r="474" spans="1:18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</row>
    <row r="475" spans="1:18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</row>
    <row r="476" spans="1:18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</row>
    <row r="477" spans="1:18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</row>
    <row r="478" spans="1:1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</row>
    <row r="479" spans="1:18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</row>
    <row r="480" spans="1:18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</row>
    <row r="481" spans="1:18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</row>
    <row r="482" spans="1:18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</row>
    <row r="483" spans="1:18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</row>
    <row r="484" spans="1:18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</row>
    <row r="485" spans="1:18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</row>
    <row r="486" spans="1:18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</row>
    <row r="487" spans="1:18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</row>
    <row r="488" spans="1:1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</row>
    <row r="489" spans="1:18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</row>
    <row r="490" spans="1:18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</row>
    <row r="491" spans="1:18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</row>
    <row r="492" spans="1:18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</row>
    <row r="493" spans="1:18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</row>
    <row r="494" spans="1:18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A73EA-57FD-49D1-8E2E-5BCDAB5B92A1}">
  <dimension ref="A1:P472"/>
  <sheetViews>
    <sheetView topLeftCell="A42" workbookViewId="0">
      <selection activeCell="D80" sqref="A1:XFD1048576"/>
    </sheetView>
  </sheetViews>
  <sheetFormatPr defaultColWidth="8.85546875" defaultRowHeight="15"/>
  <cols>
    <col min="2" max="2" width="29.28515625" customWidth="1"/>
    <col min="3" max="3" width="16.42578125" customWidth="1"/>
    <col min="4" max="4" width="10.140625" bestFit="1" customWidth="1"/>
    <col min="5" max="6" width="12.42578125" customWidth="1"/>
    <col min="7" max="7" width="13.140625" customWidth="1"/>
    <col min="8" max="16" width="12.42578125" customWidth="1"/>
  </cols>
  <sheetData>
    <row r="1" spans="1:16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</row>
    <row r="2" spans="1:16">
      <c r="A2" s="1" t="s">
        <v>0</v>
      </c>
      <c r="B2" s="2" t="s">
        <v>107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  <c r="M2" s="3" t="s">
        <v>0</v>
      </c>
      <c r="N2" s="3" t="s">
        <v>0</v>
      </c>
      <c r="O2" s="3" t="s">
        <v>0</v>
      </c>
      <c r="P2" s="3" t="s">
        <v>0</v>
      </c>
    </row>
    <row r="3" spans="1:16">
      <c r="A3" s="1" t="s">
        <v>0</v>
      </c>
      <c r="B3" s="2" t="s">
        <v>0</v>
      </c>
      <c r="C3" s="3" t="s">
        <v>0</v>
      </c>
      <c r="D3" s="3" t="s">
        <v>0</v>
      </c>
      <c r="E3" s="4" t="s">
        <v>2</v>
      </c>
      <c r="F3" s="4" t="s">
        <v>0</v>
      </c>
      <c r="G3" s="5" t="s">
        <v>3</v>
      </c>
      <c r="H3" s="6" t="s">
        <v>0</v>
      </c>
      <c r="I3" s="6" t="s">
        <v>0</v>
      </c>
      <c r="J3" s="6" t="s">
        <v>0</v>
      </c>
      <c r="K3" s="6" t="s">
        <v>0</v>
      </c>
      <c r="L3" s="6" t="s">
        <v>0</v>
      </c>
      <c r="M3" s="6" t="s">
        <v>0</v>
      </c>
      <c r="N3" s="6" t="s">
        <v>0</v>
      </c>
      <c r="O3" s="6" t="s">
        <v>0</v>
      </c>
      <c r="P3" s="6" t="s">
        <v>0</v>
      </c>
    </row>
    <row r="4" spans="1:16">
      <c r="A4" s="1" t="s">
        <v>0</v>
      </c>
      <c r="B4" s="2" t="s">
        <v>4</v>
      </c>
      <c r="C4" s="3" t="s">
        <v>0</v>
      </c>
      <c r="D4" s="3" t="s">
        <v>0</v>
      </c>
      <c r="E4" s="7">
        <v>43466</v>
      </c>
      <c r="F4" s="7">
        <v>43831</v>
      </c>
      <c r="G4" s="7">
        <v>44197</v>
      </c>
      <c r="H4" s="7">
        <v>44562</v>
      </c>
      <c r="I4" s="7">
        <v>44927</v>
      </c>
      <c r="J4" s="7">
        <v>45292</v>
      </c>
      <c r="K4" s="7">
        <v>45658</v>
      </c>
      <c r="L4" s="7">
        <v>46023</v>
      </c>
      <c r="M4" s="7">
        <v>46388</v>
      </c>
      <c r="N4" s="7">
        <v>46753</v>
      </c>
      <c r="O4" s="7">
        <v>47119</v>
      </c>
      <c r="P4" s="7">
        <v>10959</v>
      </c>
    </row>
    <row r="5" spans="1:16">
      <c r="A5" s="1" t="s">
        <v>0</v>
      </c>
      <c r="B5" s="2" t="s">
        <v>5</v>
      </c>
      <c r="C5" s="3" t="s">
        <v>0</v>
      </c>
      <c r="D5" s="3" t="s">
        <v>0</v>
      </c>
      <c r="E5" s="7">
        <v>43830</v>
      </c>
      <c r="F5" s="7">
        <v>44196</v>
      </c>
      <c r="G5" s="7">
        <v>44561</v>
      </c>
      <c r="H5" s="7">
        <v>45291</v>
      </c>
      <c r="I5" s="7">
        <v>45657</v>
      </c>
      <c r="J5" s="7">
        <v>46022</v>
      </c>
      <c r="K5" s="7">
        <v>46387</v>
      </c>
      <c r="L5" s="7">
        <v>46752</v>
      </c>
      <c r="M5" s="7">
        <v>47118</v>
      </c>
      <c r="N5" s="7">
        <v>47483</v>
      </c>
      <c r="O5" s="7">
        <v>11323</v>
      </c>
      <c r="P5" s="7">
        <v>11688</v>
      </c>
    </row>
    <row r="6" spans="1:16">
      <c r="A6" s="1" t="s">
        <v>0</v>
      </c>
      <c r="B6" s="2" t="s">
        <v>6</v>
      </c>
      <c r="C6" s="3" t="s">
        <v>0</v>
      </c>
      <c r="D6" s="3" t="s">
        <v>0</v>
      </c>
      <c r="E6" s="3">
        <v>2019</v>
      </c>
      <c r="F6" s="3">
        <v>2020</v>
      </c>
      <c r="G6" s="3">
        <v>2021</v>
      </c>
      <c r="H6" s="3">
        <v>2022</v>
      </c>
      <c r="I6" s="3">
        <v>2023</v>
      </c>
      <c r="J6" s="3">
        <v>2024</v>
      </c>
      <c r="K6" s="3">
        <v>2025</v>
      </c>
      <c r="L6" s="3">
        <v>2026</v>
      </c>
      <c r="M6" s="3">
        <v>2027</v>
      </c>
      <c r="N6" s="3">
        <v>2028</v>
      </c>
      <c r="O6" s="3">
        <v>2029</v>
      </c>
      <c r="P6" s="3">
        <v>2030</v>
      </c>
    </row>
    <row r="7" spans="1:16">
      <c r="A7" s="10"/>
      <c r="B7" s="8" t="s">
        <v>93</v>
      </c>
      <c r="C7" s="8" t="s">
        <v>108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>
      <c r="A8" s="10"/>
      <c r="B8" s="10"/>
      <c r="C8" s="10"/>
      <c r="D8" s="10"/>
      <c r="E8" s="11"/>
      <c r="F8" s="11"/>
      <c r="G8" s="50"/>
      <c r="H8" s="50"/>
      <c r="I8" s="50"/>
      <c r="J8" s="50"/>
      <c r="K8" s="50"/>
      <c r="L8" s="50"/>
      <c r="M8" s="50"/>
      <c r="N8" s="50"/>
      <c r="O8" s="50"/>
      <c r="P8" s="50"/>
    </row>
    <row r="9" spans="1:16">
      <c r="A9" s="10"/>
      <c r="B9" s="10"/>
      <c r="C9" s="10"/>
      <c r="D9" s="11"/>
    </row>
    <row r="10" spans="1:16">
      <c r="A10" s="12" t="s">
        <v>9</v>
      </c>
      <c r="B10" s="12" t="s">
        <v>109</v>
      </c>
      <c r="C10" s="13" t="s">
        <v>0</v>
      </c>
      <c r="D10" s="12" t="s">
        <v>0</v>
      </c>
      <c r="E10" s="12" t="s">
        <v>0</v>
      </c>
      <c r="F10" s="12" t="s">
        <v>0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>
      <c r="A11" s="10"/>
      <c r="B11" s="10"/>
      <c r="C11" s="10"/>
      <c r="D11" s="10"/>
    </row>
    <row r="12" spans="1:16">
      <c r="A12" s="10"/>
      <c r="B12" s="10" t="s">
        <v>110</v>
      </c>
      <c r="C12" s="10" t="s">
        <v>111</v>
      </c>
      <c r="D12" s="10"/>
      <c r="E12" s="44">
        <v>6489</v>
      </c>
      <c r="F12" s="44">
        <v>8086</v>
      </c>
      <c r="G12" s="44">
        <f>F12*(1+G13)</f>
        <v>8894.6</v>
      </c>
      <c r="H12" s="44">
        <f>G12*(1+H13)</f>
        <v>9784.0600000000013</v>
      </c>
      <c r="I12" s="44">
        <f>H12*(1+I13)</f>
        <v>10762.466000000002</v>
      </c>
      <c r="J12" s="44">
        <f>I12*(1+J13)</f>
        <v>11838.712600000003</v>
      </c>
      <c r="K12" s="44">
        <f>J12*(1+K13)</f>
        <v>13022.583860000004</v>
      </c>
      <c r="L12" s="44">
        <f>K12*(1+L13)</f>
        <v>14064.390568800005</v>
      </c>
      <c r="M12" s="44">
        <f>L12*(1+M13)</f>
        <v>15189.541814304006</v>
      </c>
      <c r="N12" s="44">
        <f>M12*(1+N13)</f>
        <v>16404.705159448327</v>
      </c>
      <c r="O12" s="44">
        <f>N12*(1+O13)</f>
        <v>17717.081572204195</v>
      </c>
      <c r="P12" s="44">
        <f>O12*(1+P13)</f>
        <v>19134.448097980534</v>
      </c>
    </row>
    <row r="13" spans="1:16">
      <c r="A13" s="10"/>
      <c r="B13" s="34" t="s">
        <v>112</v>
      </c>
      <c r="C13" s="10" t="s">
        <v>113</v>
      </c>
      <c r="D13" s="10"/>
      <c r="F13" s="50">
        <f>(F12/E12)-1</f>
        <v>0.24610879950685782</v>
      </c>
      <c r="G13" s="50">
        <v>0.1</v>
      </c>
      <c r="H13" s="50">
        <v>0.1</v>
      </c>
      <c r="I13" s="50">
        <v>0.1</v>
      </c>
      <c r="J13" s="50">
        <v>0.1</v>
      </c>
      <c r="K13" s="50">
        <v>0.1</v>
      </c>
      <c r="L13" s="50">
        <v>0.08</v>
      </c>
      <c r="M13" s="50">
        <v>0.08</v>
      </c>
      <c r="N13" s="50">
        <v>0.08</v>
      </c>
      <c r="O13" s="50">
        <v>0.08</v>
      </c>
      <c r="P13" s="50">
        <v>0.08</v>
      </c>
    </row>
    <row r="14" spans="1:16">
      <c r="A14" s="10"/>
      <c r="B14" s="34" t="s">
        <v>114</v>
      </c>
      <c r="C14" s="10"/>
      <c r="D14" s="10"/>
    </row>
    <row r="15" spans="1:16">
      <c r="A15" s="10"/>
      <c r="B15" s="10"/>
      <c r="C15" s="10"/>
      <c r="D15" s="10"/>
    </row>
    <row r="16" spans="1:16">
      <c r="A16" s="12" t="s">
        <v>9</v>
      </c>
      <c r="B16" s="113" t="s">
        <v>115</v>
      </c>
      <c r="C16" s="113"/>
      <c r="D16" s="93" t="s">
        <v>0</v>
      </c>
      <c r="E16" s="12" t="s">
        <v>0</v>
      </c>
      <c r="F16" s="12" t="s">
        <v>0</v>
      </c>
      <c r="G16" s="12" t="s">
        <v>0</v>
      </c>
      <c r="H16" s="12" t="s">
        <v>0</v>
      </c>
      <c r="I16" s="12" t="s">
        <v>0</v>
      </c>
      <c r="J16" s="12" t="s">
        <v>0</v>
      </c>
      <c r="K16" s="12" t="s">
        <v>0</v>
      </c>
      <c r="L16" s="12" t="s">
        <v>0</v>
      </c>
      <c r="M16" s="12" t="s">
        <v>0</v>
      </c>
      <c r="N16" s="12" t="s">
        <v>0</v>
      </c>
      <c r="O16" s="12" t="s">
        <v>0</v>
      </c>
      <c r="P16" s="12" t="s">
        <v>0</v>
      </c>
    </row>
    <row r="17" spans="1:16">
      <c r="A17" s="10"/>
      <c r="B17" s="10"/>
      <c r="C17" s="10"/>
      <c r="D17" s="10"/>
    </row>
    <row r="18" spans="1:16">
      <c r="A18" s="10"/>
      <c r="B18" s="10" t="s">
        <v>116</v>
      </c>
      <c r="C18" s="10" t="s">
        <v>111</v>
      </c>
      <c r="D18" s="10"/>
      <c r="E18" s="58">
        <f>-1*2094</f>
        <v>-2094</v>
      </c>
      <c r="F18" s="58">
        <f>-1*2260</f>
        <v>-2260</v>
      </c>
      <c r="G18" s="58">
        <f t="shared" ref="G18:P18" si="0">-G12*G19</f>
        <v>-2668.38</v>
      </c>
      <c r="H18" s="58">
        <f t="shared" si="0"/>
        <v>-1956.8120000000004</v>
      </c>
      <c r="I18" s="58">
        <f t="shared" si="0"/>
        <v>-2152.4932000000003</v>
      </c>
      <c r="J18" s="58">
        <f t="shared" si="0"/>
        <v>-2367.7425200000007</v>
      </c>
      <c r="K18" s="58">
        <f t="shared" si="0"/>
        <v>-2604.5167720000009</v>
      </c>
      <c r="L18" s="58">
        <f t="shared" si="0"/>
        <v>-2812.8781137600013</v>
      </c>
      <c r="M18" s="58">
        <f t="shared" si="0"/>
        <v>-3037.9083628608014</v>
      </c>
      <c r="N18" s="58">
        <f t="shared" si="0"/>
        <v>-3280.9410318896657</v>
      </c>
      <c r="O18" s="58">
        <f t="shared" si="0"/>
        <v>-3543.4163144408394</v>
      </c>
      <c r="P18" s="58">
        <f t="shared" si="0"/>
        <v>-3826.889619596107</v>
      </c>
    </row>
    <row r="19" spans="1:16">
      <c r="A19" s="10"/>
      <c r="B19" s="10" t="s">
        <v>117</v>
      </c>
      <c r="C19" s="10" t="s">
        <v>113</v>
      </c>
      <c r="D19" s="10"/>
      <c r="E19" s="59">
        <f>E18/E12*-1</f>
        <v>0.32269995376791494</v>
      </c>
      <c r="F19" s="59">
        <f>F18/F12*-1</f>
        <v>0.27949542418995793</v>
      </c>
      <c r="G19" s="59">
        <v>0.3</v>
      </c>
      <c r="H19" s="59">
        <v>0.2</v>
      </c>
      <c r="I19" s="59">
        <v>0.2</v>
      </c>
      <c r="J19" s="59">
        <v>0.2</v>
      </c>
      <c r="K19" s="59">
        <v>0.2</v>
      </c>
      <c r="L19" s="59">
        <v>0.2</v>
      </c>
      <c r="M19" s="59">
        <v>0.2</v>
      </c>
      <c r="N19" s="59">
        <v>0.2</v>
      </c>
      <c r="O19" s="59">
        <v>0.2</v>
      </c>
      <c r="P19" s="59">
        <v>0.2</v>
      </c>
    </row>
    <row r="20" spans="1:16">
      <c r="A20" s="10"/>
      <c r="B20" s="10"/>
      <c r="C20" s="10"/>
      <c r="D20" s="10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</row>
    <row r="21" spans="1:16">
      <c r="A21" s="10"/>
      <c r="B21" s="10" t="s">
        <v>13</v>
      </c>
      <c r="C21" s="10" t="s">
        <v>111</v>
      </c>
      <c r="D21" s="10"/>
      <c r="E21" s="59">
        <f t="shared" ref="E21:P21" si="1">E12+E18</f>
        <v>4395</v>
      </c>
      <c r="F21" s="59">
        <f t="shared" si="1"/>
        <v>5826</v>
      </c>
      <c r="G21" s="59">
        <f t="shared" si="1"/>
        <v>6226.22</v>
      </c>
      <c r="H21" s="59">
        <f t="shared" si="1"/>
        <v>7827.2480000000014</v>
      </c>
      <c r="I21" s="59">
        <f t="shared" si="1"/>
        <v>8609.9728000000014</v>
      </c>
      <c r="J21" s="59">
        <f t="shared" si="1"/>
        <v>9470.9700800000028</v>
      </c>
      <c r="K21" s="59">
        <f t="shared" si="1"/>
        <v>10418.067088000003</v>
      </c>
      <c r="L21" s="59">
        <f t="shared" si="1"/>
        <v>11251.512455040003</v>
      </c>
      <c r="M21" s="59">
        <f t="shared" si="1"/>
        <v>12151.633451443206</v>
      </c>
      <c r="N21" s="59">
        <f t="shared" si="1"/>
        <v>13123.764127558661</v>
      </c>
      <c r="O21" s="59">
        <f t="shared" si="1"/>
        <v>14173.665257763356</v>
      </c>
      <c r="P21" s="59">
        <f t="shared" si="1"/>
        <v>15307.558478384428</v>
      </c>
    </row>
    <row r="22" spans="1:16">
      <c r="A22" s="10"/>
      <c r="B22" s="10"/>
      <c r="C22" s="10"/>
      <c r="D22" s="10"/>
    </row>
    <row r="23" spans="1:16">
      <c r="A23" s="10"/>
      <c r="B23" s="10" t="s">
        <v>118</v>
      </c>
      <c r="C23" s="10" t="s">
        <v>113</v>
      </c>
      <c r="D23" s="10"/>
      <c r="E23" s="50">
        <f t="shared" ref="E23:P23" si="2">E21/E12</f>
        <v>0.67730004623208506</v>
      </c>
      <c r="F23" s="50">
        <f t="shared" si="2"/>
        <v>0.72050457581004201</v>
      </c>
      <c r="G23" s="50">
        <f t="shared" si="2"/>
        <v>0.7</v>
      </c>
      <c r="H23" s="50">
        <f t="shared" si="2"/>
        <v>0.8</v>
      </c>
      <c r="I23" s="50">
        <f t="shared" si="2"/>
        <v>0.79999999999999993</v>
      </c>
      <c r="J23" s="50">
        <f t="shared" si="2"/>
        <v>0.8</v>
      </c>
      <c r="K23" s="50">
        <f t="shared" si="2"/>
        <v>0.8</v>
      </c>
      <c r="L23" s="50">
        <f t="shared" si="2"/>
        <v>0.79999999999999993</v>
      </c>
      <c r="M23" s="50">
        <f t="shared" si="2"/>
        <v>0.8</v>
      </c>
      <c r="N23" s="50">
        <f t="shared" si="2"/>
        <v>0.79999999999999993</v>
      </c>
      <c r="O23" s="50">
        <f t="shared" si="2"/>
        <v>0.79999999999999993</v>
      </c>
      <c r="P23" s="50">
        <f t="shared" si="2"/>
        <v>0.8</v>
      </c>
    </row>
    <row r="24" spans="1:16">
      <c r="A24" s="10"/>
      <c r="B24" s="10"/>
      <c r="C24" s="10"/>
      <c r="D24" s="10"/>
    </row>
    <row r="25" spans="1:16">
      <c r="A25" s="10"/>
      <c r="B25" s="10"/>
      <c r="C25" s="10"/>
      <c r="D25" s="10"/>
    </row>
    <row r="26" spans="1:16">
      <c r="A26" s="10"/>
      <c r="B26" s="11" t="s">
        <v>20</v>
      </c>
      <c r="C26" s="10"/>
      <c r="D26" s="10"/>
    </row>
    <row r="27" spans="1:16">
      <c r="A27" s="10"/>
      <c r="B27" s="10"/>
      <c r="C27" s="22"/>
      <c r="D27" s="10"/>
    </row>
    <row r="28" spans="1:16">
      <c r="A28" s="10"/>
      <c r="B28" t="s">
        <v>17</v>
      </c>
      <c r="E28">
        <v>-1658</v>
      </c>
      <c r="F28" s="60">
        <v>-1848</v>
      </c>
      <c r="G28" s="60">
        <f>G36*-G$12</f>
        <v>-2152.7266142703033</v>
      </c>
      <c r="H28" s="60">
        <f t="shared" ref="H28:N28" si="3">H36*-H$12</f>
        <v>-2302.0396378486671</v>
      </c>
      <c r="I28" s="60">
        <f t="shared" si="3"/>
        <v>-2568.5214024503007</v>
      </c>
      <c r="J28" s="60">
        <f t="shared" si="3"/>
        <v>-2805.4207522461093</v>
      </c>
      <c r="K28" s="60">
        <f t="shared" si="3"/>
        <v>-3096.9368622177926</v>
      </c>
      <c r="L28" s="60">
        <f t="shared" si="3"/>
        <v>-3338.7658324317972</v>
      </c>
      <c r="M28" s="60">
        <f t="shared" si="3"/>
        <v>-3609.0671275585873</v>
      </c>
      <c r="N28" s="60">
        <f t="shared" si="3"/>
        <v>-3896.0644823558619</v>
      </c>
      <c r="O28" s="60">
        <f>O36*-O$12</f>
        <v>-4208.6827692643337</v>
      </c>
      <c r="P28" s="60">
        <f t="shared" ref="P28" si="4">P36*-P$12</f>
        <v>-4544.8735015126804</v>
      </c>
    </row>
    <row r="29" spans="1:16">
      <c r="A29" s="10"/>
      <c r="B29" t="s">
        <v>18</v>
      </c>
      <c r="E29" s="60">
        <v>-998</v>
      </c>
      <c r="F29" s="60">
        <v>-1150</v>
      </c>
      <c r="G29" s="60">
        <f t="shared" ref="G29:N30" si="5">G37*-G$12</f>
        <v>-1316.4891200493144</v>
      </c>
      <c r="H29" s="60">
        <f t="shared" si="5"/>
        <v>-1419.8190160271231</v>
      </c>
      <c r="I29" s="60">
        <f t="shared" si="5"/>
        <v>-1577.3763764447531</v>
      </c>
      <c r="J29" s="60">
        <f t="shared" si="5"/>
        <v>-1726.5475117410238</v>
      </c>
      <c r="K29" s="60">
        <f t="shared" si="5"/>
        <v>-1903.9138392066388</v>
      </c>
      <c r="L29" s="60">
        <f t="shared" si="5"/>
        <v>-1687.7268682560004</v>
      </c>
      <c r="M29" s="60">
        <f t="shared" si="5"/>
        <v>-1822.7450177164806</v>
      </c>
      <c r="N29" s="60">
        <f t="shared" si="5"/>
        <v>-1968.5646191337992</v>
      </c>
      <c r="O29" s="60">
        <f t="shared" ref="O29:P29" si="6">O37*-O$12</f>
        <v>-2126.0497886645035</v>
      </c>
      <c r="P29" s="60">
        <f t="shared" si="6"/>
        <v>-2296.1337717576639</v>
      </c>
    </row>
    <row r="30" spans="1:16">
      <c r="A30" s="10"/>
      <c r="B30" t="s">
        <v>19</v>
      </c>
      <c r="E30" s="60">
        <v>-132</v>
      </c>
      <c r="F30" s="60">
        <v>-94</v>
      </c>
      <c r="G30" s="60">
        <f t="shared" si="5"/>
        <v>-142.16749884419789</v>
      </c>
      <c r="H30" s="60">
        <f t="shared" si="5"/>
        <v>-135.06212436430886</v>
      </c>
      <c r="I30" s="60">
        <f t="shared" si="5"/>
        <v>-160.29550520110962</v>
      </c>
      <c r="J30" s="60">
        <f t="shared" si="5"/>
        <v>-169.87511310101715</v>
      </c>
      <c r="K30" s="60">
        <f t="shared" si="5"/>
        <v>-190.41009285223078</v>
      </c>
      <c r="L30" s="60">
        <f t="shared" si="5"/>
        <v>-161.74049154120004</v>
      </c>
      <c r="M30" s="60">
        <f t="shared" si="5"/>
        <v>-174.67973086449607</v>
      </c>
      <c r="N30" s="60">
        <f t="shared" si="5"/>
        <v>-188.65410933365575</v>
      </c>
      <c r="O30" s="60">
        <f t="shared" ref="O30:P30" si="7">O38*-O$12</f>
        <v>-203.74643808034824</v>
      </c>
      <c r="P30" s="60">
        <f t="shared" si="7"/>
        <v>-220.04615312677615</v>
      </c>
    </row>
    <row r="31" spans="1:16">
      <c r="A31" s="10"/>
      <c r="B31" s="56" t="s">
        <v>119</v>
      </c>
      <c r="C31" s="57">
        <v>0</v>
      </c>
      <c r="D31" s="56"/>
      <c r="E31" s="61">
        <f>E28+E29+E30</f>
        <v>-2788</v>
      </c>
      <c r="F31" s="61">
        <f t="shared" ref="F31:P31" si="8">F28+F29+F30</f>
        <v>-3092</v>
      </c>
      <c r="G31" s="61">
        <f t="shared" si="8"/>
        <v>-3611.3832331638155</v>
      </c>
      <c r="H31" s="61">
        <f t="shared" si="8"/>
        <v>-3856.920778240099</v>
      </c>
      <c r="I31" s="61">
        <f t="shared" si="8"/>
        <v>-4306.1932840961636</v>
      </c>
      <c r="J31" s="61">
        <f t="shared" si="8"/>
        <v>-4701.8433770881502</v>
      </c>
      <c r="K31" s="61">
        <f t="shared" si="8"/>
        <v>-5191.2607942766626</v>
      </c>
      <c r="L31" s="61">
        <f t="shared" si="8"/>
        <v>-5188.2331922289977</v>
      </c>
      <c r="M31" s="61">
        <f t="shared" si="8"/>
        <v>-5606.4918761395638</v>
      </c>
      <c r="N31" s="61">
        <f t="shared" si="8"/>
        <v>-6053.2832108233169</v>
      </c>
      <c r="O31" s="61">
        <f t="shared" si="8"/>
        <v>-6538.4789960091857</v>
      </c>
      <c r="P31" s="61">
        <f t="shared" si="8"/>
        <v>-7061.0534263971213</v>
      </c>
    </row>
    <row r="32" spans="1:16">
      <c r="A32" s="10"/>
      <c r="B32" s="10"/>
      <c r="C32" s="10"/>
      <c r="D32" s="10"/>
    </row>
    <row r="33" spans="1:16">
      <c r="A33" s="10"/>
      <c r="B33" s="10"/>
      <c r="C33" s="10"/>
      <c r="D33" s="10"/>
    </row>
    <row r="34" spans="1:16">
      <c r="A34" s="10"/>
      <c r="B34" s="11" t="s">
        <v>120</v>
      </c>
      <c r="C34" s="10"/>
      <c r="D34" s="10"/>
    </row>
    <row r="35" spans="1:16">
      <c r="A35" s="10"/>
      <c r="B35" s="10"/>
      <c r="C35" s="10"/>
      <c r="D35" s="10"/>
    </row>
    <row r="36" spans="1:16">
      <c r="A36" s="10"/>
      <c r="B36" s="10" t="s">
        <v>121</v>
      </c>
      <c r="C36" s="10" t="s">
        <v>113</v>
      </c>
      <c r="D36" s="10"/>
      <c r="E36" s="50">
        <f>-E28/E$12</f>
        <v>0.25550932347048849</v>
      </c>
      <c r="F36" s="50">
        <f>-F28/F$12</f>
        <v>0.22854316101904526</v>
      </c>
      <c r="G36" s="50">
        <f>AVERAGE(E36:F36)</f>
        <v>0.24202624224476688</v>
      </c>
      <c r="H36" s="50">
        <f t="shared" ref="H36:K38" si="9">AVERAGE(F36:G36)</f>
        <v>0.23528470163190607</v>
      </c>
      <c r="I36" s="50">
        <f t="shared" si="9"/>
        <v>0.23865547193833647</v>
      </c>
      <c r="J36" s="50">
        <f t="shared" si="9"/>
        <v>0.23697008678512127</v>
      </c>
      <c r="K36" s="50">
        <f>AVERAGE(I36:J36)</f>
        <v>0.23781277936172887</v>
      </c>
      <c r="L36" s="50">
        <f>AVERAGE(J36:K36)</f>
        <v>0.23739143307342508</v>
      </c>
      <c r="M36" s="50">
        <f t="shared" ref="M36:P36" si="10">AVERAGE(K36:L36)</f>
        <v>0.23760210621757699</v>
      </c>
      <c r="N36" s="50">
        <f t="shared" si="10"/>
        <v>0.23749676964550104</v>
      </c>
      <c r="O36" s="50">
        <f t="shared" si="10"/>
        <v>0.23754943793153901</v>
      </c>
      <c r="P36" s="50">
        <f t="shared" si="10"/>
        <v>0.23752310378852004</v>
      </c>
    </row>
    <row r="37" spans="1:16">
      <c r="A37" s="10"/>
      <c r="B37" s="10" t="s">
        <v>122</v>
      </c>
      <c r="C37" s="10" t="s">
        <v>113</v>
      </c>
      <c r="D37" s="10"/>
      <c r="E37" s="50">
        <f t="shared" ref="E37:F38" si="11">-E29/E$12</f>
        <v>0.15379873632300817</v>
      </c>
      <c r="F37" s="50">
        <f t="shared" si="11"/>
        <v>0.14222112292851843</v>
      </c>
      <c r="G37" s="50">
        <f t="shared" ref="G37:G38" si="12">AVERAGE(E37:F37)</f>
        <v>0.14800992962576331</v>
      </c>
      <c r="H37" s="50">
        <f t="shared" si="9"/>
        <v>0.14511552627714086</v>
      </c>
      <c r="I37" s="50">
        <f t="shared" si="9"/>
        <v>0.14656272795145209</v>
      </c>
      <c r="J37" s="50">
        <f t="shared" si="9"/>
        <v>0.14583912711429647</v>
      </c>
      <c r="K37" s="50">
        <f t="shared" si="9"/>
        <v>0.14620092753287428</v>
      </c>
      <c r="L37" s="50">
        <v>0.12</v>
      </c>
      <c r="M37" s="50">
        <v>0.12</v>
      </c>
      <c r="N37" s="50">
        <v>0.12</v>
      </c>
      <c r="O37" s="50">
        <v>0.12</v>
      </c>
      <c r="P37" s="50">
        <v>0.12</v>
      </c>
    </row>
    <row r="38" spans="1:16">
      <c r="A38" s="10"/>
      <c r="B38" s="10" t="s">
        <v>123</v>
      </c>
      <c r="C38" s="10" t="s">
        <v>113</v>
      </c>
      <c r="D38" s="10"/>
      <c r="E38" s="50">
        <f t="shared" si="11"/>
        <v>2.034211742949607E-2</v>
      </c>
      <c r="F38" s="50">
        <f t="shared" si="11"/>
        <v>1.1625030917635419E-2</v>
      </c>
      <c r="G38" s="50">
        <f t="shared" si="12"/>
        <v>1.5983574173565746E-2</v>
      </c>
      <c r="H38" s="50">
        <f t="shared" si="9"/>
        <v>1.3804302545600583E-2</v>
      </c>
      <c r="I38" s="50">
        <f t="shared" si="9"/>
        <v>1.4893938359583164E-2</v>
      </c>
      <c r="J38" s="50">
        <f t="shared" si="9"/>
        <v>1.4349120452591874E-2</v>
      </c>
      <c r="K38" s="50">
        <f t="shared" si="9"/>
        <v>1.4621529406087519E-2</v>
      </c>
      <c r="L38" s="50">
        <v>1.15E-2</v>
      </c>
      <c r="M38" s="50">
        <v>1.15E-2</v>
      </c>
      <c r="N38" s="50">
        <v>1.15E-2</v>
      </c>
      <c r="O38" s="50">
        <v>1.15E-2</v>
      </c>
      <c r="P38" s="50">
        <v>1.15E-2</v>
      </c>
    </row>
    <row r="39" spans="1:16">
      <c r="A39" s="10"/>
      <c r="B39" s="10"/>
      <c r="C39" s="10"/>
      <c r="D39" s="10"/>
    </row>
    <row r="40" spans="1:16">
      <c r="A40" s="12" t="s">
        <v>9</v>
      </c>
      <c r="B40" s="12" t="s">
        <v>124</v>
      </c>
      <c r="C40" s="13" t="s">
        <v>0</v>
      </c>
      <c r="D40" s="12" t="s">
        <v>0</v>
      </c>
    </row>
    <row r="41" spans="1:16">
      <c r="A41" s="10"/>
      <c r="B41" s="10"/>
      <c r="C41" s="10"/>
      <c r="D41" s="10"/>
    </row>
    <row r="42" spans="1:16">
      <c r="A42" s="10"/>
      <c r="B42" s="11" t="s">
        <v>125</v>
      </c>
      <c r="C42" s="10"/>
      <c r="D42" s="10"/>
    </row>
    <row r="43" spans="1:16">
      <c r="A43" s="10"/>
      <c r="B43" s="10" t="s">
        <v>126</v>
      </c>
      <c r="C43" s="10"/>
      <c r="D43" s="10"/>
      <c r="F43">
        <f>E46</f>
        <v>575</v>
      </c>
      <c r="G43" s="60">
        <f t="shared" ref="G43:P43" si="13">F46</f>
        <v>273</v>
      </c>
      <c r="H43" s="60">
        <f t="shared" si="13"/>
        <v>230.38608695652175</v>
      </c>
      <c r="I43" s="60">
        <f t="shared" si="13"/>
        <v>215.64297315689981</v>
      </c>
      <c r="J43" s="60">
        <f t="shared" si="13"/>
        <v>204.00200049050713</v>
      </c>
      <c r="K43" s="60">
        <f t="shared" si="13"/>
        <v>192.706309619813</v>
      </c>
      <c r="L43" s="60">
        <f t="shared" si="13"/>
        <v>181.44905011420528</v>
      </c>
      <c r="M43" s="60">
        <f t="shared" si="13"/>
        <v>170.19606818662461</v>
      </c>
      <c r="N43" s="60">
        <f t="shared" si="13"/>
        <v>168.94356237207651</v>
      </c>
      <c r="O43" s="60">
        <f t="shared" si="13"/>
        <v>168.80415302923981</v>
      </c>
      <c r="P43" s="60">
        <f t="shared" si="13"/>
        <v>168.78863616325455</v>
      </c>
    </row>
    <row r="44" spans="1:16">
      <c r="A44" s="26" t="s">
        <v>58</v>
      </c>
      <c r="B44" s="10" t="s">
        <v>127</v>
      </c>
      <c r="C44" s="10"/>
      <c r="D44" s="10"/>
      <c r="E44" s="10"/>
      <c r="F44" s="10">
        <f>'Blizzard Standalone Valuation'!H49</f>
        <v>209</v>
      </c>
      <c r="G44" s="60">
        <v>200</v>
      </c>
      <c r="H44" s="60">
        <v>190</v>
      </c>
      <c r="I44" s="60">
        <v>180</v>
      </c>
      <c r="J44" s="60">
        <v>170</v>
      </c>
      <c r="K44" s="60">
        <v>160</v>
      </c>
      <c r="L44" s="60">
        <v>150</v>
      </c>
      <c r="M44" s="60">
        <v>150</v>
      </c>
      <c r="N44" s="60">
        <v>150</v>
      </c>
      <c r="O44" s="60">
        <v>150</v>
      </c>
      <c r="P44" s="60">
        <v>150</v>
      </c>
    </row>
    <row r="45" spans="1:16">
      <c r="A45" s="26" t="s">
        <v>60</v>
      </c>
      <c r="B45" s="14" t="s">
        <v>128</v>
      </c>
      <c r="C45" s="14" t="s">
        <v>0</v>
      </c>
      <c r="D45" s="14" t="s">
        <v>0</v>
      </c>
      <c r="E45" s="65"/>
      <c r="F45" s="66">
        <v>-511</v>
      </c>
      <c r="G45" s="67">
        <f>+G43*-G48</f>
        <v>-242.61391304347825</v>
      </c>
      <c r="H45" s="67">
        <f>+H43*-H48</f>
        <v>-204.74311379962194</v>
      </c>
      <c r="I45" s="67">
        <f t="shared" ref="I45:P45" si="14">+I43*-I48</f>
        <v>-191.64097266639268</v>
      </c>
      <c r="J45" s="67">
        <f t="shared" si="14"/>
        <v>-181.29569087069416</v>
      </c>
      <c r="K45" s="67">
        <f t="shared" si="14"/>
        <v>-171.25725950560772</v>
      </c>
      <c r="L45" s="67">
        <f t="shared" si="14"/>
        <v>-161.25298192758069</v>
      </c>
      <c r="M45" s="67">
        <f t="shared" si="14"/>
        <v>-151.25250581454813</v>
      </c>
      <c r="N45" s="67">
        <f t="shared" si="14"/>
        <v>-150.13940934283667</v>
      </c>
      <c r="O45" s="67">
        <f t="shared" si="14"/>
        <v>-150.01551686598529</v>
      </c>
      <c r="P45" s="67">
        <f t="shared" si="14"/>
        <v>-150.00172709464883</v>
      </c>
    </row>
    <row r="46" spans="1:16">
      <c r="A46" s="10"/>
      <c r="B46" s="10" t="s">
        <v>129</v>
      </c>
      <c r="C46" s="10"/>
      <c r="D46" s="10"/>
      <c r="E46">
        <f>Blizzard_Valuation!G49+'Blizzard Standalone Valuation'!G44</f>
        <v>575</v>
      </c>
      <c r="F46" s="48">
        <f>F43+F44+F45</f>
        <v>273</v>
      </c>
      <c r="G46" s="60">
        <f t="shared" ref="G46:P46" si="15">G43+G44+G45</f>
        <v>230.38608695652175</v>
      </c>
      <c r="H46" s="60">
        <f t="shared" si="15"/>
        <v>215.64297315689981</v>
      </c>
      <c r="I46" s="60">
        <f t="shared" si="15"/>
        <v>204.00200049050713</v>
      </c>
      <c r="J46" s="60">
        <f t="shared" si="15"/>
        <v>192.706309619813</v>
      </c>
      <c r="K46" s="60">
        <f t="shared" si="15"/>
        <v>181.44905011420528</v>
      </c>
      <c r="L46" s="60">
        <f t="shared" si="15"/>
        <v>170.19606818662461</v>
      </c>
      <c r="M46" s="60">
        <f t="shared" si="15"/>
        <v>168.94356237207651</v>
      </c>
      <c r="N46" s="60">
        <f t="shared" si="15"/>
        <v>168.80415302923981</v>
      </c>
      <c r="O46" s="60">
        <f t="shared" si="15"/>
        <v>168.78863616325455</v>
      </c>
      <c r="P46" s="60">
        <f t="shared" si="15"/>
        <v>168.78690906860569</v>
      </c>
    </row>
    <row r="47" spans="1:16">
      <c r="A47" s="10"/>
      <c r="B47" s="10"/>
      <c r="C47" s="10"/>
      <c r="D47" s="10"/>
    </row>
    <row r="48" spans="1:16">
      <c r="A48" s="10"/>
      <c r="B48" s="10" t="s">
        <v>130</v>
      </c>
      <c r="C48" s="10"/>
      <c r="D48" s="10"/>
      <c r="F48" s="50">
        <f>-F45/F43</f>
        <v>0.888695652173913</v>
      </c>
      <c r="G48" s="50">
        <f>F48</f>
        <v>0.888695652173913</v>
      </c>
      <c r="H48" s="50">
        <f t="shared" ref="H48:P48" si="16">G48</f>
        <v>0.888695652173913</v>
      </c>
      <c r="I48" s="50">
        <f t="shared" si="16"/>
        <v>0.888695652173913</v>
      </c>
      <c r="J48" s="50">
        <f t="shared" si="16"/>
        <v>0.888695652173913</v>
      </c>
      <c r="K48" s="50">
        <f t="shared" si="16"/>
        <v>0.888695652173913</v>
      </c>
      <c r="L48" s="50">
        <f t="shared" si="16"/>
        <v>0.888695652173913</v>
      </c>
      <c r="M48" s="50">
        <f t="shared" si="16"/>
        <v>0.888695652173913</v>
      </c>
      <c r="N48" s="50">
        <f t="shared" si="16"/>
        <v>0.888695652173913</v>
      </c>
      <c r="O48" s="50">
        <f t="shared" si="16"/>
        <v>0.888695652173913</v>
      </c>
      <c r="P48" s="50">
        <f t="shared" si="16"/>
        <v>0.888695652173913</v>
      </c>
    </row>
    <row r="49" spans="1:16">
      <c r="A49" s="10"/>
      <c r="B49" s="10"/>
      <c r="C49" s="10"/>
      <c r="D49" s="10"/>
    </row>
    <row r="50" spans="1:16">
      <c r="A50" s="10"/>
      <c r="B50" s="10"/>
      <c r="C50" s="10"/>
      <c r="D50" s="10"/>
    </row>
    <row r="51" spans="1:16">
      <c r="A51" s="12" t="s">
        <v>9</v>
      </c>
      <c r="B51" s="12" t="s">
        <v>131</v>
      </c>
      <c r="C51" s="13" t="s">
        <v>0</v>
      </c>
      <c r="D51" s="12" t="s">
        <v>0</v>
      </c>
    </row>
    <row r="52" spans="1:16">
      <c r="A52" s="10"/>
      <c r="B52" s="10"/>
      <c r="C52" s="10"/>
      <c r="D52" s="10"/>
    </row>
    <row r="53" spans="1:16">
      <c r="A53" s="10"/>
      <c r="B53" s="114" t="s">
        <v>132</v>
      </c>
      <c r="C53" s="114"/>
      <c r="D53" s="114"/>
    </row>
    <row r="54" spans="1:16">
      <c r="A54" s="10"/>
      <c r="B54" s="10"/>
      <c r="C54" s="10"/>
      <c r="D54" s="10"/>
    </row>
    <row r="55" spans="1:16">
      <c r="A55" s="10"/>
      <c r="B55" s="10" t="s">
        <v>133</v>
      </c>
      <c r="E55" s="10">
        <f>Blizzard_Valuation!G43</f>
        <v>848</v>
      </c>
      <c r="F55" s="10">
        <f>Blizzard_Valuation!H43</f>
        <v>1052</v>
      </c>
      <c r="G55">
        <f>G62*G12/365</f>
        <v>1157.2</v>
      </c>
      <c r="H55">
        <f t="shared" ref="H55:P55" si="17">H62*F12/365</f>
        <v>1052</v>
      </c>
      <c r="I55">
        <f t="shared" si="17"/>
        <v>1157.2</v>
      </c>
      <c r="J55">
        <f t="shared" si="17"/>
        <v>1272.92</v>
      </c>
      <c r="K55">
        <f t="shared" si="17"/>
        <v>1400.2120000000002</v>
      </c>
      <c r="L55">
        <f t="shared" si="17"/>
        <v>1540.2332000000004</v>
      </c>
      <c r="M55">
        <f t="shared" si="17"/>
        <v>1694.2565200000006</v>
      </c>
      <c r="N55">
        <f t="shared" si="17"/>
        <v>1829.7970416000005</v>
      </c>
      <c r="O55">
        <f t="shared" si="17"/>
        <v>1976.1808049280007</v>
      </c>
      <c r="P55">
        <f t="shared" si="17"/>
        <v>2134.275269322241</v>
      </c>
    </row>
    <row r="56" spans="1:16">
      <c r="A56" s="10"/>
      <c r="B56" s="14" t="s">
        <v>134</v>
      </c>
      <c r="E56" s="14">
        <f>'Blizzard Standalone Valuation'!G44</f>
        <v>322</v>
      </c>
      <c r="F56" s="14">
        <f>'Blizzard Standalone Valuation'!H44</f>
        <v>352</v>
      </c>
      <c r="G56" s="59">
        <f>G63*-F18/365</f>
        <v>352</v>
      </c>
      <c r="H56" s="59">
        <f t="shared" ref="H56:P56" si="18">H63*-G18/365</f>
        <v>415.60608849557519</v>
      </c>
      <c r="I56" s="59">
        <f t="shared" si="18"/>
        <v>304.77779823008859</v>
      </c>
      <c r="J56" s="59">
        <f t="shared" si="18"/>
        <v>335.25557805309739</v>
      </c>
      <c r="K56" s="59">
        <f t="shared" si="18"/>
        <v>368.7811358584072</v>
      </c>
      <c r="L56" s="59">
        <f t="shared" si="18"/>
        <v>405.65924944424791</v>
      </c>
      <c r="M56" s="59">
        <f t="shared" si="18"/>
        <v>438.11198939978783</v>
      </c>
      <c r="N56" s="59">
        <f t="shared" si="18"/>
        <v>473.1609485517709</v>
      </c>
      <c r="O56" s="59">
        <f t="shared" si="18"/>
        <v>511.01382443591257</v>
      </c>
      <c r="P56" s="59">
        <f t="shared" si="18"/>
        <v>551.8949303907857</v>
      </c>
    </row>
    <row r="57" spans="1:16">
      <c r="A57" s="10"/>
      <c r="B57" s="10" t="s">
        <v>135</v>
      </c>
      <c r="E57" s="10">
        <f>E55+E56</f>
        <v>1170</v>
      </c>
      <c r="F57" s="10">
        <f t="shared" ref="F57:P57" si="19">F55+F56</f>
        <v>1404</v>
      </c>
      <c r="G57" s="10">
        <f t="shared" si="19"/>
        <v>1509.2</v>
      </c>
      <c r="H57" s="10">
        <f t="shared" si="19"/>
        <v>1467.6060884955752</v>
      </c>
      <c r="I57" s="10">
        <f t="shared" si="19"/>
        <v>1461.9777982300886</v>
      </c>
      <c r="J57" s="10">
        <f t="shared" si="19"/>
        <v>1608.1755780530975</v>
      </c>
      <c r="K57" s="10">
        <f t="shared" si="19"/>
        <v>1768.9931358584074</v>
      </c>
      <c r="L57" s="10">
        <f t="shared" si="19"/>
        <v>1945.8924494442483</v>
      </c>
      <c r="M57" s="10">
        <f t="shared" si="19"/>
        <v>2132.3685093997883</v>
      </c>
      <c r="N57" s="10">
        <f t="shared" si="19"/>
        <v>2302.9579901517714</v>
      </c>
      <c r="O57" s="10">
        <f t="shared" si="19"/>
        <v>2487.1946293639135</v>
      </c>
      <c r="P57" s="10">
        <f t="shared" si="19"/>
        <v>2686.1701997130267</v>
      </c>
    </row>
    <row r="58" spans="1:16">
      <c r="A58" s="10"/>
      <c r="B58" s="10"/>
      <c r="E58" s="10"/>
      <c r="F58" s="10"/>
    </row>
    <row r="59" spans="1:16">
      <c r="A59" s="10"/>
      <c r="B59" s="14" t="s">
        <v>136</v>
      </c>
      <c r="E59" s="10">
        <f>E60</f>
        <v>292</v>
      </c>
      <c r="F59" s="10">
        <f t="shared" ref="F59" si="20">F60</f>
        <v>295</v>
      </c>
      <c r="G59" s="10">
        <f>G62*-G31/365</f>
        <v>469.84605012222778</v>
      </c>
      <c r="H59" s="10">
        <f t="shared" ref="H59:P59" si="21">H62*-H31/365</f>
        <v>501.79083090632992</v>
      </c>
      <c r="I59" s="10">
        <f t="shared" si="21"/>
        <v>560.24181732242937</v>
      </c>
      <c r="J59" s="10">
        <f t="shared" si="21"/>
        <v>611.71645222566588</v>
      </c>
      <c r="K59" s="10">
        <f t="shared" si="21"/>
        <v>675.39034820418613</v>
      </c>
      <c r="L59" s="10">
        <f t="shared" si="21"/>
        <v>674.99645290933779</v>
      </c>
      <c r="M59" s="10">
        <f t="shared" si="21"/>
        <v>729.4124973656717</v>
      </c>
      <c r="N59" s="10">
        <f t="shared" si="21"/>
        <v>787.54067991418867</v>
      </c>
      <c r="O59" s="10">
        <f t="shared" si="21"/>
        <v>850.66533561732172</v>
      </c>
      <c r="P59" s="10">
        <f t="shared" si="21"/>
        <v>918.65300575930883</v>
      </c>
    </row>
    <row r="60" spans="1:16">
      <c r="A60" s="10"/>
      <c r="B60" s="10" t="s">
        <v>137</v>
      </c>
      <c r="E60" s="10">
        <f>'Blizzard Standalone Valuation'!G55</f>
        <v>292</v>
      </c>
      <c r="F60" s="10">
        <f>'Blizzard Standalone Valuation'!H55</f>
        <v>295</v>
      </c>
      <c r="G60" s="10">
        <f>G59</f>
        <v>469.84605012222778</v>
      </c>
      <c r="H60" s="10">
        <f t="shared" ref="H60:P60" si="22">H59</f>
        <v>501.79083090632992</v>
      </c>
      <c r="I60" s="10">
        <f t="shared" si="22"/>
        <v>560.24181732242937</v>
      </c>
      <c r="J60" s="10">
        <f t="shared" si="22"/>
        <v>611.71645222566588</v>
      </c>
      <c r="K60" s="10">
        <f t="shared" si="22"/>
        <v>675.39034820418613</v>
      </c>
      <c r="L60" s="10">
        <f t="shared" si="22"/>
        <v>674.99645290933779</v>
      </c>
      <c r="M60" s="10">
        <f t="shared" si="22"/>
        <v>729.4124973656717</v>
      </c>
      <c r="N60" s="10">
        <f t="shared" si="22"/>
        <v>787.54067991418867</v>
      </c>
      <c r="O60" s="10">
        <f t="shared" si="22"/>
        <v>850.66533561732172</v>
      </c>
      <c r="P60" s="10">
        <f t="shared" si="22"/>
        <v>918.65300575930883</v>
      </c>
    </row>
    <row r="61" spans="1:16">
      <c r="A61" s="10"/>
      <c r="B61" s="10"/>
      <c r="E61" s="10"/>
      <c r="F61" s="10"/>
    </row>
    <row r="62" spans="1:16">
      <c r="A62" s="10"/>
      <c r="B62" s="10" t="s">
        <v>138</v>
      </c>
      <c r="E62" s="69">
        <f>E55*365/E12</f>
        <v>47.699183233163815</v>
      </c>
      <c r="F62" s="69">
        <f>F55*365/F12</f>
        <v>47.487014593123916</v>
      </c>
      <c r="G62" s="60">
        <v>47.487014593123916</v>
      </c>
      <c r="H62" s="60">
        <v>47.487014593123916</v>
      </c>
      <c r="I62" s="60">
        <v>47.487014593123916</v>
      </c>
      <c r="J62" s="60">
        <v>47.487014593123916</v>
      </c>
      <c r="K62" s="60">
        <v>47.487014593123916</v>
      </c>
      <c r="L62" s="60">
        <v>47.487014593123916</v>
      </c>
      <c r="M62" s="60">
        <v>47.487014593123916</v>
      </c>
      <c r="N62" s="60">
        <v>47.487014593123916</v>
      </c>
      <c r="O62" s="60">
        <v>47.487014593123916</v>
      </c>
      <c r="P62" s="60">
        <v>47.487014593123916</v>
      </c>
    </row>
    <row r="63" spans="1:16">
      <c r="A63" s="10"/>
      <c r="B63" s="10" t="s">
        <v>139</v>
      </c>
      <c r="E63" s="69">
        <f>E56/-E18*365</f>
        <v>56.12702960840496</v>
      </c>
      <c r="F63" s="69">
        <f>F56/-F18*365</f>
        <v>56.849557522123895</v>
      </c>
      <c r="G63" s="60">
        <v>56.849557522123895</v>
      </c>
      <c r="H63" s="60">
        <v>56.849557522123895</v>
      </c>
      <c r="I63" s="60">
        <v>56.849557522123895</v>
      </c>
      <c r="J63" s="60">
        <v>56.849557522123895</v>
      </c>
      <c r="K63" s="60">
        <v>56.849557522123895</v>
      </c>
      <c r="L63" s="60">
        <v>56.849557522123895</v>
      </c>
      <c r="M63" s="60">
        <v>56.849557522123895</v>
      </c>
      <c r="N63" s="60">
        <v>56.849557522123895</v>
      </c>
      <c r="O63" s="60">
        <v>56.849557522123895</v>
      </c>
      <c r="P63" s="60">
        <v>56.849557522123895</v>
      </c>
    </row>
    <row r="64" spans="1:16">
      <c r="A64" s="10"/>
      <c r="B64" s="10" t="s">
        <v>140</v>
      </c>
      <c r="E64" s="69">
        <f>E59/-E31*365</f>
        <v>38.228120516499281</v>
      </c>
      <c r="F64" s="69">
        <f>F59/-F31*365</f>
        <v>34.823738680465716</v>
      </c>
      <c r="G64" s="60">
        <v>34.823738680465716</v>
      </c>
      <c r="H64" s="60">
        <v>34.823738680465716</v>
      </c>
      <c r="I64" s="60">
        <v>34.823738680465716</v>
      </c>
      <c r="J64" s="60">
        <v>34.823738680465716</v>
      </c>
      <c r="K64" s="60">
        <v>34.823738680465716</v>
      </c>
      <c r="L64" s="60">
        <v>34.823738680465716</v>
      </c>
      <c r="M64" s="60">
        <v>34.823738680465716</v>
      </c>
      <c r="N64" s="60">
        <v>34.823738680465716</v>
      </c>
      <c r="O64" s="60">
        <v>34.823738680465716</v>
      </c>
      <c r="P64" s="60">
        <v>34.823738680465716</v>
      </c>
    </row>
    <row r="65" spans="1:16">
      <c r="A65" s="10"/>
      <c r="B65" s="10"/>
      <c r="C65" s="10"/>
      <c r="D65" s="10"/>
    </row>
    <row r="66" spans="1:16">
      <c r="A66" s="10"/>
      <c r="B66" s="10" t="s">
        <v>141</v>
      </c>
      <c r="C66" s="10"/>
      <c r="D66" s="10"/>
      <c r="E66" s="60">
        <f>E57-E60</f>
        <v>878</v>
      </c>
      <c r="F66" s="60">
        <f t="shared" ref="F66:P66" si="23">F57-F60</f>
        <v>1109</v>
      </c>
      <c r="G66" s="60">
        <f t="shared" si="23"/>
        <v>1039.3539498777723</v>
      </c>
      <c r="H66" s="60">
        <f t="shared" si="23"/>
        <v>965.81525758924533</v>
      </c>
      <c r="I66" s="60">
        <f t="shared" si="23"/>
        <v>901.73598090765927</v>
      </c>
      <c r="J66" s="60">
        <f t="shared" si="23"/>
        <v>996.45912582743165</v>
      </c>
      <c r="K66" s="60">
        <f t="shared" si="23"/>
        <v>1093.6027876542212</v>
      </c>
      <c r="L66" s="60">
        <f t="shared" si="23"/>
        <v>1270.8959965349104</v>
      </c>
      <c r="M66" s="60">
        <f t="shared" si="23"/>
        <v>1402.9560120341166</v>
      </c>
      <c r="N66" s="60">
        <f t="shared" si="23"/>
        <v>1515.4173102375826</v>
      </c>
      <c r="O66" s="60">
        <f t="shared" si="23"/>
        <v>1636.5292937465917</v>
      </c>
      <c r="P66" s="60">
        <f t="shared" si="23"/>
        <v>1767.5171939537179</v>
      </c>
    </row>
    <row r="67" spans="1:16">
      <c r="A67" s="10"/>
      <c r="B67" s="10"/>
      <c r="C67" s="10"/>
      <c r="D67" s="10"/>
    </row>
    <row r="68" spans="1:16">
      <c r="A68" s="33"/>
      <c r="B68" s="33" t="s">
        <v>142</v>
      </c>
      <c r="C68" s="33"/>
      <c r="D68" s="33"/>
      <c r="F68" s="60">
        <f t="shared" ref="F68:P68" si="24">F66-E66</f>
        <v>231</v>
      </c>
      <c r="G68" s="60">
        <f t="shared" si="24"/>
        <v>-69.646050122227734</v>
      </c>
      <c r="H68" s="60">
        <f t="shared" si="24"/>
        <v>-73.538692288526931</v>
      </c>
      <c r="I68" s="60">
        <f t="shared" si="24"/>
        <v>-64.079276681586066</v>
      </c>
      <c r="J68" s="60">
        <f t="shared" si="24"/>
        <v>94.72314491977238</v>
      </c>
      <c r="K68" s="60">
        <f t="shared" si="24"/>
        <v>97.143661826789526</v>
      </c>
      <c r="L68" s="60">
        <f t="shared" si="24"/>
        <v>177.29320888068924</v>
      </c>
      <c r="M68" s="60">
        <f t="shared" si="24"/>
        <v>132.0600154992062</v>
      </c>
      <c r="N68" s="60">
        <f t="shared" si="24"/>
        <v>112.46129820346596</v>
      </c>
      <c r="O68" s="60">
        <f t="shared" si="24"/>
        <v>121.11198350900918</v>
      </c>
      <c r="P68" s="60">
        <f t="shared" si="24"/>
        <v>130.98790020712613</v>
      </c>
    </row>
    <row r="69" spans="1:16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</row>
    <row r="70" spans="1:16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</row>
    <row r="71" spans="1:16">
      <c r="A71" s="93" t="s">
        <v>9</v>
      </c>
      <c r="B71" s="93" t="s">
        <v>143</v>
      </c>
      <c r="C71" s="89" t="s">
        <v>0</v>
      </c>
      <c r="D71" s="12" t="s">
        <v>0</v>
      </c>
      <c r="E71" s="12" t="s">
        <v>0</v>
      </c>
      <c r="F71" s="12" t="s">
        <v>0</v>
      </c>
      <c r="G71" s="12" t="s">
        <v>0</v>
      </c>
      <c r="H71" s="12" t="s">
        <v>0</v>
      </c>
      <c r="I71" s="12" t="s">
        <v>0</v>
      </c>
      <c r="J71" s="12" t="s">
        <v>0</v>
      </c>
      <c r="K71" s="12" t="s">
        <v>0</v>
      </c>
      <c r="L71" s="12" t="s">
        <v>0</v>
      </c>
      <c r="M71" s="12" t="s">
        <v>0</v>
      </c>
      <c r="N71" s="12" t="s">
        <v>0</v>
      </c>
      <c r="O71" s="12" t="s">
        <v>0</v>
      </c>
      <c r="P71" s="12" t="s">
        <v>0</v>
      </c>
    </row>
    <row r="72" spans="1:16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</row>
    <row r="73" spans="1:16">
      <c r="A73" s="10"/>
      <c r="B73" s="36" t="s">
        <v>144</v>
      </c>
      <c r="C73" s="90">
        <f>C86</f>
        <v>6.2200000000000005E-2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</row>
    <row r="74" spans="1:16">
      <c r="A74" s="10"/>
      <c r="B74" s="37" t="s">
        <v>145</v>
      </c>
      <c r="C74" s="38">
        <f>C79/(C78+C79)</f>
        <v>0.80665057656208095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</row>
    <row r="75" spans="1:16">
      <c r="A75" s="10"/>
      <c r="B75" s="37" t="s">
        <v>146</v>
      </c>
      <c r="C75" s="88">
        <v>4.2500000000000003E-2</v>
      </c>
      <c r="D75" s="10"/>
      <c r="E75" s="10"/>
      <c r="F75" s="112"/>
      <c r="G75" s="112"/>
      <c r="H75" s="10"/>
      <c r="I75" s="10"/>
      <c r="J75" s="10"/>
      <c r="K75" s="10"/>
      <c r="L75" s="10"/>
      <c r="M75" s="10"/>
      <c r="N75" s="10"/>
      <c r="O75" s="10"/>
      <c r="P75" s="10"/>
    </row>
    <row r="76" spans="1:16">
      <c r="A76" s="10"/>
      <c r="B76" s="37" t="s">
        <v>147</v>
      </c>
      <c r="C76" s="38">
        <f>1-C74</f>
        <v>0.19334942343791905</v>
      </c>
      <c r="D76" s="10"/>
      <c r="E76" s="10"/>
      <c r="F76" s="10"/>
      <c r="G76" s="10"/>
      <c r="H76" s="10"/>
      <c r="I76" s="10"/>
      <c r="J76" s="87"/>
      <c r="K76" s="10"/>
      <c r="L76" s="10"/>
      <c r="M76" s="10"/>
      <c r="N76" s="10"/>
      <c r="O76" s="10"/>
      <c r="P76" s="10"/>
    </row>
    <row r="77" spans="1:16">
      <c r="A77" s="10"/>
      <c r="B77" s="85" t="s">
        <v>148</v>
      </c>
      <c r="C77" s="86">
        <v>0.3</v>
      </c>
      <c r="D77" s="10"/>
      <c r="E77" s="10"/>
      <c r="F77" s="10"/>
      <c r="G77" s="10"/>
      <c r="H77" s="10"/>
      <c r="I77" s="10"/>
      <c r="J77" s="87"/>
      <c r="K77" s="10"/>
      <c r="L77" s="10"/>
      <c r="M77" s="10"/>
      <c r="N77" s="10"/>
      <c r="O77" s="10"/>
      <c r="P77" s="10"/>
    </row>
    <row r="78" spans="1:16">
      <c r="A78" s="10"/>
      <c r="B78" s="84" t="s">
        <v>149</v>
      </c>
      <c r="C78" s="84">
        <v>3605</v>
      </c>
      <c r="D78" s="95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</row>
    <row r="79" spans="1:16">
      <c r="A79" s="10"/>
      <c r="B79" s="84" t="s">
        <v>150</v>
      </c>
      <c r="C79" s="91">
        <v>15040</v>
      </c>
      <c r="D79" s="43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</row>
    <row r="80" spans="1:16">
      <c r="A80" s="10"/>
      <c r="B80" s="10" t="s">
        <v>151</v>
      </c>
      <c r="C80" s="10"/>
      <c r="D80" s="43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</row>
    <row r="81" spans="1:16">
      <c r="A81" s="10"/>
      <c r="B81" s="10"/>
      <c r="D81" s="10"/>
      <c r="E81" s="10"/>
      <c r="F81" s="29"/>
      <c r="G81" s="10"/>
      <c r="H81" s="10"/>
      <c r="I81" s="10"/>
      <c r="J81" s="10"/>
      <c r="K81" s="10"/>
      <c r="L81" s="10"/>
      <c r="M81" s="10"/>
      <c r="N81" s="10"/>
      <c r="O81" s="10"/>
      <c r="P81" s="10"/>
    </row>
    <row r="82" spans="1:16">
      <c r="A82" s="10"/>
      <c r="B82" s="10" t="s">
        <v>152</v>
      </c>
      <c r="C82" s="30">
        <v>0.04</v>
      </c>
      <c r="D82" s="10"/>
      <c r="E82" s="10"/>
      <c r="F82" s="10"/>
      <c r="G82" s="35"/>
      <c r="H82" s="10"/>
      <c r="I82" s="10"/>
      <c r="J82" s="10"/>
      <c r="K82" s="10"/>
      <c r="L82" s="10"/>
      <c r="M82" s="10"/>
      <c r="N82" s="10"/>
      <c r="O82" s="10"/>
      <c r="P82" s="10"/>
    </row>
    <row r="83" spans="1:16">
      <c r="A83" s="10"/>
      <c r="B83" s="10" t="s">
        <v>153</v>
      </c>
      <c r="C83" s="35">
        <v>0.1</v>
      </c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</row>
    <row r="84" spans="1:16">
      <c r="A84" s="10"/>
      <c r="B84" s="10" t="s">
        <v>154</v>
      </c>
      <c r="C84" s="89">
        <v>0.37</v>
      </c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</row>
    <row r="85" spans="1:16">
      <c r="A85" s="10"/>
      <c r="B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</row>
    <row r="86" spans="1:16">
      <c r="A86" s="10"/>
      <c r="B86" s="10" t="s">
        <v>155</v>
      </c>
      <c r="C86" s="29">
        <f>C82+C84*(C83-C82)</f>
        <v>6.2200000000000005E-2</v>
      </c>
      <c r="D86" s="83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</row>
    <row r="87" spans="1:16">
      <c r="A87" s="10"/>
      <c r="B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</row>
    <row r="88" spans="1:16">
      <c r="A88" s="10"/>
      <c r="B88" s="11" t="s">
        <v>66</v>
      </c>
      <c r="C88" s="97">
        <f>(C74*C73)+(C76*C75*(1-C77))</f>
        <v>5.5925811209439527E-2</v>
      </c>
      <c r="D88" s="96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</row>
    <row r="89" spans="1:16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</row>
    <row r="90" spans="1:16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</row>
    <row r="91" spans="1:16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</row>
    <row r="92" spans="1:16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</row>
    <row r="93" spans="1:16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</row>
    <row r="94" spans="1:16">
      <c r="A94" s="10"/>
      <c r="B94" s="10"/>
      <c r="C94" s="10"/>
      <c r="D94" s="14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</row>
    <row r="95" spans="1:16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</row>
    <row r="96" spans="1:1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</row>
    <row r="97" spans="1:16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</row>
    <row r="98" spans="1:16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</row>
    <row r="99" spans="1:16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</row>
    <row r="100" spans="1:16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</row>
    <row r="101" spans="1:16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</row>
    <row r="102" spans="1:16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</row>
    <row r="103" spans="1:16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</row>
    <row r="104" spans="1:16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</row>
    <row r="105" spans="1:16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  <row r="106" spans="1:1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</row>
    <row r="107" spans="1:16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</row>
    <row r="108" spans="1:16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</row>
    <row r="109" spans="1:16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</row>
    <row r="110" spans="1:16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</row>
    <row r="111" spans="1:16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</row>
    <row r="112" spans="1:16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</row>
    <row r="113" spans="1:16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</row>
    <row r="114" spans="1:16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</row>
    <row r="115" spans="1:16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</row>
    <row r="116" spans="1: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</row>
    <row r="117" spans="1:16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</row>
    <row r="118" spans="1:16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</row>
    <row r="119" spans="1:16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</row>
    <row r="120" spans="1:16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</row>
    <row r="121" spans="1:16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</row>
    <row r="122" spans="1:16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</row>
    <row r="123" spans="1:16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</row>
    <row r="124" spans="1:16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</row>
    <row r="125" spans="1:16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</row>
    <row r="126" spans="1:1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</row>
    <row r="127" spans="1:16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8" spans="1:16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</row>
    <row r="129" spans="1:16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</row>
    <row r="130" spans="1:16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</row>
    <row r="131" spans="1:16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</row>
    <row r="132" spans="1:16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3" spans="1:16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</row>
    <row r="134" spans="1:16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</row>
    <row r="135" spans="1:16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</row>
    <row r="136" spans="1:1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</row>
    <row r="137" spans="1:16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</row>
    <row r="138" spans="1:16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</row>
    <row r="139" spans="1:16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</row>
    <row r="140" spans="1:16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</row>
    <row r="141" spans="1:16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</row>
    <row r="142" spans="1:16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</row>
    <row r="143" spans="1:16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</row>
    <row r="144" spans="1:16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</row>
    <row r="145" spans="1:16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</row>
    <row r="146" spans="1:1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</row>
    <row r="147" spans="1:16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</row>
    <row r="148" spans="1:16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</row>
    <row r="149" spans="1:16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</row>
    <row r="150" spans="1:16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</row>
    <row r="151" spans="1:16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</row>
    <row r="152" spans="1:16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</row>
    <row r="153" spans="1:16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</row>
    <row r="154" spans="1:16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</row>
    <row r="155" spans="1:16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</row>
    <row r="156" spans="1:1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</row>
    <row r="157" spans="1:16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</row>
    <row r="158" spans="1:16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</row>
    <row r="159" spans="1:16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</row>
    <row r="160" spans="1:16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</row>
    <row r="161" spans="1:16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</row>
    <row r="162" spans="1:16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</row>
    <row r="163" spans="1:16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</row>
    <row r="164" spans="1:16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</row>
    <row r="165" spans="1:16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</row>
    <row r="166" spans="1:1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</row>
    <row r="167" spans="1:16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</row>
    <row r="168" spans="1:16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</row>
    <row r="169" spans="1:16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</row>
    <row r="170" spans="1:16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</row>
    <row r="171" spans="1:16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</row>
    <row r="172" spans="1:16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</row>
    <row r="173" spans="1:16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</row>
    <row r="174" spans="1:16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</row>
    <row r="175" spans="1:16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</row>
    <row r="176" spans="1:1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</row>
    <row r="177" spans="1:16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</row>
    <row r="178" spans="1:16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</row>
    <row r="179" spans="1:16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</row>
    <row r="180" spans="1:16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</row>
    <row r="181" spans="1:16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</row>
    <row r="182" spans="1:16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</row>
    <row r="183" spans="1:16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</row>
    <row r="184" spans="1:16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</row>
    <row r="185" spans="1:16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</row>
    <row r="186" spans="1:1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</row>
    <row r="187" spans="1:16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</row>
    <row r="188" spans="1:16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</row>
    <row r="189" spans="1:16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</row>
    <row r="190" spans="1:16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</row>
    <row r="191" spans="1:16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</row>
    <row r="192" spans="1:16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</row>
    <row r="193" spans="1:16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</row>
    <row r="194" spans="1:16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</row>
    <row r="195" spans="1:16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</row>
    <row r="196" spans="1:1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</row>
    <row r="197" spans="1:16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</row>
    <row r="198" spans="1:16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</row>
    <row r="199" spans="1:16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</row>
    <row r="200" spans="1:16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</row>
    <row r="201" spans="1:16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</row>
    <row r="202" spans="1:16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</row>
    <row r="203" spans="1:16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</row>
    <row r="204" spans="1:16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</row>
    <row r="205" spans="1:16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</row>
    <row r="206" spans="1:1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</row>
    <row r="207" spans="1:16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</row>
    <row r="208" spans="1:16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</row>
    <row r="209" spans="1:16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</row>
    <row r="210" spans="1:16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</row>
    <row r="211" spans="1:16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</row>
    <row r="212" spans="1:16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</row>
    <row r="213" spans="1:16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</row>
    <row r="214" spans="1:16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</row>
    <row r="215" spans="1:16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</row>
    <row r="216" spans="1: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</row>
    <row r="217" spans="1:16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</row>
    <row r="218" spans="1:16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</row>
    <row r="219" spans="1:16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</row>
    <row r="220" spans="1:16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</row>
    <row r="221" spans="1:16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</row>
    <row r="222" spans="1:16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</row>
    <row r="223" spans="1:16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</row>
    <row r="224" spans="1:16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</row>
    <row r="225" spans="1:16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</row>
    <row r="226" spans="1:1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</row>
    <row r="227" spans="1:16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</row>
    <row r="228" spans="1:16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</row>
    <row r="229" spans="1:16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</row>
    <row r="230" spans="1:16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</row>
    <row r="231" spans="1:16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</row>
    <row r="232" spans="1:16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</row>
    <row r="233" spans="1:16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</row>
    <row r="234" spans="1:16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</row>
    <row r="235" spans="1:16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</row>
    <row r="236" spans="1:1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</row>
    <row r="237" spans="1:16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</row>
    <row r="238" spans="1:16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</row>
    <row r="239" spans="1:16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</row>
    <row r="240" spans="1:16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</row>
    <row r="241" spans="1:16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</row>
    <row r="242" spans="1:16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</row>
    <row r="243" spans="1:16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</row>
    <row r="244" spans="1:16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</row>
    <row r="245" spans="1:16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</row>
    <row r="246" spans="1:1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</row>
    <row r="247" spans="1:16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</row>
    <row r="248" spans="1:16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</row>
    <row r="249" spans="1:16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</row>
    <row r="250" spans="1:16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</row>
    <row r="251" spans="1:16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</row>
    <row r="252" spans="1:16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</row>
    <row r="253" spans="1:16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</row>
    <row r="254" spans="1:16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</row>
    <row r="255" spans="1:16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</row>
    <row r="256" spans="1:1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</row>
    <row r="257" spans="1:16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</row>
    <row r="258" spans="1:16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</row>
    <row r="259" spans="1:16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</row>
    <row r="260" spans="1:16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</row>
    <row r="261" spans="1:16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</row>
    <row r="262" spans="1:16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</row>
    <row r="263" spans="1:16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</row>
    <row r="264" spans="1:16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</row>
    <row r="265" spans="1:16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</row>
    <row r="266" spans="1:1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</row>
    <row r="267" spans="1:16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</row>
    <row r="268" spans="1:16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</row>
    <row r="269" spans="1:16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</row>
    <row r="270" spans="1:16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</row>
    <row r="271" spans="1:16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</row>
    <row r="272" spans="1:16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</row>
    <row r="273" spans="1:16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</row>
    <row r="274" spans="1:16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</row>
    <row r="275" spans="1:16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</row>
    <row r="276" spans="1:1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</row>
    <row r="277" spans="1:16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</row>
    <row r="278" spans="1:16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</row>
    <row r="279" spans="1:16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</row>
    <row r="280" spans="1:16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</row>
    <row r="281" spans="1:16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</row>
    <row r="282" spans="1:16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</row>
    <row r="283" spans="1:16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</row>
    <row r="284" spans="1:16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</row>
    <row r="285" spans="1:16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</row>
    <row r="286" spans="1:1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</row>
    <row r="287" spans="1:16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</row>
    <row r="288" spans="1:16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</row>
    <row r="289" spans="1:16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</row>
    <row r="290" spans="1:16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</row>
    <row r="291" spans="1:16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</row>
    <row r="292" spans="1:16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</row>
    <row r="293" spans="1:16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</row>
    <row r="294" spans="1:16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</row>
    <row r="295" spans="1:16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</row>
    <row r="296" spans="1:1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</row>
    <row r="297" spans="1:16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</row>
    <row r="298" spans="1:16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</row>
    <row r="299" spans="1:16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</row>
    <row r="300" spans="1:16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</row>
    <row r="301" spans="1:16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</row>
    <row r="302" spans="1:16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</row>
    <row r="303" spans="1:16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</row>
    <row r="304" spans="1:16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</row>
    <row r="305" spans="1:16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</row>
    <row r="306" spans="1:1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</row>
    <row r="307" spans="1:16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</row>
    <row r="308" spans="1:16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</row>
    <row r="309" spans="1:16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</row>
    <row r="310" spans="1:16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</row>
    <row r="311" spans="1:16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</row>
    <row r="312" spans="1:16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</row>
    <row r="313" spans="1:16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</row>
    <row r="314" spans="1:16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</row>
    <row r="315" spans="1:16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</row>
    <row r="316" spans="1: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</row>
    <row r="317" spans="1:16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</row>
    <row r="318" spans="1:16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</row>
    <row r="319" spans="1:16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</row>
    <row r="320" spans="1:16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</row>
    <row r="321" spans="1:16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</row>
    <row r="322" spans="1:16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</row>
    <row r="323" spans="1:16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</row>
    <row r="324" spans="1:16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</row>
    <row r="325" spans="1:16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</row>
    <row r="326" spans="1:1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</row>
    <row r="327" spans="1:16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</row>
    <row r="328" spans="1:16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</row>
    <row r="329" spans="1:16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</row>
    <row r="330" spans="1:16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</row>
    <row r="331" spans="1:16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</row>
    <row r="332" spans="1:16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</row>
    <row r="333" spans="1:16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</row>
    <row r="334" spans="1:16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</row>
    <row r="335" spans="1:16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</row>
    <row r="336" spans="1:1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</row>
    <row r="337" spans="1:16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</row>
    <row r="338" spans="1:16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</row>
    <row r="339" spans="1:16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</row>
    <row r="340" spans="1:16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</row>
    <row r="341" spans="1:16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</row>
    <row r="342" spans="1:16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</row>
    <row r="343" spans="1:16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</row>
    <row r="344" spans="1:16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</row>
    <row r="345" spans="1:16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</row>
    <row r="346" spans="1:1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</row>
    <row r="347" spans="1:16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</row>
    <row r="348" spans="1:16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</row>
    <row r="349" spans="1:16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</row>
    <row r="350" spans="1:16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</row>
    <row r="351" spans="1:16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</row>
    <row r="352" spans="1:16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</row>
    <row r="353" spans="1:16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</row>
    <row r="354" spans="1:16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</row>
    <row r="355" spans="1:16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</row>
    <row r="356" spans="1:1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</row>
    <row r="357" spans="1:16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</row>
    <row r="358" spans="1:16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</row>
    <row r="359" spans="1:16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</row>
    <row r="360" spans="1:16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</row>
    <row r="361" spans="1:16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</row>
    <row r="362" spans="1:16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</row>
    <row r="363" spans="1:16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</row>
    <row r="364" spans="1:16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</row>
    <row r="365" spans="1:16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</row>
    <row r="366" spans="1:1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</row>
    <row r="367" spans="1:16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</row>
    <row r="368" spans="1:16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</row>
    <row r="369" spans="1:16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</row>
    <row r="370" spans="1:16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</row>
    <row r="371" spans="1:16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</row>
    <row r="372" spans="1:16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</row>
    <row r="373" spans="1:16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</row>
    <row r="374" spans="1:16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</row>
    <row r="375" spans="1:16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</row>
    <row r="376" spans="1:1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</row>
    <row r="377" spans="1:16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</row>
    <row r="378" spans="1:16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</row>
    <row r="379" spans="1:16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</row>
    <row r="380" spans="1:16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</row>
    <row r="381" spans="1:16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</row>
    <row r="382" spans="1:16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</row>
    <row r="383" spans="1:16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</row>
    <row r="384" spans="1:16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</row>
    <row r="385" spans="1:16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</row>
    <row r="386" spans="1:1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</row>
    <row r="387" spans="1:16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</row>
    <row r="388" spans="1:16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</row>
    <row r="389" spans="1:16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</row>
    <row r="390" spans="1:16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</row>
    <row r="391" spans="1:16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</row>
    <row r="392" spans="1:16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</row>
    <row r="393" spans="1:16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</row>
    <row r="394" spans="1:16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</row>
    <row r="395" spans="1:16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</row>
    <row r="396" spans="1:1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</row>
    <row r="397" spans="1:16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</row>
    <row r="398" spans="1:16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</row>
    <row r="399" spans="1:16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</row>
    <row r="400" spans="1:16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</row>
    <row r="401" spans="1:16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</row>
    <row r="402" spans="1:16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</row>
    <row r="403" spans="1:16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</row>
    <row r="404" spans="1:16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</row>
    <row r="405" spans="1:16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</row>
    <row r="406" spans="1:1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</row>
    <row r="407" spans="1:16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</row>
    <row r="408" spans="1:16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</row>
    <row r="409" spans="1:16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</row>
    <row r="410" spans="1:16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</row>
    <row r="411" spans="1:16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</row>
    <row r="412" spans="1:16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</row>
    <row r="413" spans="1:16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</row>
    <row r="414" spans="1:16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</row>
    <row r="415" spans="1:16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</row>
    <row r="416" spans="1: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</row>
    <row r="417" spans="1:16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</row>
    <row r="418" spans="1:16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</row>
    <row r="419" spans="1:16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</row>
    <row r="420" spans="1:16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</row>
    <row r="421" spans="1:16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</row>
    <row r="422" spans="1:16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</row>
    <row r="423" spans="1:16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</row>
    <row r="424" spans="1:16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</row>
    <row r="425" spans="1:16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</row>
    <row r="426" spans="1:1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</row>
    <row r="427" spans="1:16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</row>
    <row r="428" spans="1:16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</row>
    <row r="429" spans="1:16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</row>
    <row r="430" spans="1:16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</row>
    <row r="431" spans="1:16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</row>
    <row r="432" spans="1:16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</row>
    <row r="433" spans="1:16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</row>
    <row r="434" spans="1:16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</row>
    <row r="435" spans="1:16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</row>
    <row r="436" spans="1:1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</row>
    <row r="437" spans="1:16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</row>
    <row r="438" spans="1:16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</row>
    <row r="439" spans="1:16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</row>
    <row r="440" spans="1:16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</row>
    <row r="441" spans="1:16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</row>
    <row r="442" spans="1:16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</row>
    <row r="443" spans="1:16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</row>
    <row r="444" spans="1:16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</row>
    <row r="445" spans="1:16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</row>
    <row r="446" spans="1:1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</row>
    <row r="447" spans="1:16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</row>
    <row r="448" spans="1:16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</row>
    <row r="449" spans="1:16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</row>
    <row r="450" spans="1:16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</row>
    <row r="451" spans="1:16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</row>
    <row r="452" spans="1:16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</row>
    <row r="453" spans="1:16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</row>
    <row r="454" spans="1:16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</row>
    <row r="455" spans="1:16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</row>
    <row r="456" spans="1:1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</row>
    <row r="457" spans="1:16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</row>
    <row r="458" spans="1:16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</row>
    <row r="459" spans="1:16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</row>
    <row r="460" spans="1:16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</row>
    <row r="461" spans="1:16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</row>
    <row r="462" spans="1:16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</row>
    <row r="463" spans="1:16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</row>
    <row r="464" spans="1:16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</row>
    <row r="465" spans="1:16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</row>
    <row r="466" spans="1:1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</row>
    <row r="467" spans="1:16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</row>
    <row r="468" spans="1:16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</row>
    <row r="469" spans="1:16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</row>
    <row r="470" spans="1:16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</row>
    <row r="471" spans="1:16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</row>
    <row r="472" spans="1:16">
      <c r="B472" s="10"/>
    </row>
  </sheetData>
  <mergeCells count="2">
    <mergeCell ref="B16:C16"/>
    <mergeCell ref="B53:D5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C2125-E9AE-422E-8D82-4F5E92A68E14}">
  <dimension ref="A1:O60"/>
  <sheetViews>
    <sheetView workbookViewId="0">
      <selection activeCell="H40" sqref="A1:H40"/>
    </sheetView>
  </sheetViews>
  <sheetFormatPr defaultColWidth="8.85546875" defaultRowHeight="15"/>
  <cols>
    <col min="1" max="1" width="6.28515625" customWidth="1"/>
    <col min="2" max="2" width="32.85546875" customWidth="1"/>
    <col min="3" max="3" width="19.42578125" customWidth="1"/>
    <col min="4" max="4" width="13.42578125" customWidth="1"/>
    <col min="5" max="5" width="22.7109375" customWidth="1"/>
    <col min="6" max="6" width="16.42578125" bestFit="1" customWidth="1"/>
    <col min="7" max="7" width="17.42578125" customWidth="1"/>
    <col min="11" max="11" width="23.42578125" customWidth="1"/>
    <col min="12" max="12" width="28.7109375" customWidth="1"/>
    <col min="13" max="15" width="23.42578125" customWidth="1"/>
  </cols>
  <sheetData>
    <row r="1" spans="1:9">
      <c r="A1" s="99"/>
      <c r="B1" s="99"/>
      <c r="C1" s="99"/>
      <c r="D1" s="99"/>
      <c r="E1" s="99"/>
      <c r="F1" s="99"/>
      <c r="G1" s="39"/>
    </row>
    <row r="2" spans="1:9">
      <c r="A2" s="103"/>
      <c r="B2" s="103"/>
      <c r="C2" s="103"/>
      <c r="D2" s="103"/>
      <c r="E2" s="103"/>
      <c r="F2" s="103"/>
      <c r="G2" s="98"/>
    </row>
    <row r="3" spans="1:9">
      <c r="A3" s="99"/>
      <c r="B3" s="99"/>
      <c r="C3" s="99"/>
      <c r="D3" s="99"/>
      <c r="E3" s="99"/>
      <c r="F3" s="99"/>
      <c r="G3" s="39"/>
    </row>
    <row r="4" spans="1:9">
      <c r="A4" s="101"/>
      <c r="B4" s="101"/>
      <c r="C4" s="101"/>
      <c r="D4" s="101"/>
      <c r="E4" s="101"/>
      <c r="F4" s="101"/>
      <c r="G4" s="40"/>
    </row>
    <row r="5" spans="1:9">
      <c r="A5" s="99"/>
      <c r="B5" s="99"/>
      <c r="C5" s="99"/>
      <c r="D5" s="99"/>
      <c r="E5" s="99"/>
      <c r="F5" s="99"/>
      <c r="G5" s="39"/>
    </row>
    <row r="6" spans="1:9">
      <c r="A6" s="99"/>
      <c r="B6" s="99"/>
      <c r="C6" s="99"/>
      <c r="D6" s="99"/>
      <c r="E6" s="99"/>
      <c r="F6" s="99"/>
      <c r="G6" s="39"/>
    </row>
    <row r="7" spans="1:9">
      <c r="A7" s="99"/>
      <c r="B7" s="99"/>
      <c r="C7" s="99"/>
      <c r="D7" s="99"/>
      <c r="E7" s="99"/>
      <c r="F7" s="99"/>
      <c r="G7" s="39"/>
    </row>
    <row r="8" spans="1:9">
      <c r="A8" s="99"/>
      <c r="B8" s="99"/>
      <c r="C8" s="99"/>
      <c r="D8" s="99"/>
      <c r="E8" s="99"/>
      <c r="F8" s="99"/>
      <c r="G8" s="39"/>
    </row>
    <row r="9" spans="1:9">
      <c r="A9" s="99"/>
      <c r="B9" s="99"/>
      <c r="C9" s="99"/>
      <c r="D9" s="99"/>
      <c r="E9" s="99"/>
      <c r="F9" s="99"/>
      <c r="G9" s="99"/>
    </row>
    <row r="10" spans="1:9">
      <c r="A10" s="100" t="s">
        <v>0</v>
      </c>
      <c r="B10" s="100" t="s">
        <v>156</v>
      </c>
      <c r="C10" s="100" t="s">
        <v>0</v>
      </c>
      <c r="D10" s="100" t="s">
        <v>0</v>
      </c>
      <c r="E10" s="100" t="s">
        <v>0</v>
      </c>
      <c r="F10" s="100" t="s">
        <v>0</v>
      </c>
      <c r="G10" s="100" t="s">
        <v>0</v>
      </c>
    </row>
    <row r="11" spans="1:9">
      <c r="A11" s="99"/>
      <c r="B11" s="99"/>
      <c r="C11" s="99"/>
      <c r="D11" s="99"/>
      <c r="E11" s="99"/>
      <c r="F11" s="99"/>
      <c r="G11" s="99"/>
    </row>
    <row r="12" spans="1:9">
      <c r="A12" s="104" t="s">
        <v>157</v>
      </c>
      <c r="B12" s="104" t="s">
        <v>158</v>
      </c>
      <c r="C12" s="104" t="s">
        <v>159</v>
      </c>
      <c r="D12" s="104" t="s">
        <v>160</v>
      </c>
      <c r="E12" s="104" t="s">
        <v>161</v>
      </c>
      <c r="F12" s="104" t="s">
        <v>162</v>
      </c>
      <c r="G12" s="99"/>
    </row>
    <row r="13" spans="1:9">
      <c r="A13" s="99">
        <v>2022</v>
      </c>
      <c r="B13" s="99">
        <v>1</v>
      </c>
      <c r="C13" s="99" t="s">
        <v>163</v>
      </c>
      <c r="D13" s="99">
        <v>12700</v>
      </c>
      <c r="E13">
        <f t="shared" ref="E13:E20" si="0">I13/10</f>
        <v>1.54</v>
      </c>
      <c r="F13" s="106">
        <f t="shared" ref="F13:F20" si="1">D13/I13</f>
        <v>824.67532467532465</v>
      </c>
      <c r="G13" s="99"/>
      <c r="I13" s="99">
        <v>15.4</v>
      </c>
    </row>
    <row r="14" spans="1:9">
      <c r="A14" s="99">
        <v>2021</v>
      </c>
      <c r="B14" s="99">
        <v>2</v>
      </c>
      <c r="C14" s="99" t="s">
        <v>164</v>
      </c>
      <c r="D14" s="99">
        <v>4000</v>
      </c>
      <c r="E14">
        <f t="shared" si="0"/>
        <v>2.2399999999999998</v>
      </c>
      <c r="F14" s="106">
        <f t="shared" si="1"/>
        <v>178.57142857142858</v>
      </c>
      <c r="G14" s="99"/>
      <c r="I14" s="99">
        <v>22.4</v>
      </c>
    </row>
    <row r="15" spans="1:9">
      <c r="A15" s="99">
        <v>2021</v>
      </c>
      <c r="B15" s="99">
        <v>3</v>
      </c>
      <c r="C15" s="99" t="s">
        <v>165</v>
      </c>
      <c r="D15" s="99">
        <v>1300</v>
      </c>
      <c r="E15">
        <f t="shared" si="0"/>
        <v>2.1</v>
      </c>
      <c r="F15" s="106">
        <f t="shared" si="1"/>
        <v>61.904761904761905</v>
      </c>
      <c r="G15" s="99"/>
      <c r="I15" s="99">
        <v>21</v>
      </c>
    </row>
    <row r="16" spans="1:9">
      <c r="A16" s="99">
        <v>2021</v>
      </c>
      <c r="B16" s="99">
        <v>4</v>
      </c>
      <c r="C16" s="99" t="s">
        <v>166</v>
      </c>
      <c r="D16" s="99">
        <v>2100</v>
      </c>
      <c r="E16">
        <f t="shared" si="0"/>
        <v>2.42</v>
      </c>
      <c r="F16" s="106">
        <f t="shared" si="1"/>
        <v>86.776859504132233</v>
      </c>
      <c r="G16" s="99"/>
      <c r="I16" s="99">
        <v>24.2</v>
      </c>
    </row>
    <row r="17" spans="1:15">
      <c r="A17" s="99">
        <v>2020</v>
      </c>
      <c r="B17" s="99">
        <v>5</v>
      </c>
      <c r="C17" s="99" t="s">
        <v>167</v>
      </c>
      <c r="D17" s="99">
        <v>1500</v>
      </c>
      <c r="E17">
        <f t="shared" si="0"/>
        <v>1.6</v>
      </c>
      <c r="F17" s="106">
        <f t="shared" si="1"/>
        <v>93.75</v>
      </c>
      <c r="G17" s="99"/>
      <c r="I17" s="99">
        <v>16</v>
      </c>
    </row>
    <row r="18" spans="1:15">
      <c r="A18" s="99">
        <v>2020</v>
      </c>
      <c r="B18" s="99">
        <v>6</v>
      </c>
      <c r="C18" s="99" t="s">
        <v>168</v>
      </c>
      <c r="D18" s="99">
        <v>1800</v>
      </c>
      <c r="E18">
        <f t="shared" si="0"/>
        <v>1.89</v>
      </c>
      <c r="F18" s="106">
        <f t="shared" si="1"/>
        <v>95.238095238095241</v>
      </c>
      <c r="G18" s="99"/>
      <c r="I18" s="99">
        <v>18.899999999999999</v>
      </c>
    </row>
    <row r="19" spans="1:15">
      <c r="A19" s="99">
        <v>2020</v>
      </c>
      <c r="B19" s="99">
        <v>7</v>
      </c>
      <c r="C19" s="99" t="s">
        <v>169</v>
      </c>
      <c r="D19" s="99">
        <v>7500</v>
      </c>
      <c r="E19">
        <f t="shared" si="0"/>
        <v>2.19</v>
      </c>
      <c r="F19" s="106">
        <f t="shared" si="1"/>
        <v>342.46575342465758</v>
      </c>
      <c r="G19" s="99"/>
      <c r="I19" s="99">
        <v>21.9</v>
      </c>
    </row>
    <row r="20" spans="1:15" ht="14.25" customHeight="1">
      <c r="A20" s="99">
        <v>2020</v>
      </c>
      <c r="B20" s="99">
        <v>8</v>
      </c>
      <c r="C20" s="99" t="s">
        <v>170</v>
      </c>
      <c r="D20" s="99">
        <v>1200</v>
      </c>
      <c r="E20">
        <f t="shared" si="0"/>
        <v>2.1</v>
      </c>
      <c r="F20" s="106">
        <f t="shared" si="1"/>
        <v>57.142857142857146</v>
      </c>
      <c r="G20" s="99"/>
      <c r="I20" s="99">
        <v>21</v>
      </c>
    </row>
    <row r="21" spans="1:15" ht="14.25" customHeight="1">
      <c r="A21" s="99"/>
      <c r="B21" s="99"/>
      <c r="C21" s="99"/>
      <c r="D21" s="99"/>
      <c r="F21" s="99"/>
      <c r="G21" s="99"/>
      <c r="I21" s="99"/>
    </row>
    <row r="22" spans="1:15">
      <c r="A22" s="99"/>
      <c r="B22" s="101" t="s">
        <v>171</v>
      </c>
      <c r="C22" s="99"/>
      <c r="D22" s="99"/>
      <c r="E22" s="99">
        <f>AVERAGE(E13:E20)</f>
        <v>2.0100000000000002</v>
      </c>
      <c r="F22" s="99"/>
      <c r="G22" s="99"/>
    </row>
    <row r="23" spans="1:15">
      <c r="A23" s="99"/>
      <c r="B23" s="101" t="s">
        <v>172</v>
      </c>
      <c r="C23" s="99"/>
      <c r="D23" s="99"/>
      <c r="E23" s="99">
        <f>MEDIAN(E13:E20)</f>
        <v>2.1</v>
      </c>
      <c r="F23" s="99"/>
      <c r="G23" s="99"/>
    </row>
    <row r="24" spans="1:15">
      <c r="A24" s="99"/>
      <c r="B24" s="101" t="s">
        <v>173</v>
      </c>
      <c r="C24" s="99"/>
      <c r="D24" s="99"/>
      <c r="E24" s="99">
        <f>QUARTILE(E13:E20,1)</f>
        <v>1.8174999999999999</v>
      </c>
      <c r="F24" s="99"/>
      <c r="G24" s="99"/>
    </row>
    <row r="25" spans="1:15">
      <c r="A25" s="99"/>
      <c r="B25" s="101" t="s">
        <v>174</v>
      </c>
      <c r="C25" s="99"/>
      <c r="D25" s="99"/>
      <c r="E25" s="99">
        <f>QUARTILE(E13:E20,3)</f>
        <v>2.2024999999999997</v>
      </c>
      <c r="F25" s="99"/>
      <c r="G25" s="99"/>
      <c r="K25" t="s">
        <v>175</v>
      </c>
      <c r="L25" s="60">
        <v>169806000000</v>
      </c>
      <c r="M25" s="60">
        <v>3605000000</v>
      </c>
      <c r="N25" s="60">
        <v>166201000000</v>
      </c>
      <c r="O25" s="60">
        <v>213.62596401028279</v>
      </c>
    </row>
    <row r="26" spans="1:15">
      <c r="A26" s="99"/>
      <c r="B26" s="99"/>
      <c r="C26" s="99"/>
      <c r="D26" s="99"/>
      <c r="E26" s="99"/>
      <c r="F26" s="99"/>
      <c r="G26" s="99"/>
      <c r="K26" t="s">
        <v>173</v>
      </c>
      <c r="L26" s="60">
        <v>129376000000</v>
      </c>
      <c r="M26" s="60">
        <v>3605000000</v>
      </c>
      <c r="N26" s="60">
        <v>125771000000</v>
      </c>
      <c r="O26" s="60">
        <v>161.65938303341903</v>
      </c>
    </row>
    <row r="27" spans="1:15">
      <c r="A27" s="99"/>
      <c r="B27" s="101" t="s">
        <v>176</v>
      </c>
      <c r="C27" s="102">
        <v>8086</v>
      </c>
      <c r="D27" s="99"/>
      <c r="E27" s="99"/>
      <c r="F27" s="99"/>
      <c r="G27" s="99"/>
      <c r="K27" t="s">
        <v>174</v>
      </c>
      <c r="L27" s="60">
        <v>181126000000</v>
      </c>
      <c r="M27" s="60">
        <v>3605000000</v>
      </c>
      <c r="N27" s="60">
        <v>177521000000</v>
      </c>
      <c r="O27" s="60">
        <v>228.17609254498714</v>
      </c>
    </row>
    <row r="28" spans="1:15">
      <c r="A28" s="99"/>
      <c r="B28" s="99"/>
      <c r="C28" s="99"/>
      <c r="D28" s="99"/>
      <c r="E28" s="99"/>
      <c r="F28" s="99"/>
      <c r="G28" s="99"/>
    </row>
    <row r="29" spans="1:15">
      <c r="A29" s="99"/>
      <c r="B29" s="104" t="s">
        <v>177</v>
      </c>
      <c r="C29" s="104" t="s">
        <v>178</v>
      </c>
      <c r="D29" s="104" t="s">
        <v>179</v>
      </c>
      <c r="E29" s="104" t="s">
        <v>180</v>
      </c>
      <c r="F29" s="104" t="s">
        <v>181</v>
      </c>
      <c r="G29" s="101" t="s">
        <v>182</v>
      </c>
    </row>
    <row r="30" spans="1:15">
      <c r="A30" s="99"/>
      <c r="B30" s="99" t="s">
        <v>175</v>
      </c>
      <c r="C30" s="102">
        <f>C27*E23</f>
        <v>16980.600000000002</v>
      </c>
      <c r="D30" s="15">
        <v>3605</v>
      </c>
      <c r="E30" s="105">
        <f>C30-D30</f>
        <v>13375.600000000002</v>
      </c>
      <c r="F30" s="99">
        <f>E30/G30</f>
        <v>17.192287917737794</v>
      </c>
      <c r="G30" s="99">
        <v>778</v>
      </c>
      <c r="K30" s="99" t="s">
        <v>175</v>
      </c>
      <c r="L30" s="102">
        <v>169806000000</v>
      </c>
      <c r="M30" s="47">
        <v>3605000000</v>
      </c>
      <c r="N30" s="105">
        <f>L30-M30</f>
        <v>166201000000</v>
      </c>
      <c r="O30" s="99" t="e">
        <f>N30/P30</f>
        <v>#DIV/0!</v>
      </c>
    </row>
    <row r="31" spans="1:15">
      <c r="A31" s="99"/>
      <c r="B31" s="99" t="s">
        <v>173</v>
      </c>
      <c r="C31" s="102">
        <f>C27*E24</f>
        <v>14696.304999999998</v>
      </c>
      <c r="D31" s="15">
        <v>3605</v>
      </c>
      <c r="E31" s="105">
        <f t="shared" ref="E31:E32" si="2">C31-D31</f>
        <v>11091.304999999998</v>
      </c>
      <c r="F31">
        <f>E31/G30</f>
        <v>14.256176092544985</v>
      </c>
      <c r="G31" s="99"/>
      <c r="K31" s="99" t="s">
        <v>173</v>
      </c>
      <c r="L31" s="102">
        <v>129376000000</v>
      </c>
      <c r="M31" s="47">
        <v>3605000000</v>
      </c>
      <c r="N31" s="105">
        <f>L31-M31</f>
        <v>125771000000</v>
      </c>
      <c r="O31" s="99" t="e">
        <f>N31/P30</f>
        <v>#DIV/0!</v>
      </c>
    </row>
    <row r="32" spans="1:15">
      <c r="A32" s="99"/>
      <c r="B32" s="99" t="s">
        <v>174</v>
      </c>
      <c r="C32" s="102">
        <f>C27*E25</f>
        <v>17809.414999999997</v>
      </c>
      <c r="D32" s="15">
        <v>3605</v>
      </c>
      <c r="E32" s="105">
        <f t="shared" si="2"/>
        <v>14204.414999999997</v>
      </c>
      <c r="F32" s="99">
        <f>E32/G30</f>
        <v>18.257602827763492</v>
      </c>
      <c r="G32" s="99"/>
      <c r="K32" s="99" t="s">
        <v>174</v>
      </c>
      <c r="L32" s="102">
        <v>181126000000</v>
      </c>
      <c r="M32" s="47">
        <v>3605000000</v>
      </c>
      <c r="N32" s="105">
        <f>L32-M32</f>
        <v>177521000000</v>
      </c>
      <c r="O32" s="99" t="e">
        <f>N32/P30</f>
        <v>#DIV/0!</v>
      </c>
    </row>
    <row r="33" spans="1:7">
      <c r="A33" s="99"/>
      <c r="B33" s="99"/>
      <c r="C33" s="99"/>
      <c r="D33" s="99"/>
      <c r="E33" s="99"/>
      <c r="F33" s="99"/>
      <c r="G33" s="99"/>
    </row>
    <row r="34" spans="1:7">
      <c r="A34" s="99"/>
      <c r="B34" s="99"/>
      <c r="C34" s="99"/>
      <c r="D34" s="99"/>
      <c r="E34" s="102"/>
      <c r="F34" s="99"/>
      <c r="G34" s="99"/>
    </row>
    <row r="35" spans="1:7">
      <c r="A35" s="99"/>
      <c r="B35" s="99" t="s">
        <v>183</v>
      </c>
      <c r="C35" s="99"/>
      <c r="D35" s="99"/>
      <c r="E35" s="99"/>
      <c r="F35" s="99">
        <f>F30*1.1</f>
        <v>18.911516709511574</v>
      </c>
      <c r="G35" s="99"/>
    </row>
    <row r="36" spans="1:7">
      <c r="A36" s="99"/>
      <c r="B36" s="99" t="s">
        <v>184</v>
      </c>
      <c r="C36" s="99"/>
      <c r="D36" s="99"/>
      <c r="E36" s="99"/>
      <c r="F36" s="99">
        <f>F30*0.9</f>
        <v>15.473059125964015</v>
      </c>
      <c r="G36" s="99"/>
    </row>
    <row r="37" spans="1:7">
      <c r="A37" s="99"/>
      <c r="B37" s="99"/>
      <c r="C37" s="99"/>
      <c r="D37" s="99"/>
      <c r="E37" s="99"/>
      <c r="F37" s="99"/>
      <c r="G37" s="99"/>
    </row>
    <row r="38" spans="1:7">
      <c r="A38" s="99"/>
      <c r="B38" s="99"/>
      <c r="C38" s="99"/>
      <c r="D38" s="99"/>
      <c r="E38" s="102"/>
      <c r="F38" s="99"/>
      <c r="G38" s="99"/>
    </row>
    <row r="39" spans="1:7">
      <c r="A39" s="99"/>
      <c r="B39" s="99"/>
      <c r="C39" s="99"/>
      <c r="D39" s="99"/>
      <c r="E39" s="99"/>
      <c r="F39" s="99"/>
      <c r="G39" s="99"/>
    </row>
    <row r="40" spans="1:7">
      <c r="A40" s="99"/>
      <c r="B40" s="99"/>
      <c r="C40" s="99"/>
      <c r="D40" s="99"/>
      <c r="E40" s="99"/>
      <c r="F40" s="99"/>
      <c r="G40" s="99"/>
    </row>
    <row r="41" spans="1:7">
      <c r="A41" s="99"/>
      <c r="B41" s="99"/>
      <c r="C41" s="99"/>
      <c r="D41" s="99"/>
      <c r="E41" s="99"/>
      <c r="F41" s="99"/>
      <c r="G41" s="99"/>
    </row>
    <row r="42" spans="1:7">
      <c r="A42" s="99"/>
      <c r="B42" s="99"/>
      <c r="C42" s="99"/>
      <c r="D42" s="99"/>
      <c r="E42" s="99"/>
      <c r="F42" s="99"/>
      <c r="G42" s="99"/>
    </row>
    <row r="43" spans="1:7">
      <c r="A43" s="99"/>
      <c r="B43" s="99"/>
      <c r="C43" s="99"/>
      <c r="D43" s="99"/>
      <c r="E43" s="99"/>
      <c r="F43" s="99"/>
      <c r="G43" s="99"/>
    </row>
    <row r="44" spans="1:7">
      <c r="A44" s="99"/>
      <c r="B44" s="99"/>
      <c r="C44" s="99"/>
      <c r="D44" s="99"/>
      <c r="E44" s="99"/>
      <c r="F44" s="99"/>
      <c r="G44" s="99"/>
    </row>
    <row r="45" spans="1:7">
      <c r="A45" s="99"/>
      <c r="B45" s="99"/>
      <c r="C45" s="99"/>
      <c r="D45" s="99"/>
      <c r="E45" s="99"/>
      <c r="F45" s="99"/>
      <c r="G45" s="99"/>
    </row>
    <row r="46" spans="1:7">
      <c r="A46" s="99"/>
      <c r="B46" s="99"/>
      <c r="C46" s="99"/>
      <c r="D46" s="99"/>
      <c r="E46" s="99"/>
      <c r="F46" s="99"/>
      <c r="G46" s="99"/>
    </row>
    <row r="47" spans="1:7">
      <c r="A47" s="99"/>
      <c r="B47" s="101"/>
      <c r="C47" s="99"/>
      <c r="D47" s="99"/>
      <c r="E47" s="99"/>
      <c r="F47" s="99"/>
      <c r="G47" s="99"/>
    </row>
    <row r="48" spans="1:7">
      <c r="A48" s="99"/>
      <c r="B48" s="99"/>
      <c r="C48" s="99"/>
      <c r="D48" s="99"/>
      <c r="E48" s="99"/>
      <c r="F48" s="99"/>
      <c r="G48" s="99"/>
    </row>
    <row r="49" spans="1:7">
      <c r="A49" s="99"/>
      <c r="B49" s="99"/>
      <c r="C49" s="99"/>
      <c r="D49" s="99"/>
      <c r="E49" s="99"/>
      <c r="F49" s="99"/>
      <c r="G49" s="99"/>
    </row>
    <row r="50" spans="1:7">
      <c r="A50" s="99"/>
      <c r="B50" s="101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99"/>
    </row>
    <row r="52" spans="1:7">
      <c r="A52" s="99"/>
      <c r="B52" s="101"/>
      <c r="C52" s="99"/>
      <c r="D52" s="99"/>
      <c r="E52" s="99"/>
      <c r="F52" s="99"/>
      <c r="G52" s="99"/>
    </row>
    <row r="53" spans="1:7">
      <c r="A53" s="99"/>
      <c r="B53" s="99"/>
      <c r="C53" s="99"/>
      <c r="D53" s="99"/>
      <c r="E53" s="99"/>
      <c r="F53" s="99"/>
      <c r="G53" s="99"/>
    </row>
    <row r="54" spans="1:7">
      <c r="A54" s="99"/>
      <c r="B54" s="101"/>
      <c r="C54" s="101"/>
      <c r="D54" s="99"/>
      <c r="E54" s="99"/>
      <c r="F54" s="99"/>
      <c r="G54" s="99"/>
    </row>
    <row r="55" spans="1:7">
      <c r="A55" s="99"/>
      <c r="B55" s="99"/>
      <c r="C55" s="99"/>
      <c r="D55" s="99"/>
      <c r="E55" s="99"/>
      <c r="F55" s="99"/>
      <c r="G55" s="99"/>
    </row>
    <row r="56" spans="1:7">
      <c r="A56" s="99"/>
      <c r="B56" s="99"/>
      <c r="C56" s="99"/>
      <c r="D56" s="99"/>
      <c r="E56" s="99"/>
      <c r="F56" s="99"/>
      <c r="G56" s="99"/>
    </row>
    <row r="57" spans="1:7">
      <c r="A57" s="99"/>
      <c r="B57" s="99"/>
      <c r="C57" s="99"/>
      <c r="D57" s="99"/>
      <c r="E57" s="99"/>
      <c r="F57" s="99"/>
      <c r="G57" s="99"/>
    </row>
    <row r="58" spans="1:7">
      <c r="A58" s="99"/>
      <c r="B58" s="99"/>
      <c r="C58" s="99"/>
      <c r="D58" s="99"/>
      <c r="E58" s="99"/>
      <c r="F58" s="99"/>
      <c r="G58" s="99"/>
    </row>
    <row r="59" spans="1:7">
      <c r="A59" s="99"/>
      <c r="B59" s="99"/>
      <c r="C59" s="99"/>
      <c r="D59" s="99"/>
      <c r="E59" s="99"/>
      <c r="F59" s="99"/>
      <c r="G59" s="99"/>
    </row>
    <row r="60" spans="1:7">
      <c r="A60" s="99"/>
      <c r="B60" s="99"/>
      <c r="C60" s="99"/>
      <c r="D60" s="99"/>
      <c r="E60" s="99"/>
      <c r="F60" s="99"/>
      <c r="G60" s="9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92350-6309-4236-AED5-D8D6C8B9DC30}">
  <dimension ref="A1:H32"/>
  <sheetViews>
    <sheetView workbookViewId="0">
      <selection activeCell="B42" sqref="B42"/>
    </sheetView>
  </sheetViews>
  <sheetFormatPr defaultColWidth="8.85546875" defaultRowHeight="15"/>
  <cols>
    <col min="2" max="2" width="31" bestFit="1" customWidth="1"/>
  </cols>
  <sheetData>
    <row r="1" spans="1:8">
      <c r="A1" s="39"/>
      <c r="B1" s="39"/>
      <c r="C1" s="39"/>
      <c r="D1" s="39"/>
      <c r="E1" s="39"/>
      <c r="F1" s="39"/>
      <c r="G1" s="39"/>
      <c r="H1" s="39"/>
    </row>
    <row r="2" spans="1:8">
      <c r="A2" s="39"/>
      <c r="B2" s="111" t="s">
        <v>185</v>
      </c>
      <c r="C2" s="111"/>
      <c r="D2" s="111"/>
      <c r="E2" s="111"/>
      <c r="F2" s="39"/>
      <c r="G2" s="39"/>
      <c r="H2" s="39"/>
    </row>
    <row r="3" spans="1:8">
      <c r="A3" s="39"/>
      <c r="B3" s="111"/>
      <c r="C3" s="111" t="s">
        <v>186</v>
      </c>
      <c r="D3" s="111" t="s">
        <v>187</v>
      </c>
      <c r="E3" s="111" t="s">
        <v>188</v>
      </c>
      <c r="F3" s="39"/>
      <c r="G3" s="39"/>
      <c r="H3" s="39"/>
    </row>
    <row r="4" spans="1:8">
      <c r="A4" s="39"/>
      <c r="B4" s="108" t="s">
        <v>189</v>
      </c>
      <c r="C4" s="109">
        <v>18.606473000000001</v>
      </c>
      <c r="D4" s="110">
        <f>E4-C4</f>
        <v>52.690931296016281</v>
      </c>
      <c r="E4" s="108">
        <f>Blizzard_Valuation!C159</f>
        <v>71.297404296016282</v>
      </c>
      <c r="F4" s="39"/>
      <c r="G4" s="39"/>
      <c r="H4" s="39"/>
    </row>
    <row r="5" spans="1:8">
      <c r="A5" s="39"/>
      <c r="B5" s="108" t="s">
        <v>190</v>
      </c>
      <c r="C5" s="108">
        <v>15.47</v>
      </c>
      <c r="D5" s="108">
        <f>E5-C5</f>
        <v>3.4399999999999995</v>
      </c>
      <c r="E5" s="108">
        <v>18.91</v>
      </c>
      <c r="F5" s="39"/>
      <c r="G5" s="39"/>
      <c r="H5" s="39"/>
    </row>
    <row r="6" spans="1:8">
      <c r="A6" s="39"/>
      <c r="B6" s="108" t="s">
        <v>191</v>
      </c>
      <c r="C6" s="108">
        <v>13.3</v>
      </c>
      <c r="D6" s="108">
        <f>E6-C6</f>
        <v>3.3000000000000007</v>
      </c>
      <c r="E6" s="108">
        <v>16.600000000000001</v>
      </c>
      <c r="F6" s="39"/>
      <c r="G6" s="39"/>
      <c r="H6" s="39"/>
    </row>
    <row r="7" spans="1:8">
      <c r="A7" s="39"/>
      <c r="B7" s="108" t="s">
        <v>192</v>
      </c>
      <c r="C7" s="108">
        <v>57.63</v>
      </c>
      <c r="D7" s="108">
        <f>E7-C7</f>
        <v>38.01</v>
      </c>
      <c r="E7" s="108">
        <v>95.64</v>
      </c>
      <c r="F7" s="39"/>
      <c r="G7" s="39"/>
      <c r="H7" s="39"/>
    </row>
    <row r="8" spans="1:8">
      <c r="A8" s="39"/>
      <c r="B8" s="39"/>
      <c r="C8" s="39"/>
      <c r="D8" s="39"/>
      <c r="E8" s="39"/>
      <c r="F8" s="39"/>
      <c r="G8" s="39"/>
      <c r="H8" s="39"/>
    </row>
    <row r="9" spans="1:8">
      <c r="A9" s="39"/>
      <c r="B9" s="115"/>
      <c r="C9" s="115"/>
      <c r="D9" s="115"/>
      <c r="E9" s="115"/>
      <c r="F9" s="115"/>
      <c r="G9" s="115"/>
      <c r="H9" s="115"/>
    </row>
    <row r="10" spans="1:8">
      <c r="A10" s="39"/>
      <c r="B10" s="115"/>
      <c r="C10" s="115"/>
      <c r="D10" s="115"/>
      <c r="E10" s="115"/>
      <c r="F10" s="115"/>
      <c r="G10" s="115"/>
      <c r="H10" s="115"/>
    </row>
    <row r="11" spans="1:8">
      <c r="A11" s="39"/>
      <c r="B11" s="115"/>
      <c r="C11" s="115"/>
      <c r="D11" s="115"/>
      <c r="E11" s="115"/>
      <c r="F11" s="115"/>
      <c r="G11" s="115"/>
      <c r="H11" s="115"/>
    </row>
    <row r="12" spans="1:8">
      <c r="A12" s="39"/>
      <c r="B12" s="115"/>
      <c r="C12" s="115"/>
      <c r="D12" s="115"/>
      <c r="E12" s="115"/>
      <c r="F12" s="115"/>
      <c r="G12" s="115"/>
      <c r="H12" s="115"/>
    </row>
    <row r="13" spans="1:8">
      <c r="A13" s="39"/>
      <c r="B13" s="115"/>
      <c r="C13" s="115"/>
      <c r="D13" s="115"/>
      <c r="E13" s="115"/>
      <c r="F13" s="115"/>
      <c r="G13" s="115"/>
      <c r="H13" s="115"/>
    </row>
    <row r="14" spans="1:8">
      <c r="A14" s="39"/>
      <c r="B14" s="115"/>
      <c r="C14" s="115"/>
      <c r="D14" s="115"/>
      <c r="E14" s="115"/>
      <c r="F14" s="115"/>
      <c r="G14" s="115"/>
      <c r="H14" s="115"/>
    </row>
    <row r="15" spans="1:8">
      <c r="A15" s="39"/>
      <c r="B15" s="115"/>
      <c r="C15" s="115"/>
      <c r="D15" s="115"/>
      <c r="E15" s="115"/>
      <c r="F15" s="115"/>
      <c r="G15" s="115"/>
      <c r="H15" s="115"/>
    </row>
    <row r="16" spans="1:8">
      <c r="A16" s="39"/>
      <c r="B16" s="115"/>
      <c r="C16" s="115"/>
      <c r="D16" s="115"/>
      <c r="E16" s="115"/>
      <c r="F16" s="115"/>
      <c r="G16" s="115"/>
      <c r="H16" s="115"/>
    </row>
    <row r="17" spans="1:8">
      <c r="A17" s="39"/>
      <c r="B17" s="115"/>
      <c r="C17" s="115"/>
      <c r="D17" s="115"/>
      <c r="E17" s="115"/>
      <c r="F17" s="115"/>
      <c r="G17" s="115"/>
      <c r="H17" s="115"/>
    </row>
    <row r="18" spans="1:8">
      <c r="A18" s="39"/>
      <c r="B18" s="115"/>
      <c r="C18" s="115"/>
      <c r="D18" s="115"/>
      <c r="E18" s="115"/>
      <c r="F18" s="115"/>
      <c r="G18" s="115"/>
      <c r="H18" s="115"/>
    </row>
    <row r="19" spans="1:8">
      <c r="A19" s="39"/>
      <c r="B19" s="115"/>
      <c r="C19" s="115"/>
      <c r="D19" s="115"/>
      <c r="E19" s="115"/>
      <c r="F19" s="115"/>
      <c r="G19" s="115"/>
      <c r="H19" s="115"/>
    </row>
    <row r="20" spans="1:8">
      <c r="A20" s="39"/>
      <c r="B20" s="115"/>
      <c r="C20" s="115"/>
      <c r="D20" s="115"/>
      <c r="E20" s="115"/>
      <c r="F20" s="115"/>
      <c r="G20" s="115"/>
      <c r="H20" s="115"/>
    </row>
    <row r="21" spans="1:8">
      <c r="A21" s="39"/>
      <c r="B21" s="115"/>
      <c r="C21" s="115"/>
      <c r="D21" s="115"/>
      <c r="E21" s="115"/>
      <c r="F21" s="115"/>
      <c r="G21" s="115"/>
      <c r="H21" s="115"/>
    </row>
    <row r="22" spans="1:8">
      <c r="A22" s="39"/>
      <c r="B22" s="115"/>
      <c r="C22" s="115"/>
      <c r="D22" s="115"/>
      <c r="E22" s="115"/>
      <c r="F22" s="115"/>
      <c r="G22" s="115"/>
      <c r="H22" s="115"/>
    </row>
    <row r="23" spans="1:8">
      <c r="A23" s="39"/>
      <c r="B23" s="115"/>
      <c r="C23" s="115"/>
      <c r="D23" s="115"/>
      <c r="E23" s="115"/>
      <c r="F23" s="115"/>
      <c r="G23" s="115"/>
      <c r="H23" s="115"/>
    </row>
    <row r="24" spans="1:8">
      <c r="A24" s="39"/>
      <c r="B24" s="115"/>
      <c r="C24" s="115"/>
      <c r="D24" s="115"/>
      <c r="E24" s="115"/>
      <c r="F24" s="115"/>
      <c r="G24" s="115"/>
      <c r="H24" s="115"/>
    </row>
    <row r="25" spans="1:8">
      <c r="A25" s="39"/>
      <c r="B25" s="39"/>
      <c r="C25" s="39"/>
      <c r="D25" s="39"/>
      <c r="E25" s="39"/>
      <c r="F25" s="39"/>
      <c r="G25" s="39"/>
      <c r="H25" s="39"/>
    </row>
    <row r="26" spans="1:8">
      <c r="A26" s="39"/>
      <c r="B26" s="39"/>
      <c r="C26" s="39"/>
      <c r="D26" s="39"/>
      <c r="E26" s="39"/>
      <c r="F26" s="39"/>
      <c r="G26" s="39"/>
      <c r="H26" s="39"/>
    </row>
    <row r="27" spans="1:8">
      <c r="A27" s="39"/>
      <c r="B27" s="39"/>
      <c r="C27" s="39"/>
      <c r="D27" s="39"/>
      <c r="E27" s="39"/>
      <c r="F27" s="39"/>
      <c r="G27" s="39"/>
      <c r="H27" s="39"/>
    </row>
    <row r="28" spans="1:8">
      <c r="A28" s="39"/>
      <c r="B28" s="39"/>
      <c r="C28" s="39"/>
      <c r="D28" s="39"/>
      <c r="E28" s="39"/>
      <c r="F28" s="39"/>
      <c r="G28" s="39"/>
      <c r="H28" s="39"/>
    </row>
    <row r="29" spans="1:8">
      <c r="A29" s="39"/>
      <c r="B29" s="39"/>
      <c r="C29" s="39"/>
      <c r="D29" s="39"/>
      <c r="E29" s="39"/>
      <c r="F29" s="39"/>
      <c r="G29" s="39"/>
      <c r="H29" s="39"/>
    </row>
    <row r="30" spans="1:8">
      <c r="A30" s="39"/>
      <c r="B30" s="39"/>
      <c r="C30" s="39"/>
      <c r="D30" s="39"/>
      <c r="E30" s="39"/>
      <c r="F30" s="39"/>
      <c r="G30" s="39"/>
      <c r="H30" s="39"/>
    </row>
    <row r="31" spans="1:8">
      <c r="A31" s="39"/>
      <c r="B31" s="39"/>
      <c r="C31" s="39"/>
      <c r="D31" s="39"/>
      <c r="E31" s="39"/>
      <c r="F31" s="39"/>
      <c r="G31" s="39"/>
      <c r="H31" s="39"/>
    </row>
    <row r="32" spans="1:8">
      <c r="A32" s="39"/>
      <c r="B32" s="115"/>
      <c r="C32" s="115"/>
      <c r="D32" s="115"/>
      <c r="E32" s="115"/>
      <c r="F32" s="115"/>
      <c r="G32" s="39"/>
      <c r="H32" s="39"/>
    </row>
  </sheetData>
  <mergeCells count="2">
    <mergeCell ref="B9:H24"/>
    <mergeCell ref="B32:F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2024-10-24T02:55:43Z</dcterms:created>
  <dcterms:modified xsi:type="dcterms:W3CDTF">2024-12-16T12:54:56Z</dcterms:modified>
  <cp:category/>
  <cp:contentStatus/>
</cp:coreProperties>
</file>