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cademica - Financal Model\Kofeynya_finansovaya_model\"/>
    </mc:Choice>
  </mc:AlternateContent>
  <bookViews>
    <workbookView xWindow="0" yWindow="0" windowWidth="23040" windowHeight="8448"/>
  </bookViews>
  <sheets>
    <sheet name="Прогноз чистой прибыли" sheetId="1" r:id="rId1"/>
    <sheet name="Глоссарий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K42" i="1"/>
  <c r="L42" i="1"/>
  <c r="M42" i="1"/>
  <c r="N42" i="1"/>
  <c r="O42" i="1"/>
  <c r="P42" i="1"/>
  <c r="Q42" i="1"/>
  <c r="R42" i="1"/>
  <c r="G42" i="1"/>
  <c r="H41" i="1"/>
  <c r="I41" i="1"/>
  <c r="J41" i="1"/>
  <c r="K41" i="1"/>
  <c r="L41" i="1"/>
  <c r="M41" i="1"/>
  <c r="N41" i="1"/>
  <c r="O41" i="1"/>
  <c r="P41" i="1"/>
  <c r="Q41" i="1"/>
  <c r="R41" i="1"/>
  <c r="G41" i="1"/>
  <c r="H33" i="1"/>
  <c r="I33" i="1"/>
  <c r="J33" i="1"/>
  <c r="K33" i="1"/>
  <c r="L33" i="1"/>
  <c r="M33" i="1"/>
  <c r="N33" i="1"/>
  <c r="O33" i="1"/>
  <c r="P33" i="1"/>
  <c r="Q33" i="1"/>
  <c r="R33" i="1"/>
  <c r="G33" i="1"/>
  <c r="H39" i="1"/>
  <c r="I39" i="1"/>
  <c r="J39" i="1"/>
  <c r="K39" i="1"/>
  <c r="L39" i="1"/>
  <c r="M39" i="1"/>
  <c r="N39" i="1"/>
  <c r="O39" i="1"/>
  <c r="P39" i="1"/>
  <c r="Q39" i="1"/>
  <c r="R39" i="1"/>
  <c r="G39" i="1"/>
  <c r="H35" i="1"/>
  <c r="I35" i="1"/>
  <c r="J35" i="1"/>
  <c r="K35" i="1"/>
  <c r="L35" i="1"/>
  <c r="M35" i="1"/>
  <c r="N35" i="1"/>
  <c r="O35" i="1"/>
  <c r="P35" i="1"/>
  <c r="Q35" i="1"/>
  <c r="R35" i="1"/>
  <c r="G35" i="1"/>
  <c r="H34" i="1"/>
  <c r="I34" i="1"/>
  <c r="J34" i="1"/>
  <c r="K34" i="1"/>
  <c r="L34" i="1"/>
  <c r="M34" i="1"/>
  <c r="N34" i="1"/>
  <c r="O34" i="1"/>
  <c r="P34" i="1"/>
  <c r="Q34" i="1"/>
  <c r="R34" i="1"/>
  <c r="G34" i="1"/>
  <c r="I5" i="1"/>
  <c r="J5" i="1"/>
  <c r="K5" i="1"/>
  <c r="L5" i="1"/>
  <c r="I7" i="1"/>
  <c r="I13" i="1" s="1"/>
  <c r="J7" i="1"/>
  <c r="J13" i="1" s="1"/>
  <c r="K7" i="1"/>
  <c r="K13" i="1" s="1"/>
  <c r="L7" i="1"/>
  <c r="I8" i="1"/>
  <c r="I14" i="1" s="1"/>
  <c r="J8" i="1"/>
  <c r="J14" i="1" s="1"/>
  <c r="K8" i="1"/>
  <c r="K14" i="1" s="1"/>
  <c r="L8" i="1"/>
  <c r="H13" i="1"/>
  <c r="H12" i="1" s="1"/>
  <c r="H14" i="1"/>
  <c r="K12" i="1" l="1"/>
  <c r="K17" i="1" s="1"/>
  <c r="J12" i="1"/>
  <c r="I12" i="1"/>
  <c r="J17" i="1"/>
  <c r="J18" i="1"/>
  <c r="I18" i="1"/>
  <c r="I17" i="1"/>
  <c r="H18" i="1"/>
  <c r="H17" i="1"/>
  <c r="H16" i="1" s="1"/>
  <c r="H21" i="1" s="1"/>
  <c r="H30" i="1" s="1"/>
  <c r="H31" i="1" s="1"/>
  <c r="G31" i="1"/>
  <c r="G30" i="1"/>
  <c r="H24" i="1"/>
  <c r="I24" i="1"/>
  <c r="J24" i="1"/>
  <c r="K24" i="1"/>
  <c r="L24" i="1"/>
  <c r="M24" i="1"/>
  <c r="N24" i="1"/>
  <c r="O24" i="1"/>
  <c r="P24" i="1"/>
  <c r="Q24" i="1"/>
  <c r="R24" i="1"/>
  <c r="G24" i="1"/>
  <c r="H27" i="1"/>
  <c r="I27" i="1"/>
  <c r="J27" i="1"/>
  <c r="K27" i="1"/>
  <c r="L27" i="1"/>
  <c r="M27" i="1"/>
  <c r="N27" i="1"/>
  <c r="O27" i="1"/>
  <c r="P27" i="1"/>
  <c r="Q27" i="1"/>
  <c r="R27" i="1"/>
  <c r="G27" i="1"/>
  <c r="G22" i="1"/>
  <c r="G21" i="1"/>
  <c r="G16" i="1"/>
  <c r="H19" i="1"/>
  <c r="I19" i="1"/>
  <c r="J19" i="1"/>
  <c r="K19" i="1"/>
  <c r="L19" i="1"/>
  <c r="R19" i="1"/>
  <c r="G19" i="1"/>
  <c r="G18" i="1"/>
  <c r="G17" i="1"/>
  <c r="G13" i="1"/>
  <c r="G14" i="1"/>
  <c r="G12" i="1"/>
  <c r="L13" i="1"/>
  <c r="L14" i="1"/>
  <c r="H8" i="1"/>
  <c r="R8" i="1"/>
  <c r="R14" i="1" s="1"/>
  <c r="G8" i="1"/>
  <c r="H7" i="1"/>
  <c r="M7" i="1"/>
  <c r="M13" i="1" s="1"/>
  <c r="N7" i="1"/>
  <c r="N13" i="1" s="1"/>
  <c r="G7" i="1"/>
  <c r="M5" i="1"/>
  <c r="N5" i="1" s="1"/>
  <c r="O5" i="1" s="1"/>
  <c r="P5" i="1" s="1"/>
  <c r="Q5" i="1" s="1"/>
  <c r="R5" i="1" s="1"/>
  <c r="R7" i="1" s="1"/>
  <c r="R13" i="1" s="1"/>
  <c r="H5" i="1"/>
  <c r="L12" i="1" l="1"/>
  <c r="L17" i="1" s="1"/>
  <c r="K18" i="1"/>
  <c r="R12" i="1"/>
  <c r="R17" i="1"/>
  <c r="R18" i="1"/>
  <c r="M12" i="1"/>
  <c r="O8" i="1"/>
  <c r="O14" i="1" s="1"/>
  <c r="Q8" i="1"/>
  <c r="Q14" i="1" s="1"/>
  <c r="Q19" i="1"/>
  <c r="P8" i="1"/>
  <c r="P14" i="1" s="1"/>
  <c r="N8" i="1"/>
  <c r="N14" i="1" s="1"/>
  <c r="N12" i="1" s="1"/>
  <c r="N19" i="1"/>
  <c r="Q7" i="1"/>
  <c r="Q13" i="1" s="1"/>
  <c r="M8" i="1"/>
  <c r="M14" i="1" s="1"/>
  <c r="M19" i="1"/>
  <c r="P7" i="1"/>
  <c r="P13" i="1" s="1"/>
  <c r="I16" i="1"/>
  <c r="I21" i="1" s="1"/>
  <c r="I30" i="1" s="1"/>
  <c r="I31" i="1" s="1"/>
  <c r="P19" i="1"/>
  <c r="O19" i="1"/>
  <c r="O7" i="1"/>
  <c r="O13" i="1" s="1"/>
  <c r="O12" i="1" s="1"/>
  <c r="J16" i="1"/>
  <c r="J21" i="1" s="1"/>
  <c r="J30" i="1" s="1"/>
  <c r="J31" i="1" s="1"/>
  <c r="K16" i="1"/>
  <c r="K21" i="1" s="1"/>
  <c r="K30" i="1" s="1"/>
  <c r="K31" i="1" s="1"/>
  <c r="J22" i="1"/>
  <c r="H22" i="1"/>
  <c r="E37" i="1"/>
  <c r="E33" i="1"/>
  <c r="L18" i="1" l="1"/>
  <c r="N18" i="1"/>
  <c r="N17" i="1"/>
  <c r="R16" i="1"/>
  <c r="R21" i="1" s="1"/>
  <c r="K22" i="1"/>
  <c r="O18" i="1"/>
  <c r="O17" i="1"/>
  <c r="O16" i="1" s="1"/>
  <c r="O21" i="1" s="1"/>
  <c r="M18" i="1"/>
  <c r="M17" i="1"/>
  <c r="M16" i="1" s="1"/>
  <c r="M21" i="1" s="1"/>
  <c r="P12" i="1"/>
  <c r="I22" i="1"/>
  <c r="Q12" i="1"/>
  <c r="L16" i="1"/>
  <c r="L21" i="1" s="1"/>
  <c r="M22" i="1" l="1"/>
  <c r="M30" i="1"/>
  <c r="M31" i="1" s="1"/>
  <c r="O22" i="1"/>
  <c r="O30" i="1"/>
  <c r="O31" i="1" s="1"/>
  <c r="P17" i="1"/>
  <c r="P18" i="1"/>
  <c r="R22" i="1"/>
  <c r="R30" i="1"/>
  <c r="R31" i="1" s="1"/>
  <c r="L30" i="1"/>
  <c r="L31" i="1" s="1"/>
  <c r="L22" i="1"/>
  <c r="Q18" i="1"/>
  <c r="Q17" i="1"/>
  <c r="Q16" i="1" s="1"/>
  <c r="Q21" i="1" s="1"/>
  <c r="N16" i="1"/>
  <c r="N21" i="1" s="1"/>
  <c r="Q22" i="1" l="1"/>
  <c r="Q30" i="1"/>
  <c r="Q31" i="1" s="1"/>
  <c r="P16" i="1"/>
  <c r="P21" i="1" s="1"/>
  <c r="N22" i="1"/>
  <c r="N30" i="1"/>
  <c r="N31" i="1" s="1"/>
  <c r="P22" i="1" l="1"/>
  <c r="P30" i="1"/>
  <c r="P31" i="1" s="1"/>
</calcChain>
</file>

<file path=xl/sharedStrings.xml><?xml version="1.0" encoding="utf-8"?>
<sst xmlns="http://schemas.openxmlformats.org/spreadsheetml/2006/main" count="49" uniqueCount="45">
  <si>
    <t>В тенге</t>
  </si>
  <si>
    <t>Выручка</t>
  </si>
  <si>
    <t>Продажа кофе</t>
  </si>
  <si>
    <t>Продажа круасанов</t>
  </si>
  <si>
    <t>Воронка продаж</t>
  </si>
  <si>
    <t>Трафик</t>
  </si>
  <si>
    <t>Прирост трафика</t>
  </si>
  <si>
    <t>Конверсия на кофе</t>
  </si>
  <si>
    <t>Конверсия на круасан</t>
  </si>
  <si>
    <t>Средний чек на кофе</t>
  </si>
  <si>
    <t>Средний чек на круасан</t>
  </si>
  <si>
    <t>Переменные расходы (Себестоимость)</t>
  </si>
  <si>
    <t>Запасы и материалы</t>
  </si>
  <si>
    <t>Упаковка</t>
  </si>
  <si>
    <t>Реклама</t>
  </si>
  <si>
    <t>Валовая Прибыль</t>
  </si>
  <si>
    <t>Операционные расходы</t>
  </si>
  <si>
    <t>Аренда</t>
  </si>
  <si>
    <t xml:space="preserve">Зарплата </t>
  </si>
  <si>
    <t>Налоги</t>
  </si>
  <si>
    <t>Коммуналка</t>
  </si>
  <si>
    <t>EBITDA</t>
  </si>
  <si>
    <t>Капитальные затраты</t>
  </si>
  <si>
    <t>Оборудование</t>
  </si>
  <si>
    <t>Ремонт</t>
  </si>
  <si>
    <t xml:space="preserve">Амортизация </t>
  </si>
  <si>
    <t xml:space="preserve">Платежи по процентам </t>
  </si>
  <si>
    <t xml:space="preserve">Чистая прибыль </t>
  </si>
  <si>
    <t>Предположения</t>
  </si>
  <si>
    <t>Рентабельность по валовой прибыли, %</t>
  </si>
  <si>
    <t>Рентабельность по EBITDA, %</t>
  </si>
  <si>
    <t>Рентабельность по чистой прибыли, %</t>
  </si>
  <si>
    <t>Термин</t>
  </si>
  <si>
    <t>Описание</t>
  </si>
  <si>
    <t>Конверсия</t>
  </si>
  <si>
    <t>Отношение числа посетителей, выполнивших какие-либо целевые действия, к общему числу посетителей, выраженное в процентах.</t>
  </si>
  <si>
    <t>Денежные средства, которые компания получает от реализации своих товаров и услуг за определенный срок.</t>
  </si>
  <si>
    <t xml:space="preserve">Совокупность затрат, которые несет бизнес в процессе выпуска одной единицы товара или оказания одной услуги.
</t>
  </si>
  <si>
    <t>Себестоимость</t>
  </si>
  <si>
    <t>Валовая прибыль</t>
  </si>
  <si>
    <t>Разница между выручкой и себестоимостью продукции или услуг.</t>
  </si>
  <si>
    <t>Капитал, которым компания пользуется, чтобы купить или модернизировать активы (недвижимость, оборудование, технологии). С инвестиционной точки зрения, CAPEX понимают, как расходы на приобретение и увеличение основных средств компании.</t>
  </si>
  <si>
    <t>Аббр. англ. Earnings before interest, taxes, depreciation and amortization — аналитический показатель, равный объёму прибыли до вычета расходов по выплате процентов, налогов, износа и начисленной амортизации.</t>
  </si>
  <si>
    <t>Амортизация</t>
  </si>
  <si>
    <t>Процесс переноса по частям стоимости основных средств и нематериальных активов по мере их физического или морального износа на расходы.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</si>
</sst>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_-* #,##0_-;\-* #,##0_-;_-* &quot;-&quot;??_-;_-@_-"/>
    <numFmt numFmtId="166" formatCode="_-* #,##0\ _₽_-;\-* #,##0\ _₽_-;_-* &quot;-&quot;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left" indent="1"/>
    </xf>
    <xf numFmtId="166" fontId="3" fillId="0" borderId="0" xfId="0" applyNumberFormat="1" applyFont="1"/>
    <xf numFmtId="166" fontId="2" fillId="0" borderId="0" xfId="0" applyNumberFormat="1" applyFont="1"/>
    <xf numFmtId="9" fontId="4" fillId="0" borderId="0" xfId="1" applyFont="1"/>
    <xf numFmtId="0" fontId="4" fillId="0" borderId="0" xfId="0" applyFont="1"/>
    <xf numFmtId="166" fontId="4" fillId="0" borderId="0" xfId="0" applyNumberFormat="1" applyFont="1"/>
    <xf numFmtId="0" fontId="3" fillId="2" borderId="1" xfId="2" applyNumberFormat="1" applyFont="1"/>
    <xf numFmtId="9" fontId="3" fillId="2" borderId="1" xfId="2" applyNumberFormat="1" applyFont="1"/>
    <xf numFmtId="164" fontId="2" fillId="0" borderId="0" xfId="0" applyNumberFormat="1" applyFont="1"/>
    <xf numFmtId="0" fontId="3" fillId="0" borderId="2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5" fontId="3" fillId="2" borderId="1" xfId="2" applyNumberFormat="1" applyFont="1"/>
    <xf numFmtId="164" fontId="3" fillId="2" borderId="1" xfId="2" applyNumberFormat="1" applyFont="1"/>
    <xf numFmtId="0" fontId="2" fillId="0" borderId="4" xfId="0" applyFont="1" applyBorder="1"/>
    <xf numFmtId="166" fontId="2" fillId="0" borderId="4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</cellXfs>
  <cellStyles count="3">
    <cellStyle name="Обычный" xfId="0" builtinId="0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tabSelected="1" topLeftCell="A15" zoomScale="90" zoomScaleNormal="90" workbookViewId="0">
      <selection activeCell="G34" sqref="G34"/>
    </sheetView>
  </sheetViews>
  <sheetFormatPr defaultColWidth="12.33203125" defaultRowHeight="13.2" x14ac:dyDescent="0.25"/>
  <cols>
    <col min="1" max="16384" width="12.33203125" style="5"/>
  </cols>
  <sheetData>
    <row r="2" spans="2:18" x14ac:dyDescent="0.25">
      <c r="B2" s="1" t="s">
        <v>0</v>
      </c>
      <c r="C2" s="15"/>
      <c r="D2" s="15"/>
      <c r="E2" s="1" t="s">
        <v>28</v>
      </c>
      <c r="F2" s="2"/>
      <c r="G2" s="2">
        <v>45322</v>
      </c>
      <c r="H2" s="2">
        <v>45350</v>
      </c>
      <c r="I2" s="2">
        <v>45382</v>
      </c>
      <c r="J2" s="2">
        <v>45412</v>
      </c>
      <c r="K2" s="2">
        <v>45443</v>
      </c>
      <c r="L2" s="2">
        <v>45473</v>
      </c>
      <c r="M2" s="2">
        <v>45504</v>
      </c>
      <c r="N2" s="2">
        <v>45535</v>
      </c>
      <c r="O2" s="2">
        <v>45565</v>
      </c>
      <c r="P2" s="2">
        <v>45596</v>
      </c>
      <c r="Q2" s="2">
        <v>45626</v>
      </c>
      <c r="R2" s="2">
        <v>45657</v>
      </c>
    </row>
    <row r="4" spans="2:18" s="3" customFormat="1" x14ac:dyDescent="0.25">
      <c r="B4" s="3" t="s">
        <v>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x14ac:dyDescent="0.25">
      <c r="B5" s="4" t="s">
        <v>5</v>
      </c>
      <c r="E5" s="12">
        <v>3000</v>
      </c>
      <c r="G5" s="7">
        <v>3000</v>
      </c>
      <c r="H5" s="7">
        <f>G5*(1+5%)</f>
        <v>3150</v>
      </c>
      <c r="I5" s="7">
        <f t="shared" ref="I5:R5" si="0">H5*(1+5%)</f>
        <v>3307.5</v>
      </c>
      <c r="J5" s="7">
        <f t="shared" si="0"/>
        <v>3472.875</v>
      </c>
      <c r="K5" s="7">
        <f t="shared" si="0"/>
        <v>3646.5187500000002</v>
      </c>
      <c r="L5" s="7">
        <f t="shared" si="0"/>
        <v>3828.8446875000004</v>
      </c>
      <c r="M5" s="7">
        <f t="shared" si="0"/>
        <v>4020.2869218750006</v>
      </c>
      <c r="N5" s="7">
        <f t="shared" si="0"/>
        <v>4221.3012679687508</v>
      </c>
      <c r="O5" s="7">
        <f t="shared" si="0"/>
        <v>4432.3663313671886</v>
      </c>
      <c r="P5" s="7">
        <f t="shared" si="0"/>
        <v>4653.9846479355483</v>
      </c>
      <c r="Q5" s="7">
        <f t="shared" si="0"/>
        <v>4886.6838803323262</v>
      </c>
      <c r="R5" s="7">
        <f t="shared" si="0"/>
        <v>5131.0180743489427</v>
      </c>
    </row>
    <row r="6" spans="2:18" x14ac:dyDescent="0.25">
      <c r="B6" s="4" t="s">
        <v>6</v>
      </c>
      <c r="E6" s="13">
        <v>0.05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25">
      <c r="B7" s="4" t="s">
        <v>7</v>
      </c>
      <c r="E7" s="13">
        <v>0.8</v>
      </c>
      <c r="G7" s="7">
        <f>G5*80%</f>
        <v>2400</v>
      </c>
      <c r="H7" s="7">
        <f t="shared" ref="H7:R7" si="1">H5*80%</f>
        <v>2520</v>
      </c>
      <c r="I7" s="7">
        <f t="shared" si="1"/>
        <v>2646</v>
      </c>
      <c r="J7" s="7">
        <f t="shared" si="1"/>
        <v>2778.3</v>
      </c>
      <c r="K7" s="7">
        <f t="shared" si="1"/>
        <v>2917.2150000000001</v>
      </c>
      <c r="L7" s="7">
        <f t="shared" si="1"/>
        <v>3063.0757500000004</v>
      </c>
      <c r="M7" s="7">
        <f t="shared" si="1"/>
        <v>3216.2295375000008</v>
      </c>
      <c r="N7" s="7">
        <f t="shared" si="1"/>
        <v>3377.0410143750009</v>
      </c>
      <c r="O7" s="7">
        <f t="shared" si="1"/>
        <v>3545.8930650937509</v>
      </c>
      <c r="P7" s="7">
        <f t="shared" si="1"/>
        <v>3723.1877183484389</v>
      </c>
      <c r="Q7" s="7">
        <f t="shared" si="1"/>
        <v>3909.3471042658612</v>
      </c>
      <c r="R7" s="7">
        <f t="shared" si="1"/>
        <v>4104.8144594791547</v>
      </c>
    </row>
    <row r="8" spans="2:18" x14ac:dyDescent="0.25">
      <c r="B8" s="4" t="s">
        <v>8</v>
      </c>
      <c r="E8" s="13">
        <v>0.4</v>
      </c>
      <c r="G8" s="7">
        <f>G5*40%</f>
        <v>1200</v>
      </c>
      <c r="H8" s="7">
        <f t="shared" ref="H8:R8" si="2">H5*40%</f>
        <v>1260</v>
      </c>
      <c r="I8" s="7">
        <f t="shared" si="2"/>
        <v>1323</v>
      </c>
      <c r="J8" s="7">
        <f t="shared" si="2"/>
        <v>1389.15</v>
      </c>
      <c r="K8" s="7">
        <f t="shared" si="2"/>
        <v>1458.6075000000001</v>
      </c>
      <c r="L8" s="7">
        <f t="shared" si="2"/>
        <v>1531.5378750000002</v>
      </c>
      <c r="M8" s="7">
        <f t="shared" si="2"/>
        <v>1608.1147687500004</v>
      </c>
      <c r="N8" s="7">
        <f t="shared" si="2"/>
        <v>1688.5205071875005</v>
      </c>
      <c r="O8" s="7">
        <f t="shared" si="2"/>
        <v>1772.9465325468755</v>
      </c>
      <c r="P8" s="7">
        <f t="shared" si="2"/>
        <v>1861.5938591742195</v>
      </c>
      <c r="Q8" s="7">
        <f t="shared" si="2"/>
        <v>1954.6735521329306</v>
      </c>
      <c r="R8" s="7">
        <f t="shared" si="2"/>
        <v>2052.4072297395774</v>
      </c>
    </row>
    <row r="9" spans="2:18" x14ac:dyDescent="0.25">
      <c r="B9" s="4" t="s">
        <v>9</v>
      </c>
      <c r="E9" s="18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>
        <v>1000</v>
      </c>
      <c r="O9" s="7">
        <v>1000</v>
      </c>
      <c r="P9" s="7">
        <v>1000</v>
      </c>
      <c r="Q9" s="7">
        <v>1000</v>
      </c>
      <c r="R9" s="7">
        <v>1000</v>
      </c>
    </row>
    <row r="10" spans="2:18" x14ac:dyDescent="0.25">
      <c r="B10" s="4" t="s">
        <v>10</v>
      </c>
      <c r="E10" s="18">
        <v>500</v>
      </c>
      <c r="G10" s="7">
        <v>500</v>
      </c>
      <c r="H10" s="7">
        <v>500</v>
      </c>
      <c r="I10" s="7">
        <v>500</v>
      </c>
      <c r="J10" s="7">
        <v>500</v>
      </c>
      <c r="K10" s="7">
        <v>500</v>
      </c>
      <c r="L10" s="7">
        <v>500</v>
      </c>
      <c r="M10" s="7">
        <v>500</v>
      </c>
      <c r="N10" s="7">
        <v>500</v>
      </c>
      <c r="O10" s="7">
        <v>500</v>
      </c>
      <c r="P10" s="7">
        <v>500</v>
      </c>
      <c r="Q10" s="7">
        <v>500</v>
      </c>
      <c r="R10" s="7">
        <v>500</v>
      </c>
    </row>
    <row r="12" spans="2:18" s="3" customFormat="1" x14ac:dyDescent="0.25">
      <c r="B12" s="3" t="s">
        <v>1</v>
      </c>
      <c r="G12" s="8">
        <f>G13+G14</f>
        <v>3000000</v>
      </c>
      <c r="H12" s="8">
        <f t="shared" ref="H12:R12" si="3">H13+H14</f>
        <v>3150000</v>
      </c>
      <c r="I12" s="8">
        <f t="shared" si="3"/>
        <v>3307500</v>
      </c>
      <c r="J12" s="8">
        <f t="shared" si="3"/>
        <v>3472875</v>
      </c>
      <c r="K12" s="8">
        <f t="shared" si="3"/>
        <v>3646518.75</v>
      </c>
      <c r="L12" s="8">
        <f t="shared" si="3"/>
        <v>3828844.6875000005</v>
      </c>
      <c r="M12" s="8">
        <f t="shared" si="3"/>
        <v>4020286.9218750009</v>
      </c>
      <c r="N12" s="8">
        <f t="shared" si="3"/>
        <v>4221301.2679687506</v>
      </c>
      <c r="O12" s="8">
        <f t="shared" si="3"/>
        <v>4432366.3313671891</v>
      </c>
      <c r="P12" s="8">
        <f t="shared" si="3"/>
        <v>4653984.6479355488</v>
      </c>
      <c r="Q12" s="8">
        <f t="shared" si="3"/>
        <v>4886683.8803323265</v>
      </c>
      <c r="R12" s="8">
        <f t="shared" si="3"/>
        <v>5131018.0743489433</v>
      </c>
    </row>
    <row r="13" spans="2:18" x14ac:dyDescent="0.25">
      <c r="B13" s="4" t="s">
        <v>2</v>
      </c>
      <c r="G13" s="7">
        <f>G9*G7</f>
        <v>2400000</v>
      </c>
      <c r="H13" s="7">
        <f t="shared" ref="H13:R13" si="4">H9*H7</f>
        <v>2520000</v>
      </c>
      <c r="I13" s="7">
        <f t="shared" si="4"/>
        <v>2646000</v>
      </c>
      <c r="J13" s="7">
        <f t="shared" si="4"/>
        <v>2778300</v>
      </c>
      <c r="K13" s="7">
        <f t="shared" si="4"/>
        <v>2917215</v>
      </c>
      <c r="L13" s="7">
        <f t="shared" si="4"/>
        <v>3063075.7500000005</v>
      </c>
      <c r="M13" s="7">
        <f t="shared" si="4"/>
        <v>3216229.5375000006</v>
      </c>
      <c r="N13" s="7">
        <f t="shared" si="4"/>
        <v>3377041.0143750007</v>
      </c>
      <c r="O13" s="7">
        <f t="shared" si="4"/>
        <v>3545893.0650937511</v>
      </c>
      <c r="P13" s="7">
        <f t="shared" si="4"/>
        <v>3723187.7183484389</v>
      </c>
      <c r="Q13" s="7">
        <f t="shared" si="4"/>
        <v>3909347.1042658612</v>
      </c>
      <c r="R13" s="7">
        <f t="shared" si="4"/>
        <v>4104814.4594791546</v>
      </c>
    </row>
    <row r="14" spans="2:18" x14ac:dyDescent="0.25">
      <c r="B14" s="4" t="s">
        <v>3</v>
      </c>
      <c r="G14" s="7">
        <f>G10*G8</f>
        <v>600000</v>
      </c>
      <c r="H14" s="7">
        <f t="shared" ref="H14:R14" si="5">H10*H8</f>
        <v>630000</v>
      </c>
      <c r="I14" s="7">
        <f t="shared" si="5"/>
        <v>661500</v>
      </c>
      <c r="J14" s="7">
        <f t="shared" si="5"/>
        <v>694575</v>
      </c>
      <c r="K14" s="7">
        <f t="shared" si="5"/>
        <v>729303.75</v>
      </c>
      <c r="L14" s="7">
        <f t="shared" si="5"/>
        <v>765768.93750000012</v>
      </c>
      <c r="M14" s="7">
        <f t="shared" si="5"/>
        <v>804057.38437500014</v>
      </c>
      <c r="N14" s="7">
        <f t="shared" si="5"/>
        <v>844260.25359375018</v>
      </c>
      <c r="O14" s="7">
        <f t="shared" si="5"/>
        <v>886473.26627343777</v>
      </c>
      <c r="P14" s="7">
        <f t="shared" si="5"/>
        <v>930796.92958710971</v>
      </c>
      <c r="Q14" s="7">
        <f t="shared" si="5"/>
        <v>977336.7760664653</v>
      </c>
      <c r="R14" s="7">
        <f t="shared" si="5"/>
        <v>1026203.6148697886</v>
      </c>
    </row>
    <row r="15" spans="2:18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s="3" customFormat="1" x14ac:dyDescent="0.25">
      <c r="B16" s="3" t="s">
        <v>11</v>
      </c>
      <c r="G16" s="8">
        <f>G17+G18+G19</f>
        <v>1590000</v>
      </c>
      <c r="H16" s="8">
        <f t="shared" ref="H16:R16" si="6">H17+H18+H19</f>
        <v>1669500</v>
      </c>
      <c r="I16" s="8">
        <f t="shared" si="6"/>
        <v>1752975</v>
      </c>
      <c r="J16" s="8">
        <f t="shared" si="6"/>
        <v>1840623.75</v>
      </c>
      <c r="K16" s="8">
        <f t="shared" si="6"/>
        <v>1932654.9375</v>
      </c>
      <c r="L16" s="8">
        <f t="shared" si="6"/>
        <v>2029287.6843750002</v>
      </c>
      <c r="M16" s="8">
        <f t="shared" si="6"/>
        <v>2130752.0685937507</v>
      </c>
      <c r="N16" s="8">
        <f t="shared" si="6"/>
        <v>2237289.6720234379</v>
      </c>
      <c r="O16" s="8">
        <f t="shared" si="6"/>
        <v>2349154.1556246104</v>
      </c>
      <c r="P16" s="8">
        <f t="shared" si="6"/>
        <v>2466611.8634058409</v>
      </c>
      <c r="Q16" s="8">
        <f t="shared" si="6"/>
        <v>2589942.4565761331</v>
      </c>
      <c r="R16" s="8">
        <f t="shared" si="6"/>
        <v>2719439.5794049399</v>
      </c>
    </row>
    <row r="17" spans="2:18" x14ac:dyDescent="0.25">
      <c r="B17" s="4" t="s">
        <v>12</v>
      </c>
      <c r="E17" s="13">
        <v>0.33</v>
      </c>
      <c r="G17" s="7">
        <f>G12*33%</f>
        <v>990000</v>
      </c>
      <c r="H17" s="7">
        <f t="shared" ref="H17:R17" si="7">H12*33%</f>
        <v>1039500</v>
      </c>
      <c r="I17" s="7">
        <f t="shared" si="7"/>
        <v>1091475</v>
      </c>
      <c r="J17" s="7">
        <f t="shared" si="7"/>
        <v>1146048.75</v>
      </c>
      <c r="K17" s="7">
        <f t="shared" si="7"/>
        <v>1203351.1875</v>
      </c>
      <c r="L17" s="7">
        <f t="shared" si="7"/>
        <v>1263518.7468750002</v>
      </c>
      <c r="M17" s="7">
        <f t="shared" si="7"/>
        <v>1326694.6842187503</v>
      </c>
      <c r="N17" s="7">
        <f t="shared" si="7"/>
        <v>1393029.4184296879</v>
      </c>
      <c r="O17" s="7">
        <f t="shared" si="7"/>
        <v>1462680.8893511724</v>
      </c>
      <c r="P17" s="7">
        <f t="shared" si="7"/>
        <v>1535814.9338187312</v>
      </c>
      <c r="Q17" s="7">
        <f t="shared" si="7"/>
        <v>1612605.6805096678</v>
      </c>
      <c r="R17" s="7">
        <f t="shared" si="7"/>
        <v>1693235.9645351514</v>
      </c>
    </row>
    <row r="18" spans="2:18" x14ac:dyDescent="0.25">
      <c r="B18" s="4" t="s">
        <v>13</v>
      </c>
      <c r="E18" s="13">
        <v>0.05</v>
      </c>
      <c r="G18" s="7">
        <f>G12*5%</f>
        <v>150000</v>
      </c>
      <c r="H18" s="7">
        <f t="shared" ref="H18:R18" si="8">H12*5%</f>
        <v>157500</v>
      </c>
      <c r="I18" s="7">
        <f t="shared" si="8"/>
        <v>165375</v>
      </c>
      <c r="J18" s="7">
        <f t="shared" si="8"/>
        <v>173643.75</v>
      </c>
      <c r="K18" s="7">
        <f t="shared" si="8"/>
        <v>182325.9375</v>
      </c>
      <c r="L18" s="7">
        <f t="shared" si="8"/>
        <v>191442.23437500003</v>
      </c>
      <c r="M18" s="7">
        <f t="shared" si="8"/>
        <v>201014.34609375006</v>
      </c>
      <c r="N18" s="7">
        <f t="shared" si="8"/>
        <v>211065.06339843755</v>
      </c>
      <c r="O18" s="7">
        <f t="shared" si="8"/>
        <v>221618.31656835947</v>
      </c>
      <c r="P18" s="7">
        <f t="shared" si="8"/>
        <v>232699.23239677746</v>
      </c>
      <c r="Q18" s="7">
        <f t="shared" si="8"/>
        <v>244334.19401661633</v>
      </c>
      <c r="R18" s="7">
        <f t="shared" si="8"/>
        <v>256550.90371744719</v>
      </c>
    </row>
    <row r="19" spans="2:18" x14ac:dyDescent="0.25">
      <c r="B19" s="4" t="s">
        <v>14</v>
      </c>
      <c r="E19" s="18">
        <v>150</v>
      </c>
      <c r="G19" s="7">
        <f>G5*150</f>
        <v>450000</v>
      </c>
      <c r="H19" s="7">
        <f t="shared" ref="H19:R19" si="9">H5*150</f>
        <v>472500</v>
      </c>
      <c r="I19" s="7">
        <f t="shared" si="9"/>
        <v>496125</v>
      </c>
      <c r="J19" s="7">
        <f t="shared" si="9"/>
        <v>520931.25</v>
      </c>
      <c r="K19" s="7">
        <f t="shared" si="9"/>
        <v>546977.8125</v>
      </c>
      <c r="L19" s="7">
        <f t="shared" si="9"/>
        <v>574326.70312500012</v>
      </c>
      <c r="M19" s="7">
        <f t="shared" si="9"/>
        <v>603043.03828125005</v>
      </c>
      <c r="N19" s="7">
        <f t="shared" si="9"/>
        <v>633195.19019531261</v>
      </c>
      <c r="O19" s="7">
        <f t="shared" si="9"/>
        <v>664854.94970507827</v>
      </c>
      <c r="P19" s="7">
        <f t="shared" si="9"/>
        <v>698097.69719033223</v>
      </c>
      <c r="Q19" s="7">
        <f t="shared" si="9"/>
        <v>733002.58204984898</v>
      </c>
      <c r="R19" s="7">
        <f t="shared" si="9"/>
        <v>769652.71115234145</v>
      </c>
    </row>
    <row r="21" spans="2:18" s="3" customFormat="1" x14ac:dyDescent="0.25">
      <c r="B21" s="16" t="s">
        <v>15</v>
      </c>
      <c r="C21" s="16"/>
      <c r="D21" s="16"/>
      <c r="E21" s="16"/>
      <c r="F21" s="16"/>
      <c r="G21" s="17">
        <f>G12-G16</f>
        <v>1410000</v>
      </c>
      <c r="H21" s="17">
        <f t="shared" ref="H21:R21" si="10">H12-H16</f>
        <v>1480500</v>
      </c>
      <c r="I21" s="17">
        <f t="shared" si="10"/>
        <v>1554525</v>
      </c>
      <c r="J21" s="17">
        <f t="shared" si="10"/>
        <v>1632251.25</v>
      </c>
      <c r="K21" s="17">
        <f t="shared" si="10"/>
        <v>1713863.8125</v>
      </c>
      <c r="L21" s="17">
        <f t="shared" si="10"/>
        <v>1799557.0031250003</v>
      </c>
      <c r="M21" s="17">
        <f t="shared" si="10"/>
        <v>1889534.8532812502</v>
      </c>
      <c r="N21" s="17">
        <f t="shared" si="10"/>
        <v>1984011.5959453126</v>
      </c>
      <c r="O21" s="17">
        <f t="shared" si="10"/>
        <v>2083212.1757425787</v>
      </c>
      <c r="P21" s="17">
        <f t="shared" si="10"/>
        <v>2187372.7845297079</v>
      </c>
      <c r="Q21" s="17">
        <f t="shared" si="10"/>
        <v>2296741.4237561934</v>
      </c>
      <c r="R21" s="17">
        <f t="shared" si="10"/>
        <v>2411578.4949440034</v>
      </c>
    </row>
    <row r="22" spans="2:18" s="10" customFormat="1" x14ac:dyDescent="0.25">
      <c r="B22" s="6" t="s">
        <v>29</v>
      </c>
      <c r="G22" s="9">
        <f>G21/G12</f>
        <v>0.47</v>
      </c>
      <c r="H22" s="9">
        <f t="shared" ref="H22:R22" si="11">H21/H12</f>
        <v>0.47</v>
      </c>
      <c r="I22" s="9">
        <f t="shared" si="11"/>
        <v>0.47</v>
      </c>
      <c r="J22" s="9">
        <f t="shared" si="11"/>
        <v>0.47</v>
      </c>
      <c r="K22" s="9">
        <f t="shared" si="11"/>
        <v>0.47</v>
      </c>
      <c r="L22" s="9">
        <f t="shared" si="11"/>
        <v>0.47000000000000003</v>
      </c>
      <c r="M22" s="9">
        <f t="shared" si="11"/>
        <v>0.47</v>
      </c>
      <c r="N22" s="9">
        <f t="shared" si="11"/>
        <v>0.47</v>
      </c>
      <c r="O22" s="9">
        <f t="shared" si="11"/>
        <v>0.47</v>
      </c>
      <c r="P22" s="9">
        <f t="shared" si="11"/>
        <v>0.47</v>
      </c>
      <c r="Q22" s="9">
        <f t="shared" si="11"/>
        <v>0.47</v>
      </c>
      <c r="R22" s="9">
        <f t="shared" si="11"/>
        <v>0.47000000000000003</v>
      </c>
    </row>
    <row r="24" spans="2:18" s="3" customFormat="1" x14ac:dyDescent="0.25">
      <c r="B24" s="3" t="s">
        <v>16</v>
      </c>
      <c r="G24" s="8">
        <f>G25+G26+G27+G28</f>
        <v>700000</v>
      </c>
      <c r="H24" s="8">
        <f t="shared" ref="H24:R24" si="12">H25+H26+H27+H28</f>
        <v>700000</v>
      </c>
      <c r="I24" s="8">
        <f t="shared" si="12"/>
        <v>700000</v>
      </c>
      <c r="J24" s="8">
        <f t="shared" si="12"/>
        <v>700000</v>
      </c>
      <c r="K24" s="8">
        <f t="shared" si="12"/>
        <v>700000</v>
      </c>
      <c r="L24" s="8">
        <f t="shared" si="12"/>
        <v>700000</v>
      </c>
      <c r="M24" s="8">
        <f t="shared" si="12"/>
        <v>700000</v>
      </c>
      <c r="N24" s="8">
        <f t="shared" si="12"/>
        <v>700000</v>
      </c>
      <c r="O24" s="8">
        <f t="shared" si="12"/>
        <v>700000</v>
      </c>
      <c r="P24" s="8">
        <f t="shared" si="12"/>
        <v>700000</v>
      </c>
      <c r="Q24" s="8">
        <f t="shared" si="12"/>
        <v>700000</v>
      </c>
      <c r="R24" s="8">
        <f t="shared" si="12"/>
        <v>700000</v>
      </c>
    </row>
    <row r="25" spans="2:18" x14ac:dyDescent="0.25">
      <c r="B25" s="4" t="s">
        <v>17</v>
      </c>
      <c r="E25" s="18">
        <v>300000</v>
      </c>
      <c r="G25" s="7">
        <v>300000</v>
      </c>
      <c r="H25" s="7">
        <v>300000</v>
      </c>
      <c r="I25" s="7">
        <v>300000</v>
      </c>
      <c r="J25" s="7">
        <v>300000</v>
      </c>
      <c r="K25" s="7">
        <v>300000</v>
      </c>
      <c r="L25" s="7">
        <v>300000</v>
      </c>
      <c r="M25" s="7">
        <v>300000</v>
      </c>
      <c r="N25" s="7">
        <v>300000</v>
      </c>
      <c r="O25" s="7">
        <v>300000</v>
      </c>
      <c r="P25" s="7">
        <v>300000</v>
      </c>
      <c r="Q25" s="7">
        <v>300000</v>
      </c>
      <c r="R25" s="7">
        <v>300000</v>
      </c>
    </row>
    <row r="26" spans="2:18" x14ac:dyDescent="0.25">
      <c r="B26" s="4" t="s">
        <v>18</v>
      </c>
      <c r="E26" s="18">
        <v>300000</v>
      </c>
      <c r="G26" s="7">
        <v>300000</v>
      </c>
      <c r="H26" s="7">
        <v>300000</v>
      </c>
      <c r="I26" s="7">
        <v>300000</v>
      </c>
      <c r="J26" s="7">
        <v>300000</v>
      </c>
      <c r="K26" s="7">
        <v>300000</v>
      </c>
      <c r="L26" s="7">
        <v>300000</v>
      </c>
      <c r="M26" s="7">
        <v>300000</v>
      </c>
      <c r="N26" s="7">
        <v>300000</v>
      </c>
      <c r="O26" s="7">
        <v>300000</v>
      </c>
      <c r="P26" s="7">
        <v>300000</v>
      </c>
      <c r="Q26" s="7">
        <v>300000</v>
      </c>
      <c r="R26" s="7">
        <v>300000</v>
      </c>
    </row>
    <row r="27" spans="2:18" x14ac:dyDescent="0.25">
      <c r="B27" s="4" t="s">
        <v>19</v>
      </c>
      <c r="E27" s="13">
        <v>0.2</v>
      </c>
      <c r="G27" s="7">
        <f>G26*20%</f>
        <v>60000</v>
      </c>
      <c r="H27" s="7">
        <f t="shared" ref="H27:R27" si="13">H26*20%</f>
        <v>60000</v>
      </c>
      <c r="I27" s="7">
        <f t="shared" si="13"/>
        <v>60000</v>
      </c>
      <c r="J27" s="7">
        <f t="shared" si="13"/>
        <v>60000</v>
      </c>
      <c r="K27" s="7">
        <f t="shared" si="13"/>
        <v>60000</v>
      </c>
      <c r="L27" s="7">
        <f t="shared" si="13"/>
        <v>60000</v>
      </c>
      <c r="M27" s="7">
        <f t="shared" si="13"/>
        <v>60000</v>
      </c>
      <c r="N27" s="7">
        <f t="shared" si="13"/>
        <v>60000</v>
      </c>
      <c r="O27" s="7">
        <f t="shared" si="13"/>
        <v>60000</v>
      </c>
      <c r="P27" s="7">
        <f t="shared" si="13"/>
        <v>60000</v>
      </c>
      <c r="Q27" s="7">
        <f t="shared" si="13"/>
        <v>60000</v>
      </c>
      <c r="R27" s="7">
        <f t="shared" si="13"/>
        <v>60000</v>
      </c>
    </row>
    <row r="28" spans="2:18" x14ac:dyDescent="0.25">
      <c r="B28" s="4" t="s">
        <v>20</v>
      </c>
      <c r="E28" s="18">
        <v>40000</v>
      </c>
      <c r="G28" s="7">
        <v>40000</v>
      </c>
      <c r="H28" s="7">
        <v>40000</v>
      </c>
      <c r="I28" s="7">
        <v>40000</v>
      </c>
      <c r="J28" s="7">
        <v>40000</v>
      </c>
      <c r="K28" s="7">
        <v>40000</v>
      </c>
      <c r="L28" s="7">
        <v>40000</v>
      </c>
      <c r="M28" s="7">
        <v>40000</v>
      </c>
      <c r="N28" s="7">
        <v>40000</v>
      </c>
      <c r="O28" s="7">
        <v>40000</v>
      </c>
      <c r="P28" s="7">
        <v>40000</v>
      </c>
      <c r="Q28" s="7">
        <v>40000</v>
      </c>
      <c r="R28" s="7">
        <v>40000</v>
      </c>
    </row>
    <row r="30" spans="2:18" s="3" customFormat="1" x14ac:dyDescent="0.25">
      <c r="B30" s="16" t="s">
        <v>21</v>
      </c>
      <c r="C30" s="16"/>
      <c r="D30" s="16"/>
      <c r="E30" s="16"/>
      <c r="F30" s="16"/>
      <c r="G30" s="17">
        <f>G21-G24</f>
        <v>710000</v>
      </c>
      <c r="H30" s="17">
        <f t="shared" ref="H30:R30" si="14">H21-H24</f>
        <v>780500</v>
      </c>
      <c r="I30" s="17">
        <f t="shared" si="14"/>
        <v>854525</v>
      </c>
      <c r="J30" s="17">
        <f t="shared" si="14"/>
        <v>932251.25</v>
      </c>
      <c r="K30" s="17">
        <f t="shared" si="14"/>
        <v>1013863.8125</v>
      </c>
      <c r="L30" s="17">
        <f t="shared" si="14"/>
        <v>1099557.0031250003</v>
      </c>
      <c r="M30" s="17">
        <f t="shared" si="14"/>
        <v>1189534.8532812502</v>
      </c>
      <c r="N30" s="17">
        <f t="shared" si="14"/>
        <v>1284011.5959453126</v>
      </c>
      <c r="O30" s="17">
        <f t="shared" si="14"/>
        <v>1383212.1757425787</v>
      </c>
      <c r="P30" s="17">
        <f t="shared" si="14"/>
        <v>1487372.7845297079</v>
      </c>
      <c r="Q30" s="17">
        <f t="shared" si="14"/>
        <v>1596741.4237561934</v>
      </c>
      <c r="R30" s="17">
        <f t="shared" si="14"/>
        <v>1711578.4949440034</v>
      </c>
    </row>
    <row r="31" spans="2:18" x14ac:dyDescent="0.25">
      <c r="B31" s="6" t="s">
        <v>30</v>
      </c>
      <c r="G31" s="9">
        <f>G30/G12</f>
        <v>0.23666666666666666</v>
      </c>
      <c r="H31" s="9">
        <f t="shared" ref="H31:R31" si="15">H30/H12</f>
        <v>0.24777777777777779</v>
      </c>
      <c r="I31" s="9">
        <f t="shared" si="15"/>
        <v>0.25835978835978834</v>
      </c>
      <c r="J31" s="9">
        <f t="shared" si="15"/>
        <v>0.26843789367598891</v>
      </c>
      <c r="K31" s="9">
        <f t="shared" si="15"/>
        <v>0.27803608921522754</v>
      </c>
      <c r="L31" s="9">
        <f t="shared" si="15"/>
        <v>0.28717722782402627</v>
      </c>
      <c r="M31" s="9">
        <f t="shared" si="15"/>
        <v>0.2958830741181202</v>
      </c>
      <c r="N31" s="9">
        <f t="shared" si="15"/>
        <v>0.30417435630297163</v>
      </c>
      <c r="O31" s="9">
        <f t="shared" si="15"/>
        <v>0.31207081552663968</v>
      </c>
      <c r="P31" s="9">
        <f t="shared" si="15"/>
        <v>0.319591252882514</v>
      </c>
      <c r="Q31" s="9">
        <f t="shared" si="15"/>
        <v>0.32675357417382284</v>
      </c>
      <c r="R31" s="9">
        <f t="shared" si="15"/>
        <v>0.333574832546498</v>
      </c>
    </row>
    <row r="33" spans="2:21" x14ac:dyDescent="0.25">
      <c r="B33" s="3" t="s">
        <v>22</v>
      </c>
      <c r="E33" s="14">
        <f>SUM(E34:E35)</f>
        <v>4000000</v>
      </c>
      <c r="G33" s="8">
        <f>G34+G35+G39+G37</f>
        <v>375693.33333333331</v>
      </c>
      <c r="H33" s="8">
        <f t="shared" ref="H33:R33" si="16">H34+H35+H39+H37</f>
        <v>377808.33333333331</v>
      </c>
      <c r="I33" s="8">
        <f t="shared" si="16"/>
        <v>380029.08333333331</v>
      </c>
      <c r="J33" s="8">
        <f t="shared" si="16"/>
        <v>382360.87083333329</v>
      </c>
      <c r="K33" s="8">
        <f t="shared" si="16"/>
        <v>384809.24770833331</v>
      </c>
      <c r="L33" s="8">
        <f t="shared" si="16"/>
        <v>387380.04342708329</v>
      </c>
      <c r="M33" s="8">
        <f t="shared" si="16"/>
        <v>390079.3789317708</v>
      </c>
      <c r="N33" s="8">
        <f t="shared" si="16"/>
        <v>392913.68121169269</v>
      </c>
      <c r="O33" s="8">
        <f t="shared" si="16"/>
        <v>395889.69860561064</v>
      </c>
      <c r="P33" s="8">
        <f t="shared" si="16"/>
        <v>399014.51686922455</v>
      </c>
      <c r="Q33" s="8">
        <f t="shared" si="16"/>
        <v>402295.57604601909</v>
      </c>
      <c r="R33" s="8">
        <f t="shared" si="16"/>
        <v>405740.68818165339</v>
      </c>
      <c r="S33" s="7"/>
    </row>
    <row r="34" spans="2:21" x14ac:dyDescent="0.25">
      <c r="B34" s="4" t="s">
        <v>23</v>
      </c>
      <c r="E34" s="19">
        <v>3000000</v>
      </c>
      <c r="G34" s="7">
        <f>3000000/12</f>
        <v>250000</v>
      </c>
      <c r="H34" s="7">
        <f t="shared" ref="H34:R34" si="17">3000000/12</f>
        <v>250000</v>
      </c>
      <c r="I34" s="7">
        <f t="shared" si="17"/>
        <v>250000</v>
      </c>
      <c r="J34" s="7">
        <f t="shared" si="17"/>
        <v>250000</v>
      </c>
      <c r="K34" s="7">
        <f t="shared" si="17"/>
        <v>250000</v>
      </c>
      <c r="L34" s="7">
        <f t="shared" si="17"/>
        <v>250000</v>
      </c>
      <c r="M34" s="7">
        <f t="shared" si="17"/>
        <v>250000</v>
      </c>
      <c r="N34" s="7">
        <f t="shared" si="17"/>
        <v>250000</v>
      </c>
      <c r="O34" s="7">
        <f t="shared" si="17"/>
        <v>250000</v>
      </c>
      <c r="P34" s="7">
        <f t="shared" si="17"/>
        <v>250000</v>
      </c>
      <c r="Q34" s="7">
        <f t="shared" si="17"/>
        <v>250000</v>
      </c>
      <c r="R34" s="7">
        <f t="shared" si="17"/>
        <v>250000</v>
      </c>
      <c r="S34" s="7"/>
    </row>
    <row r="35" spans="2:21" x14ac:dyDescent="0.25">
      <c r="B35" s="4" t="s">
        <v>24</v>
      </c>
      <c r="E35" s="19">
        <v>1000000</v>
      </c>
      <c r="G35" s="7">
        <f>1000000/12</f>
        <v>83333.333333333328</v>
      </c>
      <c r="H35" s="7">
        <f t="shared" ref="H35:R35" si="18">1000000/12</f>
        <v>83333.333333333328</v>
      </c>
      <c r="I35" s="7">
        <f t="shared" si="18"/>
        <v>83333.333333333328</v>
      </c>
      <c r="J35" s="7">
        <f t="shared" si="18"/>
        <v>83333.333333333328</v>
      </c>
      <c r="K35" s="7">
        <f t="shared" si="18"/>
        <v>83333.333333333328</v>
      </c>
      <c r="L35" s="7">
        <f t="shared" si="18"/>
        <v>83333.333333333328</v>
      </c>
      <c r="M35" s="7">
        <f t="shared" si="18"/>
        <v>83333.333333333328</v>
      </c>
      <c r="N35" s="7">
        <f t="shared" si="18"/>
        <v>83333.333333333328</v>
      </c>
      <c r="O35" s="7">
        <f t="shared" si="18"/>
        <v>83333.333333333328</v>
      </c>
      <c r="P35" s="7">
        <f t="shared" si="18"/>
        <v>83333.333333333328</v>
      </c>
      <c r="Q35" s="7">
        <f t="shared" si="18"/>
        <v>83333.333333333328</v>
      </c>
      <c r="R35" s="7">
        <f t="shared" si="18"/>
        <v>83333.333333333328</v>
      </c>
      <c r="S35" s="7"/>
    </row>
    <row r="37" spans="2:21" x14ac:dyDescent="0.25">
      <c r="B37" s="4" t="s">
        <v>25</v>
      </c>
      <c r="E37" s="19">
        <f>5*12</f>
        <v>60</v>
      </c>
      <c r="G37" s="7">
        <v>60</v>
      </c>
      <c r="H37" s="7">
        <v>60</v>
      </c>
      <c r="I37" s="7">
        <v>60</v>
      </c>
      <c r="J37" s="7">
        <v>60</v>
      </c>
      <c r="K37" s="7">
        <v>60</v>
      </c>
      <c r="L37" s="7">
        <v>60</v>
      </c>
      <c r="M37" s="7">
        <v>60</v>
      </c>
      <c r="N37" s="7">
        <v>60</v>
      </c>
      <c r="O37" s="7">
        <v>60</v>
      </c>
      <c r="P37" s="7">
        <v>60</v>
      </c>
      <c r="Q37" s="7">
        <v>60</v>
      </c>
      <c r="R37" s="7">
        <v>60</v>
      </c>
      <c r="S37" s="7"/>
      <c r="T37" s="7"/>
    </row>
    <row r="38" spans="2:21" x14ac:dyDescent="0.25">
      <c r="B38" s="4" t="s">
        <v>26</v>
      </c>
      <c r="E38" s="19"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1" x14ac:dyDescent="0.25">
      <c r="B39" s="4" t="s">
        <v>19</v>
      </c>
      <c r="E39" s="13">
        <v>0.03</v>
      </c>
      <c r="G39" s="7">
        <f>G21*3%</f>
        <v>42300</v>
      </c>
      <c r="H39" s="7">
        <f t="shared" ref="H39:R39" si="19">H21*3%</f>
        <v>44415</v>
      </c>
      <c r="I39" s="7">
        <f t="shared" si="19"/>
        <v>46635.75</v>
      </c>
      <c r="J39" s="7">
        <f t="shared" si="19"/>
        <v>48967.537499999999</v>
      </c>
      <c r="K39" s="7">
        <f t="shared" si="19"/>
        <v>51415.914375</v>
      </c>
      <c r="L39" s="7">
        <f t="shared" si="19"/>
        <v>53986.710093750007</v>
      </c>
      <c r="M39" s="7">
        <f t="shared" si="19"/>
        <v>56686.045598437508</v>
      </c>
      <c r="N39" s="7">
        <f t="shared" si="19"/>
        <v>59520.347878359375</v>
      </c>
      <c r="O39" s="7">
        <f t="shared" si="19"/>
        <v>62496.365272277355</v>
      </c>
      <c r="P39" s="7">
        <f t="shared" si="19"/>
        <v>65621.183535891236</v>
      </c>
      <c r="Q39" s="7">
        <f t="shared" si="19"/>
        <v>68902.242712685795</v>
      </c>
      <c r="R39" s="7">
        <f t="shared" si="19"/>
        <v>72347.354848320101</v>
      </c>
      <c r="S39" s="7"/>
      <c r="T39" s="7"/>
    </row>
    <row r="41" spans="2:21" s="3" customFormat="1" ht="13.8" thickBot="1" x14ac:dyDescent="0.3">
      <c r="B41" s="20" t="s">
        <v>27</v>
      </c>
      <c r="C41" s="20"/>
      <c r="D41" s="20"/>
      <c r="E41" s="20"/>
      <c r="F41" s="20"/>
      <c r="G41" s="21">
        <f>G30-G33</f>
        <v>334306.66666666669</v>
      </c>
      <c r="H41" s="21">
        <f t="shared" ref="H41:R41" si="20">H30-H33</f>
        <v>402691.66666666669</v>
      </c>
      <c r="I41" s="21">
        <f t="shared" si="20"/>
        <v>474495.91666666669</v>
      </c>
      <c r="J41" s="21">
        <f t="shared" si="20"/>
        <v>549890.37916666665</v>
      </c>
      <c r="K41" s="21">
        <f t="shared" si="20"/>
        <v>629054.56479166669</v>
      </c>
      <c r="L41" s="21">
        <f t="shared" si="20"/>
        <v>712176.95969791699</v>
      </c>
      <c r="M41" s="21">
        <f t="shared" si="20"/>
        <v>799455.47434947942</v>
      </c>
      <c r="N41" s="21">
        <f t="shared" si="20"/>
        <v>891097.91473361989</v>
      </c>
      <c r="O41" s="21">
        <f t="shared" si="20"/>
        <v>987322.47713696805</v>
      </c>
      <c r="P41" s="21">
        <f t="shared" si="20"/>
        <v>1088358.2676604833</v>
      </c>
      <c r="Q41" s="21">
        <f t="shared" si="20"/>
        <v>1194445.8477101743</v>
      </c>
      <c r="R41" s="21">
        <f t="shared" si="20"/>
        <v>1305837.80676235</v>
      </c>
      <c r="S41" s="8"/>
      <c r="T41" s="8"/>
      <c r="U41" s="8"/>
    </row>
    <row r="42" spans="2:21" s="10" customFormat="1" ht="13.8" thickTop="1" x14ac:dyDescent="0.25">
      <c r="B42" s="6" t="s">
        <v>31</v>
      </c>
      <c r="G42" s="9">
        <f>G41/G12</f>
        <v>0.11143555555555557</v>
      </c>
      <c r="H42" s="9">
        <f t="shared" ref="H42:R42" si="21">H41/H12</f>
        <v>0.12783862433862433</v>
      </c>
      <c r="I42" s="9">
        <f t="shared" si="21"/>
        <v>0.14346059460821367</v>
      </c>
      <c r="J42" s="9">
        <f t="shared" si="21"/>
        <v>0.15833866153163204</v>
      </c>
      <c r="K42" s="9">
        <f t="shared" si="21"/>
        <v>0.17250824907774481</v>
      </c>
      <c r="L42" s="9">
        <f t="shared" si="21"/>
        <v>0.18600309435975704</v>
      </c>
      <c r="M42" s="9">
        <f t="shared" si="21"/>
        <v>0.19885532796167332</v>
      </c>
      <c r="N42" s="9">
        <f t="shared" si="21"/>
        <v>0.21109555043968886</v>
      </c>
      <c r="O42" s="9">
        <f t="shared" si="21"/>
        <v>0.2227529051806561</v>
      </c>
      <c r="P42" s="9">
        <f t="shared" si="21"/>
        <v>0.23385514779110106</v>
      </c>
      <c r="Q42" s="9">
        <f t="shared" si="21"/>
        <v>0.24442871218200105</v>
      </c>
      <c r="R42" s="9">
        <f t="shared" si="21"/>
        <v>0.25449877350666772</v>
      </c>
      <c r="S42" s="11"/>
      <c r="T42" s="11"/>
      <c r="U4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workbookViewId="0">
      <selection activeCell="C3" sqref="C3"/>
    </sheetView>
  </sheetViews>
  <sheetFormatPr defaultColWidth="9.109375" defaultRowHeight="13.2" x14ac:dyDescent="0.25"/>
  <cols>
    <col min="1" max="1" width="9.109375" style="5"/>
    <col min="2" max="2" width="27.109375" style="5" customWidth="1"/>
    <col min="3" max="3" width="67" style="5" customWidth="1"/>
    <col min="4" max="16384" width="9.109375" style="5"/>
  </cols>
  <sheetData>
    <row r="2" spans="2:3" x14ac:dyDescent="0.25">
      <c r="B2" s="30" t="s">
        <v>32</v>
      </c>
      <c r="C2" s="30" t="s">
        <v>33</v>
      </c>
    </row>
    <row r="3" spans="2:3" ht="26.4" x14ac:dyDescent="0.25">
      <c r="B3" s="24" t="s">
        <v>34</v>
      </c>
      <c r="C3" s="25" t="s">
        <v>35</v>
      </c>
    </row>
    <row r="4" spans="2:3" ht="26.4" x14ac:dyDescent="0.25">
      <c r="B4" s="28" t="s">
        <v>1</v>
      </c>
      <c r="C4" s="29" t="s">
        <v>36</v>
      </c>
    </row>
    <row r="5" spans="2:3" ht="39.6" x14ac:dyDescent="0.25">
      <c r="B5" s="28" t="s">
        <v>38</v>
      </c>
      <c r="C5" s="29" t="s">
        <v>37</v>
      </c>
    </row>
    <row r="6" spans="2:3" x14ac:dyDescent="0.25">
      <c r="B6" s="28" t="s">
        <v>39</v>
      </c>
      <c r="C6" s="29" t="s">
        <v>40</v>
      </c>
    </row>
    <row r="7" spans="2:3" ht="39.6" x14ac:dyDescent="0.25">
      <c r="B7" s="26" t="s">
        <v>21</v>
      </c>
      <c r="C7" s="27" t="s">
        <v>42</v>
      </c>
    </row>
    <row r="8" spans="2:3" ht="52.8" x14ac:dyDescent="0.25">
      <c r="B8" s="28" t="s">
        <v>22</v>
      </c>
      <c r="C8" s="29" t="s">
        <v>41</v>
      </c>
    </row>
    <row r="9" spans="2:3" ht="39.6" x14ac:dyDescent="0.25">
      <c r="B9" s="28" t="s">
        <v>43</v>
      </c>
      <c r="C9" s="29" t="s">
        <v>44</v>
      </c>
    </row>
    <row r="10" spans="2:3" x14ac:dyDescent="0.25">
      <c r="B10" s="22"/>
      <c r="C10" s="23"/>
    </row>
    <row r="11" spans="2:3" x14ac:dyDescent="0.25">
      <c r="B11" s="22"/>
      <c r="C11" s="23"/>
    </row>
    <row r="12" spans="2:3" x14ac:dyDescent="0.25">
      <c r="B12" s="22"/>
      <c r="C12" s="23"/>
    </row>
    <row r="13" spans="2:3" x14ac:dyDescent="0.25">
      <c r="B13" s="22"/>
      <c r="C13" s="23"/>
    </row>
    <row r="14" spans="2:3" x14ac:dyDescent="0.25">
      <c r="B14" s="22"/>
      <c r="C14" s="23"/>
    </row>
    <row r="15" spans="2:3" x14ac:dyDescent="0.25">
      <c r="B15" s="22"/>
      <c r="C15" s="23"/>
    </row>
    <row r="16" spans="2:3" x14ac:dyDescent="0.25">
      <c r="B16" s="22"/>
      <c r="C16" s="23"/>
    </row>
    <row r="17" spans="2:3" x14ac:dyDescent="0.25">
      <c r="B17" s="22"/>
      <c r="C17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Прогноз чистой прибыли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Academica</dc:creator>
  <cp:lastModifiedBy>user</cp:lastModifiedBy>
  <dcterms:created xsi:type="dcterms:W3CDTF">2023-10-28T06:56:23Z</dcterms:created>
  <dcterms:modified xsi:type="dcterms:W3CDTF">2024-01-16T16:05:24Z</dcterms:modified>
</cp:coreProperties>
</file>