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20775" windowHeight="10935" activeTab="1"/>
  </bookViews>
  <sheets>
    <sheet name="Лист1" sheetId="1" r:id="rId1"/>
    <sheet name="Новая формула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0" i="2" l="1"/>
  <c r="E16" i="2"/>
  <c r="D16" i="2"/>
  <c r="F16" i="2" l="1"/>
  <c r="D15" i="2" l="1"/>
  <c r="G27" i="1"/>
  <c r="F24" i="1"/>
  <c r="D17" i="2" l="1"/>
  <c r="E17" i="2" s="1"/>
  <c r="D24" i="2"/>
  <c r="E24" i="2" s="1"/>
  <c r="C24" i="2"/>
  <c r="D23" i="2"/>
  <c r="C23" i="2"/>
  <c r="E22" i="2"/>
  <c r="B20" i="2"/>
  <c r="C22" i="2"/>
  <c r="D21" i="2"/>
  <c r="E21" i="2" s="1"/>
  <c r="E23" i="2" s="1"/>
  <c r="C21" i="2"/>
  <c r="E20" i="2"/>
  <c r="D20" i="2"/>
  <c r="C20" i="2"/>
  <c r="B7" i="2"/>
  <c r="C5" i="2"/>
  <c r="D8" i="2"/>
  <c r="E8" i="2" s="1"/>
  <c r="C17" i="2"/>
  <c r="T7" i="2" s="1"/>
  <c r="K7" i="2"/>
  <c r="J7" i="2"/>
  <c r="D18" i="2"/>
  <c r="D11" i="2"/>
  <c r="C16" i="2"/>
  <c r="S7" i="2" s="1"/>
  <c r="C15" i="2"/>
  <c r="R7" i="2" s="1"/>
  <c r="C14" i="2"/>
  <c r="Q7" i="2" s="1"/>
  <c r="C10" i="2"/>
  <c r="P7" i="2" s="1"/>
  <c r="C9" i="2"/>
  <c r="O7" i="2" s="1"/>
  <c r="C8" i="2"/>
  <c r="N7" i="2" s="1"/>
  <c r="E7" i="2"/>
  <c r="E13" i="2" s="1"/>
  <c r="D7" i="2"/>
  <c r="D13" i="2" s="1"/>
  <c r="C7" i="2"/>
  <c r="C13" i="2" s="1"/>
  <c r="C4" i="2"/>
  <c r="E2" i="2"/>
  <c r="M7" i="2" s="1"/>
  <c r="I2" i="2"/>
  <c r="D14" i="2"/>
  <c r="E14" i="2" s="1"/>
  <c r="D9" i="2"/>
  <c r="E9" i="2" s="1"/>
  <c r="S12" i="1"/>
  <c r="R18" i="1"/>
  <c r="R17" i="1"/>
  <c r="R16" i="1"/>
  <c r="R15" i="1"/>
  <c r="R11" i="1"/>
  <c r="R10" i="1"/>
  <c r="R9" i="1"/>
  <c r="E10" i="2" l="1"/>
  <c r="F18" i="2" s="1"/>
  <c r="E15" i="2"/>
  <c r="I7" i="2"/>
  <c r="C29" i="1"/>
  <c r="E11" i="2" l="1"/>
  <c r="E18" i="2"/>
  <c r="M5" i="1"/>
  <c r="C27" i="1"/>
  <c r="C24" i="1"/>
  <c r="C21" i="1"/>
  <c r="E21" i="1" s="1"/>
  <c r="F34" i="1" s="1"/>
  <c r="E15" i="1"/>
  <c r="C15" i="1"/>
  <c r="C12" i="1"/>
  <c r="E12" i="1" s="1"/>
  <c r="C9" i="1"/>
  <c r="E9" i="1" s="1"/>
  <c r="H15" i="1" l="1"/>
  <c r="F32" i="1"/>
  <c r="E27" i="1"/>
  <c r="F15" i="1"/>
  <c r="F31" i="1"/>
  <c r="D27" i="1"/>
  <c r="D24" i="1"/>
  <c r="D15" i="1"/>
  <c r="F33" i="1" l="1"/>
  <c r="I27" i="1"/>
  <c r="G17" i="1"/>
  <c r="F35" i="1"/>
  <c r="J27" i="1"/>
  <c r="K27" i="1" l="1"/>
  <c r="F36" i="1" s="1"/>
  <c r="F37" i="1" s="1"/>
</calcChain>
</file>

<file path=xl/sharedStrings.xml><?xml version="1.0" encoding="utf-8"?>
<sst xmlns="http://schemas.openxmlformats.org/spreadsheetml/2006/main" count="83" uniqueCount="54">
  <si>
    <t>ЖАЛАҚЫ ФОРМУЛАСЫ</t>
  </si>
  <si>
    <t>МРП / АЕК</t>
  </si>
  <si>
    <t>МЗП / МЖ</t>
  </si>
  <si>
    <t>Жұмысшының айлығы</t>
  </si>
  <si>
    <t>Салық</t>
  </si>
  <si>
    <t>Жалақы</t>
  </si>
  <si>
    <t>Көрсеткіш 10%</t>
  </si>
  <si>
    <t>МЗҚ</t>
  </si>
  <si>
    <t>ОПВ / МЗҚ</t>
  </si>
  <si>
    <t>Көрсеткіш 2%</t>
  </si>
  <si>
    <t>МӘМС</t>
  </si>
  <si>
    <t>МӘМС / ВОСМС</t>
  </si>
  <si>
    <t>14 АЕК (14*АЕК)</t>
  </si>
  <si>
    <t>ЖТС</t>
  </si>
  <si>
    <t>ЖТС / ИПН</t>
  </si>
  <si>
    <t>Жұмысшының қолға алатыны</t>
  </si>
  <si>
    <t>Көрсеткіш 3%</t>
  </si>
  <si>
    <t>МӘМС 2</t>
  </si>
  <si>
    <t>МӘМС / ОСМС</t>
  </si>
  <si>
    <t>Көрсеткіш 3,5%</t>
  </si>
  <si>
    <t>ӘТ</t>
  </si>
  <si>
    <t>ӘТ / СО</t>
  </si>
  <si>
    <t>Көрсеткіш 9,5%</t>
  </si>
  <si>
    <t>ӘС</t>
  </si>
  <si>
    <t>ӘС соңғы</t>
  </si>
  <si>
    <t>ӘС / СН</t>
  </si>
  <si>
    <t>Жалпы</t>
  </si>
  <si>
    <t>ОПВР</t>
  </si>
  <si>
    <t>Ставка</t>
  </si>
  <si>
    <t>Вид Налога</t>
  </si>
  <si>
    <t>ОПВ</t>
  </si>
  <si>
    <t>К оплате</t>
  </si>
  <si>
    <t>Зарплата</t>
  </si>
  <si>
    <t>ВОСМС</t>
  </si>
  <si>
    <t>ИПН</t>
  </si>
  <si>
    <t>Вид налога</t>
  </si>
  <si>
    <t>ОСМС</t>
  </si>
  <si>
    <t>СО</t>
  </si>
  <si>
    <t>СН</t>
  </si>
  <si>
    <t>На руки</t>
  </si>
  <si>
    <t>Қазақ</t>
  </si>
  <si>
    <t>Русский</t>
  </si>
  <si>
    <t>ОПВ = ЗП * 10%</t>
  </si>
  <si>
    <t>ВОСМС = ЗП * 2%</t>
  </si>
  <si>
    <t>ИПН = ( ЗП - ОПВ - (14 * МРП) - ВОСМС) * 10%</t>
  </si>
  <si>
    <t>ОСМС = ЗП * 3%</t>
  </si>
  <si>
    <t>СО = ( ЗП - ОПВ) * 3,5%</t>
  </si>
  <si>
    <t>СН = ( (ЗП - ОПВ - ВОСМС) * 9,5%) - СО</t>
  </si>
  <si>
    <t>ОПВР = ЗП * 1,5%</t>
  </si>
  <si>
    <t>ИП ВОСМС = (1,4 * МРП) * 5%</t>
  </si>
  <si>
    <t>Режим</t>
  </si>
  <si>
    <t>Упрощенный</t>
  </si>
  <si>
    <t>Общеустановленный</t>
  </si>
  <si>
    <t>Если ЗП меньше 25 кратный МРП то уменьшаем на 90%, то есть итоговую сумму еще раз *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</si>
</sst>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_-* #,##0\ _₽_-;\-* #,##0\ _₽_-;_-* &quot;-&quot;??\ _₽_-;_-@"/>
    <numFmt numFmtId="165" formatCode="0.0%"/>
    <numFmt numFmtId="166" formatCode="_-* #,##0\ _₽_-;\-* #,##0\ _₽_-;_-* &quot;-&quot;??\ _₽_-;_-@_-"/>
    <numFmt numFmtId="167" formatCode="_-* #,##0.0\ _₽_-;\-* #,##0.0\ _₽_-;_-* &quot;-&quot;?\ _₽_-;_-@_-"/>
    <numFmt numFmtId="168" formatCode="_-* #,##0\ _₽_-;\-* #,##0\ _₽_-;_-* &quot;-&quot;?\ _₽_-;_-@_-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8"/>
      <color theme="1"/>
      <name val="Times New Roman"/>
      <family val="1"/>
      <charset val="204"/>
    </font>
    <font>
      <sz val="11"/>
      <color theme="0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8">
    <xf numFmtId="0" fontId="0" fillId="0" borderId="0" xfId="0" applyFont="1" applyAlignment="1"/>
    <xf numFmtId="164" fontId="3" fillId="0" borderId="0" xfId="0" applyNumberFormat="1" applyFont="1"/>
    <xf numFmtId="164" fontId="5" fillId="2" borderId="1" xfId="0" applyNumberFormat="1" applyFont="1" applyFill="1" applyBorder="1"/>
    <xf numFmtId="164" fontId="3" fillId="3" borderId="1" xfId="0" applyNumberFormat="1" applyFont="1" applyFill="1" applyBorder="1" applyAlignment="1">
      <alignment vertical="center"/>
    </xf>
    <xf numFmtId="164" fontId="3" fillId="0" borderId="1" xfId="0" applyNumberFormat="1" applyFont="1" applyBorder="1"/>
    <xf numFmtId="164" fontId="7" fillId="4" borderId="1" xfId="0" applyNumberFormat="1" applyFont="1" applyFill="1" applyBorder="1"/>
    <xf numFmtId="9" fontId="3" fillId="0" borderId="1" xfId="0" applyNumberFormat="1" applyFont="1" applyBorder="1"/>
    <xf numFmtId="164" fontId="7" fillId="3" borderId="1" xfId="0" applyNumberFormat="1" applyFont="1" applyFill="1" applyBorder="1" applyAlignment="1">
      <alignment vertical="center"/>
    </xf>
    <xf numFmtId="165" fontId="3" fillId="0" borderId="1" xfId="0" applyNumberFormat="1" applyFont="1" applyBorder="1"/>
    <xf numFmtId="164" fontId="7" fillId="0" borderId="1" xfId="0" applyNumberFormat="1" applyFont="1" applyBorder="1"/>
    <xf numFmtId="164" fontId="7" fillId="0" borderId="0" xfId="0" applyNumberFormat="1" applyFont="1"/>
    <xf numFmtId="0" fontId="3" fillId="5" borderId="1" xfId="0" applyFont="1" applyFill="1" applyBorder="1"/>
    <xf numFmtId="164" fontId="3" fillId="5" borderId="1" xfId="0" applyNumberFormat="1" applyFont="1" applyFill="1" applyBorder="1"/>
    <xf numFmtId="0" fontId="7" fillId="6" borderId="1" xfId="0" applyFont="1" applyFill="1" applyBorder="1"/>
    <xf numFmtId="164" fontId="7" fillId="6" borderId="1" xfId="0" applyNumberFormat="1" applyFont="1" applyFill="1" applyBorder="1"/>
    <xf numFmtId="10" fontId="3" fillId="0" borderId="0" xfId="0" applyNumberFormat="1" applyFont="1"/>
    <xf numFmtId="164" fontId="3" fillId="7" borderId="0" xfId="0" applyNumberFormat="1" applyFont="1" applyFill="1"/>
    <xf numFmtId="0" fontId="0" fillId="0" borderId="0" xfId="0" applyFont="1" applyAlignment="1"/>
    <xf numFmtId="9" fontId="0" fillId="0" borderId="0" xfId="0" applyNumberFormat="1" applyFont="1" applyAlignment="1"/>
    <xf numFmtId="10" fontId="0" fillId="0" borderId="0" xfId="0" applyNumberFormat="1" applyFont="1" applyAlignment="1"/>
    <xf numFmtId="166" fontId="0" fillId="0" borderId="0" xfId="1" applyNumberFormat="1" applyFont="1" applyAlignment="1"/>
    <xf numFmtId="0" fontId="0" fillId="0" borderId="4" xfId="0" applyFont="1" applyBorder="1" applyAlignment="1"/>
    <xf numFmtId="0" fontId="0" fillId="0" borderId="4" xfId="0" applyFont="1" applyBorder="1" applyAlignment="1">
      <alignment horizontal="center" vertical="center"/>
    </xf>
    <xf numFmtId="9" fontId="0" fillId="0" borderId="4" xfId="0" applyNumberFormat="1" applyFont="1" applyBorder="1" applyAlignment="1">
      <alignment horizontal="center" vertical="center"/>
    </xf>
    <xf numFmtId="10" fontId="0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/>
    <xf numFmtId="165" fontId="0" fillId="0" borderId="4" xfId="0" applyNumberFormat="1" applyFont="1" applyBorder="1" applyAlignment="1"/>
    <xf numFmtId="1" fontId="0" fillId="0" borderId="4" xfId="0" applyNumberFormat="1" applyFont="1" applyBorder="1" applyAlignment="1"/>
    <xf numFmtId="166" fontId="0" fillId="8" borderId="4" xfId="1" applyNumberFormat="1" applyFont="1" applyFill="1" applyBorder="1" applyAlignment="1"/>
    <xf numFmtId="166" fontId="0" fillId="7" borderId="4" xfId="1" applyNumberFormat="1" applyFont="1" applyFill="1" applyBorder="1" applyAlignment="1"/>
    <xf numFmtId="0" fontId="10" fillId="7" borderId="4" xfId="1" applyNumberFormat="1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/>
    <xf numFmtId="0" fontId="2" fillId="0" borderId="4" xfId="0" applyFont="1" applyBorder="1" applyAlignment="1">
      <alignment horizontal="left" vertical="center" wrapText="1"/>
    </xf>
    <xf numFmtId="167" fontId="0" fillId="0" borderId="4" xfId="0" applyNumberFormat="1" applyFont="1" applyBorder="1" applyAlignment="1"/>
    <xf numFmtId="0" fontId="0" fillId="8" borderId="5" xfId="0" applyFont="1" applyFill="1" applyBorder="1" applyAlignment="1"/>
    <xf numFmtId="0" fontId="0" fillId="0" borderId="6" xfId="0" applyFont="1" applyBorder="1" applyAlignment="1"/>
    <xf numFmtId="168" fontId="0" fillId="0" borderId="4" xfId="0" applyNumberFormat="1" applyFont="1" applyBorder="1" applyAlignment="1">
      <alignment horizontal="center" vertical="center"/>
    </xf>
    <xf numFmtId="0" fontId="0" fillId="7" borderId="0" xfId="0" applyFont="1" applyFill="1" applyAlignment="1"/>
    <xf numFmtId="164" fontId="4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3" fillId="3" borderId="2" xfId="0" applyNumberFormat="1" applyFont="1" applyFill="1" applyBorder="1" applyAlignment="1">
      <alignment horizontal="center" vertical="center"/>
    </xf>
    <xf numFmtId="0" fontId="6" fillId="0" borderId="3" xfId="0" applyFont="1" applyBorder="1"/>
    <xf numFmtId="164" fontId="7" fillId="3" borderId="2" xfId="0" applyNumberFormat="1" applyFont="1" applyFill="1" applyBorder="1" applyAlignment="1">
      <alignment horizontal="center" vertical="center"/>
    </xf>
    <xf numFmtId="0" fontId="1" fillId="0" borderId="0" xfId="0" applyFont="1" applyAlignment="1"/>
  </cellXfs>
  <cellStyles count="2">
    <cellStyle name="Обычный" xfId="0" builtinId="0"/>
    <cellStyle name="Финансовый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zoomScale="80" zoomScaleNormal="80" workbookViewId="0">
      <selection activeCell="G27" sqref="G27"/>
    </sheetView>
  </sheetViews>
  <sheetFormatPr defaultColWidth="14.42578125" defaultRowHeight="15" customHeight="1" x14ac:dyDescent="0.25"/>
  <cols>
    <col min="1" max="1" width="8.7109375" customWidth="1"/>
    <col min="2" max="2" width="18.42578125" customWidth="1"/>
    <col min="3" max="3" width="12.42578125" customWidth="1"/>
    <col min="4" max="4" width="15.7109375" customWidth="1"/>
    <col min="5" max="5" width="16.28515625" customWidth="1"/>
    <col min="6" max="6" width="16.5703125" customWidth="1"/>
    <col min="7" max="7" width="15.28515625" customWidth="1"/>
    <col min="8" max="8" width="11.42578125" customWidth="1"/>
    <col min="9" max="9" width="10.85546875" customWidth="1"/>
    <col min="10" max="10" width="8.7109375" customWidth="1"/>
    <col min="11" max="11" width="13.140625" customWidth="1"/>
    <col min="12" max="15" width="8.7109375" customWidth="1"/>
    <col min="16" max="16" width="12.28515625" bestFit="1" customWidth="1"/>
    <col min="17" max="17" width="8.5703125" customWidth="1"/>
    <col min="18" max="18" width="9.85546875" bestFit="1" customWidth="1"/>
    <col min="19" max="26" width="8.7109375" customWidth="1"/>
  </cols>
  <sheetData>
    <row r="1" spans="1:19" x14ac:dyDescent="0.25">
      <c r="A1" s="1"/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9" x14ac:dyDescent="0.25">
      <c r="A2" s="1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9" x14ac:dyDescent="0.25">
      <c r="A3" s="1"/>
      <c r="B3" s="2" t="s">
        <v>1</v>
      </c>
      <c r="C3" s="2">
        <v>3692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9" x14ac:dyDescent="0.25">
      <c r="A4" s="1"/>
      <c r="B4" s="2" t="s">
        <v>2</v>
      </c>
      <c r="C4" s="2">
        <v>85000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>
        <v>100000</v>
      </c>
      <c r="L5" s="15">
        <v>1.4999999999999999E-2</v>
      </c>
      <c r="M5" s="1">
        <f>K5*L5</f>
        <v>1500</v>
      </c>
      <c r="N5" s="1"/>
      <c r="O5" s="1"/>
    </row>
    <row r="6" spans="1:19" ht="21.75" customHeight="1" x14ac:dyDescent="0.25">
      <c r="A6" s="1"/>
      <c r="B6" s="44" t="s">
        <v>3</v>
      </c>
      <c r="C6" s="45"/>
      <c r="D6" s="3">
        <v>150000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t="s">
        <v>32</v>
      </c>
      <c r="Q6">
        <v>150000</v>
      </c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9" x14ac:dyDescent="0.25">
      <c r="A8" s="1"/>
      <c r="B8" s="4" t="s">
        <v>4</v>
      </c>
      <c r="C8" s="4" t="s">
        <v>5</v>
      </c>
      <c r="D8" s="4" t="s">
        <v>6</v>
      </c>
      <c r="E8" s="5" t="s">
        <v>7</v>
      </c>
      <c r="F8" s="1"/>
      <c r="G8" s="1"/>
      <c r="H8" s="1"/>
      <c r="I8" s="1"/>
      <c r="J8" s="1"/>
      <c r="K8" s="1"/>
      <c r="L8" s="1"/>
      <c r="M8" s="1"/>
      <c r="N8" s="1"/>
      <c r="O8" s="1"/>
      <c r="P8" t="s">
        <v>29</v>
      </c>
      <c r="Q8" t="s">
        <v>28</v>
      </c>
      <c r="R8" t="s">
        <v>31</v>
      </c>
    </row>
    <row r="9" spans="1:19" x14ac:dyDescent="0.25">
      <c r="A9" s="1"/>
      <c r="B9" s="4" t="s">
        <v>8</v>
      </c>
      <c r="C9" s="4">
        <f>D6</f>
        <v>150000</v>
      </c>
      <c r="D9" s="6">
        <v>0.1</v>
      </c>
      <c r="E9" s="5">
        <f>C9*D9</f>
        <v>15000</v>
      </c>
      <c r="F9" s="1"/>
      <c r="G9" s="1"/>
      <c r="H9" s="1"/>
      <c r="I9" s="1"/>
      <c r="J9" s="16"/>
      <c r="K9" s="1"/>
      <c r="L9" s="1"/>
      <c r="M9" s="1"/>
      <c r="N9" s="1"/>
      <c r="O9" s="1"/>
      <c r="P9" t="s">
        <v>30</v>
      </c>
      <c r="Q9" s="18">
        <v>0.1</v>
      </c>
      <c r="R9">
        <f>Q6*Q9</f>
        <v>15000</v>
      </c>
    </row>
    <row r="10" spans="1:1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t="s">
        <v>33</v>
      </c>
      <c r="Q10" s="18">
        <v>0.02</v>
      </c>
      <c r="R10">
        <f>Q6*Q10</f>
        <v>3000</v>
      </c>
    </row>
    <row r="11" spans="1:19" x14ac:dyDescent="0.25">
      <c r="A11" s="1"/>
      <c r="B11" s="4" t="s">
        <v>4</v>
      </c>
      <c r="C11" s="4" t="s">
        <v>5</v>
      </c>
      <c r="D11" s="4" t="s">
        <v>9</v>
      </c>
      <c r="E11" s="5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t="s">
        <v>34</v>
      </c>
      <c r="Q11" s="18">
        <v>0.1</v>
      </c>
      <c r="R11">
        <f>(Q6-R9-R10-(14*3692))*Q11</f>
        <v>8031.2000000000007</v>
      </c>
    </row>
    <row r="12" spans="1:19" x14ac:dyDescent="0.25">
      <c r="A12" s="1"/>
      <c r="B12" s="4" t="s">
        <v>11</v>
      </c>
      <c r="C12" s="4">
        <f>D6</f>
        <v>150000</v>
      </c>
      <c r="D12" s="6">
        <v>0.02</v>
      </c>
      <c r="E12" s="5">
        <f>C12*D12</f>
        <v>3000</v>
      </c>
      <c r="F12" s="1"/>
      <c r="G12" s="1"/>
      <c r="H12" s="1"/>
      <c r="I12" s="1"/>
      <c r="J12" s="1"/>
      <c r="K12" s="1"/>
      <c r="L12" s="1"/>
      <c r="M12" s="1"/>
      <c r="N12" s="1"/>
      <c r="O12" s="1"/>
      <c r="R12" t="s">
        <v>39</v>
      </c>
      <c r="S12">
        <f>Q6-R9-R10-R11</f>
        <v>123968.8</v>
      </c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9" x14ac:dyDescent="0.25">
      <c r="A14" s="1"/>
      <c r="B14" s="4" t="s">
        <v>4</v>
      </c>
      <c r="C14" s="4" t="s">
        <v>5</v>
      </c>
      <c r="D14" s="4" t="s">
        <v>7</v>
      </c>
      <c r="E14" s="4" t="s">
        <v>12</v>
      </c>
      <c r="F14" s="4" t="s">
        <v>10</v>
      </c>
      <c r="G14" s="4" t="s">
        <v>6</v>
      </c>
      <c r="H14" s="5" t="s">
        <v>13</v>
      </c>
      <c r="I14" s="1"/>
      <c r="J14" s="1"/>
      <c r="K14" s="1"/>
      <c r="L14" s="1"/>
      <c r="M14" s="1"/>
      <c r="N14" s="1"/>
      <c r="O14" s="1"/>
      <c r="P14" t="s">
        <v>35</v>
      </c>
      <c r="Q14" t="s">
        <v>28</v>
      </c>
      <c r="R14" t="s">
        <v>31</v>
      </c>
    </row>
    <row r="15" spans="1:19" x14ac:dyDescent="0.25">
      <c r="A15" s="1"/>
      <c r="B15" s="4" t="s">
        <v>14</v>
      </c>
      <c r="C15" s="4">
        <f>D6</f>
        <v>150000</v>
      </c>
      <c r="D15" s="4">
        <f>E9</f>
        <v>15000</v>
      </c>
      <c r="E15" s="4">
        <f>C3*14</f>
        <v>51688</v>
      </c>
      <c r="F15" s="4">
        <f>E12</f>
        <v>3000</v>
      </c>
      <c r="G15" s="6">
        <v>0.1</v>
      </c>
      <c r="H15" s="5">
        <f>(C15-D15-E15-F15)*G15</f>
        <v>8031.2000000000007</v>
      </c>
      <c r="I15" s="1"/>
      <c r="J15" s="1"/>
      <c r="K15" s="1"/>
      <c r="L15" s="1"/>
      <c r="M15" s="1"/>
      <c r="N15" s="1"/>
      <c r="O15" s="1"/>
      <c r="P15" t="s">
        <v>36</v>
      </c>
      <c r="Q15" s="18">
        <v>0.03</v>
      </c>
      <c r="R15">
        <f>Q6*Q15</f>
        <v>4500</v>
      </c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t="s">
        <v>37</v>
      </c>
      <c r="Q16" s="19">
        <v>3.5000000000000003E-2</v>
      </c>
      <c r="R16">
        <f>(Q6-R9)*Q16</f>
        <v>4725</v>
      </c>
    </row>
    <row r="17" spans="1:18" ht="20.25" customHeight="1" x14ac:dyDescent="0.25">
      <c r="A17" s="1"/>
      <c r="B17" s="1"/>
      <c r="C17" s="1"/>
      <c r="D17" s="1"/>
      <c r="E17" s="46" t="s">
        <v>15</v>
      </c>
      <c r="F17" s="45"/>
      <c r="G17" s="7">
        <f>D6-E9-E12-H15</f>
        <v>123968.8</v>
      </c>
      <c r="H17" s="1"/>
      <c r="I17" s="1"/>
      <c r="J17" s="1"/>
      <c r="K17" s="1"/>
      <c r="L17" s="1"/>
      <c r="M17" s="1"/>
      <c r="N17" s="1"/>
      <c r="O17" s="1"/>
      <c r="P17" t="s">
        <v>38</v>
      </c>
      <c r="Q17" s="19">
        <v>9.5000000000000001E-2</v>
      </c>
      <c r="R17">
        <f>((Q6-R9-R10)*Q17)-R16</f>
        <v>7815</v>
      </c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t="s">
        <v>27</v>
      </c>
      <c r="Q18" s="19">
        <v>1.4999999999999999E-2</v>
      </c>
      <c r="R18">
        <f>Q6*Q18</f>
        <v>2250</v>
      </c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8" x14ac:dyDescent="0.25">
      <c r="A20" s="1"/>
      <c r="B20" s="4" t="s">
        <v>4</v>
      </c>
      <c r="C20" s="4" t="s">
        <v>5</v>
      </c>
      <c r="D20" s="4" t="s">
        <v>16</v>
      </c>
      <c r="E20" s="5" t="s">
        <v>17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8" ht="15.75" customHeight="1" x14ac:dyDescent="0.25">
      <c r="A21" s="1"/>
      <c r="B21" s="4" t="s">
        <v>18</v>
      </c>
      <c r="C21" s="4">
        <f>D6</f>
        <v>150000</v>
      </c>
      <c r="D21" s="6">
        <v>0.03</v>
      </c>
      <c r="E21" s="5">
        <f>C21*D21</f>
        <v>4500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8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8" ht="15.75" customHeight="1" x14ac:dyDescent="0.25">
      <c r="A23" s="1"/>
      <c r="B23" s="4" t="s">
        <v>4</v>
      </c>
      <c r="C23" s="4" t="s">
        <v>5</v>
      </c>
      <c r="D23" s="4" t="s">
        <v>7</v>
      </c>
      <c r="E23" s="4" t="s">
        <v>19</v>
      </c>
      <c r="F23" s="5" t="s">
        <v>20</v>
      </c>
      <c r="G23" s="1"/>
      <c r="H23" s="1"/>
      <c r="I23" s="1"/>
      <c r="J23" s="1"/>
      <c r="K23" s="1"/>
      <c r="L23" s="1"/>
      <c r="M23" s="1"/>
      <c r="N23" s="1"/>
      <c r="O23" s="1"/>
    </row>
    <row r="24" spans="1:18" ht="15.75" customHeight="1" x14ac:dyDescent="0.25">
      <c r="A24" s="1"/>
      <c r="B24" s="4" t="s">
        <v>21</v>
      </c>
      <c r="C24" s="4">
        <f>D6</f>
        <v>150000</v>
      </c>
      <c r="D24" s="4">
        <f>E9</f>
        <v>15000</v>
      </c>
      <c r="E24" s="8">
        <v>3.5000000000000003E-2</v>
      </c>
      <c r="F24" s="5">
        <f>(C24-D24)*E24</f>
        <v>4725</v>
      </c>
      <c r="G24" s="1"/>
      <c r="H24" s="1"/>
      <c r="I24" s="1"/>
      <c r="J24" s="1"/>
      <c r="K24" s="1"/>
      <c r="L24" s="1"/>
      <c r="M24" s="1"/>
      <c r="N24" s="1"/>
      <c r="O24" s="1"/>
    </row>
    <row r="25" spans="1:18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8" ht="15.75" customHeight="1" x14ac:dyDescent="0.25">
      <c r="A26" s="1"/>
      <c r="B26" s="4" t="s">
        <v>4</v>
      </c>
      <c r="C26" s="4" t="s">
        <v>5</v>
      </c>
      <c r="D26" s="4" t="s">
        <v>7</v>
      </c>
      <c r="E26" s="4" t="s">
        <v>10</v>
      </c>
      <c r="F26" s="4" t="s">
        <v>22</v>
      </c>
      <c r="G26" s="9" t="s">
        <v>23</v>
      </c>
      <c r="H26" s="10"/>
      <c r="I26" s="9" t="s">
        <v>23</v>
      </c>
      <c r="J26" s="9" t="s">
        <v>20</v>
      </c>
      <c r="K26" s="5" t="s">
        <v>24</v>
      </c>
      <c r="L26" s="1"/>
      <c r="M26" s="1"/>
      <c r="N26" s="1"/>
      <c r="O26" s="1"/>
    </row>
    <row r="27" spans="1:18" ht="15.75" customHeight="1" x14ac:dyDescent="0.25">
      <c r="A27" s="1"/>
      <c r="B27" s="4" t="s">
        <v>25</v>
      </c>
      <c r="C27" s="4">
        <f>D6</f>
        <v>150000</v>
      </c>
      <c r="D27" s="4">
        <f>E9</f>
        <v>15000</v>
      </c>
      <c r="E27" s="4">
        <f>E12</f>
        <v>3000</v>
      </c>
      <c r="F27" s="8">
        <v>9.5000000000000001E-2</v>
      </c>
      <c r="G27" s="9">
        <f>(C27-D27-E27)*F27</f>
        <v>12540</v>
      </c>
      <c r="H27" s="10"/>
      <c r="I27" s="9">
        <f>G27</f>
        <v>12540</v>
      </c>
      <c r="J27" s="9">
        <f>F24</f>
        <v>4725</v>
      </c>
      <c r="K27" s="5">
        <f>I27-J27</f>
        <v>7815</v>
      </c>
      <c r="L27" s="1"/>
      <c r="M27" s="1"/>
      <c r="N27" s="1"/>
      <c r="O27" s="1"/>
    </row>
    <row r="28" spans="1:18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8" ht="15.75" customHeight="1" x14ac:dyDescent="0.25">
      <c r="A29" s="1"/>
      <c r="B29" s="1" t="s">
        <v>27</v>
      </c>
      <c r="C29" s="1">
        <f>D6*1.5%</f>
        <v>2250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8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8" ht="15.75" customHeight="1" x14ac:dyDescent="0.25">
      <c r="E31" s="11" t="s">
        <v>7</v>
      </c>
      <c r="F31" s="12">
        <f>E9</f>
        <v>15000</v>
      </c>
    </row>
    <row r="32" spans="1:18" ht="15.75" customHeight="1" x14ac:dyDescent="0.25">
      <c r="E32" s="11" t="s">
        <v>10</v>
      </c>
      <c r="F32" s="12">
        <f>E12</f>
        <v>3000</v>
      </c>
    </row>
    <row r="33" spans="5:6" ht="15.75" customHeight="1" x14ac:dyDescent="0.25">
      <c r="E33" s="11" t="s">
        <v>13</v>
      </c>
      <c r="F33" s="12">
        <f>H15</f>
        <v>8031.2000000000007</v>
      </c>
    </row>
    <row r="34" spans="5:6" ht="15.75" customHeight="1" x14ac:dyDescent="0.25">
      <c r="E34" s="11" t="s">
        <v>17</v>
      </c>
      <c r="F34" s="12">
        <f>E21</f>
        <v>4500</v>
      </c>
    </row>
    <row r="35" spans="5:6" ht="15.75" customHeight="1" x14ac:dyDescent="0.25">
      <c r="E35" s="11" t="s">
        <v>20</v>
      </c>
      <c r="F35" s="12">
        <f>F24</f>
        <v>4725</v>
      </c>
    </row>
    <row r="36" spans="5:6" ht="15.75" customHeight="1" x14ac:dyDescent="0.25">
      <c r="E36" s="11" t="s">
        <v>23</v>
      </c>
      <c r="F36" s="12">
        <f>K27</f>
        <v>7815</v>
      </c>
    </row>
    <row r="37" spans="5:6" ht="15.75" customHeight="1" x14ac:dyDescent="0.25">
      <c r="E37" s="13" t="s">
        <v>26</v>
      </c>
      <c r="F37" s="14">
        <f>SUM(F31:F36)</f>
        <v>43071.199999999997</v>
      </c>
    </row>
    <row r="38" spans="5:6" ht="15.75" customHeight="1" x14ac:dyDescent="0.25"/>
    <row r="39" spans="5:6" ht="15.75" customHeight="1" x14ac:dyDescent="0.25"/>
    <row r="40" spans="5:6" ht="15.75" customHeight="1" x14ac:dyDescent="0.25"/>
    <row r="41" spans="5:6" ht="15.75" customHeight="1" x14ac:dyDescent="0.25"/>
    <row r="42" spans="5:6" ht="15.75" customHeight="1" x14ac:dyDescent="0.25"/>
    <row r="43" spans="5:6" ht="15.75" customHeight="1" x14ac:dyDescent="0.25"/>
    <row r="44" spans="5:6" ht="15.75" customHeight="1" x14ac:dyDescent="0.25"/>
    <row r="45" spans="5:6" ht="15.75" customHeight="1" x14ac:dyDescent="0.25"/>
    <row r="46" spans="5:6" ht="15.75" customHeight="1" x14ac:dyDescent="0.25"/>
    <row r="47" spans="5:6" ht="15.75" customHeight="1" x14ac:dyDescent="0.25"/>
    <row r="48" spans="5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O2"/>
    <mergeCell ref="B6:C6"/>
    <mergeCell ref="E17:F17"/>
  </mergeCells>
  <dataValidations count="2">
    <dataValidation allowBlank="1" showErrorMessage="1" sqref="D6"/>
    <dataValidation type="list" allowBlank="1" showErrorMessage="1" sqref="E9">
      <formula1>"  15 000   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T999"/>
  <sheetViews>
    <sheetView tabSelected="1" workbookViewId="0">
      <selection activeCell="G15" sqref="G15"/>
    </sheetView>
  </sheetViews>
  <sheetFormatPr defaultColWidth="14.42578125" defaultRowHeight="15" customHeight="1" x14ac:dyDescent="0.25"/>
  <cols>
    <col min="1" max="1" width="3.5703125" customWidth="1"/>
    <col min="2" max="2" width="8.7109375" customWidth="1"/>
    <col min="3" max="3" width="16" customWidth="1"/>
    <col min="4" max="4" width="11.42578125" customWidth="1"/>
    <col min="5" max="5" width="10.42578125" customWidth="1"/>
    <col min="6" max="6" width="11.42578125" customWidth="1"/>
    <col min="7" max="7" width="3.85546875" customWidth="1"/>
    <col min="8" max="9" width="8.7109375" customWidth="1"/>
    <col min="10" max="10" width="9.85546875" customWidth="1"/>
    <col min="11" max="11" width="10.5703125" customWidth="1"/>
    <col min="12" max="26" width="8.7109375" customWidth="1"/>
  </cols>
  <sheetData>
    <row r="2" spans="2:20" ht="15" customHeight="1" x14ac:dyDescent="0.25">
      <c r="E2" s="27" t="str">
        <f>IF($K$2="Қазақ","Жыл","Год")</f>
        <v>Год</v>
      </c>
      <c r="F2" s="26">
        <v>2024</v>
      </c>
      <c r="I2" s="28" t="str">
        <f>IF($K$2="Қазақ","Тілді таңдаңыз","Выберите язык")</f>
        <v>Выберите язык</v>
      </c>
      <c r="K2" s="26" t="s">
        <v>41</v>
      </c>
      <c r="M2" s="47" t="s">
        <v>50</v>
      </c>
      <c r="N2" s="41" t="s">
        <v>51</v>
      </c>
      <c r="O2" s="41"/>
      <c r="P2" s="41"/>
    </row>
    <row r="4" spans="2:20" ht="15" customHeight="1" x14ac:dyDescent="0.25">
      <c r="C4" s="21" t="str">
        <f>IF($K$2="Қазақ","Жалақы","Зарплата")</f>
        <v>Зарплата</v>
      </c>
      <c r="D4" s="32">
        <v>85000</v>
      </c>
      <c r="E4" s="17"/>
      <c r="F4" s="17"/>
      <c r="R4" s="28" t="s">
        <v>40</v>
      </c>
      <c r="S4" s="28" t="s">
        <v>41</v>
      </c>
      <c r="T4" s="28"/>
    </row>
    <row r="5" spans="2:20" s="17" customFormat="1" x14ac:dyDescent="0.25">
      <c r="C5" s="36" t="str">
        <f>IF($K$2="Қазақ","Туған жыл?","Год рождения?")</f>
        <v>Год рождения?</v>
      </c>
      <c r="D5" s="33">
        <v>1982</v>
      </c>
      <c r="R5" s="47" t="s">
        <v>51</v>
      </c>
      <c r="S5" s="47" t="s">
        <v>52</v>
      </c>
    </row>
    <row r="6" spans="2:20" ht="15" customHeight="1" x14ac:dyDescent="0.25">
      <c r="C6" s="17"/>
      <c r="D6" s="17"/>
      <c r="E6" s="17"/>
      <c r="F6" s="17"/>
      <c r="R6" s="28"/>
      <c r="S6" s="28"/>
    </row>
    <row r="7" spans="2:20" ht="15" customHeight="1" x14ac:dyDescent="0.25">
      <c r="B7" s="39" t="str">
        <f>IF($K$2="Қазақ","ЖШС","ТОО")</f>
        <v>ТОО</v>
      </c>
      <c r="C7" s="38" t="str">
        <f>IF($K$2="Қазақ","Салық түрі","Вид налога")</f>
        <v>Вид налога</v>
      </c>
      <c r="D7" s="35" t="str">
        <f>IF($K$2="Қазақ","Көрсеткіш","Ставка")</f>
        <v>Ставка</v>
      </c>
      <c r="E7" s="35" t="str">
        <f>IF($K$2="Қазақ","Төлем","К оплате")</f>
        <v>К оплате</v>
      </c>
      <c r="F7" s="17"/>
      <c r="I7" s="34" t="str">
        <f>E2</f>
        <v>Год</v>
      </c>
      <c r="J7" s="34" t="str">
        <f>IF($K$2="Қазақ","АЕК","МРП")</f>
        <v>МРП</v>
      </c>
      <c r="K7" s="34" t="str">
        <f>IF($K$2="Қазақ","МЖ","МЗП")</f>
        <v>МЗП</v>
      </c>
      <c r="M7" s="34" t="str">
        <f>E2</f>
        <v>Год</v>
      </c>
      <c r="N7" s="34" t="str">
        <f>C8</f>
        <v>ОПВ</v>
      </c>
      <c r="O7" s="34" t="str">
        <f>C9</f>
        <v>ВОСМС</v>
      </c>
      <c r="P7" s="34" t="str">
        <f>C10</f>
        <v>ИПН</v>
      </c>
      <c r="Q7" s="34" t="str">
        <f>C14</f>
        <v>ОСМС</v>
      </c>
      <c r="R7" s="34" t="str">
        <f>C15</f>
        <v>СО</v>
      </c>
      <c r="S7" s="34" t="str">
        <f>C16</f>
        <v>СН</v>
      </c>
      <c r="T7" s="34" t="str">
        <f>C17</f>
        <v>ОПВР</v>
      </c>
    </row>
    <row r="8" spans="2:20" ht="15" customHeight="1" x14ac:dyDescent="0.25">
      <c r="C8" s="21" t="str">
        <f>IF($K$2="Қазақ","МЗҚ","ОПВ")</f>
        <v>ОПВ</v>
      </c>
      <c r="D8" s="29">
        <f>VLOOKUP($F$2,$M$8:$T$18,2,FALSE)</f>
        <v>0.1</v>
      </c>
      <c r="E8" s="21">
        <f>D4*D8</f>
        <v>8500</v>
      </c>
      <c r="F8" s="17"/>
      <c r="I8" s="22">
        <v>2020</v>
      </c>
      <c r="J8" s="22">
        <v>2778</v>
      </c>
      <c r="K8" s="22">
        <v>42500</v>
      </c>
      <c r="L8" s="19"/>
      <c r="M8" s="22">
        <v>2020</v>
      </c>
      <c r="N8" s="23">
        <v>0.1</v>
      </c>
      <c r="O8" s="23">
        <v>0.02</v>
      </c>
      <c r="P8" s="23">
        <v>0.1</v>
      </c>
      <c r="Q8" s="23">
        <v>0.03</v>
      </c>
      <c r="R8" s="24">
        <v>3.5000000000000003E-2</v>
      </c>
      <c r="S8" s="24">
        <v>9.5000000000000001E-2</v>
      </c>
      <c r="T8" s="24">
        <v>0</v>
      </c>
    </row>
    <row r="9" spans="2:20" ht="15" customHeight="1" x14ac:dyDescent="0.25">
      <c r="C9" s="21" t="str">
        <f>IF($K$2="Қазақ","ЖМӘМС","ВОСМС")</f>
        <v>ВОСМС</v>
      </c>
      <c r="D9" s="29">
        <f>VLOOKUP($F$2,$M$8:$T$18,3,FALSE)</f>
        <v>0.02</v>
      </c>
      <c r="E9" s="37">
        <f>D4*D9</f>
        <v>1700</v>
      </c>
      <c r="F9" s="17"/>
      <c r="I9" s="22">
        <v>2021</v>
      </c>
      <c r="J9" s="22">
        <v>2917</v>
      </c>
      <c r="K9" s="22">
        <v>42500</v>
      </c>
      <c r="L9" s="19"/>
      <c r="M9" s="22">
        <v>2021</v>
      </c>
      <c r="N9" s="23">
        <v>0.1</v>
      </c>
      <c r="O9" s="23">
        <v>0.02</v>
      </c>
      <c r="P9" s="23">
        <v>0.1</v>
      </c>
      <c r="Q9" s="23">
        <v>0.03</v>
      </c>
      <c r="R9" s="24">
        <v>3.5000000000000003E-2</v>
      </c>
      <c r="S9" s="24">
        <v>9.5000000000000001E-2</v>
      </c>
      <c r="T9" s="24">
        <v>0</v>
      </c>
    </row>
    <row r="10" spans="2:20" ht="15" customHeight="1" x14ac:dyDescent="0.25">
      <c r="C10" s="21" t="str">
        <f>IF($K$2="Қазақ","ЖТС","ИПН")</f>
        <v>ИПН</v>
      </c>
      <c r="D10" s="29">
        <f>VLOOKUP($F$2,$M$8:$T$18,4,FALSE)</f>
        <v>0.1</v>
      </c>
      <c r="E10" s="30">
        <f>IF($D$4&lt;25*VLOOKUP($F$2,$I$8:$K$18,2,FALSE),((D4-E8-E9-((14*VLOOKUP($F$2,$I$8:$K$18,2,FALSE))))*D10)*10%,(D4-E8-E9-((14*VLOOKUP($F$2,$I$8:$K$18,2,FALSE))))*D10)</f>
        <v>231.12000000000003</v>
      </c>
      <c r="F10" s="17"/>
      <c r="I10" s="22">
        <v>2022</v>
      </c>
      <c r="J10" s="22">
        <v>3180</v>
      </c>
      <c r="K10" s="22">
        <v>60000</v>
      </c>
      <c r="L10" s="19"/>
      <c r="M10" s="22">
        <v>2022</v>
      </c>
      <c r="N10" s="23">
        <v>0.1</v>
      </c>
      <c r="O10" s="23">
        <v>0.02</v>
      </c>
      <c r="P10" s="23">
        <v>0.1</v>
      </c>
      <c r="Q10" s="23">
        <v>0.03</v>
      </c>
      <c r="R10" s="24">
        <v>3.5000000000000003E-2</v>
      </c>
      <c r="S10" s="24">
        <v>9.5000000000000001E-2</v>
      </c>
      <c r="T10" s="24">
        <v>0</v>
      </c>
    </row>
    <row r="11" spans="2:20" ht="15" customHeight="1" x14ac:dyDescent="0.25">
      <c r="C11" s="17"/>
      <c r="D11" s="21" t="str">
        <f>IF($K$2="Қазақ","Қолға","На руки")</f>
        <v>На руки</v>
      </c>
      <c r="E11" s="31">
        <f>D4-E8-E9-E10</f>
        <v>74568.88</v>
      </c>
      <c r="F11" s="20"/>
      <c r="I11" s="22">
        <v>2023</v>
      </c>
      <c r="J11" s="22">
        <v>3450</v>
      </c>
      <c r="K11" s="22">
        <v>70000</v>
      </c>
      <c r="L11" s="19"/>
      <c r="M11" s="22">
        <v>2023</v>
      </c>
      <c r="N11" s="23">
        <v>0.1</v>
      </c>
      <c r="O11" s="23">
        <v>0.02</v>
      </c>
      <c r="P11" s="23">
        <v>0.1</v>
      </c>
      <c r="Q11" s="23">
        <v>0.03</v>
      </c>
      <c r="R11" s="24">
        <v>3.5000000000000003E-2</v>
      </c>
      <c r="S11" s="24">
        <v>9.5000000000000001E-2</v>
      </c>
      <c r="T11" s="24">
        <v>0</v>
      </c>
    </row>
    <row r="12" spans="2:20" ht="15" customHeight="1" x14ac:dyDescent="0.25">
      <c r="C12" s="17"/>
      <c r="D12" s="17"/>
      <c r="E12" s="17"/>
      <c r="F12" s="17"/>
      <c r="I12" s="22">
        <v>2024</v>
      </c>
      <c r="J12" s="22">
        <v>3692</v>
      </c>
      <c r="K12" s="22">
        <v>85000</v>
      </c>
      <c r="L12" s="19"/>
      <c r="M12" s="22">
        <v>2024</v>
      </c>
      <c r="N12" s="23">
        <v>0.1</v>
      </c>
      <c r="O12" s="23">
        <v>0.02</v>
      </c>
      <c r="P12" s="23">
        <v>0.1</v>
      </c>
      <c r="Q12" s="23">
        <v>0.03</v>
      </c>
      <c r="R12" s="24">
        <v>3.5000000000000003E-2</v>
      </c>
      <c r="S12" s="24">
        <v>9.5000000000000001E-2</v>
      </c>
      <c r="T12" s="24">
        <v>1.4999999999999999E-2</v>
      </c>
    </row>
    <row r="13" spans="2:20" ht="15" customHeight="1" x14ac:dyDescent="0.25">
      <c r="C13" s="35" t="str">
        <f>C7</f>
        <v>Вид налога</v>
      </c>
      <c r="D13" s="35" t="str">
        <f>D7</f>
        <v>Ставка</v>
      </c>
      <c r="E13" s="35" t="str">
        <f>E7</f>
        <v>К оплате</v>
      </c>
      <c r="F13" s="17"/>
      <c r="I13" s="22">
        <v>2025</v>
      </c>
      <c r="J13" s="25">
        <v>3692</v>
      </c>
      <c r="K13" s="25">
        <v>85000</v>
      </c>
      <c r="L13" s="19"/>
      <c r="M13" s="22">
        <v>2025</v>
      </c>
      <c r="N13" s="23">
        <v>0.1</v>
      </c>
      <c r="O13" s="23">
        <v>0.02</v>
      </c>
      <c r="P13" s="23">
        <v>0.1</v>
      </c>
      <c r="Q13" s="23">
        <v>0.03</v>
      </c>
      <c r="R13" s="24">
        <v>3.5000000000000003E-2</v>
      </c>
      <c r="S13" s="24">
        <v>9.5000000000000001E-2</v>
      </c>
      <c r="T13" s="24">
        <v>2.5000000000000001E-2</v>
      </c>
    </row>
    <row r="14" spans="2:20" ht="15" customHeight="1" x14ac:dyDescent="0.25">
      <c r="C14" s="21" t="str">
        <f>IF($K$2="Қазақ","МӘМС","ОСМС")</f>
        <v>ОСМС</v>
      </c>
      <c r="D14" s="29">
        <f>VLOOKUP($F$2,$M$8:$T$18,5,FALSE)</f>
        <v>0.03</v>
      </c>
      <c r="E14" s="37">
        <f>D4*D14</f>
        <v>2550</v>
      </c>
      <c r="F14" s="17"/>
      <c r="I14" s="22">
        <v>2026</v>
      </c>
      <c r="J14" s="25">
        <v>3692</v>
      </c>
      <c r="K14" s="25">
        <v>85000</v>
      </c>
      <c r="L14" s="19"/>
      <c r="M14" s="22">
        <v>2026</v>
      </c>
      <c r="N14" s="23">
        <v>0.1</v>
      </c>
      <c r="O14" s="23">
        <v>0.02</v>
      </c>
      <c r="P14" s="23">
        <v>0.1</v>
      </c>
      <c r="Q14" s="23">
        <v>0.03</v>
      </c>
      <c r="R14" s="24">
        <v>3.5000000000000003E-2</v>
      </c>
      <c r="S14" s="24">
        <v>9.5000000000000001E-2</v>
      </c>
      <c r="T14" s="24">
        <v>3.5000000000000003E-2</v>
      </c>
    </row>
    <row r="15" spans="2:20" ht="15" customHeight="1" x14ac:dyDescent="0.25">
      <c r="C15" s="21" t="str">
        <f>IF($K$2="Қазақ","ӘТ","СО")</f>
        <v>СО</v>
      </c>
      <c r="D15" s="29">
        <f>VLOOKUP($F$2,$M$8:$T$18,6,FALSE)</f>
        <v>3.5000000000000003E-2</v>
      </c>
      <c r="E15" s="21">
        <f>(D4-E8)*D15</f>
        <v>2677.5000000000005</v>
      </c>
      <c r="F15" s="17"/>
      <c r="I15" s="22">
        <v>2027</v>
      </c>
      <c r="J15" s="25">
        <v>3692</v>
      </c>
      <c r="K15" s="25">
        <v>85000</v>
      </c>
      <c r="L15" s="19"/>
      <c r="M15" s="22">
        <v>2027</v>
      </c>
      <c r="N15" s="23">
        <v>0.1</v>
      </c>
      <c r="O15" s="23">
        <v>0.02</v>
      </c>
      <c r="P15" s="23">
        <v>0.1</v>
      </c>
      <c r="Q15" s="23">
        <v>0.03</v>
      </c>
      <c r="R15" s="24">
        <v>3.5000000000000003E-2</v>
      </c>
      <c r="S15" s="24">
        <v>9.5000000000000001E-2</v>
      </c>
      <c r="T15" s="24">
        <v>4.4999999999999998E-2</v>
      </c>
    </row>
    <row r="16" spans="2:20" ht="15" customHeight="1" x14ac:dyDescent="0.25">
      <c r="C16" s="21" t="str">
        <f>IF($K$2="Қазақ","ӘС","СН")</f>
        <v>СН</v>
      </c>
      <c r="D16" s="29">
        <f>IF($N$2="Упрощенный",0,VLOOKUP($F$2,$M$8:$T$18,7,FALSE))</f>
        <v>0</v>
      </c>
      <c r="E16" s="21">
        <f>IF($D$16=0,0,((D4-E8-E9)*D16)-E15)</f>
        <v>0</v>
      </c>
      <c r="F16" s="17">
        <f>7*300</f>
        <v>2100</v>
      </c>
      <c r="I16" s="22">
        <v>2028</v>
      </c>
      <c r="J16" s="25">
        <v>3692</v>
      </c>
      <c r="K16" s="25">
        <v>85000</v>
      </c>
      <c r="L16" s="19"/>
      <c r="M16" s="22">
        <v>2028</v>
      </c>
      <c r="N16" s="23">
        <v>0.1</v>
      </c>
      <c r="O16" s="23">
        <v>0.02</v>
      </c>
      <c r="P16" s="23">
        <v>0.1</v>
      </c>
      <c r="Q16" s="23">
        <v>0.03</v>
      </c>
      <c r="R16" s="24">
        <v>3.5000000000000003E-2</v>
      </c>
      <c r="S16" s="24">
        <v>9.5000000000000001E-2</v>
      </c>
      <c r="T16" s="24">
        <v>0.05</v>
      </c>
    </row>
    <row r="17" spans="2:20" ht="15" customHeight="1" x14ac:dyDescent="0.25">
      <c r="C17" s="21" t="str">
        <f>IF($K$2="Қазақ","МЗҚЖ","ОПВР")</f>
        <v>ОПВР</v>
      </c>
      <c r="D17" s="29">
        <f>IF($D$5&gt;=1975,VLOOKUP($F$2,$M$8:$T$18,8,FALSE),0)</f>
        <v>1.4999999999999999E-2</v>
      </c>
      <c r="E17" s="21">
        <f>D4*D17</f>
        <v>1275</v>
      </c>
      <c r="F17" s="17">
        <v>10931</v>
      </c>
      <c r="I17" s="22">
        <v>2029</v>
      </c>
      <c r="J17" s="25">
        <v>3692</v>
      </c>
      <c r="K17" s="25">
        <v>85000</v>
      </c>
      <c r="L17" s="19"/>
      <c r="M17" s="22">
        <v>2029</v>
      </c>
      <c r="N17" s="23">
        <v>0.1</v>
      </c>
      <c r="O17" s="23">
        <v>0.02</v>
      </c>
      <c r="P17" s="23">
        <v>0.1</v>
      </c>
      <c r="Q17" s="23">
        <v>0.03</v>
      </c>
      <c r="R17" s="24">
        <v>3.5000000000000003E-2</v>
      </c>
      <c r="S17" s="24">
        <v>9.5000000000000001E-2</v>
      </c>
      <c r="T17" s="24">
        <v>0.05</v>
      </c>
    </row>
    <row r="18" spans="2:20" ht="15" customHeight="1" x14ac:dyDescent="0.25">
      <c r="D18" s="21" t="str">
        <f>IF($K$2="Қазақ","Барлығы","Всего")</f>
        <v>Всего</v>
      </c>
      <c r="E18" s="31">
        <f>SUM(E14:E17)</f>
        <v>6502.5</v>
      </c>
      <c r="F18">
        <f>SUM(E8:E10)</f>
        <v>10431.120000000001</v>
      </c>
      <c r="I18" s="22">
        <v>2030</v>
      </c>
      <c r="J18" s="25">
        <v>3692</v>
      </c>
      <c r="K18" s="25">
        <v>85000</v>
      </c>
      <c r="L18" s="19"/>
      <c r="M18" s="22">
        <v>2030</v>
      </c>
      <c r="N18" s="23">
        <v>0.1</v>
      </c>
      <c r="O18" s="23">
        <v>0.02</v>
      </c>
      <c r="P18" s="23">
        <v>0.1</v>
      </c>
      <c r="Q18" s="23">
        <v>0.03</v>
      </c>
      <c r="R18" s="24">
        <v>3.5000000000000003E-2</v>
      </c>
      <c r="S18" s="24">
        <v>9.5000000000000001E-2</v>
      </c>
      <c r="T18" s="24">
        <v>0.05</v>
      </c>
    </row>
    <row r="20" spans="2:20" ht="15.75" customHeight="1" x14ac:dyDescent="0.25">
      <c r="B20" s="39" t="str">
        <f>IF($K$2="Қазақ","ЖК","ИП")</f>
        <v>ИП</v>
      </c>
      <c r="C20" s="38" t="str">
        <f>IF($K$2="Қазақ","Салық түрі","Вид налога")</f>
        <v>Вид налога</v>
      </c>
      <c r="D20" s="35" t="str">
        <f>IF($K$2="Қазақ","Көрсеткіш","Ставка")</f>
        <v>Ставка</v>
      </c>
      <c r="E20" s="35" t="str">
        <f>IF($K$2="Қазақ","Төлем","К оплате")</f>
        <v>К оплате</v>
      </c>
    </row>
    <row r="21" spans="2:20" ht="15.75" customHeight="1" x14ac:dyDescent="0.25">
      <c r="C21" s="21" t="str">
        <f>IF($K$2="Қазақ","МЗҚ","ОПВ")</f>
        <v>ОПВ</v>
      </c>
      <c r="D21" s="29">
        <f>VLOOKUP($F$2,$M$8:$T$18,2,FALSE)</f>
        <v>0.1</v>
      </c>
      <c r="E21" s="40">
        <f>D4*D21</f>
        <v>8500</v>
      </c>
    </row>
    <row r="22" spans="2:20" ht="15.75" customHeight="1" x14ac:dyDescent="0.25">
      <c r="C22" s="21" t="str">
        <f>IF($K$2="Қазақ","ЖМӘМС","ВОСМС")</f>
        <v>ВОСМС</v>
      </c>
      <c r="D22" s="29">
        <v>0.05</v>
      </c>
      <c r="E22" s="40">
        <f>(1.4*VLOOKUP($F$2,$I$8:$K$18,3,FALSE))*D22</f>
        <v>5950</v>
      </c>
    </row>
    <row r="23" spans="2:20" ht="15.75" customHeight="1" x14ac:dyDescent="0.25">
      <c r="C23" s="21" t="str">
        <f>IF($K$2="Қазақ","ӘТ","СО")</f>
        <v>СО</v>
      </c>
      <c r="D23" s="29">
        <f>VLOOKUP($F$2,$M$8:$T$18,6,FALSE)</f>
        <v>3.5000000000000003E-2</v>
      </c>
      <c r="E23" s="40">
        <f>(D4-E21)*D23</f>
        <v>2677.5000000000005</v>
      </c>
    </row>
    <row r="24" spans="2:20" s="17" customFormat="1" ht="15.75" customHeight="1" x14ac:dyDescent="0.25">
      <c r="C24" s="21" t="str">
        <f>IF($K$2="Қазақ","МЗҚЖ","ОПВР")</f>
        <v>ОПВР</v>
      </c>
      <c r="D24" s="29">
        <f>IF($D$5&gt;=1975,VLOOKUP($F$2,$M$8:$T$18,8,FALSE),0)</f>
        <v>1.4999999999999999E-2</v>
      </c>
      <c r="E24" s="40">
        <f>D4*D24</f>
        <v>1275</v>
      </c>
    </row>
    <row r="25" spans="2:20" ht="15.75" customHeight="1" x14ac:dyDescent="0.25"/>
    <row r="26" spans="2:20" ht="15.75" customHeight="1" x14ac:dyDescent="0.25"/>
    <row r="27" spans="2:20" ht="15.75" customHeight="1" x14ac:dyDescent="0.25">
      <c r="C27" t="s">
        <v>42</v>
      </c>
      <c r="H27" t="s">
        <v>45</v>
      </c>
      <c r="M27" t="s">
        <v>48</v>
      </c>
      <c r="Q27" s="41" t="s">
        <v>49</v>
      </c>
      <c r="R27" s="41"/>
      <c r="S27" s="41"/>
    </row>
    <row r="28" spans="2:20" ht="15.75" customHeight="1" x14ac:dyDescent="0.25">
      <c r="C28" t="s">
        <v>43</v>
      </c>
      <c r="H28" t="s">
        <v>46</v>
      </c>
      <c r="M28" t="s">
        <v>53</v>
      </c>
    </row>
    <row r="29" spans="2:20" ht="15.75" customHeight="1" x14ac:dyDescent="0.25">
      <c r="C29" t="s">
        <v>44</v>
      </c>
      <c r="H29" t="s">
        <v>47</v>
      </c>
    </row>
    <row r="30" spans="2:20" ht="15.75" customHeight="1" x14ac:dyDescent="0.25"/>
    <row r="31" spans="2:20" ht="15.75" customHeight="1" x14ac:dyDescent="0.25"/>
    <row r="32" spans="2:2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D17">
    <cfRule type="cellIs" dxfId="1" priority="2" operator="equal">
      <formula>0</formula>
    </cfRule>
  </conditionalFormatting>
  <conditionalFormatting sqref="D24">
    <cfRule type="cellIs" dxfId="0" priority="1" operator="equal">
      <formula>0</formula>
    </cfRule>
  </conditionalFormatting>
  <dataValidations count="3">
    <dataValidation type="list" allowBlank="1" showInputMessage="1" showErrorMessage="1" sqref="F2">
      <formula1>$I$8:$I$18</formula1>
    </dataValidation>
    <dataValidation type="list" allowBlank="1" showInputMessage="1" showErrorMessage="1" sqref="K2">
      <formula1>$R$4:$S$4</formula1>
    </dataValidation>
    <dataValidation type="list" allowBlank="1" showInputMessage="1" showErrorMessage="1" sqref="N2">
      <formula1>$R$5:$S$5</formula1>
    </dataValidation>
  </dataValidations>
  <pageMargins left="0.31496062992125984" right="0.31496062992125984" top="0.74803149606299213" bottom="0.74803149606299213" header="0" footer="0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Новая формула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cp:lastPrinted>2024-02-16T08:00:31Z</cp:lastPrinted>
  <dcterms:created xsi:type="dcterms:W3CDTF">2006-09-16T00:00:00Z</dcterms:created>
  <dcterms:modified xsi:type="dcterms:W3CDTF">2024-02-22T08:28:45Z</dcterms:modified>
</cp:coreProperties>
</file>