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andr.kharlan\Downloads\"/>
    </mc:Choice>
  </mc:AlternateContent>
  <bookViews>
    <workbookView xWindow="0" yWindow="0" windowWidth="28800" windowHeight="12330" activeTab="2"/>
  </bookViews>
  <sheets>
    <sheet name="Лист1" sheetId="1" r:id="rId1"/>
    <sheet name="Честно" sheetId="2" r:id="rId2"/>
    <sheet name="Как улучшить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3" l="1"/>
  <c r="D35" i="3" s="1"/>
  <c r="D26" i="3"/>
  <c r="D20" i="3"/>
  <c r="D19" i="3"/>
  <c r="D17" i="3"/>
  <c r="D18" i="3" s="1"/>
  <c r="D12" i="3"/>
  <c r="D11" i="3"/>
  <c r="D9" i="3"/>
  <c r="D38" i="2"/>
  <c r="D37" i="2"/>
  <c r="E7" i="1"/>
  <c r="D34" i="2"/>
  <c r="D35" i="2" s="1"/>
  <c r="D27" i="2"/>
  <c r="D28" i="2" s="1"/>
  <c r="D29" i="2" s="1"/>
  <c r="D26" i="2"/>
  <c r="D20" i="2"/>
  <c r="D19" i="2"/>
  <c r="D17" i="2"/>
  <c r="D18" i="2" s="1"/>
  <c r="D11" i="2"/>
  <c r="D12" i="2"/>
  <c r="D9" i="2"/>
  <c r="C7" i="1"/>
  <c r="D7" i="1" s="1"/>
  <c r="D21" i="3" l="1"/>
  <c r="D22" i="3" s="1"/>
  <c r="D23" i="3" s="1"/>
  <c r="D36" i="3" s="1"/>
  <c r="D37" i="3" s="1"/>
  <c r="D38" i="3" s="1"/>
  <c r="D27" i="3"/>
  <c r="D28" i="3" s="1"/>
  <c r="D29" i="3" s="1"/>
  <c r="D21" i="2"/>
  <c r="D22" i="2" s="1"/>
  <c r="D23" i="2" s="1"/>
  <c r="D36" i="2" s="1"/>
  <c r="C16" i="1"/>
  <c r="C15" i="1"/>
  <c r="C19" i="1" s="1"/>
  <c r="C13" i="1"/>
  <c r="C9" i="1"/>
  <c r="C10" i="1" s="1"/>
  <c r="C5" i="1"/>
  <c r="C20" i="1" l="1"/>
  <c r="C21" i="1" s="1"/>
  <c r="C22" i="1" s="1"/>
  <c r="C23" i="1" l="1"/>
  <c r="C24" i="1"/>
</calcChain>
</file>

<file path=xl/comments1.xml><?xml version="1.0" encoding="utf-8"?>
<comments xmlns="http://schemas.openxmlformats.org/spreadsheetml/2006/main">
  <authors>
    <author>User Windows</author>
  </authors>
  <commentList>
    <comment ref="B6" authorId="0" shapeId="0">
      <text>
        <r>
          <rPr>
            <b/>
            <sz val="9"/>
            <color indexed="81"/>
            <rFont val="Tahoma"/>
            <charset val="1"/>
          </rPr>
          <t>User Windows:</t>
        </r>
        <r>
          <rPr>
            <sz val="9"/>
            <color indexed="81"/>
            <rFont val="Tahoma"/>
            <charset val="1"/>
          </rPr>
          <t xml:space="preserve">
Assumed value!
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User Windows:</t>
        </r>
        <r>
          <rPr>
            <sz val="9"/>
            <color indexed="81"/>
            <rFont val="Tahoma"/>
            <charset val="1"/>
          </rPr>
          <t xml:space="preserve">
Assuming QPSK 1/2 
and 10e-5 BER
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User Windows:</t>
        </r>
        <r>
          <rPr>
            <sz val="9"/>
            <color indexed="81"/>
            <rFont val="Tahoma"/>
            <charset val="1"/>
          </rPr>
          <t xml:space="preserve">
Obtained by rule of thumb!</t>
        </r>
      </text>
    </comment>
  </commentList>
</comments>
</file>

<file path=xl/sharedStrings.xml><?xml version="1.0" encoding="utf-8"?>
<sst xmlns="http://schemas.openxmlformats.org/spreadsheetml/2006/main" count="214" uniqueCount="108">
  <si>
    <t>Number of users</t>
  </si>
  <si>
    <t>Number of satellites</t>
  </si>
  <si>
    <t>Minimal datarate per user, bps</t>
  </si>
  <si>
    <t>Maximal percentage of users online per one satellite</t>
  </si>
  <si>
    <t>Data bandwidth, bps</t>
  </si>
  <si>
    <t>Eb/N0, dB</t>
  </si>
  <si>
    <t>Gross bandwidth, dbs</t>
  </si>
  <si>
    <t>Carrier-to-noise ratio, dB</t>
  </si>
  <si>
    <t>Frequency, GHz</t>
  </si>
  <si>
    <t>Transmitting antenna gain, dBi</t>
  </si>
  <si>
    <t>Receiving antenna gain, dBi</t>
  </si>
  <si>
    <t>G/T, dBi</t>
  </si>
  <si>
    <t>Distance, km</t>
  </si>
  <si>
    <t>Fres space loss, db</t>
  </si>
  <si>
    <t>Atmospheric loss, dB</t>
  </si>
  <si>
    <t>Input loss, dBi</t>
  </si>
  <si>
    <t>Pointing loss, dBi</t>
  </si>
  <si>
    <t>Total loss, dB</t>
  </si>
  <si>
    <t>EIRP, dB</t>
  </si>
  <si>
    <t>Transmission power, dB</t>
  </si>
  <si>
    <t>Transmission power, W</t>
  </si>
  <si>
    <t>Generated heat, W</t>
  </si>
  <si>
    <t>Cost, $</t>
  </si>
  <si>
    <t>c</t>
  </si>
  <si>
    <t>f</t>
  </si>
  <si>
    <t>losses_km</t>
  </si>
  <si>
    <t>SNR</t>
  </si>
  <si>
    <t>Gr</t>
  </si>
  <si>
    <t>T</t>
  </si>
  <si>
    <t>N0</t>
  </si>
  <si>
    <t>k</t>
  </si>
  <si>
    <t>Ltech</t>
  </si>
  <si>
    <t>Cr</t>
  </si>
  <si>
    <t>Kcp</t>
  </si>
  <si>
    <t>br</t>
  </si>
  <si>
    <t>dist</t>
  </si>
  <si>
    <t>Gt0</t>
  </si>
  <si>
    <t>Langle</t>
  </si>
  <si>
    <t>Nadir angle</t>
  </si>
  <si>
    <t>Gt</t>
  </si>
  <si>
    <t>PSD</t>
  </si>
  <si>
    <t>Lfs</t>
  </si>
  <si>
    <t>Ltrop</t>
  </si>
  <si>
    <t>Ptx</t>
  </si>
  <si>
    <t>Ptx_dB</t>
  </si>
  <si>
    <t>Ptx_W</t>
  </si>
  <si>
    <t>specific attenuation</t>
  </si>
  <si>
    <t>noise temp</t>
  </si>
  <si>
    <t>boltzman</t>
  </si>
  <si>
    <t>Noise power spectral density</t>
  </si>
  <si>
    <t>speed of light</t>
  </si>
  <si>
    <t>km/s</t>
  </si>
  <si>
    <t>frequency</t>
  </si>
  <si>
    <t>Hz</t>
  </si>
  <si>
    <t>dB/km</t>
  </si>
  <si>
    <t>dB</t>
  </si>
  <si>
    <t>K</t>
  </si>
  <si>
    <t>who cares</t>
  </si>
  <si>
    <t>dB[W/Hz]</t>
  </si>
  <si>
    <t>All technical losses</t>
  </si>
  <si>
    <t>coderate</t>
  </si>
  <si>
    <t>-</t>
  </si>
  <si>
    <t>cyclic preffix</t>
  </si>
  <si>
    <t>bitrate for 1 sub</t>
  </si>
  <si>
    <t>bps</t>
  </si>
  <si>
    <t>distance</t>
  </si>
  <si>
    <t>km</t>
  </si>
  <si>
    <t>basic Gt for nadir</t>
  </si>
  <si>
    <t>angle from nadir</t>
  </si>
  <si>
    <t>degrees</t>
  </si>
  <si>
    <t>losses to angle</t>
  </si>
  <si>
    <t>added 30% for polarization losses associated with beamforming</t>
  </si>
  <si>
    <t>required C/N</t>
  </si>
  <si>
    <t>mobile device gain</t>
  </si>
  <si>
    <t>Yaliny case. This is the basic requirement (not Eb/N0 as usual)</t>
  </si>
  <si>
    <t>Yaliny case.</t>
  </si>
  <si>
    <t>Final Gt including losses to angle</t>
  </si>
  <si>
    <t>free space loss</t>
  </si>
  <si>
    <t>attenuation (troposphere)</t>
  </si>
  <si>
    <t>transmitted power spectral density</t>
  </si>
  <si>
    <t>transmitted power</t>
  </si>
  <si>
    <t>W</t>
  </si>
  <si>
    <t>This is like Pt - Rb (Pt minus gross bitrate)</t>
  </si>
  <si>
    <t>Coderate for FEC (Yaliny case)</t>
  </si>
  <si>
    <t>Cyclic preffix (Yaliny case). These 2 coefficients describe the modulation scheme</t>
  </si>
  <si>
    <t>Pt in Watts for 'bad' subscriber</t>
  </si>
  <si>
    <t>Pt in Watts for 'good' subscriber</t>
  </si>
  <si>
    <t>subs</t>
  </si>
  <si>
    <t>meansubs</t>
  </si>
  <si>
    <t>meanactive</t>
  </si>
  <si>
    <t>total subscribers</t>
  </si>
  <si>
    <t>active subs per 1 sat</t>
  </si>
  <si>
    <t>1.5% of all subs</t>
  </si>
  <si>
    <t>mean total subs per 1 sat</t>
  </si>
  <si>
    <t>required Pt</t>
  </si>
  <si>
    <t>Pcons</t>
  </si>
  <si>
    <t>required power</t>
  </si>
  <si>
    <t>heat</t>
  </si>
  <si>
    <t>well, fuck</t>
  </si>
  <si>
    <t>20 million subs</t>
  </si>
  <si>
    <t>VOILA</t>
  </si>
  <si>
    <t>120 satellites</t>
  </si>
  <si>
    <t>assume all subs are in between good and bad</t>
  </si>
  <si>
    <t>decreased the requirement on SNR (need VERY good receiver)</t>
  </si>
  <si>
    <t>increased gain (probably will be like car-mounted OR expensive as fuck with a cool phased array)</t>
  </si>
  <si>
    <t>VERY optimistic noise parameters</t>
  </si>
  <si>
    <t>VERY good implementation and lines</t>
  </si>
  <si>
    <t>16x16 elements antenna, basic formula, VERY good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</si>
</sst>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24"/>
  <sheetViews>
    <sheetView workbookViewId="0">
      <selection activeCell="C3" sqref="C3"/>
    </sheetView>
  </sheetViews>
  <sheetFormatPr defaultRowHeight="15" x14ac:dyDescent="0.25"/>
  <cols>
    <col min="2" max="2" width="51.28515625" customWidth="1"/>
    <col min="3" max="3" width="16" customWidth="1"/>
  </cols>
  <sheetData>
    <row r="2" spans="2:5" x14ac:dyDescent="0.25">
      <c r="B2" s="1" t="s">
        <v>8</v>
      </c>
      <c r="C2" s="1">
        <v>15</v>
      </c>
    </row>
    <row r="3" spans="2:5" x14ac:dyDescent="0.25">
      <c r="B3" s="1" t="s">
        <v>0</v>
      </c>
      <c r="C3" s="1">
        <v>4000000</v>
      </c>
    </row>
    <row r="4" spans="2:5" x14ac:dyDescent="0.25">
      <c r="B4" s="1" t="s">
        <v>1</v>
      </c>
      <c r="C4" s="1">
        <v>60</v>
      </c>
    </row>
    <row r="5" spans="2:5" x14ac:dyDescent="0.25">
      <c r="B5" s="1" t="s">
        <v>2</v>
      </c>
      <c r="C5" s="1">
        <f>1024*1024</f>
        <v>1048576</v>
      </c>
    </row>
    <row r="6" spans="2:5" x14ac:dyDescent="0.25">
      <c r="B6" s="3" t="s">
        <v>3</v>
      </c>
      <c r="C6" s="1">
        <v>50</v>
      </c>
    </row>
    <row r="7" spans="2:5" x14ac:dyDescent="0.25">
      <c r="B7" s="3" t="s">
        <v>4</v>
      </c>
      <c r="C7" s="2">
        <f>C6*C5*C3/(C4*100)</f>
        <v>34952533333.333336</v>
      </c>
      <c r="D7">
        <f>C7/C5</f>
        <v>33333.333333333336</v>
      </c>
      <c r="E7">
        <f>C3/C4*C6/100</f>
        <v>33333.333333333336</v>
      </c>
    </row>
    <row r="8" spans="2:5" x14ac:dyDescent="0.25">
      <c r="B8" s="3" t="s">
        <v>5</v>
      </c>
      <c r="C8" s="1">
        <v>6.5</v>
      </c>
    </row>
    <row r="9" spans="2:5" x14ac:dyDescent="0.25">
      <c r="B9" s="1" t="s">
        <v>6</v>
      </c>
      <c r="C9" s="1">
        <f>C7*2</f>
        <v>69905066666.666672</v>
      </c>
    </row>
    <row r="10" spans="2:5" x14ac:dyDescent="0.25">
      <c r="B10" s="4" t="s">
        <v>7</v>
      </c>
      <c r="C10" s="2">
        <f>C8+10*LOG10(C9)</f>
        <v>114.94508654223942</v>
      </c>
    </row>
    <row r="11" spans="2:5" x14ac:dyDescent="0.25">
      <c r="B11" s="1" t="s">
        <v>9</v>
      </c>
      <c r="C11" s="2">
        <v>51</v>
      </c>
    </row>
    <row r="12" spans="2:5" x14ac:dyDescent="0.25">
      <c r="B12" s="2" t="s">
        <v>10</v>
      </c>
      <c r="C12" s="2">
        <v>27</v>
      </c>
    </row>
    <row r="13" spans="2:5" x14ac:dyDescent="0.25">
      <c r="B13" s="1" t="s">
        <v>11</v>
      </c>
      <c r="C13" s="2">
        <f>C12-10*LOG10(290)</f>
        <v>2.3760200210104401</v>
      </c>
    </row>
    <row r="14" spans="2:5" x14ac:dyDescent="0.25">
      <c r="B14" s="3" t="s">
        <v>12</v>
      </c>
      <c r="C14" s="1">
        <v>3147</v>
      </c>
    </row>
    <row r="15" spans="2:5" x14ac:dyDescent="0.25">
      <c r="B15" s="1" t="s">
        <v>13</v>
      </c>
      <c r="C15" s="1">
        <f xml:space="preserve"> 92.45 + 20*LOG10(C14)+ 20*LOG10(C2)</f>
        <v>185.92976003937804</v>
      </c>
    </row>
    <row r="16" spans="2:5" x14ac:dyDescent="0.25">
      <c r="B16" s="1" t="s">
        <v>14</v>
      </c>
      <c r="C16" s="1">
        <f>10*0.1*1.103</f>
        <v>1.103</v>
      </c>
    </row>
    <row r="17" spans="2:3" x14ac:dyDescent="0.25">
      <c r="B17" s="3" t="s">
        <v>15</v>
      </c>
      <c r="C17" s="1">
        <v>2</v>
      </c>
    </row>
    <row r="18" spans="2:3" x14ac:dyDescent="0.25">
      <c r="B18" s="3" t="s">
        <v>16</v>
      </c>
      <c r="C18" s="1">
        <v>2</v>
      </c>
    </row>
    <row r="19" spans="2:3" x14ac:dyDescent="0.25">
      <c r="B19" s="3" t="s">
        <v>17</v>
      </c>
      <c r="C19" s="2">
        <f>C15+C16+C17+C18</f>
        <v>191.03276003937805</v>
      </c>
    </row>
    <row r="20" spans="2:3" x14ac:dyDescent="0.25">
      <c r="B20" s="3" t="s">
        <v>18</v>
      </c>
      <c r="C20" s="2">
        <f>C10-C13+C19-228.6</f>
        <v>75.001826560607043</v>
      </c>
    </row>
    <row r="21" spans="2:3" x14ac:dyDescent="0.25">
      <c r="B21" s="3" t="s">
        <v>19</v>
      </c>
      <c r="C21" s="1">
        <f>C20-C11+2</f>
        <v>26.001826560607043</v>
      </c>
    </row>
    <row r="22" spans="2:3" x14ac:dyDescent="0.25">
      <c r="B22" s="3" t="s">
        <v>20</v>
      </c>
      <c r="C22" s="1">
        <f>10^(C21/10)</f>
        <v>398.274642129396</v>
      </c>
    </row>
    <row r="23" spans="2:3" x14ac:dyDescent="0.25">
      <c r="B23" s="3" t="s">
        <v>21</v>
      </c>
      <c r="C23" s="1">
        <f>0.3*C22</f>
        <v>119.48239263881879</v>
      </c>
    </row>
    <row r="24" spans="2:3" x14ac:dyDescent="0.25">
      <c r="B24" s="1" t="s">
        <v>22</v>
      </c>
      <c r="C24" s="1">
        <f>5000*C22</f>
        <v>1991373.21064698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topLeftCell="A10" workbookViewId="0">
      <selection activeCell="D37" sqref="D37"/>
    </sheetView>
  </sheetViews>
  <sheetFormatPr defaultRowHeight="15" x14ac:dyDescent="0.25"/>
  <cols>
    <col min="1" max="1" width="12.140625" customWidth="1"/>
    <col min="2" max="3" width="35.140625" customWidth="1"/>
    <col min="4" max="5" width="15" customWidth="1"/>
    <col min="6" max="6" width="59.140625" customWidth="1"/>
  </cols>
  <sheetData>
    <row r="2" spans="1:6" x14ac:dyDescent="0.25">
      <c r="A2" t="s">
        <v>23</v>
      </c>
      <c r="B2" t="s">
        <v>50</v>
      </c>
      <c r="C2" t="s">
        <v>51</v>
      </c>
      <c r="D2" s="5">
        <v>300000</v>
      </c>
      <c r="E2" s="5"/>
    </row>
    <row r="3" spans="1:6" x14ac:dyDescent="0.25">
      <c r="A3" t="s">
        <v>24</v>
      </c>
      <c r="B3" t="s">
        <v>52</v>
      </c>
      <c r="C3" t="s">
        <v>53</v>
      </c>
      <c r="D3" s="5">
        <v>15000000000</v>
      </c>
      <c r="E3" s="5"/>
    </row>
    <row r="4" spans="1:6" x14ac:dyDescent="0.25">
      <c r="A4" t="s">
        <v>25</v>
      </c>
      <c r="B4" t="s">
        <v>46</v>
      </c>
      <c r="C4" t="s">
        <v>54</v>
      </c>
      <c r="D4">
        <v>7.0000000000000007E-2</v>
      </c>
    </row>
    <row r="5" spans="1:6" x14ac:dyDescent="0.25">
      <c r="A5" t="s">
        <v>26</v>
      </c>
      <c r="B5" t="s">
        <v>72</v>
      </c>
      <c r="C5" t="s">
        <v>55</v>
      </c>
      <c r="D5">
        <v>27</v>
      </c>
      <c r="F5" t="s">
        <v>74</v>
      </c>
    </row>
    <row r="6" spans="1:6" x14ac:dyDescent="0.25">
      <c r="A6" t="s">
        <v>27</v>
      </c>
      <c r="B6" t="s">
        <v>73</v>
      </c>
      <c r="C6" t="s">
        <v>55</v>
      </c>
      <c r="D6">
        <v>23</v>
      </c>
      <c r="F6" t="s">
        <v>75</v>
      </c>
    </row>
    <row r="7" spans="1:6" x14ac:dyDescent="0.25">
      <c r="A7" t="s">
        <v>28</v>
      </c>
      <c r="B7" t="s">
        <v>47</v>
      </c>
      <c r="C7" t="s">
        <v>56</v>
      </c>
      <c r="D7">
        <v>500</v>
      </c>
    </row>
    <row r="8" spans="1:6" x14ac:dyDescent="0.25">
      <c r="A8" t="s">
        <v>30</v>
      </c>
      <c r="B8" t="s">
        <v>48</v>
      </c>
      <c r="C8" t="s">
        <v>57</v>
      </c>
      <c r="D8" s="5">
        <v>1.3809999999999999E-23</v>
      </c>
      <c r="E8" s="5"/>
    </row>
    <row r="9" spans="1:6" x14ac:dyDescent="0.25">
      <c r="A9" t="s">
        <v>29</v>
      </c>
      <c r="B9" t="s">
        <v>49</v>
      </c>
      <c r="C9" t="s">
        <v>58</v>
      </c>
      <c r="D9" s="6">
        <f>10*LOG10(D8*D7)</f>
        <v>-201.60836317085352</v>
      </c>
      <c r="E9" s="6"/>
    </row>
    <row r="10" spans="1:6" x14ac:dyDescent="0.25">
      <c r="A10" t="s">
        <v>31</v>
      </c>
      <c r="B10" t="s">
        <v>59</v>
      </c>
      <c r="C10" t="s">
        <v>55</v>
      </c>
      <c r="D10" s="6">
        <v>-7.9</v>
      </c>
      <c r="E10" s="6"/>
    </row>
    <row r="11" spans="1:6" x14ac:dyDescent="0.25">
      <c r="A11" t="s">
        <v>32</v>
      </c>
      <c r="B11" t="s">
        <v>60</v>
      </c>
      <c r="C11" t="s">
        <v>61</v>
      </c>
      <c r="D11" s="6">
        <f>7/8</f>
        <v>0.875</v>
      </c>
      <c r="E11" s="6"/>
      <c r="F11" s="6" t="s">
        <v>83</v>
      </c>
    </row>
    <row r="12" spans="1:6" x14ac:dyDescent="0.25">
      <c r="A12" t="s">
        <v>33</v>
      </c>
      <c r="B12" t="s">
        <v>62</v>
      </c>
      <c r="C12" t="s">
        <v>61</v>
      </c>
      <c r="D12">
        <f>1+1/16</f>
        <v>1.0625</v>
      </c>
      <c r="F12" t="s">
        <v>84</v>
      </c>
    </row>
    <row r="13" spans="1:6" x14ac:dyDescent="0.25">
      <c r="A13" t="s">
        <v>34</v>
      </c>
      <c r="B13" t="s">
        <v>63</v>
      </c>
      <c r="C13" t="s">
        <v>64</v>
      </c>
      <c r="D13" s="5">
        <v>1000000</v>
      </c>
      <c r="E13" s="5"/>
    </row>
    <row r="14" spans="1:6" x14ac:dyDescent="0.25">
      <c r="A14" t="s">
        <v>35</v>
      </c>
      <c r="B14" t="s">
        <v>65</v>
      </c>
      <c r="C14" t="s">
        <v>66</v>
      </c>
      <c r="D14">
        <v>3147</v>
      </c>
    </row>
    <row r="15" spans="1:6" x14ac:dyDescent="0.25">
      <c r="A15" t="s">
        <v>36</v>
      </c>
      <c r="B15" t="s">
        <v>67</v>
      </c>
      <c r="C15" t="s">
        <v>55</v>
      </c>
      <c r="D15">
        <v>51.9</v>
      </c>
    </row>
    <row r="16" spans="1:6" x14ac:dyDescent="0.25">
      <c r="A16" t="s">
        <v>38</v>
      </c>
      <c r="B16" t="s">
        <v>68</v>
      </c>
      <c r="C16" t="s">
        <v>69</v>
      </c>
      <c r="D16">
        <v>53</v>
      </c>
    </row>
    <row r="17" spans="1:6" x14ac:dyDescent="0.25">
      <c r="A17" t="s">
        <v>37</v>
      </c>
      <c r="B17" t="s">
        <v>70</v>
      </c>
      <c r="D17">
        <f>10*LOG10(COS(RADIANS(D16)))*1.3</f>
        <v>-2.8669806767678172</v>
      </c>
      <c r="F17" t="s">
        <v>71</v>
      </c>
    </row>
    <row r="18" spans="1:6" x14ac:dyDescent="0.25">
      <c r="A18" t="s">
        <v>39</v>
      </c>
      <c r="B18" t="s">
        <v>76</v>
      </c>
      <c r="C18" t="s">
        <v>55</v>
      </c>
      <c r="D18">
        <f>D15+D17</f>
        <v>49.033019323232182</v>
      </c>
    </row>
    <row r="19" spans="1:6" x14ac:dyDescent="0.25">
      <c r="A19" t="s">
        <v>41</v>
      </c>
      <c r="B19" t="s">
        <v>77</v>
      </c>
      <c r="C19" t="s">
        <v>55</v>
      </c>
      <c r="D19" s="6">
        <f>-10*LOG10(POWER((4*PI()*D14*D3/D2),2))</f>
        <v>-185.92153222542669</v>
      </c>
      <c r="E19" s="6"/>
    </row>
    <row r="20" spans="1:6" x14ac:dyDescent="0.25">
      <c r="A20" t="s">
        <v>42</v>
      </c>
      <c r="B20" t="s">
        <v>78</v>
      </c>
      <c r="C20" t="s">
        <v>55</v>
      </c>
      <c r="D20" s="6">
        <f>-D4*13</f>
        <v>-0.91000000000000014</v>
      </c>
      <c r="E20" s="6"/>
    </row>
    <row r="21" spans="1:6" x14ac:dyDescent="0.25">
      <c r="A21" t="s">
        <v>40</v>
      </c>
      <c r="B21" t="s">
        <v>79</v>
      </c>
      <c r="C21" t="s">
        <v>58</v>
      </c>
      <c r="D21">
        <f>-D6-D18-D19-D20-D10+D9+D5</f>
        <v>-51.909850268659014</v>
      </c>
      <c r="F21" t="s">
        <v>82</v>
      </c>
    </row>
    <row r="22" spans="1:6" x14ac:dyDescent="0.25">
      <c r="A22" t="s">
        <v>44</v>
      </c>
      <c r="B22" t="s">
        <v>80</v>
      </c>
      <c r="C22" t="s">
        <v>55</v>
      </c>
      <c r="D22" s="5">
        <f>D21+10*LOG10(D13*D12/D11)</f>
        <v>8.9333585883413491</v>
      </c>
      <c r="E22" s="5"/>
    </row>
    <row r="23" spans="1:6" x14ac:dyDescent="0.25">
      <c r="A23" t="s">
        <v>45</v>
      </c>
      <c r="B23" t="s">
        <v>80</v>
      </c>
      <c r="C23" t="s">
        <v>81</v>
      </c>
      <c r="D23">
        <f>POWER(10,D22/10)</f>
        <v>7.8223250519598571</v>
      </c>
      <c r="F23" t="s">
        <v>85</v>
      </c>
    </row>
    <row r="26" spans="1:6" x14ac:dyDescent="0.25">
      <c r="A26" t="s">
        <v>41</v>
      </c>
      <c r="D26" s="6">
        <f>-10*LOG10(POWER((4*PI()*1550*D3/D2),2))</f>
        <v>-179.77023133056815</v>
      </c>
    </row>
    <row r="27" spans="1:6" x14ac:dyDescent="0.25">
      <c r="A27" t="s">
        <v>40</v>
      </c>
      <c r="D27">
        <f>-D6-D15-D26+0.7-D10+D9+D5</f>
        <v>-61.138131840285368</v>
      </c>
    </row>
    <row r="28" spans="1:6" x14ac:dyDescent="0.25">
      <c r="A28" t="s">
        <v>43</v>
      </c>
      <c r="D28" s="5">
        <f>D27+10*LOG10(D13*D12/D11)</f>
        <v>-0.2949229832850051</v>
      </c>
    </row>
    <row r="29" spans="1:6" x14ac:dyDescent="0.25">
      <c r="A29" t="s">
        <v>45</v>
      </c>
      <c r="D29">
        <f>POWER(10,D28/10)</f>
        <v>0.93434593757139017</v>
      </c>
      <c r="F29" t="s">
        <v>86</v>
      </c>
    </row>
    <row r="33" spans="1:6" x14ac:dyDescent="0.25">
      <c r="A33" t="s">
        <v>87</v>
      </c>
      <c r="B33" t="s">
        <v>90</v>
      </c>
      <c r="D33">
        <v>40000000</v>
      </c>
    </row>
    <row r="34" spans="1:6" x14ac:dyDescent="0.25">
      <c r="A34" t="s">
        <v>88</v>
      </c>
      <c r="B34" t="s">
        <v>93</v>
      </c>
      <c r="D34" s="6">
        <f>D33/60</f>
        <v>666666.66666666663</v>
      </c>
    </row>
    <row r="35" spans="1:6" x14ac:dyDescent="0.25">
      <c r="A35" t="s">
        <v>89</v>
      </c>
      <c r="B35" t="s">
        <v>91</v>
      </c>
      <c r="D35">
        <f>D34*0.015</f>
        <v>9999.9999999999982</v>
      </c>
      <c r="F35" t="s">
        <v>92</v>
      </c>
    </row>
    <row r="36" spans="1:6" x14ac:dyDescent="0.25">
      <c r="A36" t="s">
        <v>94</v>
      </c>
      <c r="C36" t="s">
        <v>81</v>
      </c>
      <c r="D36">
        <f>(D23+D29)/2*D35</f>
        <v>43783.354947656233</v>
      </c>
      <c r="F36" t="s">
        <v>102</v>
      </c>
    </row>
    <row r="37" spans="1:6" x14ac:dyDescent="0.25">
      <c r="A37" t="s">
        <v>95</v>
      </c>
      <c r="B37" t="s">
        <v>96</v>
      </c>
      <c r="C37" t="s">
        <v>81</v>
      </c>
      <c r="D37">
        <f>D36/0.2</f>
        <v>218916.77473828115</v>
      </c>
      <c r="F37" t="s">
        <v>98</v>
      </c>
    </row>
    <row r="38" spans="1:6" x14ac:dyDescent="0.25">
      <c r="A38" t="s">
        <v>97</v>
      </c>
      <c r="C38" t="s">
        <v>81</v>
      </c>
      <c r="D38">
        <f>D37-D36</f>
        <v>175133.41979062493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tabSelected="1" workbookViewId="0">
      <selection activeCell="D37" sqref="D37"/>
    </sheetView>
  </sheetViews>
  <sheetFormatPr defaultRowHeight="15" x14ac:dyDescent="0.25"/>
  <cols>
    <col min="1" max="1" width="12.140625" customWidth="1"/>
    <col min="2" max="3" width="35.140625" customWidth="1"/>
    <col min="4" max="5" width="15" customWidth="1"/>
    <col min="6" max="6" width="89.140625" customWidth="1"/>
  </cols>
  <sheetData>
    <row r="2" spans="1:6" x14ac:dyDescent="0.25">
      <c r="A2" t="s">
        <v>23</v>
      </c>
      <c r="B2" t="s">
        <v>50</v>
      </c>
      <c r="C2" t="s">
        <v>51</v>
      </c>
      <c r="D2" s="5">
        <v>300000</v>
      </c>
      <c r="E2" s="5"/>
    </row>
    <row r="3" spans="1:6" x14ac:dyDescent="0.25">
      <c r="A3" t="s">
        <v>24</v>
      </c>
      <c r="B3" t="s">
        <v>52</v>
      </c>
      <c r="C3" t="s">
        <v>53</v>
      </c>
      <c r="D3" s="5">
        <v>15000000000</v>
      </c>
      <c r="E3" s="5"/>
    </row>
    <row r="4" spans="1:6" x14ac:dyDescent="0.25">
      <c r="A4" t="s">
        <v>25</v>
      </c>
      <c r="B4" t="s">
        <v>46</v>
      </c>
      <c r="C4" t="s">
        <v>54</v>
      </c>
      <c r="D4">
        <v>7.0000000000000007E-2</v>
      </c>
    </row>
    <row r="5" spans="1:6" x14ac:dyDescent="0.25">
      <c r="A5" t="s">
        <v>26</v>
      </c>
      <c r="B5" t="s">
        <v>72</v>
      </c>
      <c r="C5" t="s">
        <v>55</v>
      </c>
      <c r="D5" s="7">
        <v>23</v>
      </c>
      <c r="F5" s="7" t="s">
        <v>103</v>
      </c>
    </row>
    <row r="6" spans="1:6" x14ac:dyDescent="0.25">
      <c r="A6" t="s">
        <v>27</v>
      </c>
      <c r="B6" t="s">
        <v>73</v>
      </c>
      <c r="C6" t="s">
        <v>55</v>
      </c>
      <c r="D6" s="7">
        <v>28</v>
      </c>
      <c r="F6" s="7" t="s">
        <v>104</v>
      </c>
    </row>
    <row r="7" spans="1:6" x14ac:dyDescent="0.25">
      <c r="A7" t="s">
        <v>28</v>
      </c>
      <c r="B7" t="s">
        <v>47</v>
      </c>
      <c r="C7" t="s">
        <v>56</v>
      </c>
      <c r="D7" s="7">
        <v>300</v>
      </c>
      <c r="F7" s="7" t="s">
        <v>105</v>
      </c>
    </row>
    <row r="8" spans="1:6" x14ac:dyDescent="0.25">
      <c r="A8" t="s">
        <v>30</v>
      </c>
      <c r="B8" t="s">
        <v>48</v>
      </c>
      <c r="C8" t="s">
        <v>57</v>
      </c>
      <c r="D8" s="5">
        <v>1.3809999999999999E-23</v>
      </c>
      <c r="E8" s="5"/>
    </row>
    <row r="9" spans="1:6" x14ac:dyDescent="0.25">
      <c r="A9" t="s">
        <v>29</v>
      </c>
      <c r="B9" t="s">
        <v>49</v>
      </c>
      <c r="C9" t="s">
        <v>58</v>
      </c>
      <c r="D9" s="6">
        <f>10*LOG10(D8*D7)</f>
        <v>-203.82685066701708</v>
      </c>
      <c r="E9" s="6"/>
    </row>
    <row r="10" spans="1:6" x14ac:dyDescent="0.25">
      <c r="A10" t="s">
        <v>31</v>
      </c>
      <c r="B10" t="s">
        <v>59</v>
      </c>
      <c r="C10" t="s">
        <v>55</v>
      </c>
      <c r="D10" s="8">
        <v>-4</v>
      </c>
      <c r="E10" s="6"/>
      <c r="F10" s="7" t="s">
        <v>106</v>
      </c>
    </row>
    <row r="11" spans="1:6" x14ac:dyDescent="0.25">
      <c r="A11" t="s">
        <v>32</v>
      </c>
      <c r="B11" t="s">
        <v>60</v>
      </c>
      <c r="C11" t="s">
        <v>61</v>
      </c>
      <c r="D11" s="6">
        <f>7/8</f>
        <v>0.875</v>
      </c>
      <c r="E11" s="6"/>
      <c r="F11" s="6" t="s">
        <v>83</v>
      </c>
    </row>
    <row r="12" spans="1:6" x14ac:dyDescent="0.25">
      <c r="A12" t="s">
        <v>33</v>
      </c>
      <c r="B12" t="s">
        <v>62</v>
      </c>
      <c r="C12" t="s">
        <v>61</v>
      </c>
      <c r="D12">
        <f>1+1/16</f>
        <v>1.0625</v>
      </c>
      <c r="F12" t="s">
        <v>84</v>
      </c>
    </row>
    <row r="13" spans="1:6" x14ac:dyDescent="0.25">
      <c r="A13" t="s">
        <v>34</v>
      </c>
      <c r="B13" t="s">
        <v>63</v>
      </c>
      <c r="C13" t="s">
        <v>64</v>
      </c>
      <c r="D13" s="5">
        <v>1000000</v>
      </c>
      <c r="E13" s="5"/>
    </row>
    <row r="14" spans="1:6" x14ac:dyDescent="0.25">
      <c r="A14" t="s">
        <v>35</v>
      </c>
      <c r="B14" t="s">
        <v>65</v>
      </c>
      <c r="C14" t="s">
        <v>66</v>
      </c>
      <c r="D14">
        <v>3147</v>
      </c>
    </row>
    <row r="15" spans="1:6" x14ac:dyDescent="0.25">
      <c r="A15" t="s">
        <v>36</v>
      </c>
      <c r="B15" t="s">
        <v>67</v>
      </c>
      <c r="C15" t="s">
        <v>55</v>
      </c>
      <c r="D15" s="7">
        <v>54.2</v>
      </c>
      <c r="F15" s="7" t="s">
        <v>107</v>
      </c>
    </row>
    <row r="16" spans="1:6" x14ac:dyDescent="0.25">
      <c r="A16" t="s">
        <v>38</v>
      </c>
      <c r="B16" t="s">
        <v>68</v>
      </c>
      <c r="C16" t="s">
        <v>69</v>
      </c>
      <c r="D16">
        <v>48</v>
      </c>
    </row>
    <row r="17" spans="1:6" x14ac:dyDescent="0.25">
      <c r="A17" t="s">
        <v>37</v>
      </c>
      <c r="B17" t="s">
        <v>70</v>
      </c>
      <c r="D17">
        <f>10*LOG10(COS(RADIANS(D16)))*1.3</f>
        <v>-2.2683583627347508</v>
      </c>
      <c r="F17" t="s">
        <v>71</v>
      </c>
    </row>
    <row r="18" spans="1:6" x14ac:dyDescent="0.25">
      <c r="A18" t="s">
        <v>39</v>
      </c>
      <c r="B18" t="s">
        <v>76</v>
      </c>
      <c r="C18" t="s">
        <v>55</v>
      </c>
      <c r="D18">
        <f>D15+D17</f>
        <v>51.931641637265251</v>
      </c>
    </row>
    <row r="19" spans="1:6" x14ac:dyDescent="0.25">
      <c r="A19" t="s">
        <v>41</v>
      </c>
      <c r="B19" t="s">
        <v>77</v>
      </c>
      <c r="C19" t="s">
        <v>55</v>
      </c>
      <c r="D19" s="6">
        <f>-10*LOG10(POWER((4*PI()*D14*D3/D2),2))</f>
        <v>-185.92153222542669</v>
      </c>
      <c r="E19" s="6"/>
    </row>
    <row r="20" spans="1:6" x14ac:dyDescent="0.25">
      <c r="A20" t="s">
        <v>42</v>
      </c>
      <c r="B20" t="s">
        <v>78</v>
      </c>
      <c r="C20" t="s">
        <v>55</v>
      </c>
      <c r="D20" s="6">
        <f>-D4*13</f>
        <v>-0.91000000000000014</v>
      </c>
      <c r="E20" s="6"/>
    </row>
    <row r="21" spans="1:6" x14ac:dyDescent="0.25">
      <c r="A21" t="s">
        <v>40</v>
      </c>
      <c r="B21" t="s">
        <v>79</v>
      </c>
      <c r="C21" t="s">
        <v>58</v>
      </c>
      <c r="D21">
        <f>-D6-D18-D19-D20-D10+D9+D5</f>
        <v>-69.926960078855643</v>
      </c>
      <c r="F21" t="s">
        <v>82</v>
      </c>
    </row>
    <row r="22" spans="1:6" x14ac:dyDescent="0.25">
      <c r="A22" t="s">
        <v>44</v>
      </c>
      <c r="B22" t="s">
        <v>80</v>
      </c>
      <c r="C22" t="s">
        <v>55</v>
      </c>
      <c r="D22" s="5">
        <f>D21+10*LOG10(D13*D12/D11)</f>
        <v>-9.0837512218552803</v>
      </c>
      <c r="E22" s="5"/>
    </row>
    <row r="23" spans="1:6" x14ac:dyDescent="0.25">
      <c r="A23" t="s">
        <v>45</v>
      </c>
      <c r="B23" t="s">
        <v>80</v>
      </c>
      <c r="C23" t="s">
        <v>81</v>
      </c>
      <c r="D23">
        <f>POWER(10,D22/10)</f>
        <v>0.12348803438349558</v>
      </c>
      <c r="F23" t="s">
        <v>85</v>
      </c>
    </row>
    <row r="26" spans="1:6" x14ac:dyDescent="0.25">
      <c r="A26" t="s">
        <v>41</v>
      </c>
      <c r="D26" s="6">
        <f>-10*LOG10(POWER((4*PI()*1550*D3/D2),2))</f>
        <v>-179.77023133056815</v>
      </c>
    </row>
    <row r="27" spans="1:6" x14ac:dyDescent="0.25">
      <c r="A27" t="s">
        <v>40</v>
      </c>
      <c r="D27">
        <f>-D6-D15-D26+0.7-D10+D9+D5</f>
        <v>-78.556619336448932</v>
      </c>
    </row>
    <row r="28" spans="1:6" x14ac:dyDescent="0.25">
      <c r="A28" t="s">
        <v>43</v>
      </c>
      <c r="D28" s="5">
        <f>D27+10*LOG10(D13*D12/D11)</f>
        <v>-17.713410479448569</v>
      </c>
    </row>
    <row r="29" spans="1:6" x14ac:dyDescent="0.25">
      <c r="A29" t="s">
        <v>45</v>
      </c>
      <c r="D29">
        <f>POWER(10,D28/10)</f>
        <v>1.6930077729716119E-2</v>
      </c>
      <c r="F29" t="s">
        <v>86</v>
      </c>
    </row>
    <row r="33" spans="1:6" x14ac:dyDescent="0.25">
      <c r="A33" t="s">
        <v>87</v>
      </c>
      <c r="B33" t="s">
        <v>90</v>
      </c>
      <c r="D33" s="7">
        <v>20000000</v>
      </c>
      <c r="F33" s="7" t="s">
        <v>99</v>
      </c>
    </row>
    <row r="34" spans="1:6" x14ac:dyDescent="0.25">
      <c r="A34" t="s">
        <v>88</v>
      </c>
      <c r="B34" t="s">
        <v>93</v>
      </c>
      <c r="D34" s="8">
        <f>D33/120</f>
        <v>166666.66666666666</v>
      </c>
      <c r="F34" s="7" t="s">
        <v>101</v>
      </c>
    </row>
    <row r="35" spans="1:6" x14ac:dyDescent="0.25">
      <c r="A35" t="s">
        <v>89</v>
      </c>
      <c r="B35" t="s">
        <v>91</v>
      </c>
      <c r="D35">
        <f>D34*0.015</f>
        <v>2499.9999999999995</v>
      </c>
      <c r="F35" t="s">
        <v>92</v>
      </c>
    </row>
    <row r="36" spans="1:6" x14ac:dyDescent="0.25">
      <c r="A36" t="s">
        <v>94</v>
      </c>
      <c r="C36" t="s">
        <v>81</v>
      </c>
      <c r="D36">
        <f>(D23+D29)/2*D35</f>
        <v>175.52264014151459</v>
      </c>
      <c r="F36" t="s">
        <v>102</v>
      </c>
    </row>
    <row r="37" spans="1:6" x14ac:dyDescent="0.25">
      <c r="A37" t="s">
        <v>95</v>
      </c>
      <c r="B37" t="s">
        <v>96</v>
      </c>
      <c r="C37" t="s">
        <v>81</v>
      </c>
      <c r="D37">
        <f>D36/0.2</f>
        <v>877.6132007075729</v>
      </c>
      <c r="F37" s="7" t="s">
        <v>100</v>
      </c>
    </row>
    <row r="38" spans="1:6" x14ac:dyDescent="0.25">
      <c r="A38" t="s">
        <v>97</v>
      </c>
      <c r="C38" t="s">
        <v>81</v>
      </c>
      <c r="D38">
        <f>D37-D36</f>
        <v>702.09056056605834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Честно</vt:lpstr>
      <vt:lpstr>Как улучшить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Aleksandr Kharlan</cp:lastModifiedBy>
  <dcterms:created xsi:type="dcterms:W3CDTF">2019-03-14T17:49:45Z</dcterms:created>
  <dcterms:modified xsi:type="dcterms:W3CDTF">2019-03-19T09:32:23Z</dcterms:modified>
</cp:coreProperties>
</file>